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C:\Users\VIJAY\Desktop\"/>
    </mc:Choice>
  </mc:AlternateContent>
  <xr:revisionPtr revIDLastSave="450" documentId="13_ncr:1_{E9120715-ED4C-44C0-80AA-EA01EF06C995}" xr6:coauthVersionLast="47" xr6:coauthVersionMax="47" xr10:uidLastSave="{C61F94CC-CCB5-48E5-A241-9130C9FA1AC6}"/>
  <bookViews>
    <workbookView xWindow="-110" yWindow="-110" windowWidth="19420" windowHeight="10420" activeTab="1" xr2:uid="{FEFD30A4-94D1-4F43-877F-54FBEDFB0EA9}"/>
  </bookViews>
  <sheets>
    <sheet name="Class Air Changes" sheetId="16" r:id="rId1"/>
    <sheet name="Sheet1" sheetId="18" r:id="rId2"/>
    <sheet name="Classification" sheetId="17" r:id="rId3"/>
    <sheet name="Input BOD" sheetId="13" r:id="rId4"/>
    <sheet name="Output BOD" sheetId="14" r:id="rId5"/>
    <sheet name="Output BOQ" sheetId="15" r:id="rId6"/>
    <sheet name="BOD-Cold &amp; Amb." sheetId="8" r:id="rId7"/>
    <sheet name="BOD-Hot &amp; Cold" sheetId="1" r:id="rId8"/>
    <sheet name="BOQ" sheetId="7" r:id="rId9"/>
    <sheet name="HVAC WORKS" sheetId="9" r:id="rId10"/>
    <sheet name="HVAC LOW SIDE WORKS" sheetId="10" r:id="rId11"/>
    <sheet name="Schedule Of Quantities" sheetId="11" r:id="rId12"/>
  </sheets>
  <externalReferences>
    <externalReference r:id="rId13"/>
    <externalReference r:id="rId14"/>
    <externalReference r:id="rId15"/>
  </externalReferences>
  <definedNames>
    <definedName name="_xlnm._FilterDatabase" localSheetId="9" hidden="1">'HVAC WORKS'!$E$1:$E$316</definedName>
    <definedName name="AFNORX44101">Classification!$L$1:$L$6</definedName>
    <definedName name="Arrant" localSheetId="8">[1]Sheet2Form2!$B$2:$B$12</definedName>
    <definedName name="Arrant" localSheetId="0">[2]Sheet2Form2!$B$2:$B$12</definedName>
    <definedName name="Arrant" localSheetId="2">Classification!$B$2:$B$12</definedName>
    <definedName name="Arrant">[3]Sheet2Form2!$B$2:$B$12</definedName>
    <definedName name="BS_5295">Classification!$J$1:$J$7</definedName>
    <definedName name="Class_Air_Changes">'Class Air Changes'!$D$5:$F$75</definedName>
    <definedName name="EUGMP">Classification!$G$1:$G$5</definedName>
    <definedName name="FDA">Classification!$D$1:$D$7</definedName>
    <definedName name="GERMANY_VD">Classification!$K$1:$K$9</definedName>
    <definedName name="GMP">Classification!$E$1:$E$5</definedName>
    <definedName name="ISO_14644">Classification!$C1:$C10</definedName>
    <definedName name="JIS_B_9920">Classification!$F$1:$F$10</definedName>
    <definedName name="NC__Non_Classified">Classification!$M$1:$M$9</definedName>
    <definedName name="NC_Non_Classified">Classification!$M$1:$M$9</definedName>
    <definedName name="_xlnm.Print_Area" localSheetId="6">'BOD-Cold &amp; Amb.'!$C$8:$AZ$27</definedName>
    <definedName name="_xlnm.Print_Area" localSheetId="7">'BOD-Hot &amp; Cold'!$C$8:$AY$32</definedName>
    <definedName name="_xlnm.Print_Area" localSheetId="8">BOQ!$C$8:$M$579</definedName>
    <definedName name="_xlnm.Print_Area" localSheetId="10">'HVAC LOW SIDE WORKS'!$A$1:$G$1031</definedName>
    <definedName name="_xlnm.Print_Area" localSheetId="9">'HVAC WORKS'!$A$1:$F$312</definedName>
    <definedName name="_xlnm.Print_Area" localSheetId="11">'Schedule Of Quantities'!$A$1:$F$63</definedName>
    <definedName name="_xlnm.Print_Titles" localSheetId="10">'HVAC LOW SIDE WORKS'!$20:$20</definedName>
    <definedName name="_xlnm.Print_Titles" localSheetId="11">'Schedule Of Quantities'!$10:$10</definedName>
    <definedName name="Standards">Table1[#All]</definedName>
    <definedName name="TGA">Classification!$I$1:$I$7</definedName>
    <definedName name="WHO">Classification!$H$1:$H$8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8" l="1"/>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2" i="18"/>
  <c r="AM10" i="8"/>
  <c r="AM10" i="14"/>
  <c r="AM10" i="1" a="1"/>
  <c r="AM10" i="1"/>
  <c r="A48" i="17"/>
  <c r="A47" i="17"/>
  <c r="A46" i="17"/>
  <c r="A45" i="17"/>
  <c r="A44" i="17"/>
  <c r="A43" i="17"/>
  <c r="A42" i="17"/>
  <c r="A41" i="17"/>
  <c r="A40" i="17"/>
  <c r="A39" i="17"/>
  <c r="A38" i="17"/>
  <c r="R10" i="8"/>
  <c r="AF10" i="8" s="1"/>
  <c r="Y10" i="8"/>
  <c r="X10" i="8"/>
  <c r="Q10" i="8"/>
  <c r="P10" i="8"/>
  <c r="P11" i="13"/>
  <c r="P12" i="13" s="1"/>
  <c r="P13" i="13" s="1"/>
  <c r="P14" i="13" s="1"/>
  <c r="P15" i="13" s="1"/>
  <c r="P16" i="13" s="1"/>
  <c r="P17" i="13" s="1"/>
  <c r="P18" i="13" s="1"/>
  <c r="P19" i="13" s="1"/>
  <c r="P20" i="13" s="1"/>
  <c r="P21" i="13" s="1"/>
  <c r="P22" i="13" s="1"/>
  <c r="P23" i="13" s="1"/>
  <c r="P24" i="13" s="1"/>
  <c r="P25" i="13" s="1"/>
  <c r="V11" i="13"/>
  <c r="V12" i="13" s="1"/>
  <c r="V13" i="13" s="1"/>
  <c r="V14" i="13" s="1"/>
  <c r="V15" i="13" s="1"/>
  <c r="V16" i="13" s="1"/>
  <c r="V17" i="13" s="1"/>
  <c r="V18" i="13" s="1"/>
  <c r="V19" i="13" s="1"/>
  <c r="V20" i="13" s="1"/>
  <c r="V21" i="13" s="1"/>
  <c r="V22" i="13" s="1"/>
  <c r="V23" i="13" s="1"/>
  <c r="V24" i="13" s="1"/>
  <c r="V25" i="13" s="1"/>
  <c r="U11" i="13"/>
  <c r="U12" i="13" s="1"/>
  <c r="U13" i="13" s="1"/>
  <c r="U14" i="13" s="1"/>
  <c r="U15" i="13" s="1"/>
  <c r="U16" i="13" s="1"/>
  <c r="Y10" i="13"/>
  <c r="S10" i="13" s="1"/>
  <c r="G51" i="15"/>
  <c r="I49" i="15"/>
  <c r="AH52" i="7"/>
  <c r="AG52" i="7"/>
  <c r="AC52" i="7"/>
  <c r="AA52" i="7"/>
  <c r="Z52" i="7"/>
  <c r="Y52" i="7"/>
  <c r="R52" i="7"/>
  <c r="N11" i="13"/>
  <c r="N12" i="13" s="1"/>
  <c r="N13" i="13" s="1"/>
  <c r="N14" i="13" s="1"/>
  <c r="N15" i="13" s="1"/>
  <c r="N16" i="13" s="1"/>
  <c r="N17" i="13" s="1"/>
  <c r="N18" i="13" s="1"/>
  <c r="N19" i="13" s="1"/>
  <c r="N20" i="13" s="1"/>
  <c r="N21" i="13" s="1"/>
  <c r="N22" i="13" s="1"/>
  <c r="N23" i="13" s="1"/>
  <c r="N24" i="13" s="1"/>
  <c r="N25" i="13" s="1"/>
  <c r="A18" i="17"/>
  <c r="A17" i="17"/>
  <c r="A16" i="17"/>
  <c r="A15" i="17"/>
  <c r="A14" i="17"/>
  <c r="A13" i="17"/>
  <c r="A12" i="17"/>
  <c r="A11" i="17"/>
  <c r="A10" i="17"/>
  <c r="A9" i="17"/>
  <c r="A8" i="17"/>
  <c r="A7" i="17"/>
  <c r="A6" i="17"/>
  <c r="A5" i="17"/>
  <c r="A4" i="17"/>
  <c r="A3" i="17"/>
  <c r="A2" i="17"/>
  <c r="S11" i="13" l="1"/>
  <c r="S12" i="13" s="1"/>
  <c r="S13" i="13" s="1"/>
  <c r="S14" i="13" s="1"/>
  <c r="S15" i="13" s="1"/>
  <c r="S16" i="13" s="1"/>
  <c r="S17" i="13" s="1"/>
  <c r="S18" i="13" s="1"/>
  <c r="S19" i="13" s="1"/>
  <c r="S20" i="13" s="1"/>
  <c r="S21" i="13" s="1"/>
  <c r="S22" i="13" s="1"/>
  <c r="S23" i="13" s="1"/>
  <c r="S24" i="13" s="1"/>
  <c r="S25" i="13" s="1"/>
  <c r="S10" i="8"/>
  <c r="Z10" i="8" s="1"/>
  <c r="U17" i="13"/>
  <c r="U18" i="13" s="1"/>
  <c r="U19" i="13" s="1"/>
  <c r="U20" i="13" s="1"/>
  <c r="U21" i="13" s="1"/>
  <c r="U22" i="13" s="1"/>
  <c r="U23" i="13" s="1"/>
  <c r="U24" i="13" s="1"/>
  <c r="U25" i="13" s="1"/>
  <c r="R11" i="13"/>
  <c r="Y11" i="13" s="1"/>
  <c r="N536" i="15"/>
  <c r="O536" i="15" s="1"/>
  <c r="M536" i="15"/>
  <c r="N532" i="15"/>
  <c r="L532" i="15"/>
  <c r="N519" i="15"/>
  <c r="L519" i="15"/>
  <c r="N501" i="15"/>
  <c r="L501" i="15"/>
  <c r="N499" i="15"/>
  <c r="L499" i="15"/>
  <c r="N497" i="15"/>
  <c r="L497" i="15"/>
  <c r="N495" i="15"/>
  <c r="L495" i="15"/>
  <c r="N490" i="15"/>
  <c r="L490" i="15"/>
  <c r="N488" i="15"/>
  <c r="L488" i="15"/>
  <c r="N486" i="15"/>
  <c r="L486" i="15"/>
  <c r="N482" i="15"/>
  <c r="L482" i="15"/>
  <c r="N478" i="15"/>
  <c r="L478" i="15"/>
  <c r="N476" i="15"/>
  <c r="L476" i="15"/>
  <c r="N473" i="15"/>
  <c r="L473" i="15"/>
  <c r="N470" i="15"/>
  <c r="L470" i="15"/>
  <c r="N467" i="15"/>
  <c r="L467" i="15"/>
  <c r="N464" i="15"/>
  <c r="L464" i="15"/>
  <c r="N461" i="15"/>
  <c r="L461" i="15"/>
  <c r="N458" i="15"/>
  <c r="L458" i="15"/>
  <c r="N454" i="15"/>
  <c r="L454" i="15"/>
  <c r="N451" i="15"/>
  <c r="L451" i="15"/>
  <c r="N448" i="15"/>
  <c r="L448" i="15"/>
  <c r="N444" i="15"/>
  <c r="L444" i="15"/>
  <c r="N441" i="15"/>
  <c r="L441" i="15"/>
  <c r="N438" i="15"/>
  <c r="L438" i="15"/>
  <c r="N436" i="15"/>
  <c r="L436" i="15"/>
  <c r="N431" i="15"/>
  <c r="L431" i="15"/>
  <c r="N427" i="15"/>
  <c r="L427" i="15"/>
  <c r="N423" i="15"/>
  <c r="L423" i="15"/>
  <c r="AN419" i="15"/>
  <c r="AM419" i="15"/>
  <c r="AF419" i="15"/>
  <c r="AA419" i="15"/>
  <c r="Z419" i="15"/>
  <c r="Y419" i="15"/>
  <c r="X419" i="15"/>
  <c r="W419" i="15"/>
  <c r="V419" i="15"/>
  <c r="U419" i="15"/>
  <c r="T419" i="15"/>
  <c r="I419" i="15"/>
  <c r="H419" i="15"/>
  <c r="F419" i="15" s="1"/>
  <c r="E419" i="15"/>
  <c r="AC419" i="15" s="1"/>
  <c r="D419" i="15"/>
  <c r="AN416" i="15"/>
  <c r="AM416" i="15"/>
  <c r="AF416" i="15"/>
  <c r="AA416" i="15"/>
  <c r="Z416" i="15"/>
  <c r="Y416" i="15"/>
  <c r="X416" i="15"/>
  <c r="W416" i="15"/>
  <c r="V416" i="15"/>
  <c r="U416" i="15"/>
  <c r="T416" i="15"/>
  <c r="I416" i="15"/>
  <c r="H416" i="15"/>
  <c r="F416" i="15"/>
  <c r="E416" i="15"/>
  <c r="AC416" i="15" s="1"/>
  <c r="D416" i="15"/>
  <c r="AB416" i="15" s="1"/>
  <c r="AL416" i="15" s="1"/>
  <c r="AN414" i="15"/>
  <c r="AM414" i="15"/>
  <c r="AF414" i="15"/>
  <c r="AA414" i="15"/>
  <c r="Z414" i="15"/>
  <c r="Y414" i="15"/>
  <c r="X414" i="15"/>
  <c r="V414" i="15" s="1"/>
  <c r="W414" i="15"/>
  <c r="U414" i="15"/>
  <c r="T414" i="15"/>
  <c r="I414" i="15"/>
  <c r="H414" i="15"/>
  <c r="E414" i="15"/>
  <c r="AC414" i="15" s="1"/>
  <c r="D414" i="15"/>
  <c r="AB414" i="15" s="1"/>
  <c r="AN411" i="15"/>
  <c r="AM411" i="15"/>
  <c r="AF411" i="15"/>
  <c r="AA411" i="15"/>
  <c r="Z411" i="15"/>
  <c r="Y411" i="15"/>
  <c r="D412" i="15" s="1"/>
  <c r="H411" i="15" s="1"/>
  <c r="X411" i="15"/>
  <c r="W411" i="15"/>
  <c r="V411" i="15"/>
  <c r="U411" i="15"/>
  <c r="T411" i="15"/>
  <c r="I411" i="15"/>
  <c r="E411" i="15"/>
  <c r="AC411" i="15" s="1"/>
  <c r="D411" i="15"/>
  <c r="AB411" i="15" s="1"/>
  <c r="AL411" i="15" s="1"/>
  <c r="AN409" i="15"/>
  <c r="AM409" i="15"/>
  <c r="AF409" i="15"/>
  <c r="AA409" i="15"/>
  <c r="Z409" i="15"/>
  <c r="Y409" i="15"/>
  <c r="D410" i="15" s="1"/>
  <c r="H409" i="15" s="1"/>
  <c r="W409" i="15"/>
  <c r="U409" i="15"/>
  <c r="T409" i="15"/>
  <c r="I409" i="15"/>
  <c r="E409" i="15"/>
  <c r="AC409" i="15" s="1"/>
  <c r="D409" i="15"/>
  <c r="AN405" i="15"/>
  <c r="AM405" i="15"/>
  <c r="AF405" i="15"/>
  <c r="AA405" i="15"/>
  <c r="Z405" i="15"/>
  <c r="D406" i="15" s="1"/>
  <c r="Y405" i="15"/>
  <c r="X405" i="15"/>
  <c r="W405" i="15"/>
  <c r="V405" i="15"/>
  <c r="U405" i="15"/>
  <c r="T405" i="15"/>
  <c r="I405" i="15"/>
  <c r="H405" i="15"/>
  <c r="F405" i="15" s="1"/>
  <c r="E405" i="15"/>
  <c r="AC405" i="15" s="1"/>
  <c r="D405" i="15"/>
  <c r="AN403" i="15"/>
  <c r="AM403" i="15"/>
  <c r="AF403" i="15"/>
  <c r="AA403" i="15"/>
  <c r="Z403" i="15"/>
  <c r="D404" i="15" s="1"/>
  <c r="Y403" i="15"/>
  <c r="X403" i="15"/>
  <c r="W403" i="15"/>
  <c r="V403" i="15"/>
  <c r="U403" i="15"/>
  <c r="T403" i="15"/>
  <c r="I403" i="15"/>
  <c r="H403" i="15"/>
  <c r="F403" i="15" s="1"/>
  <c r="E403" i="15"/>
  <c r="AC403" i="15" s="1"/>
  <c r="D403" i="15"/>
  <c r="S403" i="15" s="1"/>
  <c r="AN401" i="15"/>
  <c r="AM401" i="15"/>
  <c r="AF401" i="15"/>
  <c r="AA401" i="15"/>
  <c r="Z401" i="15"/>
  <c r="Y401" i="15"/>
  <c r="W401" i="15"/>
  <c r="U401" i="15"/>
  <c r="T401" i="15"/>
  <c r="I401" i="15"/>
  <c r="E401" i="15"/>
  <c r="AC401" i="15" s="1"/>
  <c r="D401" i="15"/>
  <c r="AB401" i="15" s="1"/>
  <c r="AL401" i="15" s="1"/>
  <c r="AN398" i="15"/>
  <c r="AM398" i="15"/>
  <c r="AF398" i="15"/>
  <c r="AA398" i="15"/>
  <c r="Z398" i="15"/>
  <c r="Y398" i="15"/>
  <c r="W398" i="15"/>
  <c r="U398" i="15"/>
  <c r="T398" i="15"/>
  <c r="I398" i="15"/>
  <c r="E398" i="15"/>
  <c r="AC398" i="15" s="1"/>
  <c r="D398" i="15"/>
  <c r="AB398" i="15" s="1"/>
  <c r="AN396" i="15"/>
  <c r="AM396" i="15"/>
  <c r="AF396" i="15"/>
  <c r="AA396" i="15"/>
  <c r="Z396" i="15"/>
  <c r="D397" i="15" s="1"/>
  <c r="H396" i="15" s="1"/>
  <c r="Y396" i="15"/>
  <c r="X396" i="15"/>
  <c r="V396" i="15" s="1"/>
  <c r="W396" i="15"/>
  <c r="U396" i="15"/>
  <c r="T396" i="15"/>
  <c r="I396" i="15"/>
  <c r="E396" i="15"/>
  <c r="AC396" i="15" s="1"/>
  <c r="D396" i="15"/>
  <c r="AB396" i="15" s="1"/>
  <c r="G376" i="15"/>
  <c r="AN375" i="15"/>
  <c r="AM375" i="15"/>
  <c r="AF375" i="15"/>
  <c r="AA375" i="15"/>
  <c r="Z375" i="15"/>
  <c r="Y375" i="15"/>
  <c r="X375" i="15" s="1"/>
  <c r="V375" i="15" s="1"/>
  <c r="W375" i="15"/>
  <c r="U375" i="15"/>
  <c r="T375" i="15"/>
  <c r="I375" i="15"/>
  <c r="E375" i="15"/>
  <c r="AC375" i="15" s="1"/>
  <c r="D375" i="15"/>
  <c r="G374" i="15"/>
  <c r="AN373" i="15"/>
  <c r="AM373" i="15"/>
  <c r="AF373" i="15"/>
  <c r="AA373" i="15"/>
  <c r="Z373" i="15"/>
  <c r="Y373" i="15"/>
  <c r="D374" i="15" s="1"/>
  <c r="H373" i="15" s="1"/>
  <c r="X373" i="15"/>
  <c r="V373" i="15" s="1"/>
  <c r="W373" i="15"/>
  <c r="U373" i="15"/>
  <c r="T373" i="15"/>
  <c r="I373" i="15"/>
  <c r="F373" i="15" s="1"/>
  <c r="E373" i="15"/>
  <c r="AC373" i="15" s="1"/>
  <c r="D373" i="15"/>
  <c r="AB373" i="15" s="1"/>
  <c r="AG373" i="15" s="1"/>
  <c r="G371" i="15"/>
  <c r="AN370" i="15"/>
  <c r="AM370" i="15"/>
  <c r="AF370" i="15"/>
  <c r="AA370" i="15"/>
  <c r="Z370" i="15"/>
  <c r="Y370" i="15"/>
  <c r="W370" i="15"/>
  <c r="U370" i="15"/>
  <c r="T370" i="15"/>
  <c r="I370" i="15"/>
  <c r="E370" i="15"/>
  <c r="AC370" i="15" s="1"/>
  <c r="D370" i="15"/>
  <c r="AB370" i="15" s="1"/>
  <c r="AG370" i="15" s="1"/>
  <c r="G369" i="15"/>
  <c r="AN368" i="15"/>
  <c r="AM368" i="15"/>
  <c r="AF368" i="15"/>
  <c r="AA368" i="15"/>
  <c r="Z368" i="15"/>
  <c r="D369" i="15" s="1"/>
  <c r="H368" i="15" s="1"/>
  <c r="Y368" i="15"/>
  <c r="X368" i="15"/>
  <c r="W368" i="15"/>
  <c r="V368" i="15"/>
  <c r="U368" i="15"/>
  <c r="T368" i="15"/>
  <c r="I368" i="15"/>
  <c r="E368" i="15"/>
  <c r="AC368" i="15" s="1"/>
  <c r="D368" i="15"/>
  <c r="AB368" i="15" s="1"/>
  <c r="G366" i="15"/>
  <c r="AN365" i="15"/>
  <c r="AM365" i="15"/>
  <c r="AF365" i="15"/>
  <c r="AA365" i="15"/>
  <c r="Z365" i="15"/>
  <c r="D366" i="15" s="1"/>
  <c r="Y365" i="15"/>
  <c r="X365" i="15"/>
  <c r="W365" i="15"/>
  <c r="V365" i="15"/>
  <c r="U365" i="15"/>
  <c r="T365" i="15"/>
  <c r="I365" i="15"/>
  <c r="H365" i="15"/>
  <c r="F365" i="15"/>
  <c r="E365" i="15"/>
  <c r="AC365" i="15" s="1"/>
  <c r="D365" i="15"/>
  <c r="AB365" i="15" s="1"/>
  <c r="G364" i="15"/>
  <c r="AN363" i="15"/>
  <c r="AM363" i="15"/>
  <c r="AF363" i="15"/>
  <c r="AA363" i="15"/>
  <c r="Z363" i="15"/>
  <c r="D364" i="15" s="1"/>
  <c r="H363" i="15" s="1"/>
  <c r="Y363" i="15"/>
  <c r="X363" i="15"/>
  <c r="V363" i="15" s="1"/>
  <c r="W363" i="15"/>
  <c r="U363" i="15"/>
  <c r="T363" i="15"/>
  <c r="I363" i="15"/>
  <c r="F363" i="15"/>
  <c r="E363" i="15"/>
  <c r="AC363" i="15" s="1"/>
  <c r="D363" i="15"/>
  <c r="AB363" i="15" s="1"/>
  <c r="Q348" i="15"/>
  <c r="G347" i="15"/>
  <c r="AN346" i="15"/>
  <c r="AM346" i="15"/>
  <c r="AF346" i="15"/>
  <c r="AA346" i="15"/>
  <c r="Z346" i="15"/>
  <c r="Y346" i="15"/>
  <c r="W346" i="15"/>
  <c r="U346" i="15"/>
  <c r="T346" i="15"/>
  <c r="I346" i="15"/>
  <c r="E346" i="15"/>
  <c r="AC346" i="15" s="1"/>
  <c r="D346" i="15"/>
  <c r="AB346" i="15" s="1"/>
  <c r="G319" i="15"/>
  <c r="E317" i="15"/>
  <c r="G304" i="15"/>
  <c r="E302" i="15"/>
  <c r="G289" i="15"/>
  <c r="E287" i="15"/>
  <c r="G274" i="15"/>
  <c r="E272" i="15"/>
  <c r="G259" i="15"/>
  <c r="E257" i="15"/>
  <c r="G244" i="15"/>
  <c r="E242" i="15"/>
  <c r="G229" i="15"/>
  <c r="E227" i="15"/>
  <c r="G214" i="15"/>
  <c r="E212" i="15"/>
  <c r="G199" i="15"/>
  <c r="E197" i="15"/>
  <c r="G184" i="15"/>
  <c r="E182" i="15"/>
  <c r="G169" i="15"/>
  <c r="E167" i="15"/>
  <c r="G154" i="15"/>
  <c r="E152" i="15"/>
  <c r="G139" i="15"/>
  <c r="E137" i="15"/>
  <c r="G124" i="15"/>
  <c r="E122" i="15"/>
  <c r="G109" i="15"/>
  <c r="E107" i="15"/>
  <c r="G94" i="15"/>
  <c r="E92" i="15"/>
  <c r="G79" i="15"/>
  <c r="E77" i="15"/>
  <c r="G64" i="15"/>
  <c r="E62" i="15"/>
  <c r="AH52" i="15"/>
  <c r="AG52" i="15"/>
  <c r="AC52" i="15"/>
  <c r="AA52" i="15"/>
  <c r="Z52" i="15"/>
  <c r="Y52" i="15"/>
  <c r="R52" i="15"/>
  <c r="T11" i="14"/>
  <c r="U11" i="14"/>
  <c r="T12" i="14"/>
  <c r="U12" i="14"/>
  <c r="T13" i="14"/>
  <c r="U13" i="14"/>
  <c r="T14" i="14"/>
  <c r="U14" i="14"/>
  <c r="T15" i="14"/>
  <c r="U15" i="14"/>
  <c r="T16" i="14"/>
  <c r="U16" i="14"/>
  <c r="T17" i="14"/>
  <c r="U17" i="14"/>
  <c r="T18" i="14"/>
  <c r="U18" i="14"/>
  <c r="T19" i="14"/>
  <c r="U19" i="14"/>
  <c r="T20" i="14"/>
  <c r="U20" i="14"/>
  <c r="T21" i="14"/>
  <c r="U21" i="14"/>
  <c r="T22" i="14"/>
  <c r="U22" i="14"/>
  <c r="T23" i="14"/>
  <c r="U23" i="14"/>
  <c r="T24" i="14"/>
  <c r="U24" i="14"/>
  <c r="T25" i="14"/>
  <c r="U25" i="14"/>
  <c r="AU10" i="14"/>
  <c r="U10" i="14"/>
  <c r="T10" i="14"/>
  <c r="AI405" i="14"/>
  <c r="AD405" i="14"/>
  <c r="X405" i="14"/>
  <c r="Y405" i="14" s="1"/>
  <c r="Z405" i="14" s="1"/>
  <c r="W405" i="14"/>
  <c r="V405" i="14"/>
  <c r="AI404" i="14"/>
  <c r="AD404" i="14"/>
  <c r="X404" i="14"/>
  <c r="Y404" i="14" s="1"/>
  <c r="Z404" i="14" s="1"/>
  <c r="W404" i="14"/>
  <c r="V404" i="14"/>
  <c r="AI403" i="14"/>
  <c r="AD403" i="14"/>
  <c r="X403" i="14"/>
  <c r="Y403" i="14" s="1"/>
  <c r="Z403" i="14" s="1"/>
  <c r="W403" i="14"/>
  <c r="V403" i="14"/>
  <c r="AI402" i="14"/>
  <c r="AD402" i="14"/>
  <c r="X402" i="14"/>
  <c r="Y402" i="14" s="1"/>
  <c r="Z402" i="14" s="1"/>
  <c r="W402" i="14"/>
  <c r="V402" i="14"/>
  <c r="AI401" i="14"/>
  <c r="AD401" i="14"/>
  <c r="X401" i="14"/>
  <c r="Y401" i="14" s="1"/>
  <c r="Z401" i="14" s="1"/>
  <c r="W401" i="14"/>
  <c r="V401" i="14"/>
  <c r="AI400" i="14"/>
  <c r="AD400" i="14"/>
  <c r="X400" i="14"/>
  <c r="Y400" i="14" s="1"/>
  <c r="Z400" i="14" s="1"/>
  <c r="W400" i="14"/>
  <c r="V400" i="14"/>
  <c r="AI399" i="14"/>
  <c r="AD399" i="14"/>
  <c r="X399" i="14"/>
  <c r="Y399" i="14" s="1"/>
  <c r="Z399" i="14" s="1"/>
  <c r="W399" i="14"/>
  <c r="V399" i="14"/>
  <c r="AI398" i="14"/>
  <c r="AD398" i="14"/>
  <c r="X398" i="14"/>
  <c r="Y398" i="14" s="1"/>
  <c r="Z398" i="14" s="1"/>
  <c r="W398" i="14"/>
  <c r="V398" i="14"/>
  <c r="AI397" i="14"/>
  <c r="AD397" i="14"/>
  <c r="X397" i="14"/>
  <c r="Y397" i="14" s="1"/>
  <c r="Z397" i="14" s="1"/>
  <c r="W397" i="14"/>
  <c r="V397" i="14"/>
  <c r="AI396" i="14"/>
  <c r="AD396" i="14"/>
  <c r="X396" i="14"/>
  <c r="Y396" i="14" s="1"/>
  <c r="Z396" i="14" s="1"/>
  <c r="W396" i="14"/>
  <c r="V396" i="14"/>
  <c r="AI395" i="14"/>
  <c r="AD395" i="14"/>
  <c r="X395" i="14"/>
  <c r="Y395" i="14" s="1"/>
  <c r="Z395" i="14" s="1"/>
  <c r="W395" i="14"/>
  <c r="V395" i="14"/>
  <c r="AI394" i="14"/>
  <c r="AD394" i="14"/>
  <c r="X394" i="14"/>
  <c r="Y394" i="14" s="1"/>
  <c r="Z394" i="14" s="1"/>
  <c r="W394" i="14"/>
  <c r="V394" i="14"/>
  <c r="AI393" i="14"/>
  <c r="AD393" i="14"/>
  <c r="X393" i="14"/>
  <c r="Y393" i="14" s="1"/>
  <c r="Z393" i="14" s="1"/>
  <c r="W393" i="14"/>
  <c r="V393" i="14"/>
  <c r="AI392" i="14"/>
  <c r="AD392" i="14"/>
  <c r="X392" i="14"/>
  <c r="Y392" i="14" s="1"/>
  <c r="Z392" i="14" s="1"/>
  <c r="W392" i="14"/>
  <c r="V392" i="14"/>
  <c r="AI391" i="14"/>
  <c r="AD391" i="14"/>
  <c r="X391" i="14"/>
  <c r="Y391" i="14" s="1"/>
  <c r="Z391" i="14" s="1"/>
  <c r="W391" i="14"/>
  <c r="V391" i="14"/>
  <c r="AR390" i="14"/>
  <c r="AI390" i="14"/>
  <c r="AI406" i="14" s="1"/>
  <c r="AD390" i="14"/>
  <c r="AD406" i="14" s="1"/>
  <c r="X390" i="14"/>
  <c r="W390" i="14"/>
  <c r="V390" i="14"/>
  <c r="AI385" i="14"/>
  <c r="AD385" i="14"/>
  <c r="X385" i="14"/>
  <c r="Y385" i="14" s="1"/>
  <c r="Z385" i="14" s="1"/>
  <c r="W385" i="14"/>
  <c r="V385" i="14"/>
  <c r="AI384" i="14"/>
  <c r="AD384" i="14"/>
  <c r="X384" i="14"/>
  <c r="Y384" i="14" s="1"/>
  <c r="Z384" i="14" s="1"/>
  <c r="W384" i="14"/>
  <c r="V384" i="14"/>
  <c r="AI383" i="14"/>
  <c r="AD383" i="14"/>
  <c r="X383" i="14"/>
  <c r="Y383" i="14" s="1"/>
  <c r="Z383" i="14" s="1"/>
  <c r="W383" i="14"/>
  <c r="V383" i="14"/>
  <c r="AI382" i="14"/>
  <c r="AD382" i="14"/>
  <c r="X382" i="14"/>
  <c r="Y382" i="14" s="1"/>
  <c r="Z382" i="14" s="1"/>
  <c r="W382" i="14"/>
  <c r="V382" i="14"/>
  <c r="AI381" i="14"/>
  <c r="AD381" i="14"/>
  <c r="X381" i="14"/>
  <c r="Y381" i="14" s="1"/>
  <c r="Z381" i="14" s="1"/>
  <c r="W381" i="14"/>
  <c r="V381" i="14"/>
  <c r="AI380" i="14"/>
  <c r="AD380" i="14"/>
  <c r="X380" i="14"/>
  <c r="Y380" i="14" s="1"/>
  <c r="Z380" i="14" s="1"/>
  <c r="W380" i="14"/>
  <c r="V380" i="14"/>
  <c r="AI379" i="14"/>
  <c r="AD379" i="14"/>
  <c r="X379" i="14"/>
  <c r="Y379" i="14" s="1"/>
  <c r="Z379" i="14" s="1"/>
  <c r="W379" i="14"/>
  <c r="V379" i="14"/>
  <c r="AI378" i="14"/>
  <c r="AD378" i="14"/>
  <c r="X378" i="14"/>
  <c r="Y378" i="14" s="1"/>
  <c r="Z378" i="14" s="1"/>
  <c r="W378" i="14"/>
  <c r="V378" i="14"/>
  <c r="AI377" i="14"/>
  <c r="AD377" i="14"/>
  <c r="X377" i="14"/>
  <c r="Y377" i="14" s="1"/>
  <c r="Z377" i="14" s="1"/>
  <c r="W377" i="14"/>
  <c r="V377" i="14"/>
  <c r="AI376" i="14"/>
  <c r="AD376" i="14"/>
  <c r="X376" i="14"/>
  <c r="Y376" i="14" s="1"/>
  <c r="Z376" i="14" s="1"/>
  <c r="W376" i="14"/>
  <c r="V376" i="14"/>
  <c r="AI375" i="14"/>
  <c r="AD375" i="14"/>
  <c r="X375" i="14"/>
  <c r="Y375" i="14" s="1"/>
  <c r="Z375" i="14" s="1"/>
  <c r="W375" i="14"/>
  <c r="V375" i="14"/>
  <c r="AI374" i="14"/>
  <c r="AD374" i="14"/>
  <c r="X374" i="14"/>
  <c r="Y374" i="14" s="1"/>
  <c r="Z374" i="14" s="1"/>
  <c r="W374" i="14"/>
  <c r="V374" i="14"/>
  <c r="AI373" i="14"/>
  <c r="AD373" i="14"/>
  <c r="X373" i="14"/>
  <c r="Y373" i="14" s="1"/>
  <c r="Z373" i="14" s="1"/>
  <c r="W373" i="14"/>
  <c r="V373" i="14"/>
  <c r="AI372" i="14"/>
  <c r="AD372" i="14"/>
  <c r="X372" i="14"/>
  <c r="Y372" i="14" s="1"/>
  <c r="Z372" i="14" s="1"/>
  <c r="W372" i="14"/>
  <c r="V372" i="14"/>
  <c r="AI371" i="14"/>
  <c r="AD371" i="14"/>
  <c r="X371" i="14"/>
  <c r="Y371" i="14" s="1"/>
  <c r="Z371" i="14" s="1"/>
  <c r="W371" i="14"/>
  <c r="V371" i="14"/>
  <c r="AR370" i="14"/>
  <c r="AI370" i="14"/>
  <c r="AI386" i="14" s="1"/>
  <c r="AD370" i="14"/>
  <c r="AD386" i="14" s="1"/>
  <c r="X370" i="14"/>
  <c r="X386" i="14" s="1"/>
  <c r="W370" i="14"/>
  <c r="V370" i="14"/>
  <c r="AI365" i="14"/>
  <c r="AD365" i="14"/>
  <c r="X365" i="14"/>
  <c r="Y365" i="14" s="1"/>
  <c r="Z365" i="14" s="1"/>
  <c r="W365" i="14"/>
  <c r="V365" i="14"/>
  <c r="AI364" i="14"/>
  <c r="AD364" i="14"/>
  <c r="X364" i="14"/>
  <c r="Y364" i="14" s="1"/>
  <c r="Z364" i="14" s="1"/>
  <c r="W364" i="14"/>
  <c r="V364" i="14"/>
  <c r="AI363" i="14"/>
  <c r="AD363" i="14"/>
  <c r="X363" i="14"/>
  <c r="Y363" i="14" s="1"/>
  <c r="Z363" i="14" s="1"/>
  <c r="W363" i="14"/>
  <c r="V363" i="14"/>
  <c r="AI362" i="14"/>
  <c r="AD362" i="14"/>
  <c r="X362" i="14"/>
  <c r="Y362" i="14" s="1"/>
  <c r="Z362" i="14" s="1"/>
  <c r="W362" i="14"/>
  <c r="V362" i="14"/>
  <c r="AI361" i="14"/>
  <c r="AD361" i="14"/>
  <c r="X361" i="14"/>
  <c r="Y361" i="14" s="1"/>
  <c r="Z361" i="14" s="1"/>
  <c r="W361" i="14"/>
  <c r="V361" i="14"/>
  <c r="AI360" i="14"/>
  <c r="AD360" i="14"/>
  <c r="X360" i="14"/>
  <c r="Y360" i="14" s="1"/>
  <c r="Z360" i="14" s="1"/>
  <c r="W360" i="14"/>
  <c r="V360" i="14"/>
  <c r="AI359" i="14"/>
  <c r="AD359" i="14"/>
  <c r="X359" i="14"/>
  <c r="Y359" i="14" s="1"/>
  <c r="Z359" i="14" s="1"/>
  <c r="W359" i="14"/>
  <c r="V359" i="14"/>
  <c r="AI358" i="14"/>
  <c r="AD358" i="14"/>
  <c r="X358" i="14"/>
  <c r="Y358" i="14" s="1"/>
  <c r="Z358" i="14" s="1"/>
  <c r="W358" i="14"/>
  <c r="V358" i="14"/>
  <c r="AI357" i="14"/>
  <c r="AD357" i="14"/>
  <c r="X357" i="14"/>
  <c r="Y357" i="14" s="1"/>
  <c r="Z357" i="14" s="1"/>
  <c r="W357" i="14"/>
  <c r="V357" i="14"/>
  <c r="AI356" i="14"/>
  <c r="AD356" i="14"/>
  <c r="X356" i="14"/>
  <c r="Y356" i="14" s="1"/>
  <c r="Z356" i="14" s="1"/>
  <c r="W356" i="14"/>
  <c r="V356" i="14"/>
  <c r="AI355" i="14"/>
  <c r="AD355" i="14"/>
  <c r="X355" i="14"/>
  <c r="Y355" i="14" s="1"/>
  <c r="Z355" i="14" s="1"/>
  <c r="W355" i="14"/>
  <c r="V355" i="14"/>
  <c r="AI354" i="14"/>
  <c r="AD354" i="14"/>
  <c r="X354" i="14"/>
  <c r="Y354" i="14" s="1"/>
  <c r="Z354" i="14" s="1"/>
  <c r="W354" i="14"/>
  <c r="V354" i="14"/>
  <c r="AI353" i="14"/>
  <c r="AD353" i="14"/>
  <c r="X353" i="14"/>
  <c r="Y353" i="14" s="1"/>
  <c r="Z353" i="14" s="1"/>
  <c r="W353" i="14"/>
  <c r="V353" i="14"/>
  <c r="AI352" i="14"/>
  <c r="AD352" i="14"/>
  <c r="X352" i="14"/>
  <c r="Y352" i="14" s="1"/>
  <c r="Z352" i="14" s="1"/>
  <c r="W352" i="14"/>
  <c r="V352" i="14"/>
  <c r="AI351" i="14"/>
  <c r="AD351" i="14"/>
  <c r="X351" i="14"/>
  <c r="Y351" i="14" s="1"/>
  <c r="Z351" i="14" s="1"/>
  <c r="W351" i="14"/>
  <c r="V351" i="14"/>
  <c r="AR350" i="14"/>
  <c r="AI350" i="14"/>
  <c r="AI366" i="14" s="1"/>
  <c r="AD350" i="14"/>
  <c r="AD366" i="14" s="1"/>
  <c r="X350" i="14"/>
  <c r="W350" i="14"/>
  <c r="V350" i="14"/>
  <c r="AI345" i="14"/>
  <c r="AD345" i="14"/>
  <c r="X345" i="14"/>
  <c r="Y345" i="14" s="1"/>
  <c r="Z345" i="14" s="1"/>
  <c r="AB345" i="14" s="1"/>
  <c r="W345" i="14"/>
  <c r="V345" i="14"/>
  <c r="AI344" i="14"/>
  <c r="AD344" i="14"/>
  <c r="X344" i="14"/>
  <c r="Y344" i="14" s="1"/>
  <c r="Z344" i="14" s="1"/>
  <c r="W344" i="14"/>
  <c r="V344" i="14"/>
  <c r="AI343" i="14"/>
  <c r="AD343" i="14"/>
  <c r="X343" i="14"/>
  <c r="Y343" i="14" s="1"/>
  <c r="Z343" i="14" s="1"/>
  <c r="W343" i="14"/>
  <c r="V343" i="14"/>
  <c r="AI342" i="14"/>
  <c r="AD342" i="14"/>
  <c r="X342" i="14"/>
  <c r="Y342" i="14" s="1"/>
  <c r="Z342" i="14" s="1"/>
  <c r="W342" i="14"/>
  <c r="V342" i="14"/>
  <c r="AI341" i="14"/>
  <c r="AD341" i="14"/>
  <c r="X341" i="14"/>
  <c r="Y341" i="14" s="1"/>
  <c r="Z341" i="14" s="1"/>
  <c r="W341" i="14"/>
  <c r="V341" i="14"/>
  <c r="AI340" i="14"/>
  <c r="AD340" i="14"/>
  <c r="X340" i="14"/>
  <c r="Y340" i="14" s="1"/>
  <c r="Z340" i="14" s="1"/>
  <c r="W340" i="14"/>
  <c r="V340" i="14"/>
  <c r="AI339" i="14"/>
  <c r="AD339" i="14"/>
  <c r="X339" i="14"/>
  <c r="Y339" i="14" s="1"/>
  <c r="Z339" i="14" s="1"/>
  <c r="W339" i="14"/>
  <c r="V339" i="14"/>
  <c r="AI338" i="14"/>
  <c r="AD338" i="14"/>
  <c r="X338" i="14"/>
  <c r="Y338" i="14" s="1"/>
  <c r="Z338" i="14" s="1"/>
  <c r="AB338" i="14" s="1"/>
  <c r="W338" i="14"/>
  <c r="V338" i="14"/>
  <c r="AI337" i="14"/>
  <c r="AD337" i="14"/>
  <c r="X337" i="14"/>
  <c r="Y337" i="14" s="1"/>
  <c r="Z337" i="14" s="1"/>
  <c r="W337" i="14"/>
  <c r="V337" i="14"/>
  <c r="AI336" i="14"/>
  <c r="AD336" i="14"/>
  <c r="X336" i="14"/>
  <c r="Y336" i="14" s="1"/>
  <c r="Z336" i="14" s="1"/>
  <c r="W336" i="14"/>
  <c r="V336" i="14"/>
  <c r="AI335" i="14"/>
  <c r="AD335" i="14"/>
  <c r="X335" i="14"/>
  <c r="Y335" i="14" s="1"/>
  <c r="Z335" i="14" s="1"/>
  <c r="W335" i="14"/>
  <c r="V335" i="14"/>
  <c r="AI334" i="14"/>
  <c r="AD334" i="14"/>
  <c r="X334" i="14"/>
  <c r="Y334" i="14" s="1"/>
  <c r="Z334" i="14" s="1"/>
  <c r="W334" i="14"/>
  <c r="V334" i="14"/>
  <c r="AI333" i="14"/>
  <c r="AD333" i="14"/>
  <c r="X333" i="14"/>
  <c r="Y333" i="14" s="1"/>
  <c r="Z333" i="14" s="1"/>
  <c r="W333" i="14"/>
  <c r="V333" i="14"/>
  <c r="AI332" i="14"/>
  <c r="AD332" i="14"/>
  <c r="X332" i="14"/>
  <c r="Y332" i="14" s="1"/>
  <c r="Z332" i="14" s="1"/>
  <c r="W332" i="14"/>
  <c r="V332" i="14"/>
  <c r="AI331" i="14"/>
  <c r="AD331" i="14"/>
  <c r="X331" i="14"/>
  <c r="Y331" i="14" s="1"/>
  <c r="Z331" i="14" s="1"/>
  <c r="W331" i="14"/>
  <c r="V331" i="14"/>
  <c r="AR330" i="14"/>
  <c r="AI330" i="14"/>
  <c r="AI346" i="14" s="1"/>
  <c r="AD330" i="14"/>
  <c r="AD346" i="14" s="1"/>
  <c r="X330" i="14"/>
  <c r="W330" i="14"/>
  <c r="V330" i="14"/>
  <c r="AJ325" i="14"/>
  <c r="AI325" i="14"/>
  <c r="AG325" i="14"/>
  <c r="AD325" i="14"/>
  <c r="AC325" i="14"/>
  <c r="X325" i="14"/>
  <c r="Y325" i="14" s="1"/>
  <c r="Z325" i="14" s="1"/>
  <c r="W325" i="14"/>
  <c r="V325" i="14"/>
  <c r="AJ324" i="14"/>
  <c r="AI324" i="14"/>
  <c r="AG324" i="14"/>
  <c r="AD324" i="14"/>
  <c r="AC324" i="14"/>
  <c r="X324" i="14"/>
  <c r="Y324" i="14" s="1"/>
  <c r="Z324" i="14" s="1"/>
  <c r="W324" i="14"/>
  <c r="V324" i="14"/>
  <c r="AJ323" i="14"/>
  <c r="AI323" i="14"/>
  <c r="AG323" i="14"/>
  <c r="AD323" i="14"/>
  <c r="AC323" i="14"/>
  <c r="X323" i="14"/>
  <c r="Y323" i="14" s="1"/>
  <c r="Z323" i="14" s="1"/>
  <c r="W323" i="14"/>
  <c r="V323" i="14"/>
  <c r="AJ322" i="14"/>
  <c r="AI322" i="14"/>
  <c r="AG322" i="14"/>
  <c r="AD322" i="14"/>
  <c r="AC322" i="14"/>
  <c r="X322" i="14"/>
  <c r="Y322" i="14" s="1"/>
  <c r="Z322" i="14" s="1"/>
  <c r="W322" i="14"/>
  <c r="V322" i="14"/>
  <c r="AJ321" i="14"/>
  <c r="AI321" i="14"/>
  <c r="AG321" i="14"/>
  <c r="AD321" i="14"/>
  <c r="AC321" i="14"/>
  <c r="X321" i="14"/>
  <c r="Y321" i="14" s="1"/>
  <c r="Z321" i="14" s="1"/>
  <c r="W321" i="14"/>
  <c r="V321" i="14"/>
  <c r="AJ320" i="14"/>
  <c r="AI320" i="14"/>
  <c r="AG320" i="14"/>
  <c r="AD320" i="14"/>
  <c r="AC320" i="14"/>
  <c r="X320" i="14"/>
  <c r="Y320" i="14" s="1"/>
  <c r="Z320" i="14" s="1"/>
  <c r="W320" i="14"/>
  <c r="V320" i="14"/>
  <c r="AJ319" i="14"/>
  <c r="AI319" i="14"/>
  <c r="AG319" i="14"/>
  <c r="AD319" i="14"/>
  <c r="AC319" i="14"/>
  <c r="X319" i="14"/>
  <c r="Y319" i="14" s="1"/>
  <c r="Z319" i="14" s="1"/>
  <c r="W319" i="14"/>
  <c r="V319" i="14"/>
  <c r="AJ318" i="14"/>
  <c r="AI318" i="14"/>
  <c r="AG318" i="14"/>
  <c r="AD318" i="14"/>
  <c r="AC318" i="14"/>
  <c r="X318" i="14"/>
  <c r="Y318" i="14" s="1"/>
  <c r="Z318" i="14" s="1"/>
  <c r="W318" i="14"/>
  <c r="V318" i="14"/>
  <c r="AJ317" i="14"/>
  <c r="AI317" i="14"/>
  <c r="AG317" i="14"/>
  <c r="AD317" i="14"/>
  <c r="AC317" i="14"/>
  <c r="X317" i="14"/>
  <c r="Y317" i="14" s="1"/>
  <c r="Z317" i="14" s="1"/>
  <c r="W317" i="14"/>
  <c r="V317" i="14"/>
  <c r="AJ316" i="14"/>
  <c r="AI316" i="14"/>
  <c r="AG316" i="14"/>
  <c r="AD316" i="14"/>
  <c r="AC316" i="14"/>
  <c r="X316" i="14"/>
  <c r="Y316" i="14" s="1"/>
  <c r="Z316" i="14" s="1"/>
  <c r="W316" i="14"/>
  <c r="V316" i="14"/>
  <c r="AJ315" i="14"/>
  <c r="AI315" i="14"/>
  <c r="AG315" i="14"/>
  <c r="AD315" i="14"/>
  <c r="AC315" i="14"/>
  <c r="X315" i="14"/>
  <c r="Y315" i="14" s="1"/>
  <c r="Z315" i="14" s="1"/>
  <c r="W315" i="14"/>
  <c r="V315" i="14"/>
  <c r="AJ314" i="14"/>
  <c r="AI314" i="14"/>
  <c r="AG314" i="14"/>
  <c r="AD314" i="14"/>
  <c r="AC314" i="14"/>
  <c r="X314" i="14"/>
  <c r="Y314" i="14" s="1"/>
  <c r="Z314" i="14" s="1"/>
  <c r="W314" i="14"/>
  <c r="V314" i="14"/>
  <c r="AJ313" i="14"/>
  <c r="AI313" i="14"/>
  <c r="AG313" i="14"/>
  <c r="AD313" i="14"/>
  <c r="AC313" i="14"/>
  <c r="X313" i="14"/>
  <c r="Y313" i="14" s="1"/>
  <c r="Z313" i="14" s="1"/>
  <c r="W313" i="14"/>
  <c r="V313" i="14"/>
  <c r="AJ312" i="14"/>
  <c r="AI312" i="14"/>
  <c r="AG312" i="14"/>
  <c r="AD312" i="14"/>
  <c r="AC312" i="14"/>
  <c r="X312" i="14"/>
  <c r="Y312" i="14" s="1"/>
  <c r="Z312" i="14" s="1"/>
  <c r="W312" i="14"/>
  <c r="V312" i="14"/>
  <c r="AJ311" i="14"/>
  <c r="AI311" i="14"/>
  <c r="AG311" i="14"/>
  <c r="AD311" i="14"/>
  <c r="AC311" i="14"/>
  <c r="X311" i="14"/>
  <c r="Y311" i="14" s="1"/>
  <c r="Z311" i="14" s="1"/>
  <c r="W311" i="14"/>
  <c r="V311" i="14"/>
  <c r="AR310" i="14"/>
  <c r="AJ310" i="14"/>
  <c r="AJ326" i="14" s="1"/>
  <c r="AI310" i="14"/>
  <c r="AI326" i="14" s="1"/>
  <c r="AS310" i="14" s="1"/>
  <c r="AG310" i="14"/>
  <c r="AG326" i="14" s="1"/>
  <c r="AQ310" i="14" s="1"/>
  <c r="AD310" i="14"/>
  <c r="AD326" i="14" s="1"/>
  <c r="AC310" i="14"/>
  <c r="AC326" i="14" s="1"/>
  <c r="X310" i="14"/>
  <c r="W310" i="14"/>
  <c r="V310" i="14"/>
  <c r="AI305" i="14"/>
  <c r="AD305" i="14"/>
  <c r="X305" i="14"/>
  <c r="Y305" i="14" s="1"/>
  <c r="Z305" i="14" s="1"/>
  <c r="W305" i="14"/>
  <c r="V305" i="14"/>
  <c r="AI304" i="14"/>
  <c r="AD304" i="14"/>
  <c r="X304" i="14"/>
  <c r="Y304" i="14" s="1"/>
  <c r="Z304" i="14" s="1"/>
  <c r="W304" i="14"/>
  <c r="V304" i="14"/>
  <c r="AI303" i="14"/>
  <c r="AD303" i="14"/>
  <c r="X303" i="14"/>
  <c r="Y303" i="14" s="1"/>
  <c r="Z303" i="14" s="1"/>
  <c r="W303" i="14"/>
  <c r="V303" i="14"/>
  <c r="AI302" i="14"/>
  <c r="AD302" i="14"/>
  <c r="X302" i="14"/>
  <c r="Y302" i="14" s="1"/>
  <c r="Z302" i="14" s="1"/>
  <c r="W302" i="14"/>
  <c r="V302" i="14"/>
  <c r="AI301" i="14"/>
  <c r="AD301" i="14"/>
  <c r="X301" i="14"/>
  <c r="Y301" i="14" s="1"/>
  <c r="Z301" i="14" s="1"/>
  <c r="W301" i="14"/>
  <c r="V301" i="14"/>
  <c r="AI300" i="14"/>
  <c r="AD300" i="14"/>
  <c r="X300" i="14"/>
  <c r="Y300" i="14" s="1"/>
  <c r="Z300" i="14" s="1"/>
  <c r="AA300" i="14" s="1"/>
  <c r="AC300" i="14" s="1"/>
  <c r="W300" i="14"/>
  <c r="V300" i="14"/>
  <c r="AI299" i="14"/>
  <c r="AD299" i="14"/>
  <c r="X299" i="14"/>
  <c r="Y299" i="14" s="1"/>
  <c r="Z299" i="14" s="1"/>
  <c r="AA299" i="14" s="1"/>
  <c r="AC299" i="14" s="1"/>
  <c r="W299" i="14"/>
  <c r="V299" i="14"/>
  <c r="AI298" i="14"/>
  <c r="AD298" i="14"/>
  <c r="X298" i="14"/>
  <c r="Y298" i="14" s="1"/>
  <c r="Z298" i="14" s="1"/>
  <c r="W298" i="14"/>
  <c r="V298" i="14"/>
  <c r="AI297" i="14"/>
  <c r="AD297" i="14"/>
  <c r="X297" i="14"/>
  <c r="Y297" i="14" s="1"/>
  <c r="Z297" i="14" s="1"/>
  <c r="W297" i="14"/>
  <c r="V297" i="14"/>
  <c r="AI296" i="14"/>
  <c r="AD296" i="14"/>
  <c r="X296" i="14"/>
  <c r="Y296" i="14" s="1"/>
  <c r="Z296" i="14" s="1"/>
  <c r="AA296" i="14" s="1"/>
  <c r="AC296" i="14" s="1"/>
  <c r="W296" i="14"/>
  <c r="V296" i="14"/>
  <c r="AI295" i="14"/>
  <c r="AD295" i="14"/>
  <c r="X295" i="14"/>
  <c r="Y295" i="14" s="1"/>
  <c r="Z295" i="14" s="1"/>
  <c r="AA295" i="14" s="1"/>
  <c r="AC295" i="14" s="1"/>
  <c r="W295" i="14"/>
  <c r="V295" i="14"/>
  <c r="AI294" i="14"/>
  <c r="AD294" i="14"/>
  <c r="X294" i="14"/>
  <c r="Y294" i="14" s="1"/>
  <c r="Z294" i="14" s="1"/>
  <c r="W294" i="14"/>
  <c r="V294" i="14"/>
  <c r="AI293" i="14"/>
  <c r="AD293" i="14"/>
  <c r="X293" i="14"/>
  <c r="Y293" i="14" s="1"/>
  <c r="Z293" i="14" s="1"/>
  <c r="W293" i="14"/>
  <c r="V293" i="14"/>
  <c r="AI292" i="14"/>
  <c r="AD292" i="14"/>
  <c r="X292" i="14"/>
  <c r="Y292" i="14" s="1"/>
  <c r="Z292" i="14" s="1"/>
  <c r="W292" i="14"/>
  <c r="V292" i="14"/>
  <c r="AI291" i="14"/>
  <c r="AD291" i="14"/>
  <c r="X291" i="14"/>
  <c r="Y291" i="14" s="1"/>
  <c r="Z291" i="14" s="1"/>
  <c r="W291" i="14"/>
  <c r="V291" i="14"/>
  <c r="AR290" i="14"/>
  <c r="AI290" i="14"/>
  <c r="AI306" i="14" s="1"/>
  <c r="AD290" i="14"/>
  <c r="AD306" i="14" s="1"/>
  <c r="X290" i="14"/>
  <c r="W290" i="14"/>
  <c r="V290" i="14"/>
  <c r="AI285" i="14"/>
  <c r="AD285" i="14"/>
  <c r="X285" i="14"/>
  <c r="Y285" i="14" s="1"/>
  <c r="Z285" i="14" s="1"/>
  <c r="W285" i="14"/>
  <c r="V285" i="14"/>
  <c r="AI284" i="14"/>
  <c r="AD284" i="14"/>
  <c r="X284" i="14"/>
  <c r="Y284" i="14" s="1"/>
  <c r="Z284" i="14" s="1"/>
  <c r="W284" i="14"/>
  <c r="V284" i="14"/>
  <c r="AI283" i="14"/>
  <c r="AD283" i="14"/>
  <c r="X283" i="14"/>
  <c r="Y283" i="14" s="1"/>
  <c r="Z283" i="14" s="1"/>
  <c r="W283" i="14"/>
  <c r="V283" i="14"/>
  <c r="AI282" i="14"/>
  <c r="AD282" i="14"/>
  <c r="X282" i="14"/>
  <c r="Y282" i="14" s="1"/>
  <c r="Z282" i="14" s="1"/>
  <c r="AB282" i="14" s="1"/>
  <c r="W282" i="14"/>
  <c r="V282" i="14"/>
  <c r="AI281" i="14"/>
  <c r="AD281" i="14"/>
  <c r="X281" i="14"/>
  <c r="Y281" i="14" s="1"/>
  <c r="Z281" i="14" s="1"/>
  <c r="AA281" i="14" s="1"/>
  <c r="AC281" i="14" s="1"/>
  <c r="W281" i="14"/>
  <c r="V281" i="14"/>
  <c r="AI280" i="14"/>
  <c r="AD280" i="14"/>
  <c r="X280" i="14"/>
  <c r="Y280" i="14" s="1"/>
  <c r="Z280" i="14" s="1"/>
  <c r="AA280" i="14" s="1"/>
  <c r="AC280" i="14" s="1"/>
  <c r="W280" i="14"/>
  <c r="V280" i="14"/>
  <c r="AI279" i="14"/>
  <c r="AD279" i="14"/>
  <c r="X279" i="14"/>
  <c r="Y279" i="14" s="1"/>
  <c r="Z279" i="14" s="1"/>
  <c r="AA279" i="14" s="1"/>
  <c r="AC279" i="14" s="1"/>
  <c r="W279" i="14"/>
  <c r="V279" i="14"/>
  <c r="AI278" i="14"/>
  <c r="AD278" i="14"/>
  <c r="X278" i="14"/>
  <c r="Y278" i="14" s="1"/>
  <c r="Z278" i="14" s="1"/>
  <c r="W278" i="14"/>
  <c r="V278" i="14"/>
  <c r="AI277" i="14"/>
  <c r="AD277" i="14"/>
  <c r="X277" i="14"/>
  <c r="Y277" i="14" s="1"/>
  <c r="Z277" i="14" s="1"/>
  <c r="W277" i="14"/>
  <c r="V277" i="14"/>
  <c r="AI276" i="14"/>
  <c r="AD276" i="14"/>
  <c r="X276" i="14"/>
  <c r="Y276" i="14" s="1"/>
  <c r="Z276" i="14" s="1"/>
  <c r="W276" i="14"/>
  <c r="V276" i="14"/>
  <c r="AI275" i="14"/>
  <c r="AD275" i="14"/>
  <c r="X275" i="14"/>
  <c r="Y275" i="14" s="1"/>
  <c r="Z275" i="14" s="1"/>
  <c r="W275" i="14"/>
  <c r="V275" i="14"/>
  <c r="AI274" i="14"/>
  <c r="AD274" i="14"/>
  <c r="X274" i="14"/>
  <c r="Y274" i="14" s="1"/>
  <c r="Z274" i="14" s="1"/>
  <c r="W274" i="14"/>
  <c r="V274" i="14"/>
  <c r="AI273" i="14"/>
  <c r="AD273" i="14"/>
  <c r="X273" i="14"/>
  <c r="Y273" i="14" s="1"/>
  <c r="Z273" i="14" s="1"/>
  <c r="W273" i="14"/>
  <c r="V273" i="14"/>
  <c r="AI272" i="14"/>
  <c r="AD272" i="14"/>
  <c r="X272" i="14"/>
  <c r="Y272" i="14" s="1"/>
  <c r="Z272" i="14" s="1"/>
  <c r="W272" i="14"/>
  <c r="V272" i="14"/>
  <c r="AI271" i="14"/>
  <c r="AD271" i="14"/>
  <c r="X271" i="14"/>
  <c r="Y271" i="14" s="1"/>
  <c r="Z271" i="14" s="1"/>
  <c r="W271" i="14"/>
  <c r="V271" i="14"/>
  <c r="AR270" i="14"/>
  <c r="AI270" i="14"/>
  <c r="AI286" i="14" s="1"/>
  <c r="AD270" i="14"/>
  <c r="AD286" i="14" s="1"/>
  <c r="X270" i="14"/>
  <c r="W270" i="14"/>
  <c r="V270" i="14"/>
  <c r="AI265" i="14"/>
  <c r="AD265" i="14"/>
  <c r="X265" i="14"/>
  <c r="Y265" i="14" s="1"/>
  <c r="Z265" i="14" s="1"/>
  <c r="W265" i="14"/>
  <c r="V265" i="14"/>
  <c r="AI264" i="14"/>
  <c r="AD264" i="14"/>
  <c r="X264" i="14"/>
  <c r="Y264" i="14" s="1"/>
  <c r="Z264" i="14" s="1"/>
  <c r="W264" i="14"/>
  <c r="V264" i="14"/>
  <c r="AI263" i="14"/>
  <c r="AD263" i="14"/>
  <c r="X263" i="14"/>
  <c r="Y263" i="14" s="1"/>
  <c r="Z263" i="14" s="1"/>
  <c r="W263" i="14"/>
  <c r="V263" i="14"/>
  <c r="AI262" i="14"/>
  <c r="AD262" i="14"/>
  <c r="X262" i="14"/>
  <c r="Y262" i="14" s="1"/>
  <c r="Z262" i="14" s="1"/>
  <c r="W262" i="14"/>
  <c r="V262" i="14"/>
  <c r="AI261" i="14"/>
  <c r="AD261" i="14"/>
  <c r="X261" i="14"/>
  <c r="Y261" i="14" s="1"/>
  <c r="Z261" i="14" s="1"/>
  <c r="W261" i="14"/>
  <c r="V261" i="14"/>
  <c r="AI260" i="14"/>
  <c r="AD260" i="14"/>
  <c r="X260" i="14"/>
  <c r="Y260" i="14" s="1"/>
  <c r="Z260" i="14" s="1"/>
  <c r="W260" i="14"/>
  <c r="V260" i="14"/>
  <c r="AI259" i="14"/>
  <c r="AD259" i="14"/>
  <c r="X259" i="14"/>
  <c r="Y259" i="14" s="1"/>
  <c r="Z259" i="14" s="1"/>
  <c r="W259" i="14"/>
  <c r="V259" i="14"/>
  <c r="AI258" i="14"/>
  <c r="AD258" i="14"/>
  <c r="X258" i="14"/>
  <c r="Y258" i="14" s="1"/>
  <c r="Z258" i="14" s="1"/>
  <c r="W258" i="14"/>
  <c r="V258" i="14"/>
  <c r="AI257" i="14"/>
  <c r="AD257" i="14"/>
  <c r="X257" i="14"/>
  <c r="Y257" i="14" s="1"/>
  <c r="Z257" i="14" s="1"/>
  <c r="W257" i="14"/>
  <c r="V257" i="14"/>
  <c r="AI256" i="14"/>
  <c r="AD256" i="14"/>
  <c r="X256" i="14"/>
  <c r="Y256" i="14" s="1"/>
  <c r="Z256" i="14" s="1"/>
  <c r="W256" i="14"/>
  <c r="V256" i="14"/>
  <c r="AI255" i="14"/>
  <c r="AD255" i="14"/>
  <c r="X255" i="14"/>
  <c r="Y255" i="14" s="1"/>
  <c r="Z255" i="14" s="1"/>
  <c r="W255" i="14"/>
  <c r="V255" i="14"/>
  <c r="AI254" i="14"/>
  <c r="AD254" i="14"/>
  <c r="X254" i="14"/>
  <c r="Y254" i="14" s="1"/>
  <c r="Z254" i="14" s="1"/>
  <c r="W254" i="14"/>
  <c r="V254" i="14"/>
  <c r="AI253" i="14"/>
  <c r="AD253" i="14"/>
  <c r="X253" i="14"/>
  <c r="Y253" i="14" s="1"/>
  <c r="Z253" i="14" s="1"/>
  <c r="AB253" i="14" s="1"/>
  <c r="W253" i="14"/>
  <c r="V253" i="14"/>
  <c r="AI252" i="14"/>
  <c r="AD252" i="14"/>
  <c r="X252" i="14"/>
  <c r="Y252" i="14" s="1"/>
  <c r="Z252" i="14" s="1"/>
  <c r="W252" i="14"/>
  <c r="V252" i="14"/>
  <c r="AI251" i="14"/>
  <c r="AD251" i="14"/>
  <c r="X251" i="14"/>
  <c r="Y251" i="14" s="1"/>
  <c r="Z251" i="14" s="1"/>
  <c r="W251" i="14"/>
  <c r="V251" i="14"/>
  <c r="AR250" i="14"/>
  <c r="AI250" i="14"/>
  <c r="AD250" i="14"/>
  <c r="AD266" i="14" s="1"/>
  <c r="X250" i="14"/>
  <c r="W250" i="14"/>
  <c r="V250" i="14"/>
  <c r="AI245" i="14"/>
  <c r="AD245" i="14"/>
  <c r="X245" i="14"/>
  <c r="Y245" i="14" s="1"/>
  <c r="Z245" i="14" s="1"/>
  <c r="W245" i="14"/>
  <c r="V245" i="14"/>
  <c r="AI244" i="14"/>
  <c r="AD244" i="14"/>
  <c r="X244" i="14"/>
  <c r="Y244" i="14" s="1"/>
  <c r="Z244" i="14" s="1"/>
  <c r="W244" i="14"/>
  <c r="V244" i="14"/>
  <c r="AI243" i="14"/>
  <c r="AD243" i="14"/>
  <c r="X243" i="14"/>
  <c r="Y243" i="14" s="1"/>
  <c r="Z243" i="14" s="1"/>
  <c r="W243" i="14"/>
  <c r="V243" i="14"/>
  <c r="AI242" i="14"/>
  <c r="AD242" i="14"/>
  <c r="X242" i="14"/>
  <c r="Y242" i="14" s="1"/>
  <c r="Z242" i="14" s="1"/>
  <c r="W242" i="14"/>
  <c r="V242" i="14"/>
  <c r="AI241" i="14"/>
  <c r="AD241" i="14"/>
  <c r="X241" i="14"/>
  <c r="Y241" i="14" s="1"/>
  <c r="Z241" i="14" s="1"/>
  <c r="W241" i="14"/>
  <c r="V241" i="14"/>
  <c r="AI240" i="14"/>
  <c r="AD240" i="14"/>
  <c r="X240" i="14"/>
  <c r="Y240" i="14" s="1"/>
  <c r="Z240" i="14" s="1"/>
  <c r="W240" i="14"/>
  <c r="V240" i="14"/>
  <c r="AI239" i="14"/>
  <c r="AD239" i="14"/>
  <c r="X239" i="14"/>
  <c r="Y239" i="14" s="1"/>
  <c r="Z239" i="14" s="1"/>
  <c r="AA239" i="14" s="1"/>
  <c r="AC239" i="14" s="1"/>
  <c r="W239" i="14"/>
  <c r="V239" i="14"/>
  <c r="AI238" i="14"/>
  <c r="AD238" i="14"/>
  <c r="X238" i="14"/>
  <c r="Y238" i="14" s="1"/>
  <c r="Z238" i="14" s="1"/>
  <c r="W238" i="14"/>
  <c r="V238" i="14"/>
  <c r="AI237" i="14"/>
  <c r="AD237" i="14"/>
  <c r="X237" i="14"/>
  <c r="Y237" i="14" s="1"/>
  <c r="Z237" i="14" s="1"/>
  <c r="W237" i="14"/>
  <c r="V237" i="14"/>
  <c r="AI236" i="14"/>
  <c r="AD236" i="14"/>
  <c r="X236" i="14"/>
  <c r="Y236" i="14" s="1"/>
  <c r="Z236" i="14" s="1"/>
  <c r="W236" i="14"/>
  <c r="V236" i="14"/>
  <c r="AI235" i="14"/>
  <c r="AD235" i="14"/>
  <c r="X235" i="14"/>
  <c r="Y235" i="14" s="1"/>
  <c r="Z235" i="14" s="1"/>
  <c r="W235" i="14"/>
  <c r="V235" i="14"/>
  <c r="AI234" i="14"/>
  <c r="AD234" i="14"/>
  <c r="X234" i="14"/>
  <c r="Y234" i="14" s="1"/>
  <c r="Z234" i="14" s="1"/>
  <c r="W234" i="14"/>
  <c r="V234" i="14"/>
  <c r="AI233" i="14"/>
  <c r="AD233" i="14"/>
  <c r="X233" i="14"/>
  <c r="Y233" i="14" s="1"/>
  <c r="Z233" i="14" s="1"/>
  <c r="W233" i="14"/>
  <c r="V233" i="14"/>
  <c r="AI232" i="14"/>
  <c r="AD232" i="14"/>
  <c r="X232" i="14"/>
  <c r="Y232" i="14" s="1"/>
  <c r="Z232" i="14" s="1"/>
  <c r="W232" i="14"/>
  <c r="V232" i="14"/>
  <c r="AI231" i="14"/>
  <c r="AD231" i="14"/>
  <c r="X231" i="14"/>
  <c r="Y231" i="14" s="1"/>
  <c r="Z231" i="14" s="1"/>
  <c r="W231" i="14"/>
  <c r="V231" i="14"/>
  <c r="AR230" i="14"/>
  <c r="AI230" i="14"/>
  <c r="AD230" i="14"/>
  <c r="AD246" i="14" s="1"/>
  <c r="X230" i="14"/>
  <c r="W230" i="14"/>
  <c r="V230" i="14"/>
  <c r="AI225" i="14"/>
  <c r="AD225" i="14"/>
  <c r="X225" i="14"/>
  <c r="Y225" i="14" s="1"/>
  <c r="Z225" i="14" s="1"/>
  <c r="W225" i="14"/>
  <c r="V225" i="14"/>
  <c r="AI224" i="14"/>
  <c r="AD224" i="14"/>
  <c r="X224" i="14"/>
  <c r="Y224" i="14" s="1"/>
  <c r="Z224" i="14" s="1"/>
  <c r="W224" i="14"/>
  <c r="V224" i="14"/>
  <c r="AI223" i="14"/>
  <c r="AD223" i="14"/>
  <c r="X223" i="14"/>
  <c r="Y223" i="14" s="1"/>
  <c r="Z223" i="14" s="1"/>
  <c r="W223" i="14"/>
  <c r="V223" i="14"/>
  <c r="AI222" i="14"/>
  <c r="AD222" i="14"/>
  <c r="X222" i="14"/>
  <c r="Y222" i="14" s="1"/>
  <c r="Z222" i="14" s="1"/>
  <c r="W222" i="14"/>
  <c r="V222" i="14"/>
  <c r="AI221" i="14"/>
  <c r="AD221" i="14"/>
  <c r="X221" i="14"/>
  <c r="Y221" i="14" s="1"/>
  <c r="Z221" i="14" s="1"/>
  <c r="W221" i="14"/>
  <c r="V221" i="14"/>
  <c r="AI220" i="14"/>
  <c r="AD220" i="14"/>
  <c r="X220" i="14"/>
  <c r="Y220" i="14" s="1"/>
  <c r="Z220" i="14" s="1"/>
  <c r="W220" i="14"/>
  <c r="V220" i="14"/>
  <c r="AI219" i="14"/>
  <c r="AD219" i="14"/>
  <c r="X219" i="14"/>
  <c r="Y219" i="14" s="1"/>
  <c r="Z219" i="14" s="1"/>
  <c r="W219" i="14"/>
  <c r="V219" i="14"/>
  <c r="AI218" i="14"/>
  <c r="AD218" i="14"/>
  <c r="X218" i="14"/>
  <c r="Y218" i="14" s="1"/>
  <c r="Z218" i="14" s="1"/>
  <c r="W218" i="14"/>
  <c r="V218" i="14"/>
  <c r="AI217" i="14"/>
  <c r="AD217" i="14"/>
  <c r="X217" i="14"/>
  <c r="Y217" i="14" s="1"/>
  <c r="Z217" i="14" s="1"/>
  <c r="W217" i="14"/>
  <c r="V217" i="14"/>
  <c r="AI216" i="14"/>
  <c r="AD216" i="14"/>
  <c r="X216" i="14"/>
  <c r="Y216" i="14" s="1"/>
  <c r="Z216" i="14" s="1"/>
  <c r="W216" i="14"/>
  <c r="V216" i="14"/>
  <c r="AI215" i="14"/>
  <c r="AD215" i="14"/>
  <c r="X215" i="14"/>
  <c r="Y215" i="14" s="1"/>
  <c r="Z215" i="14" s="1"/>
  <c r="W215" i="14"/>
  <c r="V215" i="14"/>
  <c r="AI214" i="14"/>
  <c r="AD214" i="14"/>
  <c r="X214" i="14"/>
  <c r="Y214" i="14" s="1"/>
  <c r="Z214" i="14" s="1"/>
  <c r="W214" i="14"/>
  <c r="V214" i="14"/>
  <c r="AI213" i="14"/>
  <c r="AD213" i="14"/>
  <c r="X213" i="14"/>
  <c r="Y213" i="14" s="1"/>
  <c r="Z213" i="14" s="1"/>
  <c r="W213" i="14"/>
  <c r="V213" i="14"/>
  <c r="AI212" i="14"/>
  <c r="AD212" i="14"/>
  <c r="X212" i="14"/>
  <c r="Y212" i="14" s="1"/>
  <c r="Z212" i="14" s="1"/>
  <c r="W212" i="14"/>
  <c r="V212" i="14"/>
  <c r="AI211" i="14"/>
  <c r="AD211" i="14"/>
  <c r="X211" i="14"/>
  <c r="Y211" i="14" s="1"/>
  <c r="Z211" i="14" s="1"/>
  <c r="W211" i="14"/>
  <c r="V211" i="14"/>
  <c r="AR210" i="14"/>
  <c r="AI210" i="14"/>
  <c r="AD210" i="14"/>
  <c r="AD226" i="14" s="1"/>
  <c r="X210" i="14"/>
  <c r="W210" i="14"/>
  <c r="V210" i="14"/>
  <c r="C207" i="14"/>
  <c r="C206" i="14"/>
  <c r="AI205" i="14"/>
  <c r="AD205" i="14"/>
  <c r="X205" i="14"/>
  <c r="Y205" i="14" s="1"/>
  <c r="Z205" i="14" s="1"/>
  <c r="W205" i="14"/>
  <c r="V205" i="14"/>
  <c r="AI204" i="14"/>
  <c r="AD204" i="14"/>
  <c r="X204" i="14"/>
  <c r="Y204" i="14" s="1"/>
  <c r="Z204" i="14" s="1"/>
  <c r="W204" i="14"/>
  <c r="V204" i="14"/>
  <c r="AI203" i="14"/>
  <c r="AD203" i="14"/>
  <c r="X203" i="14"/>
  <c r="Y203" i="14" s="1"/>
  <c r="Z203" i="14" s="1"/>
  <c r="AB203" i="14" s="1"/>
  <c r="W203" i="14"/>
  <c r="V203" i="14"/>
  <c r="AI202" i="14"/>
  <c r="AD202" i="14"/>
  <c r="X202" i="14"/>
  <c r="Y202" i="14" s="1"/>
  <c r="Z202" i="14" s="1"/>
  <c r="W202" i="14"/>
  <c r="V202" i="14"/>
  <c r="AI201" i="14"/>
  <c r="AD201" i="14"/>
  <c r="X201" i="14"/>
  <c r="Y201" i="14" s="1"/>
  <c r="Z201" i="14" s="1"/>
  <c r="AB201" i="14" s="1"/>
  <c r="W201" i="14"/>
  <c r="V201" i="14"/>
  <c r="AI200" i="14"/>
  <c r="AD200" i="14"/>
  <c r="X200" i="14"/>
  <c r="Y200" i="14" s="1"/>
  <c r="Z200" i="14" s="1"/>
  <c r="AA200" i="14" s="1"/>
  <c r="AC200" i="14" s="1"/>
  <c r="W200" i="14"/>
  <c r="V200" i="14"/>
  <c r="AI199" i="14"/>
  <c r="AD199" i="14"/>
  <c r="X199" i="14"/>
  <c r="Y199" i="14" s="1"/>
  <c r="Z199" i="14" s="1"/>
  <c r="W199" i="14"/>
  <c r="V199" i="14"/>
  <c r="AI198" i="14"/>
  <c r="AD198" i="14"/>
  <c r="X198" i="14"/>
  <c r="Y198" i="14" s="1"/>
  <c r="Z198" i="14" s="1"/>
  <c r="W198" i="14"/>
  <c r="V198" i="14"/>
  <c r="AI197" i="14"/>
  <c r="AD197" i="14"/>
  <c r="X197" i="14"/>
  <c r="Y197" i="14" s="1"/>
  <c r="Z197" i="14" s="1"/>
  <c r="W197" i="14"/>
  <c r="V197" i="14"/>
  <c r="AI196" i="14"/>
  <c r="AD196" i="14"/>
  <c r="X196" i="14"/>
  <c r="Y196" i="14" s="1"/>
  <c r="Z196" i="14" s="1"/>
  <c r="W196" i="14"/>
  <c r="V196" i="14"/>
  <c r="AI195" i="14"/>
  <c r="AD195" i="14"/>
  <c r="X195" i="14"/>
  <c r="Y195" i="14" s="1"/>
  <c r="Z195" i="14" s="1"/>
  <c r="W195" i="14"/>
  <c r="V195" i="14"/>
  <c r="AI194" i="14"/>
  <c r="AD194" i="14"/>
  <c r="X194" i="14"/>
  <c r="Y194" i="14" s="1"/>
  <c r="Z194" i="14" s="1"/>
  <c r="W194" i="14"/>
  <c r="V194" i="14"/>
  <c r="AI193" i="14"/>
  <c r="AD193" i="14"/>
  <c r="X193" i="14"/>
  <c r="Y193" i="14" s="1"/>
  <c r="Z193" i="14" s="1"/>
  <c r="W193" i="14"/>
  <c r="V193" i="14"/>
  <c r="AI192" i="14"/>
  <c r="AD192" i="14"/>
  <c r="X192" i="14"/>
  <c r="Y192" i="14" s="1"/>
  <c r="Z192" i="14" s="1"/>
  <c r="W192" i="14"/>
  <c r="V192" i="14"/>
  <c r="AI191" i="14"/>
  <c r="AD191" i="14"/>
  <c r="X191" i="14"/>
  <c r="Y191" i="14" s="1"/>
  <c r="Z191" i="14" s="1"/>
  <c r="W191" i="14"/>
  <c r="V191" i="14"/>
  <c r="AR190" i="14"/>
  <c r="AI190" i="14"/>
  <c r="AD190" i="14"/>
  <c r="AD206" i="14" s="1"/>
  <c r="X190" i="14"/>
  <c r="X206" i="14" s="1"/>
  <c r="W190" i="14"/>
  <c r="V190" i="14"/>
  <c r="C187" i="14"/>
  <c r="C186" i="14"/>
  <c r="AI185" i="14"/>
  <c r="AD185" i="14"/>
  <c r="X185" i="14"/>
  <c r="Y185" i="14" s="1"/>
  <c r="Z185" i="14" s="1"/>
  <c r="W185" i="14"/>
  <c r="V185" i="14"/>
  <c r="AI184" i="14"/>
  <c r="AD184" i="14"/>
  <c r="X184" i="14"/>
  <c r="Y184" i="14" s="1"/>
  <c r="Z184" i="14" s="1"/>
  <c r="W184" i="14"/>
  <c r="V184" i="14"/>
  <c r="AI183" i="14"/>
  <c r="AD183" i="14"/>
  <c r="X183" i="14"/>
  <c r="Y183" i="14" s="1"/>
  <c r="Z183" i="14" s="1"/>
  <c r="AA183" i="14" s="1"/>
  <c r="AC183" i="14" s="1"/>
  <c r="W183" i="14"/>
  <c r="V183" i="14"/>
  <c r="AI182" i="14"/>
  <c r="AD182" i="14"/>
  <c r="X182" i="14"/>
  <c r="Y182" i="14" s="1"/>
  <c r="Z182" i="14" s="1"/>
  <c r="W182" i="14"/>
  <c r="V182" i="14"/>
  <c r="AI181" i="14"/>
  <c r="AD181" i="14"/>
  <c r="X181" i="14"/>
  <c r="Y181" i="14" s="1"/>
  <c r="Z181" i="14" s="1"/>
  <c r="W181" i="14"/>
  <c r="V181" i="14"/>
  <c r="AI180" i="14"/>
  <c r="AD180" i="14"/>
  <c r="X180" i="14"/>
  <c r="Y180" i="14" s="1"/>
  <c r="Z180" i="14" s="1"/>
  <c r="W180" i="14"/>
  <c r="V180" i="14"/>
  <c r="AI179" i="14"/>
  <c r="AD179" i="14"/>
  <c r="X179" i="14"/>
  <c r="Y179" i="14" s="1"/>
  <c r="Z179" i="14" s="1"/>
  <c r="W179" i="14"/>
  <c r="V179" i="14"/>
  <c r="AI178" i="14"/>
  <c r="AD178" i="14"/>
  <c r="X178" i="14"/>
  <c r="Y178" i="14" s="1"/>
  <c r="Z178" i="14" s="1"/>
  <c r="W178" i="14"/>
  <c r="V178" i="14"/>
  <c r="AI177" i="14"/>
  <c r="AD177" i="14"/>
  <c r="X177" i="14"/>
  <c r="Y177" i="14" s="1"/>
  <c r="Z177" i="14" s="1"/>
  <c r="W177" i="14"/>
  <c r="V177" i="14"/>
  <c r="AI176" i="14"/>
  <c r="AD176" i="14"/>
  <c r="X176" i="14"/>
  <c r="Y176" i="14" s="1"/>
  <c r="Z176" i="14" s="1"/>
  <c r="W176" i="14"/>
  <c r="V176" i="14"/>
  <c r="AI175" i="14"/>
  <c r="AD175" i="14"/>
  <c r="X175" i="14"/>
  <c r="Y175" i="14" s="1"/>
  <c r="Z175" i="14" s="1"/>
  <c r="W175" i="14"/>
  <c r="V175" i="14"/>
  <c r="AI174" i="14"/>
  <c r="AD174" i="14"/>
  <c r="X174" i="14"/>
  <c r="Y174" i="14" s="1"/>
  <c r="Z174" i="14" s="1"/>
  <c r="W174" i="14"/>
  <c r="V174" i="14"/>
  <c r="AI173" i="14"/>
  <c r="AD173" i="14"/>
  <c r="X173" i="14"/>
  <c r="Y173" i="14" s="1"/>
  <c r="Z173" i="14" s="1"/>
  <c r="AB173" i="14" s="1"/>
  <c r="W173" i="14"/>
  <c r="V173" i="14"/>
  <c r="AI172" i="14"/>
  <c r="AD172" i="14"/>
  <c r="X172" i="14"/>
  <c r="Y172" i="14" s="1"/>
  <c r="Z172" i="14" s="1"/>
  <c r="W172" i="14"/>
  <c r="V172" i="14"/>
  <c r="AI171" i="14"/>
  <c r="AD171" i="14"/>
  <c r="X171" i="14"/>
  <c r="Y171" i="14" s="1"/>
  <c r="Z171" i="14" s="1"/>
  <c r="W171" i="14"/>
  <c r="V171" i="14"/>
  <c r="AR170" i="14"/>
  <c r="AI170" i="14"/>
  <c r="AD170" i="14"/>
  <c r="AD186" i="14" s="1"/>
  <c r="X170" i="14"/>
  <c r="Y170" i="14" s="1"/>
  <c r="Z170" i="14" s="1"/>
  <c r="W170" i="14"/>
  <c r="V170" i="14"/>
  <c r="C167" i="14"/>
  <c r="C166" i="14"/>
  <c r="AI165" i="14"/>
  <c r="AD165" i="14"/>
  <c r="X165" i="14"/>
  <c r="Y165" i="14" s="1"/>
  <c r="Z165" i="14" s="1"/>
  <c r="W165" i="14"/>
  <c r="V165" i="14"/>
  <c r="AI164" i="14"/>
  <c r="AD164" i="14"/>
  <c r="X164" i="14"/>
  <c r="Y164" i="14" s="1"/>
  <c r="Z164" i="14" s="1"/>
  <c r="W164" i="14"/>
  <c r="V164" i="14"/>
  <c r="AI163" i="14"/>
  <c r="AD163" i="14"/>
  <c r="X163" i="14"/>
  <c r="Y163" i="14" s="1"/>
  <c r="Z163" i="14" s="1"/>
  <c r="W163" i="14"/>
  <c r="V163" i="14"/>
  <c r="AI162" i="14"/>
  <c r="AD162" i="14"/>
  <c r="X162" i="14"/>
  <c r="Y162" i="14" s="1"/>
  <c r="Z162" i="14" s="1"/>
  <c r="W162" i="14"/>
  <c r="V162" i="14"/>
  <c r="AI161" i="14"/>
  <c r="AD161" i="14"/>
  <c r="X161" i="14"/>
  <c r="Y161" i="14" s="1"/>
  <c r="Z161" i="14" s="1"/>
  <c r="W161" i="14"/>
  <c r="V161" i="14"/>
  <c r="AI160" i="14"/>
  <c r="AD160" i="14"/>
  <c r="X160" i="14"/>
  <c r="Y160" i="14" s="1"/>
  <c r="Z160" i="14" s="1"/>
  <c r="AB160" i="14" s="1"/>
  <c r="W160" i="14"/>
  <c r="V160" i="14"/>
  <c r="AI159" i="14"/>
  <c r="AD159" i="14"/>
  <c r="X159" i="14"/>
  <c r="Y159" i="14" s="1"/>
  <c r="Z159" i="14" s="1"/>
  <c r="W159" i="14"/>
  <c r="V159" i="14"/>
  <c r="AI158" i="14"/>
  <c r="AD158" i="14"/>
  <c r="X158" i="14"/>
  <c r="Y158" i="14" s="1"/>
  <c r="Z158" i="14" s="1"/>
  <c r="W158" i="14"/>
  <c r="V158" i="14"/>
  <c r="AI157" i="14"/>
  <c r="AD157" i="14"/>
  <c r="X157" i="14"/>
  <c r="Y157" i="14" s="1"/>
  <c r="Z157" i="14" s="1"/>
  <c r="W157" i="14"/>
  <c r="V157" i="14"/>
  <c r="AI156" i="14"/>
  <c r="AD156" i="14"/>
  <c r="X156" i="14"/>
  <c r="Y156" i="14" s="1"/>
  <c r="Z156" i="14" s="1"/>
  <c r="W156" i="14"/>
  <c r="V156" i="14"/>
  <c r="AI155" i="14"/>
  <c r="AD155" i="14"/>
  <c r="X155" i="14"/>
  <c r="Y155" i="14" s="1"/>
  <c r="Z155" i="14" s="1"/>
  <c r="W155" i="14"/>
  <c r="V155" i="14"/>
  <c r="AI154" i="14"/>
  <c r="AD154" i="14"/>
  <c r="X154" i="14"/>
  <c r="Y154" i="14" s="1"/>
  <c r="Z154" i="14" s="1"/>
  <c r="W154" i="14"/>
  <c r="V154" i="14"/>
  <c r="AI153" i="14"/>
  <c r="AD153" i="14"/>
  <c r="X153" i="14"/>
  <c r="Y153" i="14" s="1"/>
  <c r="Z153" i="14" s="1"/>
  <c r="W153" i="14"/>
  <c r="V153" i="14"/>
  <c r="AI152" i="14"/>
  <c r="AD152" i="14"/>
  <c r="X152" i="14"/>
  <c r="Y152" i="14" s="1"/>
  <c r="Z152" i="14" s="1"/>
  <c r="AB152" i="14" s="1"/>
  <c r="W152" i="14"/>
  <c r="V152" i="14"/>
  <c r="AI151" i="14"/>
  <c r="AD151" i="14"/>
  <c r="X151" i="14"/>
  <c r="Y151" i="14" s="1"/>
  <c r="Z151" i="14" s="1"/>
  <c r="AB151" i="14" s="1"/>
  <c r="W151" i="14"/>
  <c r="V151" i="14"/>
  <c r="AR150" i="14"/>
  <c r="AI150" i="14"/>
  <c r="AI166" i="14" s="1"/>
  <c r="AD150" i="14"/>
  <c r="AD166" i="14" s="1"/>
  <c r="X150" i="14"/>
  <c r="Y150" i="14" s="1"/>
  <c r="Z150" i="14" s="1"/>
  <c r="AB150" i="14" s="1"/>
  <c r="W150" i="14"/>
  <c r="V150" i="14"/>
  <c r="C147" i="14"/>
  <c r="C146" i="14"/>
  <c r="AI145" i="14"/>
  <c r="AD145" i="14"/>
  <c r="X145" i="14"/>
  <c r="Y145" i="14" s="1"/>
  <c r="Z145" i="14" s="1"/>
  <c r="W145" i="14"/>
  <c r="V145" i="14"/>
  <c r="AI144" i="14"/>
  <c r="AD144" i="14"/>
  <c r="X144" i="14"/>
  <c r="Y144" i="14" s="1"/>
  <c r="Z144" i="14" s="1"/>
  <c r="W144" i="14"/>
  <c r="V144" i="14"/>
  <c r="AI143" i="14"/>
  <c r="AD143" i="14"/>
  <c r="X143" i="14"/>
  <c r="Y143" i="14" s="1"/>
  <c r="Z143" i="14" s="1"/>
  <c r="W143" i="14"/>
  <c r="V143" i="14"/>
  <c r="AI142" i="14"/>
  <c r="AD142" i="14"/>
  <c r="X142" i="14"/>
  <c r="Y142" i="14" s="1"/>
  <c r="Z142" i="14" s="1"/>
  <c r="W142" i="14"/>
  <c r="V142" i="14"/>
  <c r="AI141" i="14"/>
  <c r="AD141" i="14"/>
  <c r="X141" i="14"/>
  <c r="Y141" i="14" s="1"/>
  <c r="Z141" i="14" s="1"/>
  <c r="W141" i="14"/>
  <c r="V141" i="14"/>
  <c r="AI140" i="14"/>
  <c r="AD140" i="14"/>
  <c r="X140" i="14"/>
  <c r="Y140" i="14" s="1"/>
  <c r="Z140" i="14" s="1"/>
  <c r="W140" i="14"/>
  <c r="V140" i="14"/>
  <c r="AI139" i="14"/>
  <c r="AD139" i="14"/>
  <c r="X139" i="14"/>
  <c r="Y139" i="14" s="1"/>
  <c r="Z139" i="14" s="1"/>
  <c r="W139" i="14"/>
  <c r="V139" i="14"/>
  <c r="AI138" i="14"/>
  <c r="AD138" i="14"/>
  <c r="X138" i="14"/>
  <c r="Y138" i="14" s="1"/>
  <c r="Z138" i="14" s="1"/>
  <c r="W138" i="14"/>
  <c r="V138" i="14"/>
  <c r="AI137" i="14"/>
  <c r="AD137" i="14"/>
  <c r="X137" i="14"/>
  <c r="Y137" i="14" s="1"/>
  <c r="Z137" i="14" s="1"/>
  <c r="AB137" i="14" s="1"/>
  <c r="W137" i="14"/>
  <c r="V137" i="14"/>
  <c r="AI136" i="14"/>
  <c r="AD136" i="14"/>
  <c r="X136" i="14"/>
  <c r="Y136" i="14" s="1"/>
  <c r="Z136" i="14" s="1"/>
  <c r="W136" i="14"/>
  <c r="V136" i="14"/>
  <c r="AI135" i="14"/>
  <c r="AD135" i="14"/>
  <c r="X135" i="14"/>
  <c r="Y135" i="14" s="1"/>
  <c r="Z135" i="14" s="1"/>
  <c r="W135" i="14"/>
  <c r="V135" i="14"/>
  <c r="AI134" i="14"/>
  <c r="AD134" i="14"/>
  <c r="X134" i="14"/>
  <c r="Y134" i="14" s="1"/>
  <c r="Z134" i="14" s="1"/>
  <c r="W134" i="14"/>
  <c r="V134" i="14"/>
  <c r="AI133" i="14"/>
  <c r="AD133" i="14"/>
  <c r="X133" i="14"/>
  <c r="Y133" i="14" s="1"/>
  <c r="Z133" i="14" s="1"/>
  <c r="W133" i="14"/>
  <c r="V133" i="14"/>
  <c r="AI132" i="14"/>
  <c r="AD132" i="14"/>
  <c r="X132" i="14"/>
  <c r="Y132" i="14" s="1"/>
  <c r="Z132" i="14" s="1"/>
  <c r="W132" i="14"/>
  <c r="V132" i="14"/>
  <c r="AI131" i="14"/>
  <c r="AD131" i="14"/>
  <c r="X131" i="14"/>
  <c r="Y131" i="14" s="1"/>
  <c r="Z131" i="14" s="1"/>
  <c r="W131" i="14"/>
  <c r="V131" i="14"/>
  <c r="AR130" i="14"/>
  <c r="AI130" i="14"/>
  <c r="AI146" i="14" s="1"/>
  <c r="AD130" i="14"/>
  <c r="AD146" i="14" s="1"/>
  <c r="X130" i="14"/>
  <c r="W130" i="14"/>
  <c r="V130" i="14"/>
  <c r="C127" i="14"/>
  <c r="C126" i="14"/>
  <c r="AI125" i="14"/>
  <c r="AD125" i="14"/>
  <c r="X125" i="14"/>
  <c r="Y125" i="14" s="1"/>
  <c r="Z125" i="14" s="1"/>
  <c r="W125" i="14"/>
  <c r="V125" i="14"/>
  <c r="AI124" i="14"/>
  <c r="AD124" i="14"/>
  <c r="X124" i="14"/>
  <c r="Y124" i="14" s="1"/>
  <c r="Z124" i="14" s="1"/>
  <c r="W124" i="14"/>
  <c r="V124" i="14"/>
  <c r="AI123" i="14"/>
  <c r="AD123" i="14"/>
  <c r="X123" i="14"/>
  <c r="Y123" i="14" s="1"/>
  <c r="Z123" i="14" s="1"/>
  <c r="AB123" i="14" s="1"/>
  <c r="W123" i="14"/>
  <c r="V123" i="14"/>
  <c r="AI122" i="14"/>
  <c r="AD122" i="14"/>
  <c r="X122" i="14"/>
  <c r="Y122" i="14" s="1"/>
  <c r="Z122" i="14" s="1"/>
  <c r="W122" i="14"/>
  <c r="V122" i="14"/>
  <c r="AI121" i="14"/>
  <c r="AD121" i="14"/>
  <c r="X121" i="14"/>
  <c r="Y121" i="14" s="1"/>
  <c r="Z121" i="14" s="1"/>
  <c r="W121" i="14"/>
  <c r="V121" i="14"/>
  <c r="AI120" i="14"/>
  <c r="AD120" i="14"/>
  <c r="X120" i="14"/>
  <c r="Y120" i="14" s="1"/>
  <c r="Z120" i="14" s="1"/>
  <c r="W120" i="14"/>
  <c r="V120" i="14"/>
  <c r="AI119" i="14"/>
  <c r="AD119" i="14"/>
  <c r="X119" i="14"/>
  <c r="Y119" i="14" s="1"/>
  <c r="Z119" i="14" s="1"/>
  <c r="W119" i="14"/>
  <c r="V119" i="14"/>
  <c r="AI118" i="14"/>
  <c r="AD118" i="14"/>
  <c r="X118" i="14"/>
  <c r="Y118" i="14" s="1"/>
  <c r="Z118" i="14" s="1"/>
  <c r="W118" i="14"/>
  <c r="V118" i="14"/>
  <c r="AI117" i="14"/>
  <c r="AD117" i="14"/>
  <c r="X117" i="14"/>
  <c r="Y117" i="14" s="1"/>
  <c r="Z117" i="14" s="1"/>
  <c r="W117" i="14"/>
  <c r="V117" i="14"/>
  <c r="AI116" i="14"/>
  <c r="AD116" i="14"/>
  <c r="X116" i="14"/>
  <c r="Y116" i="14" s="1"/>
  <c r="Z116" i="14" s="1"/>
  <c r="W116" i="14"/>
  <c r="V116" i="14"/>
  <c r="AI115" i="14"/>
  <c r="AD115" i="14"/>
  <c r="X115" i="14"/>
  <c r="Y115" i="14" s="1"/>
  <c r="Z115" i="14" s="1"/>
  <c r="W115" i="14"/>
  <c r="V115" i="14"/>
  <c r="AI114" i="14"/>
  <c r="AD114" i="14"/>
  <c r="X114" i="14"/>
  <c r="Y114" i="14" s="1"/>
  <c r="Z114" i="14" s="1"/>
  <c r="W114" i="14"/>
  <c r="V114" i="14"/>
  <c r="AI113" i="14"/>
  <c r="AD113" i="14"/>
  <c r="X113" i="14"/>
  <c r="Y113" i="14" s="1"/>
  <c r="Z113" i="14" s="1"/>
  <c r="W113" i="14"/>
  <c r="V113" i="14"/>
  <c r="AI112" i="14"/>
  <c r="AD112" i="14"/>
  <c r="X112" i="14"/>
  <c r="Y112" i="14" s="1"/>
  <c r="Z112" i="14" s="1"/>
  <c r="W112" i="14"/>
  <c r="V112" i="14"/>
  <c r="AI111" i="14"/>
  <c r="AD111" i="14"/>
  <c r="X111" i="14"/>
  <c r="Y111" i="14" s="1"/>
  <c r="Z111" i="14" s="1"/>
  <c r="W111" i="14"/>
  <c r="V111" i="14"/>
  <c r="AR110" i="14"/>
  <c r="AI110" i="14"/>
  <c r="AI126" i="14" s="1"/>
  <c r="AD110" i="14"/>
  <c r="AD126" i="14" s="1"/>
  <c r="X110" i="14"/>
  <c r="X126" i="14" s="1"/>
  <c r="W110" i="14"/>
  <c r="V110" i="14"/>
  <c r="C107" i="14"/>
  <c r="C106" i="14"/>
  <c r="AI105" i="14"/>
  <c r="AD105" i="14"/>
  <c r="X105" i="14"/>
  <c r="Y105" i="14" s="1"/>
  <c r="Z105" i="14" s="1"/>
  <c r="W105" i="14"/>
  <c r="V105" i="14"/>
  <c r="AI104" i="14"/>
  <c r="AD104" i="14"/>
  <c r="X104" i="14"/>
  <c r="Y104" i="14" s="1"/>
  <c r="Z104" i="14" s="1"/>
  <c r="W104" i="14"/>
  <c r="V104" i="14"/>
  <c r="AI103" i="14"/>
  <c r="AD103" i="14"/>
  <c r="X103" i="14"/>
  <c r="Y103" i="14" s="1"/>
  <c r="Z103" i="14" s="1"/>
  <c r="AA103" i="14" s="1"/>
  <c r="AC103" i="14" s="1"/>
  <c r="W103" i="14"/>
  <c r="V103" i="14"/>
  <c r="AI102" i="14"/>
  <c r="AD102" i="14"/>
  <c r="X102" i="14"/>
  <c r="Y102" i="14" s="1"/>
  <c r="Z102" i="14" s="1"/>
  <c r="W102" i="14"/>
  <c r="V102" i="14"/>
  <c r="AI101" i="14"/>
  <c r="AD101" i="14"/>
  <c r="X101" i="14"/>
  <c r="Y101" i="14" s="1"/>
  <c r="Z101" i="14" s="1"/>
  <c r="W101" i="14"/>
  <c r="V101" i="14"/>
  <c r="AI100" i="14"/>
  <c r="AD100" i="14"/>
  <c r="X100" i="14"/>
  <c r="Y100" i="14" s="1"/>
  <c r="Z100" i="14" s="1"/>
  <c r="W100" i="14"/>
  <c r="V100" i="14"/>
  <c r="AI99" i="14"/>
  <c r="AD99" i="14"/>
  <c r="X99" i="14"/>
  <c r="Y99" i="14" s="1"/>
  <c r="Z99" i="14" s="1"/>
  <c r="W99" i="14"/>
  <c r="V99" i="14"/>
  <c r="AI98" i="14"/>
  <c r="AD98" i="14"/>
  <c r="X98" i="14"/>
  <c r="Y98" i="14" s="1"/>
  <c r="Z98" i="14" s="1"/>
  <c r="W98" i="14"/>
  <c r="V98" i="14"/>
  <c r="AI97" i="14"/>
  <c r="AD97" i="14"/>
  <c r="X97" i="14"/>
  <c r="Y97" i="14" s="1"/>
  <c r="Z97" i="14" s="1"/>
  <c r="W97" i="14"/>
  <c r="V97" i="14"/>
  <c r="AI96" i="14"/>
  <c r="AD96" i="14"/>
  <c r="X96" i="14"/>
  <c r="Y96" i="14" s="1"/>
  <c r="Z96" i="14" s="1"/>
  <c r="W96" i="14"/>
  <c r="V96" i="14"/>
  <c r="AI95" i="14"/>
  <c r="AD95" i="14"/>
  <c r="X95" i="14"/>
  <c r="Y95" i="14" s="1"/>
  <c r="Z95" i="14" s="1"/>
  <c r="W95" i="14"/>
  <c r="V95" i="14"/>
  <c r="AI94" i="14"/>
  <c r="AD94" i="14"/>
  <c r="X94" i="14"/>
  <c r="Y94" i="14" s="1"/>
  <c r="Z94" i="14" s="1"/>
  <c r="W94" i="14"/>
  <c r="V94" i="14"/>
  <c r="AI93" i="14"/>
  <c r="AD93" i="14"/>
  <c r="X93" i="14"/>
  <c r="Y93" i="14" s="1"/>
  <c r="Z93" i="14" s="1"/>
  <c r="W93" i="14"/>
  <c r="V93" i="14"/>
  <c r="AI92" i="14"/>
  <c r="AD92" i="14"/>
  <c r="X92" i="14"/>
  <c r="Y92" i="14" s="1"/>
  <c r="Z92" i="14" s="1"/>
  <c r="W92" i="14"/>
  <c r="V92" i="14"/>
  <c r="AI91" i="14"/>
  <c r="AD91" i="14"/>
  <c r="X91" i="14"/>
  <c r="Y91" i="14" s="1"/>
  <c r="Z91" i="14" s="1"/>
  <c r="W91" i="14"/>
  <c r="V91" i="14"/>
  <c r="AR90" i="14"/>
  <c r="AI90" i="14"/>
  <c r="AI106" i="14" s="1"/>
  <c r="AD90" i="14"/>
  <c r="AD106" i="14" s="1"/>
  <c r="X90" i="14"/>
  <c r="W90" i="14"/>
  <c r="V90" i="14"/>
  <c r="C87" i="14"/>
  <c r="C86" i="14"/>
  <c r="AI85" i="14"/>
  <c r="AD85" i="14"/>
  <c r="X85" i="14"/>
  <c r="Y85" i="14" s="1"/>
  <c r="Z85" i="14" s="1"/>
  <c r="W85" i="14"/>
  <c r="V85" i="14"/>
  <c r="AI84" i="14"/>
  <c r="AD84" i="14"/>
  <c r="X84" i="14"/>
  <c r="Y84" i="14" s="1"/>
  <c r="Z84" i="14" s="1"/>
  <c r="W84" i="14"/>
  <c r="V84" i="14"/>
  <c r="AI83" i="14"/>
  <c r="AD83" i="14"/>
  <c r="X83" i="14"/>
  <c r="Y83" i="14" s="1"/>
  <c r="Z83" i="14" s="1"/>
  <c r="W83" i="14"/>
  <c r="V83" i="14"/>
  <c r="AI82" i="14"/>
  <c r="AD82" i="14"/>
  <c r="X82" i="14"/>
  <c r="Y82" i="14" s="1"/>
  <c r="Z82" i="14" s="1"/>
  <c r="W82" i="14"/>
  <c r="V82" i="14"/>
  <c r="AI81" i="14"/>
  <c r="AD81" i="14"/>
  <c r="X81" i="14"/>
  <c r="Y81" i="14" s="1"/>
  <c r="Z81" i="14" s="1"/>
  <c r="W81" i="14"/>
  <c r="V81" i="14"/>
  <c r="AI80" i="14"/>
  <c r="AD80" i="14"/>
  <c r="X80" i="14"/>
  <c r="Y80" i="14" s="1"/>
  <c r="Z80" i="14" s="1"/>
  <c r="W80" i="14"/>
  <c r="V80" i="14"/>
  <c r="AI79" i="14"/>
  <c r="AD79" i="14"/>
  <c r="X79" i="14"/>
  <c r="Y79" i="14" s="1"/>
  <c r="Z79" i="14" s="1"/>
  <c r="W79" i="14"/>
  <c r="V79" i="14"/>
  <c r="AI78" i="14"/>
  <c r="AD78" i="14"/>
  <c r="X78" i="14"/>
  <c r="Y78" i="14" s="1"/>
  <c r="Z78" i="14" s="1"/>
  <c r="W78" i="14"/>
  <c r="V78" i="14"/>
  <c r="AI77" i="14"/>
  <c r="AD77" i="14"/>
  <c r="X77" i="14"/>
  <c r="Y77" i="14" s="1"/>
  <c r="Z77" i="14" s="1"/>
  <c r="W77" i="14"/>
  <c r="V77" i="14"/>
  <c r="AI76" i="14"/>
  <c r="AD76" i="14"/>
  <c r="X76" i="14"/>
  <c r="Y76" i="14" s="1"/>
  <c r="Z76" i="14" s="1"/>
  <c r="W76" i="14"/>
  <c r="V76" i="14"/>
  <c r="AI75" i="14"/>
  <c r="AD75" i="14"/>
  <c r="X75" i="14"/>
  <c r="Y75" i="14" s="1"/>
  <c r="Z75" i="14" s="1"/>
  <c r="W75" i="14"/>
  <c r="V75" i="14"/>
  <c r="AI74" i="14"/>
  <c r="AD74" i="14"/>
  <c r="X74" i="14"/>
  <c r="Y74" i="14" s="1"/>
  <c r="Z74" i="14" s="1"/>
  <c r="AA74" i="14" s="1"/>
  <c r="AC74" i="14" s="1"/>
  <c r="W74" i="14"/>
  <c r="V74" i="14"/>
  <c r="AI73" i="14"/>
  <c r="AD73" i="14"/>
  <c r="X73" i="14"/>
  <c r="Y73" i="14" s="1"/>
  <c r="Z73" i="14" s="1"/>
  <c r="AA73" i="14" s="1"/>
  <c r="AC73" i="14" s="1"/>
  <c r="W73" i="14"/>
  <c r="V73" i="14"/>
  <c r="AI72" i="14"/>
  <c r="AD72" i="14"/>
  <c r="X72" i="14"/>
  <c r="Y72" i="14" s="1"/>
  <c r="Z72" i="14" s="1"/>
  <c r="W72" i="14"/>
  <c r="V72" i="14"/>
  <c r="AI71" i="14"/>
  <c r="AD71" i="14"/>
  <c r="X71" i="14"/>
  <c r="Y71" i="14" s="1"/>
  <c r="Z71" i="14" s="1"/>
  <c r="W71" i="14"/>
  <c r="V71" i="14"/>
  <c r="AR70" i="14"/>
  <c r="AI70" i="14"/>
  <c r="AD70" i="14"/>
  <c r="AD86" i="14" s="1"/>
  <c r="X70" i="14"/>
  <c r="W70" i="14"/>
  <c r="V70" i="14"/>
  <c r="C67" i="14"/>
  <c r="C66" i="14"/>
  <c r="AI65" i="14"/>
  <c r="AD65" i="14"/>
  <c r="X65" i="14"/>
  <c r="Y65" i="14" s="1"/>
  <c r="Z65" i="14" s="1"/>
  <c r="W65" i="14"/>
  <c r="V65" i="14"/>
  <c r="AI64" i="14"/>
  <c r="AD64" i="14"/>
  <c r="X64" i="14"/>
  <c r="Y64" i="14" s="1"/>
  <c r="Z64" i="14" s="1"/>
  <c r="W64" i="14"/>
  <c r="V64" i="14"/>
  <c r="AI63" i="14"/>
  <c r="AD63" i="14"/>
  <c r="X63" i="14"/>
  <c r="Y63" i="14" s="1"/>
  <c r="Z63" i="14" s="1"/>
  <c r="W63" i="14"/>
  <c r="V63" i="14"/>
  <c r="AI62" i="14"/>
  <c r="AD62" i="14"/>
  <c r="X62" i="14"/>
  <c r="Y62" i="14" s="1"/>
  <c r="Z62" i="14" s="1"/>
  <c r="AB62" i="14" s="1"/>
  <c r="W62" i="14"/>
  <c r="V62" i="14"/>
  <c r="AI61" i="14"/>
  <c r="AD61" i="14"/>
  <c r="X61" i="14"/>
  <c r="Y61" i="14" s="1"/>
  <c r="Z61" i="14" s="1"/>
  <c r="W61" i="14"/>
  <c r="V61" i="14"/>
  <c r="AI60" i="14"/>
  <c r="AD60" i="14"/>
  <c r="X60" i="14"/>
  <c r="Y60" i="14" s="1"/>
  <c r="Z60" i="14" s="1"/>
  <c r="W60" i="14"/>
  <c r="V60" i="14"/>
  <c r="AI59" i="14"/>
  <c r="AD59" i="14"/>
  <c r="X59" i="14"/>
  <c r="Y59" i="14" s="1"/>
  <c r="Z59" i="14" s="1"/>
  <c r="AB59" i="14" s="1"/>
  <c r="W59" i="14"/>
  <c r="V59" i="14"/>
  <c r="AI58" i="14"/>
  <c r="AD58" i="14"/>
  <c r="X58" i="14"/>
  <c r="Y58" i="14" s="1"/>
  <c r="Z58" i="14" s="1"/>
  <c r="AA58" i="14" s="1"/>
  <c r="AC58" i="14" s="1"/>
  <c r="W58" i="14"/>
  <c r="V58" i="14"/>
  <c r="AI57" i="14"/>
  <c r="AD57" i="14"/>
  <c r="X57" i="14"/>
  <c r="Y57" i="14" s="1"/>
  <c r="Z57" i="14" s="1"/>
  <c r="W57" i="14"/>
  <c r="V57" i="14"/>
  <c r="AI56" i="14"/>
  <c r="AD56" i="14"/>
  <c r="X56" i="14"/>
  <c r="Y56" i="14" s="1"/>
  <c r="Z56" i="14" s="1"/>
  <c r="W56" i="14"/>
  <c r="V56" i="14"/>
  <c r="AI55" i="14"/>
  <c r="AD55" i="14"/>
  <c r="X55" i="14"/>
  <c r="Y55" i="14" s="1"/>
  <c r="Z55" i="14" s="1"/>
  <c r="W55" i="14"/>
  <c r="V55" i="14"/>
  <c r="AI54" i="14"/>
  <c r="AD54" i="14"/>
  <c r="X54" i="14"/>
  <c r="Y54" i="14" s="1"/>
  <c r="Z54" i="14" s="1"/>
  <c r="W54" i="14"/>
  <c r="V54" i="14"/>
  <c r="AI53" i="14"/>
  <c r="AD53" i="14"/>
  <c r="X53" i="14"/>
  <c r="Y53" i="14" s="1"/>
  <c r="Z53" i="14" s="1"/>
  <c r="W53" i="14"/>
  <c r="V53" i="14"/>
  <c r="AI52" i="14"/>
  <c r="AD52" i="14"/>
  <c r="X52" i="14"/>
  <c r="Y52" i="14" s="1"/>
  <c r="Z52" i="14" s="1"/>
  <c r="W52" i="14"/>
  <c r="V52" i="14"/>
  <c r="AI51" i="14"/>
  <c r="AD51" i="14"/>
  <c r="X51" i="14"/>
  <c r="Y51" i="14" s="1"/>
  <c r="Z51" i="14" s="1"/>
  <c r="W51" i="14"/>
  <c r="V51" i="14"/>
  <c r="AR50" i="14"/>
  <c r="AI50" i="14"/>
  <c r="AD50" i="14"/>
  <c r="AD66" i="14" s="1"/>
  <c r="X50" i="14"/>
  <c r="X66" i="14" s="1"/>
  <c r="W50" i="14"/>
  <c r="V50" i="14"/>
  <c r="C47" i="14"/>
  <c r="C46" i="14"/>
  <c r="AI45" i="14"/>
  <c r="AD45" i="14"/>
  <c r="X45" i="14"/>
  <c r="Y45" i="14" s="1"/>
  <c r="Z45" i="14" s="1"/>
  <c r="AB45" i="14" s="1"/>
  <c r="W45" i="14"/>
  <c r="V45" i="14"/>
  <c r="AI44" i="14"/>
  <c r="AD44" i="14"/>
  <c r="X44" i="14"/>
  <c r="Y44" i="14" s="1"/>
  <c r="Z44" i="14" s="1"/>
  <c r="AB44" i="14" s="1"/>
  <c r="W44" i="14"/>
  <c r="V44" i="14"/>
  <c r="AI43" i="14"/>
  <c r="AD43" i="14"/>
  <c r="X43" i="14"/>
  <c r="Y43" i="14" s="1"/>
  <c r="Z43" i="14" s="1"/>
  <c r="W43" i="14"/>
  <c r="V43" i="14"/>
  <c r="AI42" i="14"/>
  <c r="AD42" i="14"/>
  <c r="X42" i="14"/>
  <c r="Y42" i="14" s="1"/>
  <c r="Z42" i="14" s="1"/>
  <c r="AA42" i="14" s="1"/>
  <c r="AC42" i="14" s="1"/>
  <c r="W42" i="14"/>
  <c r="V42" i="14"/>
  <c r="AI41" i="14"/>
  <c r="AD41" i="14"/>
  <c r="X41" i="14"/>
  <c r="Y41" i="14" s="1"/>
  <c r="Z41" i="14" s="1"/>
  <c r="W41" i="14"/>
  <c r="V41" i="14"/>
  <c r="AI40" i="14"/>
  <c r="AD40" i="14"/>
  <c r="X40" i="14"/>
  <c r="Y40" i="14" s="1"/>
  <c r="Z40" i="14" s="1"/>
  <c r="W40" i="14"/>
  <c r="V40" i="14"/>
  <c r="AI39" i="14"/>
  <c r="AD39" i="14"/>
  <c r="X39" i="14"/>
  <c r="Y39" i="14" s="1"/>
  <c r="Z39" i="14" s="1"/>
  <c r="W39" i="14"/>
  <c r="V39" i="14"/>
  <c r="AI38" i="14"/>
  <c r="AD38" i="14"/>
  <c r="X38" i="14"/>
  <c r="Y38" i="14" s="1"/>
  <c r="Z38" i="14" s="1"/>
  <c r="W38" i="14"/>
  <c r="V38" i="14"/>
  <c r="AI37" i="14"/>
  <c r="AD37" i="14"/>
  <c r="X37" i="14"/>
  <c r="Y37" i="14" s="1"/>
  <c r="Z37" i="14" s="1"/>
  <c r="AB37" i="14" s="1"/>
  <c r="W37" i="14"/>
  <c r="V37" i="14"/>
  <c r="AI36" i="14"/>
  <c r="AD36" i="14"/>
  <c r="X36" i="14"/>
  <c r="Y36" i="14" s="1"/>
  <c r="Z36" i="14" s="1"/>
  <c r="W36" i="14"/>
  <c r="V36" i="14"/>
  <c r="AI35" i="14"/>
  <c r="AD35" i="14"/>
  <c r="X35" i="14"/>
  <c r="Y35" i="14" s="1"/>
  <c r="Z35" i="14" s="1"/>
  <c r="W35" i="14"/>
  <c r="V35" i="14"/>
  <c r="AI34" i="14"/>
  <c r="AD34" i="14"/>
  <c r="X34" i="14"/>
  <c r="Y34" i="14" s="1"/>
  <c r="Z34" i="14" s="1"/>
  <c r="AB34" i="14" s="1"/>
  <c r="W34" i="14"/>
  <c r="V34" i="14"/>
  <c r="AI33" i="14"/>
  <c r="AD33" i="14"/>
  <c r="X33" i="14"/>
  <c r="Y33" i="14" s="1"/>
  <c r="Z33" i="14" s="1"/>
  <c r="W33" i="14"/>
  <c r="V33" i="14"/>
  <c r="AI32" i="14"/>
  <c r="AD32" i="14"/>
  <c r="X32" i="14"/>
  <c r="Y32" i="14" s="1"/>
  <c r="Z32" i="14" s="1"/>
  <c r="W32" i="14"/>
  <c r="V32" i="14"/>
  <c r="AI31" i="14"/>
  <c r="AD31" i="14"/>
  <c r="X31" i="14"/>
  <c r="Y31" i="14" s="1"/>
  <c r="Z31" i="14" s="1"/>
  <c r="AB31" i="14" s="1"/>
  <c r="W31" i="14"/>
  <c r="V31" i="14"/>
  <c r="AR30" i="14"/>
  <c r="AI30" i="14"/>
  <c r="AD30" i="14"/>
  <c r="AD46" i="14" s="1"/>
  <c r="X30" i="14"/>
  <c r="W30" i="14"/>
  <c r="V30" i="14"/>
  <c r="C27" i="14"/>
  <c r="C26" i="14"/>
  <c r="C25" i="14"/>
  <c r="C24" i="14"/>
  <c r="C23" i="14"/>
  <c r="C22" i="14"/>
  <c r="C21" i="14"/>
  <c r="C20" i="14"/>
  <c r="C19" i="14"/>
  <c r="C18" i="14"/>
  <c r="C17" i="14"/>
  <c r="C16" i="14"/>
  <c r="C15" i="14"/>
  <c r="C14" i="14"/>
  <c r="C13" i="14"/>
  <c r="C12" i="14"/>
  <c r="C11" i="14"/>
  <c r="C10" i="14"/>
  <c r="C11" i="8"/>
  <c r="C12" i="8"/>
  <c r="C13" i="8"/>
  <c r="C14" i="8"/>
  <c r="C15" i="8"/>
  <c r="C16" i="8"/>
  <c r="C17" i="8"/>
  <c r="C18" i="8"/>
  <c r="C19" i="8"/>
  <c r="C20" i="8"/>
  <c r="C21" i="8"/>
  <c r="C22" i="8"/>
  <c r="C23" i="8"/>
  <c r="C24" i="8"/>
  <c r="C25" i="8"/>
  <c r="C10" i="8"/>
  <c r="AH11" i="8"/>
  <c r="AH11" i="14" s="1"/>
  <c r="AH12" i="8"/>
  <c r="AH12" i="14" s="1"/>
  <c r="AH13" i="8"/>
  <c r="AH13" i="14" s="1"/>
  <c r="AH14" i="8"/>
  <c r="AH14" i="14" s="1"/>
  <c r="AH15" i="8"/>
  <c r="AH15" i="14" s="1"/>
  <c r="AH16" i="8"/>
  <c r="AH16" i="14" s="1"/>
  <c r="AH17" i="8"/>
  <c r="AH17" i="14" s="1"/>
  <c r="AH18" i="8"/>
  <c r="AH18" i="14" s="1"/>
  <c r="AH19" i="8"/>
  <c r="AH19" i="14" s="1"/>
  <c r="AH20" i="8"/>
  <c r="AH20" i="14" s="1"/>
  <c r="AH21" i="8"/>
  <c r="AH21" i="14" s="1"/>
  <c r="AH22" i="8"/>
  <c r="AH22" i="14" s="1"/>
  <c r="AH23" i="8"/>
  <c r="AH23" i="14" s="1"/>
  <c r="AH24" i="8"/>
  <c r="AH24" i="14" s="1"/>
  <c r="AH25" i="8"/>
  <c r="AH25" i="14" s="1"/>
  <c r="D11" i="8"/>
  <c r="D11" i="14" s="1"/>
  <c r="E11" i="8"/>
  <c r="E11" i="14" s="1"/>
  <c r="F11" i="8"/>
  <c r="F11" i="14" s="1"/>
  <c r="G11" i="8"/>
  <c r="G11" i="14" s="1"/>
  <c r="H11" i="8"/>
  <c r="H11" i="14" s="1"/>
  <c r="I11" i="8"/>
  <c r="I11" i="14" s="1"/>
  <c r="J11" i="8"/>
  <c r="J11" i="14" s="1"/>
  <c r="K11" i="8"/>
  <c r="K11" i="14" s="1"/>
  <c r="L11" i="8"/>
  <c r="L11" i="14" s="1"/>
  <c r="M11" i="8"/>
  <c r="M11" i="14" s="1"/>
  <c r="N11" i="8"/>
  <c r="N11" i="14" s="1"/>
  <c r="O11" i="8"/>
  <c r="O11" i="14" s="1"/>
  <c r="P11" i="8"/>
  <c r="P11" i="14" s="1"/>
  <c r="Q11" i="8"/>
  <c r="Q11" i="14" s="1"/>
  <c r="D12" i="8"/>
  <c r="D12" i="14" s="1"/>
  <c r="E12" i="8"/>
  <c r="E12" i="14" s="1"/>
  <c r="F12" i="8"/>
  <c r="F12" i="14" s="1"/>
  <c r="G12" i="8"/>
  <c r="G12" i="14" s="1"/>
  <c r="H12" i="8"/>
  <c r="H12" i="14" s="1"/>
  <c r="I12" i="8"/>
  <c r="I12" i="14" s="1"/>
  <c r="J12" i="8"/>
  <c r="J12" i="14" s="1"/>
  <c r="K12" i="8"/>
  <c r="K12" i="14" s="1"/>
  <c r="L12" i="8"/>
  <c r="L12" i="14" s="1"/>
  <c r="M12" i="8"/>
  <c r="M12" i="14" s="1"/>
  <c r="N12" i="8"/>
  <c r="N12" i="14" s="1"/>
  <c r="O12" i="8"/>
  <c r="O12" i="14" s="1"/>
  <c r="P12" i="8"/>
  <c r="P12" i="14" s="1"/>
  <c r="Q12" i="8"/>
  <c r="Q12" i="14" s="1"/>
  <c r="D13" i="8"/>
  <c r="D13" i="14" s="1"/>
  <c r="E13" i="8"/>
  <c r="E13" i="14" s="1"/>
  <c r="F13" i="8"/>
  <c r="F13" i="14" s="1"/>
  <c r="G13" i="8"/>
  <c r="G13" i="14" s="1"/>
  <c r="H13" i="8"/>
  <c r="H13" i="14" s="1"/>
  <c r="I13" i="8"/>
  <c r="I13" i="14" s="1"/>
  <c r="J13" i="8"/>
  <c r="J13" i="14" s="1"/>
  <c r="K13" i="8"/>
  <c r="K13" i="14" s="1"/>
  <c r="L13" i="8"/>
  <c r="L13" i="14" s="1"/>
  <c r="M13" i="8"/>
  <c r="M13" i="14" s="1"/>
  <c r="N13" i="8"/>
  <c r="N13" i="14" s="1"/>
  <c r="O13" i="8"/>
  <c r="O13" i="14" s="1"/>
  <c r="P13" i="8"/>
  <c r="P13" i="14" s="1"/>
  <c r="Q13" i="8"/>
  <c r="Q13" i="14" s="1"/>
  <c r="D14" i="8"/>
  <c r="D14" i="14" s="1"/>
  <c r="E14" i="8"/>
  <c r="E14" i="14" s="1"/>
  <c r="F14" i="8"/>
  <c r="F14" i="14" s="1"/>
  <c r="G14" i="8"/>
  <c r="G14" i="14" s="1"/>
  <c r="H14" i="8"/>
  <c r="H14" i="14" s="1"/>
  <c r="I14" i="8"/>
  <c r="I14" i="14" s="1"/>
  <c r="J14" i="8"/>
  <c r="J14" i="14" s="1"/>
  <c r="K14" i="8"/>
  <c r="K14" i="14" s="1"/>
  <c r="L14" i="8"/>
  <c r="L14" i="14" s="1"/>
  <c r="M14" i="8"/>
  <c r="M14" i="14" s="1"/>
  <c r="N14" i="8"/>
  <c r="N14" i="14" s="1"/>
  <c r="O14" i="8"/>
  <c r="O14" i="14" s="1"/>
  <c r="P14" i="8"/>
  <c r="P14" i="14" s="1"/>
  <c r="Q14" i="8"/>
  <c r="Q14" i="14" s="1"/>
  <c r="D15" i="8"/>
  <c r="D15" i="14" s="1"/>
  <c r="E15" i="8"/>
  <c r="E15" i="14" s="1"/>
  <c r="F15" i="8"/>
  <c r="F15" i="14" s="1"/>
  <c r="G15" i="8"/>
  <c r="G15" i="14" s="1"/>
  <c r="H15" i="8"/>
  <c r="H15" i="14" s="1"/>
  <c r="I15" i="8"/>
  <c r="I15" i="14" s="1"/>
  <c r="J15" i="8"/>
  <c r="J15" i="14" s="1"/>
  <c r="K15" i="8"/>
  <c r="K15" i="14" s="1"/>
  <c r="L15" i="8"/>
  <c r="L15" i="14" s="1"/>
  <c r="M15" i="8"/>
  <c r="M15" i="14" s="1"/>
  <c r="N15" i="8"/>
  <c r="N15" i="14" s="1"/>
  <c r="O15" i="8"/>
  <c r="O15" i="14" s="1"/>
  <c r="P15" i="8"/>
  <c r="P15" i="14" s="1"/>
  <c r="Q15" i="8"/>
  <c r="Q15" i="14" s="1"/>
  <c r="D16" i="8"/>
  <c r="D16" i="14" s="1"/>
  <c r="E16" i="8"/>
  <c r="E16" i="14" s="1"/>
  <c r="F16" i="8"/>
  <c r="F16" i="14" s="1"/>
  <c r="G16" i="8"/>
  <c r="G16" i="14" s="1"/>
  <c r="H16" i="8"/>
  <c r="H16" i="14" s="1"/>
  <c r="I16" i="8"/>
  <c r="I16" i="14" s="1"/>
  <c r="J16" i="8"/>
  <c r="J16" i="14" s="1"/>
  <c r="K16" i="8"/>
  <c r="K16" i="14" s="1"/>
  <c r="L16" i="8"/>
  <c r="L16" i="14" s="1"/>
  <c r="M16" i="8"/>
  <c r="M16" i="14" s="1"/>
  <c r="N16" i="8"/>
  <c r="N16" i="14" s="1"/>
  <c r="O16" i="8"/>
  <c r="O16" i="14" s="1"/>
  <c r="P16" i="8"/>
  <c r="P16" i="14" s="1"/>
  <c r="Q16" i="8"/>
  <c r="Q16" i="14" s="1"/>
  <c r="D17" i="8"/>
  <c r="D17" i="14" s="1"/>
  <c r="E17" i="8"/>
  <c r="E17" i="14" s="1"/>
  <c r="F17" i="8"/>
  <c r="F17" i="14" s="1"/>
  <c r="G17" i="8"/>
  <c r="G17" i="14" s="1"/>
  <c r="H17" i="8"/>
  <c r="H17" i="14" s="1"/>
  <c r="I17" i="8"/>
  <c r="I17" i="14" s="1"/>
  <c r="J17" i="8"/>
  <c r="J17" i="14" s="1"/>
  <c r="K17" i="8"/>
  <c r="K17" i="14" s="1"/>
  <c r="L17" i="8"/>
  <c r="L17" i="14" s="1"/>
  <c r="M17" i="8"/>
  <c r="M17" i="14" s="1"/>
  <c r="N17" i="8"/>
  <c r="N17" i="14" s="1"/>
  <c r="O17" i="8"/>
  <c r="O17" i="14" s="1"/>
  <c r="P17" i="8"/>
  <c r="P17" i="14" s="1"/>
  <c r="Q17" i="8"/>
  <c r="Q17" i="14" s="1"/>
  <c r="D18" i="8"/>
  <c r="D18" i="14" s="1"/>
  <c r="E18" i="8"/>
  <c r="E18" i="14" s="1"/>
  <c r="F18" i="8"/>
  <c r="F18" i="14" s="1"/>
  <c r="G18" i="8"/>
  <c r="G18" i="14" s="1"/>
  <c r="H18" i="8"/>
  <c r="H18" i="14" s="1"/>
  <c r="I18" i="8"/>
  <c r="I18" i="14" s="1"/>
  <c r="J18" i="8"/>
  <c r="J18" i="14" s="1"/>
  <c r="K18" i="8"/>
  <c r="K18" i="14" s="1"/>
  <c r="L18" i="8"/>
  <c r="L18" i="14" s="1"/>
  <c r="M18" i="8"/>
  <c r="M18" i="14" s="1"/>
  <c r="N18" i="8"/>
  <c r="N18" i="14" s="1"/>
  <c r="O18" i="8"/>
  <c r="O18" i="14" s="1"/>
  <c r="P18" i="8"/>
  <c r="P18" i="14" s="1"/>
  <c r="Q18" i="8"/>
  <c r="Q18" i="14" s="1"/>
  <c r="D19" i="8"/>
  <c r="D19" i="14" s="1"/>
  <c r="E19" i="8"/>
  <c r="E19" i="14" s="1"/>
  <c r="F19" i="8"/>
  <c r="F19" i="14" s="1"/>
  <c r="G19" i="8"/>
  <c r="G19" i="14" s="1"/>
  <c r="H19" i="8"/>
  <c r="H19" i="14" s="1"/>
  <c r="I19" i="8"/>
  <c r="I19" i="14" s="1"/>
  <c r="J19" i="8"/>
  <c r="J19" i="14" s="1"/>
  <c r="K19" i="8"/>
  <c r="K19" i="14" s="1"/>
  <c r="L19" i="8"/>
  <c r="L19" i="14" s="1"/>
  <c r="M19" i="8"/>
  <c r="M19" i="14" s="1"/>
  <c r="N19" i="8"/>
  <c r="N19" i="14" s="1"/>
  <c r="O19" i="8"/>
  <c r="O19" i="14" s="1"/>
  <c r="P19" i="8"/>
  <c r="P19" i="14" s="1"/>
  <c r="Q19" i="8"/>
  <c r="Q19" i="14" s="1"/>
  <c r="D20" i="8"/>
  <c r="D20" i="14" s="1"/>
  <c r="E20" i="8"/>
  <c r="E20" i="14" s="1"/>
  <c r="F20" i="8"/>
  <c r="F20" i="14" s="1"/>
  <c r="G20" i="8"/>
  <c r="G20" i="14" s="1"/>
  <c r="H20" i="8"/>
  <c r="H20" i="14" s="1"/>
  <c r="I20" i="8"/>
  <c r="I20" i="14" s="1"/>
  <c r="J20" i="8"/>
  <c r="J20" i="14" s="1"/>
  <c r="K20" i="8"/>
  <c r="K20" i="14" s="1"/>
  <c r="L20" i="8"/>
  <c r="L20" i="14" s="1"/>
  <c r="M20" i="8"/>
  <c r="M20" i="14" s="1"/>
  <c r="N20" i="8"/>
  <c r="N20" i="14" s="1"/>
  <c r="O20" i="8"/>
  <c r="O20" i="14" s="1"/>
  <c r="P20" i="8"/>
  <c r="P20" i="14" s="1"/>
  <c r="Q20" i="8"/>
  <c r="Q20" i="14" s="1"/>
  <c r="D21" i="8"/>
  <c r="D21" i="14" s="1"/>
  <c r="E21" i="8"/>
  <c r="E21" i="14" s="1"/>
  <c r="F21" i="8"/>
  <c r="F21" i="14" s="1"/>
  <c r="G21" i="8"/>
  <c r="G21" i="14" s="1"/>
  <c r="H21" i="8"/>
  <c r="H21" i="14" s="1"/>
  <c r="I21" i="8"/>
  <c r="I21" i="14" s="1"/>
  <c r="J21" i="8"/>
  <c r="J21" i="14" s="1"/>
  <c r="K21" i="8"/>
  <c r="K21" i="14" s="1"/>
  <c r="L21" i="8"/>
  <c r="L21" i="14" s="1"/>
  <c r="M21" i="8"/>
  <c r="M21" i="14" s="1"/>
  <c r="N21" i="8"/>
  <c r="N21" i="14" s="1"/>
  <c r="O21" i="8"/>
  <c r="O21" i="14" s="1"/>
  <c r="P21" i="8"/>
  <c r="P21" i="14" s="1"/>
  <c r="Q21" i="8"/>
  <c r="Q21" i="14" s="1"/>
  <c r="D22" i="8"/>
  <c r="D22" i="14" s="1"/>
  <c r="E22" i="8"/>
  <c r="E22" i="14" s="1"/>
  <c r="F22" i="8"/>
  <c r="F22" i="14" s="1"/>
  <c r="G22" i="8"/>
  <c r="G22" i="14" s="1"/>
  <c r="H22" i="8"/>
  <c r="H22" i="14" s="1"/>
  <c r="I22" i="8"/>
  <c r="I22" i="14" s="1"/>
  <c r="J22" i="8"/>
  <c r="J22" i="14" s="1"/>
  <c r="K22" i="8"/>
  <c r="K22" i="14" s="1"/>
  <c r="L22" i="8"/>
  <c r="L22" i="14" s="1"/>
  <c r="M22" i="8"/>
  <c r="M22" i="14" s="1"/>
  <c r="N22" i="8"/>
  <c r="N22" i="14" s="1"/>
  <c r="O22" i="8"/>
  <c r="O22" i="14" s="1"/>
  <c r="P22" i="8"/>
  <c r="P22" i="14" s="1"/>
  <c r="Q22" i="8"/>
  <c r="Q22" i="14" s="1"/>
  <c r="D23" i="8"/>
  <c r="D23" i="14" s="1"/>
  <c r="E23" i="8"/>
  <c r="E23" i="14" s="1"/>
  <c r="F23" i="8"/>
  <c r="F23" i="14" s="1"/>
  <c r="G23" i="8"/>
  <c r="G23" i="14" s="1"/>
  <c r="H23" i="8"/>
  <c r="H23" i="14" s="1"/>
  <c r="I23" i="8"/>
  <c r="I23" i="14" s="1"/>
  <c r="J23" i="8"/>
  <c r="J23" i="14" s="1"/>
  <c r="K23" i="8"/>
  <c r="K23" i="14" s="1"/>
  <c r="L23" i="8"/>
  <c r="L23" i="14" s="1"/>
  <c r="M23" i="8"/>
  <c r="M23" i="14" s="1"/>
  <c r="N23" i="8"/>
  <c r="N23" i="14" s="1"/>
  <c r="O23" i="8"/>
  <c r="O23" i="14" s="1"/>
  <c r="P23" i="8"/>
  <c r="P23" i="14" s="1"/>
  <c r="Q23" i="8"/>
  <c r="Q23" i="14" s="1"/>
  <c r="D24" i="8"/>
  <c r="D24" i="14" s="1"/>
  <c r="E24" i="8"/>
  <c r="E24" i="14" s="1"/>
  <c r="F24" i="8"/>
  <c r="F24" i="14" s="1"/>
  <c r="G24" i="8"/>
  <c r="G24" i="14" s="1"/>
  <c r="H24" i="8"/>
  <c r="H24" i="14" s="1"/>
  <c r="I24" i="8"/>
  <c r="I24" i="14" s="1"/>
  <c r="J24" i="8"/>
  <c r="J24" i="14" s="1"/>
  <c r="K24" i="8"/>
  <c r="K24" i="14" s="1"/>
  <c r="L24" i="8"/>
  <c r="L24" i="14" s="1"/>
  <c r="M24" i="8"/>
  <c r="M24" i="14" s="1"/>
  <c r="N24" i="8"/>
  <c r="N24" i="14" s="1"/>
  <c r="O24" i="8"/>
  <c r="O24" i="14" s="1"/>
  <c r="P24" i="8"/>
  <c r="P24" i="14" s="1"/>
  <c r="Q24" i="8"/>
  <c r="Q24" i="14" s="1"/>
  <c r="D25" i="8"/>
  <c r="D25" i="14" s="1"/>
  <c r="E25" i="8"/>
  <c r="E25" i="14" s="1"/>
  <c r="F25" i="8"/>
  <c r="F25" i="14" s="1"/>
  <c r="G25" i="8"/>
  <c r="G25" i="14" s="1"/>
  <c r="H25" i="8"/>
  <c r="H25" i="14" s="1"/>
  <c r="I25" i="8"/>
  <c r="I25" i="14" s="1"/>
  <c r="J25" i="8"/>
  <c r="J25" i="14" s="1"/>
  <c r="K25" i="8"/>
  <c r="K25" i="14" s="1"/>
  <c r="L25" i="8"/>
  <c r="L25" i="14" s="1"/>
  <c r="M25" i="8"/>
  <c r="M25" i="14" s="1"/>
  <c r="N25" i="8"/>
  <c r="N25" i="14" s="1"/>
  <c r="O25" i="8"/>
  <c r="O25" i="14" s="1"/>
  <c r="P25" i="8"/>
  <c r="P25" i="14" s="1"/>
  <c r="Q25" i="8"/>
  <c r="Q25" i="14" s="1"/>
  <c r="AH10" i="14"/>
  <c r="Q10" i="14"/>
  <c r="P10" i="14"/>
  <c r="O10" i="8"/>
  <c r="O10" i="14" s="1"/>
  <c r="M10" i="8"/>
  <c r="M10" i="14" s="1"/>
  <c r="L10" i="8"/>
  <c r="L10" i="14" s="1"/>
  <c r="K10" i="8"/>
  <c r="K10" i="14" s="1"/>
  <c r="J10" i="8"/>
  <c r="J10" i="14" s="1"/>
  <c r="I10" i="8"/>
  <c r="I10" i="14" s="1"/>
  <c r="H10" i="8"/>
  <c r="H10" i="14" s="1"/>
  <c r="G10" i="8"/>
  <c r="G10" i="14" s="1"/>
  <c r="F10" i="8"/>
  <c r="F10" i="14" s="1"/>
  <c r="E10" i="8"/>
  <c r="D10" i="8"/>
  <c r="D10" i="14" s="1"/>
  <c r="C388" i="13"/>
  <c r="C368" i="13"/>
  <c r="C348" i="13"/>
  <c r="C328" i="13"/>
  <c r="C308" i="13"/>
  <c r="C288" i="13"/>
  <c r="C268" i="13"/>
  <c r="C248" i="13"/>
  <c r="C228" i="13"/>
  <c r="C208" i="13"/>
  <c r="C188" i="13"/>
  <c r="C168" i="13"/>
  <c r="C148" i="13"/>
  <c r="C128" i="13"/>
  <c r="C108" i="13"/>
  <c r="C88" i="13"/>
  <c r="C68" i="13"/>
  <c r="C48" i="13"/>
  <c r="C28" i="13"/>
  <c r="C8" i="13"/>
  <c r="C405" i="13"/>
  <c r="C404" i="13"/>
  <c r="C403" i="13"/>
  <c r="C402" i="13"/>
  <c r="C401" i="13"/>
  <c r="C400" i="13"/>
  <c r="C399" i="13"/>
  <c r="C398" i="13"/>
  <c r="C397" i="13"/>
  <c r="C396" i="13"/>
  <c r="C395" i="13"/>
  <c r="C394" i="13"/>
  <c r="C393" i="13"/>
  <c r="C392" i="13"/>
  <c r="C391" i="13"/>
  <c r="C390" i="13"/>
  <c r="C389" i="13"/>
  <c r="C385" i="13"/>
  <c r="C384" i="13"/>
  <c r="C383" i="13"/>
  <c r="C382" i="13"/>
  <c r="C381" i="13"/>
  <c r="C380" i="13"/>
  <c r="C379" i="13"/>
  <c r="C378" i="13"/>
  <c r="C377" i="13"/>
  <c r="C376" i="13"/>
  <c r="C375" i="13"/>
  <c r="C374" i="13"/>
  <c r="C373" i="13"/>
  <c r="C372" i="13"/>
  <c r="C371" i="13"/>
  <c r="C370" i="13"/>
  <c r="C369" i="13"/>
  <c r="C365" i="13"/>
  <c r="C364" i="13"/>
  <c r="C363" i="13"/>
  <c r="C362" i="13"/>
  <c r="C361" i="13"/>
  <c r="C360" i="13"/>
  <c r="C359" i="13"/>
  <c r="C358" i="13"/>
  <c r="C357" i="13"/>
  <c r="C356" i="13"/>
  <c r="C355" i="13"/>
  <c r="C354" i="13"/>
  <c r="C353" i="13"/>
  <c r="C352" i="13"/>
  <c r="C351" i="13"/>
  <c r="C350" i="13"/>
  <c r="C349" i="13"/>
  <c r="C345" i="13"/>
  <c r="C344" i="13"/>
  <c r="C343" i="13"/>
  <c r="C342" i="13"/>
  <c r="C341" i="13"/>
  <c r="C340" i="13"/>
  <c r="C339" i="13"/>
  <c r="C338" i="13"/>
  <c r="C337" i="13"/>
  <c r="C336" i="13"/>
  <c r="C335" i="13"/>
  <c r="C334" i="13"/>
  <c r="C333" i="13"/>
  <c r="C332" i="13"/>
  <c r="C331" i="13"/>
  <c r="C330" i="13"/>
  <c r="C329" i="13"/>
  <c r="C325" i="13"/>
  <c r="C324" i="13"/>
  <c r="C323" i="13"/>
  <c r="C322" i="13"/>
  <c r="C321" i="13"/>
  <c r="C320" i="13"/>
  <c r="C319" i="13"/>
  <c r="C318" i="13"/>
  <c r="C317" i="13"/>
  <c r="C316" i="13"/>
  <c r="C315" i="13"/>
  <c r="C314" i="13"/>
  <c r="C313" i="13"/>
  <c r="C312" i="13"/>
  <c r="C311" i="13"/>
  <c r="C310" i="13"/>
  <c r="C309" i="13"/>
  <c r="C305" i="13"/>
  <c r="C304" i="13"/>
  <c r="C303" i="13"/>
  <c r="C302" i="13"/>
  <c r="C301" i="13"/>
  <c r="C300" i="13"/>
  <c r="C299" i="13"/>
  <c r="C298" i="13"/>
  <c r="C297" i="13"/>
  <c r="C296" i="13"/>
  <c r="C295" i="13"/>
  <c r="C294" i="13"/>
  <c r="C293" i="13"/>
  <c r="C292" i="13"/>
  <c r="C291" i="13"/>
  <c r="C290" i="13"/>
  <c r="C289" i="13"/>
  <c r="C285" i="13"/>
  <c r="C284" i="13"/>
  <c r="C283" i="13"/>
  <c r="C282" i="13"/>
  <c r="C281" i="13"/>
  <c r="C280" i="13"/>
  <c r="C279" i="13"/>
  <c r="C278" i="13"/>
  <c r="C277" i="13"/>
  <c r="C276" i="13"/>
  <c r="C275" i="13"/>
  <c r="C274" i="13"/>
  <c r="C273" i="13"/>
  <c r="C272" i="13"/>
  <c r="C271" i="13"/>
  <c r="C270" i="13"/>
  <c r="C269" i="13"/>
  <c r="C265" i="13"/>
  <c r="C264" i="13"/>
  <c r="C263" i="13"/>
  <c r="C262" i="13"/>
  <c r="C261" i="13"/>
  <c r="C260" i="13"/>
  <c r="C259" i="13"/>
  <c r="C258" i="13"/>
  <c r="C257" i="13"/>
  <c r="C256" i="13"/>
  <c r="C255" i="13"/>
  <c r="C254" i="13"/>
  <c r="C253" i="13"/>
  <c r="C252" i="13"/>
  <c r="C251" i="13"/>
  <c r="C250" i="13"/>
  <c r="C249" i="13"/>
  <c r="C245" i="13"/>
  <c r="C244" i="13"/>
  <c r="C243" i="13"/>
  <c r="C242" i="13"/>
  <c r="C241" i="13"/>
  <c r="C240" i="13"/>
  <c r="C239" i="13"/>
  <c r="C238" i="13"/>
  <c r="C237" i="13"/>
  <c r="C236" i="13"/>
  <c r="C235" i="13"/>
  <c r="C234" i="13"/>
  <c r="C233" i="13"/>
  <c r="C232" i="13"/>
  <c r="C231" i="13"/>
  <c r="C230" i="13"/>
  <c r="C229" i="13"/>
  <c r="C225" i="13"/>
  <c r="C224" i="13"/>
  <c r="C223" i="13"/>
  <c r="C222" i="13"/>
  <c r="C221" i="13"/>
  <c r="C220" i="13"/>
  <c r="C219" i="13"/>
  <c r="C218" i="13"/>
  <c r="C217" i="13"/>
  <c r="C216" i="13"/>
  <c r="C215" i="13"/>
  <c r="C214" i="13"/>
  <c r="C213" i="13"/>
  <c r="C212" i="13"/>
  <c r="C211" i="13"/>
  <c r="C210" i="13"/>
  <c r="C209" i="13"/>
  <c r="C207" i="13"/>
  <c r="C206" i="13"/>
  <c r="C205" i="13"/>
  <c r="C204" i="13"/>
  <c r="C203" i="13"/>
  <c r="C202" i="13"/>
  <c r="C201" i="13"/>
  <c r="C200" i="13"/>
  <c r="C199" i="13"/>
  <c r="C198" i="13"/>
  <c r="C197" i="13"/>
  <c r="C196" i="13"/>
  <c r="C195" i="13"/>
  <c r="C194" i="13"/>
  <c r="C193" i="13"/>
  <c r="C192" i="13"/>
  <c r="C191" i="13"/>
  <c r="C190" i="13"/>
  <c r="C189" i="13"/>
  <c r="C187" i="13"/>
  <c r="C186" i="13"/>
  <c r="C185" i="13"/>
  <c r="C184" i="13"/>
  <c r="C183" i="13"/>
  <c r="C182" i="13"/>
  <c r="C181" i="13"/>
  <c r="C180" i="13"/>
  <c r="C179" i="13"/>
  <c r="C178" i="13"/>
  <c r="C177" i="13"/>
  <c r="C176" i="13"/>
  <c r="C175" i="13"/>
  <c r="C174" i="13"/>
  <c r="C173" i="13"/>
  <c r="C172" i="13"/>
  <c r="C171" i="13"/>
  <c r="C170" i="13"/>
  <c r="C169" i="13"/>
  <c r="C167" i="13"/>
  <c r="C166" i="13"/>
  <c r="C165" i="13"/>
  <c r="C164" i="13"/>
  <c r="C163" i="13"/>
  <c r="C162" i="13"/>
  <c r="C161" i="13"/>
  <c r="C160" i="13"/>
  <c r="C159" i="13"/>
  <c r="C158" i="13"/>
  <c r="C157" i="13"/>
  <c r="C156" i="13"/>
  <c r="C155" i="13"/>
  <c r="C154" i="13"/>
  <c r="C153" i="13"/>
  <c r="C152" i="13"/>
  <c r="C151" i="13"/>
  <c r="C150" i="13"/>
  <c r="C149" i="13"/>
  <c r="C147" i="13"/>
  <c r="C146" i="13"/>
  <c r="C145" i="13"/>
  <c r="C144" i="13"/>
  <c r="C143" i="13"/>
  <c r="C142" i="13"/>
  <c r="C141" i="13"/>
  <c r="C140" i="13"/>
  <c r="C139" i="13"/>
  <c r="C138" i="13"/>
  <c r="C137" i="13"/>
  <c r="C136" i="13"/>
  <c r="C135" i="13"/>
  <c r="C134" i="13"/>
  <c r="C133" i="13"/>
  <c r="C132" i="13"/>
  <c r="C131" i="13"/>
  <c r="C130" i="13"/>
  <c r="C129" i="13"/>
  <c r="C127" i="13"/>
  <c r="C126" i="13"/>
  <c r="C125" i="13"/>
  <c r="C124" i="13"/>
  <c r="C123" i="13"/>
  <c r="C122" i="13"/>
  <c r="C121" i="13"/>
  <c r="C120" i="13"/>
  <c r="C119" i="13"/>
  <c r="C118" i="13"/>
  <c r="C117" i="13"/>
  <c r="C116" i="13"/>
  <c r="C115" i="13"/>
  <c r="C114" i="13"/>
  <c r="C113" i="13"/>
  <c r="C112" i="13"/>
  <c r="C111" i="13"/>
  <c r="C110" i="13"/>
  <c r="C109" i="13"/>
  <c r="C107" i="13"/>
  <c r="C106" i="13"/>
  <c r="C105" i="13"/>
  <c r="C104" i="13"/>
  <c r="C103" i="13"/>
  <c r="C102" i="13"/>
  <c r="C101" i="13"/>
  <c r="C100" i="13"/>
  <c r="C99" i="13"/>
  <c r="C98" i="13"/>
  <c r="C97" i="13"/>
  <c r="C96" i="13"/>
  <c r="C95" i="13"/>
  <c r="C94" i="13"/>
  <c r="C93" i="13"/>
  <c r="C92" i="13"/>
  <c r="C91" i="13"/>
  <c r="C90" i="13"/>
  <c r="C89" i="13"/>
  <c r="C87" i="13"/>
  <c r="C86" i="13"/>
  <c r="C85" i="13"/>
  <c r="C84" i="13"/>
  <c r="C83" i="13"/>
  <c r="C82" i="13"/>
  <c r="C81" i="13"/>
  <c r="C80" i="13"/>
  <c r="C79" i="13"/>
  <c r="C78" i="13"/>
  <c r="C77" i="13"/>
  <c r="C76" i="13"/>
  <c r="C75" i="13"/>
  <c r="C74" i="13"/>
  <c r="C73" i="13"/>
  <c r="C72" i="13"/>
  <c r="C71" i="13"/>
  <c r="C70" i="13"/>
  <c r="C69" i="13"/>
  <c r="C67" i="13"/>
  <c r="C66" i="13"/>
  <c r="C65" i="13"/>
  <c r="C64" i="13"/>
  <c r="C63" i="13"/>
  <c r="C62" i="13"/>
  <c r="C61" i="13"/>
  <c r="C60" i="13"/>
  <c r="C59" i="13"/>
  <c r="C58" i="13"/>
  <c r="C57" i="13"/>
  <c r="C56" i="13"/>
  <c r="C55" i="13"/>
  <c r="C54" i="13"/>
  <c r="C53" i="13"/>
  <c r="C52" i="13"/>
  <c r="C51" i="13"/>
  <c r="C50" i="13"/>
  <c r="C49" i="13"/>
  <c r="C47" i="13"/>
  <c r="C46" i="13"/>
  <c r="C45" i="13"/>
  <c r="C44" i="13"/>
  <c r="C43" i="13"/>
  <c r="C42" i="13"/>
  <c r="C41" i="13"/>
  <c r="C40" i="13"/>
  <c r="C39" i="13"/>
  <c r="C38" i="13"/>
  <c r="C37" i="13"/>
  <c r="C36" i="13"/>
  <c r="C35" i="13"/>
  <c r="C34" i="13"/>
  <c r="C33" i="13"/>
  <c r="C32" i="13"/>
  <c r="C31" i="13"/>
  <c r="C30" i="13"/>
  <c r="C27" i="13"/>
  <c r="C26" i="13"/>
  <c r="AB10" i="8" l="1"/>
  <c r="AA10" i="8"/>
  <c r="AA38" i="14"/>
  <c r="AC38" i="14" s="1"/>
  <c r="AE38" i="14"/>
  <c r="AJ38" i="14" s="1"/>
  <c r="AG38" i="14" s="1"/>
  <c r="X86" i="14"/>
  <c r="Y70" i="14"/>
  <c r="Z70" i="14" s="1"/>
  <c r="AB78" i="14"/>
  <c r="AA78" i="14"/>
  <c r="AB84" i="14"/>
  <c r="AA84" i="14"/>
  <c r="AA85" i="14"/>
  <c r="AC85" i="14" s="1"/>
  <c r="AB85" i="14"/>
  <c r="X146" i="14"/>
  <c r="Y130" i="14"/>
  <c r="AB204" i="14"/>
  <c r="AA204" i="14"/>
  <c r="X226" i="14"/>
  <c r="Y210" i="14"/>
  <c r="AB217" i="14"/>
  <c r="AA217" i="14"/>
  <c r="AC217" i="14" s="1"/>
  <c r="AB225" i="14"/>
  <c r="AA225" i="14"/>
  <c r="X246" i="14"/>
  <c r="Y230" i="14"/>
  <c r="AB240" i="14"/>
  <c r="AA240" i="14"/>
  <c r="X266" i="14"/>
  <c r="Y250" i="14"/>
  <c r="Z250" i="14" s="1"/>
  <c r="AB251" i="14"/>
  <c r="AA251" i="14"/>
  <c r="AB252" i="14"/>
  <c r="AA252" i="14"/>
  <c r="AC252" i="14" s="1"/>
  <c r="AB263" i="14"/>
  <c r="AA263" i="14"/>
  <c r="AB275" i="14"/>
  <c r="AA275" i="14"/>
  <c r="AE275" i="14" s="1"/>
  <c r="X306" i="14"/>
  <c r="Y290" i="14"/>
  <c r="X326" i="14"/>
  <c r="Y310" i="14"/>
  <c r="X346" i="14"/>
  <c r="Y330" i="14"/>
  <c r="AB340" i="14"/>
  <c r="AA340" i="14"/>
  <c r="AB343" i="14"/>
  <c r="AA343" i="14"/>
  <c r="AC343" i="14" s="1"/>
  <c r="AB344" i="14"/>
  <c r="AA344" i="14"/>
  <c r="X366" i="14"/>
  <c r="Y350" i="14"/>
  <c r="X406" i="14"/>
  <c r="Y390" i="14"/>
  <c r="Y406" i="14" s="1"/>
  <c r="AH368" i="15"/>
  <c r="F368" i="15"/>
  <c r="AI370" i="15"/>
  <c r="S373" i="15"/>
  <c r="F396" i="15"/>
  <c r="AD398" i="15"/>
  <c r="AB405" i="15"/>
  <c r="S405" i="15"/>
  <c r="Q405" i="15" s="1"/>
  <c r="F409" i="15"/>
  <c r="AD411" i="15"/>
  <c r="F411" i="15"/>
  <c r="S411" i="15" s="1"/>
  <c r="AD414" i="15"/>
  <c r="F414" i="15"/>
  <c r="S414" i="15" s="1"/>
  <c r="S419" i="15"/>
  <c r="AB419" i="15"/>
  <c r="AL419" i="15" s="1"/>
  <c r="AD419" i="15"/>
  <c r="AR10" i="8"/>
  <c r="E35" i="15"/>
  <c r="R11" i="8"/>
  <c r="R11" i="14" s="1"/>
  <c r="S11" i="8"/>
  <c r="S11" i="14" s="1"/>
  <c r="R12" i="13"/>
  <c r="Y12" i="13" s="1"/>
  <c r="R10" i="14"/>
  <c r="S495" i="15"/>
  <c r="K519" i="15"/>
  <c r="K532" i="15"/>
  <c r="O532" i="15" s="1"/>
  <c r="K501" i="15"/>
  <c r="O501" i="15" s="1"/>
  <c r="N10" i="14"/>
  <c r="K495" i="15"/>
  <c r="O495" i="15" s="1"/>
  <c r="E10" i="14"/>
  <c r="C77" i="14"/>
  <c r="N405" i="15"/>
  <c r="O405" i="15" s="1"/>
  <c r="L405" i="15"/>
  <c r="M405" i="15" s="1"/>
  <c r="Q414" i="15"/>
  <c r="AG368" i="15"/>
  <c r="AD368" i="15"/>
  <c r="AJ368" i="15"/>
  <c r="X370" i="15"/>
  <c r="V370" i="15" s="1"/>
  <c r="D371" i="15"/>
  <c r="H370" i="15" s="1"/>
  <c r="F370" i="15" s="1"/>
  <c r="Q367" i="15" s="1"/>
  <c r="AD396" i="15"/>
  <c r="AL396" i="15"/>
  <c r="Q411" i="15"/>
  <c r="AL405" i="15"/>
  <c r="AD405" i="15"/>
  <c r="AG346" i="15"/>
  <c r="AK346" i="15"/>
  <c r="AJ346" i="15"/>
  <c r="AH346" i="15"/>
  <c r="AD346" i="15"/>
  <c r="AH363" i="15"/>
  <c r="AD363" i="15"/>
  <c r="AJ363" i="15"/>
  <c r="AI363" i="15"/>
  <c r="AG363" i="15"/>
  <c r="AG365" i="15"/>
  <c r="AJ365" i="15"/>
  <c r="AH365" i="15"/>
  <c r="AD365" i="15"/>
  <c r="Q373" i="15"/>
  <c r="AI373" i="15"/>
  <c r="AH373" i="15"/>
  <c r="AJ373" i="15"/>
  <c r="AD373" i="15"/>
  <c r="AB409" i="15"/>
  <c r="S409" i="15"/>
  <c r="AI346" i="15"/>
  <c r="S363" i="15"/>
  <c r="Q363" i="15" s="1"/>
  <c r="S365" i="15"/>
  <c r="Q365" i="15" s="1"/>
  <c r="Q419" i="15"/>
  <c r="S416" i="15"/>
  <c r="Q416" i="15" s="1"/>
  <c r="AI365" i="15"/>
  <c r="S368" i="15"/>
  <c r="Q368" i="15" s="1"/>
  <c r="AJ370" i="15"/>
  <c r="AH370" i="15"/>
  <c r="AD370" i="15"/>
  <c r="AB403" i="15"/>
  <c r="D399" i="15"/>
  <c r="H398" i="15" s="1"/>
  <c r="F398" i="15" s="1"/>
  <c r="S398" i="15" s="1"/>
  <c r="X398" i="15"/>
  <c r="V398" i="15" s="1"/>
  <c r="AD401" i="15"/>
  <c r="Q403" i="15"/>
  <c r="X409" i="15"/>
  <c r="V409" i="15" s="1"/>
  <c r="AD416" i="15"/>
  <c r="X346" i="15"/>
  <c r="V346" i="15" s="1"/>
  <c r="D347" i="15"/>
  <c r="H346" i="15" s="1"/>
  <c r="F346" i="15" s="1"/>
  <c r="S346" i="15" s="1"/>
  <c r="Q346" i="15" s="1"/>
  <c r="AI368" i="15"/>
  <c r="D376" i="15"/>
  <c r="H375" i="15" s="1"/>
  <c r="F375" i="15" s="1"/>
  <c r="S375" i="15" s="1"/>
  <c r="Q375" i="15" s="1"/>
  <c r="X401" i="15"/>
  <c r="V401" i="15" s="1"/>
  <c r="D402" i="15"/>
  <c r="H401" i="15" s="1"/>
  <c r="F401" i="15" s="1"/>
  <c r="S401" i="15" s="1"/>
  <c r="Q401" i="15" s="1"/>
  <c r="AL398" i="15"/>
  <c r="AB375" i="15"/>
  <c r="S396" i="15"/>
  <c r="Q396" i="15" s="1"/>
  <c r="AL414" i="15"/>
  <c r="C44" i="14"/>
  <c r="AB39" i="14"/>
  <c r="AA39" i="14"/>
  <c r="AB41" i="14"/>
  <c r="AA41" i="14"/>
  <c r="AB56" i="14"/>
  <c r="AA56" i="14"/>
  <c r="AC56" i="14" s="1"/>
  <c r="AA31" i="14"/>
  <c r="AC31" i="14" s="1"/>
  <c r="AA34" i="14"/>
  <c r="AC34" i="14" s="1"/>
  <c r="C39" i="14"/>
  <c r="AE58" i="14"/>
  <c r="AB65" i="14"/>
  <c r="AA65" i="14"/>
  <c r="AE73" i="14"/>
  <c r="AB73" i="14"/>
  <c r="AB81" i="14"/>
  <c r="AA81" i="14"/>
  <c r="AC81" i="14" s="1"/>
  <c r="AB102" i="14"/>
  <c r="AA102" i="14"/>
  <c r="AC102" i="14" s="1"/>
  <c r="C33" i="14"/>
  <c r="AB51" i="14"/>
  <c r="AA51" i="14"/>
  <c r="AC51" i="14" s="1"/>
  <c r="AB57" i="14"/>
  <c r="AA57" i="14"/>
  <c r="AB64" i="14"/>
  <c r="AA64" i="14"/>
  <c r="AC64" i="14" s="1"/>
  <c r="AE64" i="14"/>
  <c r="AA140" i="14"/>
  <c r="AC140" i="14" s="1"/>
  <c r="AE140" i="14"/>
  <c r="AB140" i="14"/>
  <c r="AB143" i="14"/>
  <c r="AA143" i="14"/>
  <c r="AC143" i="14" s="1"/>
  <c r="AB165" i="14"/>
  <c r="AA165" i="14"/>
  <c r="AC165" i="14" s="1"/>
  <c r="AB55" i="14"/>
  <c r="AA55" i="14"/>
  <c r="AC55" i="14" s="1"/>
  <c r="C61" i="14"/>
  <c r="AB80" i="14"/>
  <c r="AA80" i="14"/>
  <c r="Z86" i="14"/>
  <c r="AB101" i="14"/>
  <c r="AA101" i="14"/>
  <c r="AC101" i="14" s="1"/>
  <c r="AE101" i="14"/>
  <c r="AI46" i="14"/>
  <c r="AA32" i="14"/>
  <c r="AB35" i="14"/>
  <c r="AA35" i="14"/>
  <c r="AC35" i="14" s="1"/>
  <c r="AE35" i="14"/>
  <c r="AA37" i="14"/>
  <c r="AB38" i="14"/>
  <c r="AB54" i="14"/>
  <c r="AA54" i="14"/>
  <c r="AC54" i="14" s="1"/>
  <c r="AE54" i="14"/>
  <c r="AB63" i="14"/>
  <c r="AA63" i="14"/>
  <c r="AB70" i="14"/>
  <c r="AA70" i="14"/>
  <c r="AE70" i="14" s="1"/>
  <c r="AB72" i="14"/>
  <c r="AA72" i="14"/>
  <c r="AC72" i="14" s="1"/>
  <c r="C403" i="14"/>
  <c r="C392" i="14"/>
  <c r="C391" i="14"/>
  <c r="C390" i="14"/>
  <c r="C380" i="14"/>
  <c r="C379" i="14"/>
  <c r="C365" i="14"/>
  <c r="C356" i="14"/>
  <c r="C355" i="14"/>
  <c r="C404" i="14"/>
  <c r="C394" i="14"/>
  <c r="C393" i="14"/>
  <c r="C389" i="14"/>
  <c r="C381" i="14"/>
  <c r="C357" i="14"/>
  <c r="C343" i="14"/>
  <c r="C405" i="14"/>
  <c r="C396" i="14"/>
  <c r="C395" i="14"/>
  <c r="C382" i="14"/>
  <c r="C358" i="14"/>
  <c r="C397" i="14"/>
  <c r="C383" i="14"/>
  <c r="C372" i="14"/>
  <c r="C371" i="14"/>
  <c r="C370" i="14"/>
  <c r="C360" i="14"/>
  <c r="C359" i="14"/>
  <c r="C345" i="14"/>
  <c r="C398" i="14"/>
  <c r="C384" i="14"/>
  <c r="C374" i="14"/>
  <c r="C373" i="14"/>
  <c r="C369" i="14"/>
  <c r="C361" i="14"/>
  <c r="C400" i="14"/>
  <c r="C399" i="14"/>
  <c r="C385" i="14"/>
  <c r="C376" i="14"/>
  <c r="C375" i="14"/>
  <c r="C362" i="14"/>
  <c r="C401" i="14"/>
  <c r="C377" i="14"/>
  <c r="C363" i="14"/>
  <c r="C352" i="14"/>
  <c r="C351" i="14"/>
  <c r="C350" i="14"/>
  <c r="C402" i="14"/>
  <c r="C378" i="14"/>
  <c r="C364" i="14"/>
  <c r="C354" i="14"/>
  <c r="C353" i="14"/>
  <c r="C349" i="14"/>
  <c r="C338" i="14"/>
  <c r="C325" i="14"/>
  <c r="C316" i="14"/>
  <c r="C315" i="14"/>
  <c r="C302" i="14"/>
  <c r="C317" i="14"/>
  <c r="C303" i="14"/>
  <c r="C292" i="14"/>
  <c r="C291" i="14"/>
  <c r="C342" i="14"/>
  <c r="C318" i="14"/>
  <c r="C304" i="14"/>
  <c r="C294" i="14"/>
  <c r="C293" i="14"/>
  <c r="C289" i="14"/>
  <c r="C281" i="14"/>
  <c r="C339" i="14"/>
  <c r="C332" i="14"/>
  <c r="C331" i="14"/>
  <c r="C330" i="14"/>
  <c r="C320" i="14"/>
  <c r="C319" i="14"/>
  <c r="C305" i="14"/>
  <c r="C296" i="14"/>
  <c r="C295" i="14"/>
  <c r="C282" i="14"/>
  <c r="C344" i="14"/>
  <c r="C340" i="14"/>
  <c r="C334" i="14"/>
  <c r="C333" i="14"/>
  <c r="C329" i="14"/>
  <c r="C321" i="14"/>
  <c r="C297" i="14"/>
  <c r="C283" i="14"/>
  <c r="C336" i="14"/>
  <c r="C335" i="14"/>
  <c r="C322" i="14"/>
  <c r="C341" i="14"/>
  <c r="C337" i="14"/>
  <c r="C323" i="14"/>
  <c r="C312" i="14"/>
  <c r="C311" i="14"/>
  <c r="C310" i="14"/>
  <c r="C300" i="14"/>
  <c r="C299" i="14"/>
  <c r="C285" i="14"/>
  <c r="C276" i="14"/>
  <c r="C324" i="14"/>
  <c r="C314" i="14"/>
  <c r="C313" i="14"/>
  <c r="C309" i="14"/>
  <c r="C301" i="14"/>
  <c r="C279" i="14"/>
  <c r="C258" i="14"/>
  <c r="C244" i="14"/>
  <c r="C234" i="14"/>
  <c r="C233" i="14"/>
  <c r="C229" i="14"/>
  <c r="C221" i="14"/>
  <c r="C272" i="14"/>
  <c r="C271" i="14"/>
  <c r="C270" i="14"/>
  <c r="C260" i="14"/>
  <c r="C259" i="14"/>
  <c r="C245" i="14"/>
  <c r="C236" i="14"/>
  <c r="C235" i="14"/>
  <c r="C222" i="14"/>
  <c r="C298" i="14"/>
  <c r="C277" i="14"/>
  <c r="C273" i="14"/>
  <c r="C269" i="14"/>
  <c r="C261" i="14"/>
  <c r="C237" i="14"/>
  <c r="C223" i="14"/>
  <c r="C290" i="14"/>
  <c r="C280" i="14"/>
  <c r="C274" i="14"/>
  <c r="C262" i="14"/>
  <c r="C238" i="14"/>
  <c r="C224" i="14"/>
  <c r="C263" i="14"/>
  <c r="C252" i="14"/>
  <c r="C251" i="14"/>
  <c r="C250" i="14"/>
  <c r="C240" i="14"/>
  <c r="C239" i="14"/>
  <c r="C225" i="14"/>
  <c r="C216" i="14"/>
  <c r="C215" i="14"/>
  <c r="C278" i="14"/>
  <c r="C275" i="14"/>
  <c r="C264" i="14"/>
  <c r="C254" i="14"/>
  <c r="C253" i="14"/>
  <c r="C249" i="14"/>
  <c r="C241" i="14"/>
  <c r="C284" i="14"/>
  <c r="C257" i="14"/>
  <c r="C243" i="14"/>
  <c r="C232" i="14"/>
  <c r="C231" i="14"/>
  <c r="C230" i="14"/>
  <c r="C220" i="14"/>
  <c r="C219" i="14"/>
  <c r="C204" i="14"/>
  <c r="C194" i="14"/>
  <c r="C193" i="14"/>
  <c r="C189" i="14"/>
  <c r="C178" i="14"/>
  <c r="C162" i="14"/>
  <c r="C205" i="14"/>
  <c r="C196" i="14"/>
  <c r="C195" i="14"/>
  <c r="C180" i="14"/>
  <c r="C179" i="14"/>
  <c r="C163" i="14"/>
  <c r="C255" i="14"/>
  <c r="C242" i="14"/>
  <c r="C212" i="14"/>
  <c r="C211" i="14"/>
  <c r="C210" i="14"/>
  <c r="C197" i="14"/>
  <c r="C181" i="14"/>
  <c r="C164" i="14"/>
  <c r="C256" i="14"/>
  <c r="C213" i="14"/>
  <c r="C209" i="14"/>
  <c r="C198" i="14"/>
  <c r="C182" i="14"/>
  <c r="C165" i="14"/>
  <c r="C156" i="14"/>
  <c r="C155" i="14"/>
  <c r="C200" i="14"/>
  <c r="C199" i="14"/>
  <c r="C183" i="14"/>
  <c r="C172" i="14"/>
  <c r="C171" i="14"/>
  <c r="C170" i="14"/>
  <c r="C157" i="14"/>
  <c r="C201" i="14"/>
  <c r="C184" i="14"/>
  <c r="C174" i="14"/>
  <c r="C173" i="14"/>
  <c r="C169" i="14"/>
  <c r="C158" i="14"/>
  <c r="C265" i="14"/>
  <c r="C218" i="14"/>
  <c r="C214" i="14"/>
  <c r="C217" i="14"/>
  <c r="C203" i="14"/>
  <c r="C192" i="14"/>
  <c r="C191" i="14"/>
  <c r="C190" i="14"/>
  <c r="C177" i="14"/>
  <c r="C176" i="14"/>
  <c r="C175" i="14"/>
  <c r="C142" i="14"/>
  <c r="C125" i="14"/>
  <c r="C116" i="14"/>
  <c r="C115" i="14"/>
  <c r="C100" i="14"/>
  <c r="C99" i="14"/>
  <c r="C159" i="14"/>
  <c r="C143" i="14"/>
  <c r="C132" i="14"/>
  <c r="C131" i="14"/>
  <c r="C130" i="14"/>
  <c r="C117" i="14"/>
  <c r="C101" i="14"/>
  <c r="C84" i="14"/>
  <c r="C161" i="14"/>
  <c r="C144" i="14"/>
  <c r="C134" i="14"/>
  <c r="C133" i="14"/>
  <c r="C129" i="14"/>
  <c r="C118" i="14"/>
  <c r="C102" i="14"/>
  <c r="C145" i="14"/>
  <c r="C136" i="14"/>
  <c r="C135" i="14"/>
  <c r="C120" i="14"/>
  <c r="C119" i="14"/>
  <c r="C103" i="14"/>
  <c r="C154" i="14"/>
  <c r="C152" i="14"/>
  <c r="C151" i="14"/>
  <c r="C150" i="14"/>
  <c r="C137" i="14"/>
  <c r="C121" i="14"/>
  <c r="C104" i="14"/>
  <c r="C94" i="14"/>
  <c r="C93" i="14"/>
  <c r="C89" i="14"/>
  <c r="C202" i="14"/>
  <c r="C185" i="14"/>
  <c r="C160" i="14"/>
  <c r="C149" i="14"/>
  <c r="C138" i="14"/>
  <c r="C122" i="14"/>
  <c r="C105" i="14"/>
  <c r="C140" i="14"/>
  <c r="C139" i="14"/>
  <c r="C123" i="14"/>
  <c r="C112" i="14"/>
  <c r="C111" i="14"/>
  <c r="C110" i="14"/>
  <c r="C97" i="14"/>
  <c r="C81" i="14"/>
  <c r="C153" i="14"/>
  <c r="C141" i="14"/>
  <c r="C78" i="14"/>
  <c r="C63" i="14"/>
  <c r="C52" i="14"/>
  <c r="C51" i="14"/>
  <c r="C50" i="14"/>
  <c r="C37" i="14"/>
  <c r="C109" i="14"/>
  <c r="C83" i="14"/>
  <c r="C64" i="14"/>
  <c r="C54" i="14"/>
  <c r="C53" i="14"/>
  <c r="C49" i="14"/>
  <c r="C38" i="14"/>
  <c r="C113" i="14"/>
  <c r="C92" i="14"/>
  <c r="C79" i="14"/>
  <c r="C65" i="14"/>
  <c r="C56" i="14"/>
  <c r="C55" i="14"/>
  <c r="C40" i="14"/>
  <c r="C124" i="14"/>
  <c r="C114" i="14"/>
  <c r="C85" i="14"/>
  <c r="C72" i="14"/>
  <c r="C71" i="14"/>
  <c r="C70" i="14"/>
  <c r="C57" i="14"/>
  <c r="C41" i="14"/>
  <c r="C80" i="14"/>
  <c r="C74" i="14"/>
  <c r="C73" i="14"/>
  <c r="C69" i="14"/>
  <c r="C58" i="14"/>
  <c r="C42" i="14"/>
  <c r="C96" i="14"/>
  <c r="C91" i="14"/>
  <c r="C90" i="14"/>
  <c r="C82" i="14"/>
  <c r="C76" i="14"/>
  <c r="C75" i="14"/>
  <c r="C60" i="14"/>
  <c r="C59" i="14"/>
  <c r="C43" i="14"/>
  <c r="C32" i="14"/>
  <c r="C31" i="14"/>
  <c r="C30" i="14"/>
  <c r="C62" i="14"/>
  <c r="C45" i="14"/>
  <c r="Y30" i="14"/>
  <c r="X46" i="14"/>
  <c r="AB32" i="14"/>
  <c r="C34" i="14"/>
  <c r="AB36" i="14"/>
  <c r="AA36" i="14"/>
  <c r="AC36" i="14" s="1"/>
  <c r="AI66" i="14"/>
  <c r="AB71" i="14"/>
  <c r="AA71" i="14"/>
  <c r="AC71" i="14" s="1"/>
  <c r="AA77" i="14"/>
  <c r="AC77" i="14" s="1"/>
  <c r="AB77" i="14"/>
  <c r="AB79" i="14"/>
  <c r="AA79" i="14"/>
  <c r="AB92" i="14"/>
  <c r="AA92" i="14"/>
  <c r="AA33" i="14"/>
  <c r="AC33" i="14" s="1"/>
  <c r="AB40" i="14"/>
  <c r="AA40" i="14"/>
  <c r="AB53" i="14"/>
  <c r="AA53" i="14"/>
  <c r="AC53" i="14" s="1"/>
  <c r="AE53" i="14"/>
  <c r="AI86" i="14"/>
  <c r="AA76" i="14"/>
  <c r="AB83" i="14"/>
  <c r="AA83" i="14"/>
  <c r="AC83" i="14" s="1"/>
  <c r="C95" i="14"/>
  <c r="AA112" i="14"/>
  <c r="AC112" i="14" s="1"/>
  <c r="AB112" i="14"/>
  <c r="AB122" i="14"/>
  <c r="AA122" i="14"/>
  <c r="AC122" i="14" s="1"/>
  <c r="AB33" i="14"/>
  <c r="C35" i="14"/>
  <c r="AF38" i="14"/>
  <c r="AE42" i="14"/>
  <c r="AB42" i="14"/>
  <c r="AA43" i="14"/>
  <c r="AA60" i="14"/>
  <c r="AC60" i="14" s="1"/>
  <c r="AA61" i="14"/>
  <c r="AC61" i="14" s="1"/>
  <c r="AE61" i="14"/>
  <c r="AB61" i="14"/>
  <c r="AA75" i="14"/>
  <c r="AC75" i="14" s="1"/>
  <c r="AB76" i="14"/>
  <c r="AB91" i="14"/>
  <c r="AA91" i="14"/>
  <c r="AC91" i="14" s="1"/>
  <c r="C98" i="14"/>
  <c r="AB104" i="14"/>
  <c r="AA104" i="14"/>
  <c r="AC104" i="14" s="1"/>
  <c r="C36" i="14"/>
  <c r="AB43" i="14"/>
  <c r="AA44" i="14"/>
  <c r="AC44" i="14" s="1"/>
  <c r="AB52" i="14"/>
  <c r="AA52" i="14"/>
  <c r="AA59" i="14"/>
  <c r="AC59" i="14" s="1"/>
  <c r="AB60" i="14"/>
  <c r="AE74" i="14"/>
  <c r="AB74" i="14"/>
  <c r="AB75" i="14"/>
  <c r="AA82" i="14"/>
  <c r="AC82" i="14" s="1"/>
  <c r="AB82" i="14"/>
  <c r="Y86" i="14"/>
  <c r="AE103" i="14"/>
  <c r="AB103" i="14"/>
  <c r="AB113" i="14"/>
  <c r="AA113" i="14"/>
  <c r="AC113" i="14" s="1"/>
  <c r="AB117" i="14"/>
  <c r="AA117" i="14"/>
  <c r="AA123" i="14"/>
  <c r="AC123" i="14" s="1"/>
  <c r="AE123" i="14"/>
  <c r="AB136" i="14"/>
  <c r="AA136" i="14"/>
  <c r="AB155" i="14"/>
  <c r="AA155" i="14"/>
  <c r="AC155" i="14" s="1"/>
  <c r="AE155" i="14"/>
  <c r="AB58" i="14"/>
  <c r="AB100" i="14"/>
  <c r="AA100" i="14"/>
  <c r="AC100" i="14" s="1"/>
  <c r="AE100" i="14"/>
  <c r="AA111" i="14"/>
  <c r="AC111" i="14" s="1"/>
  <c r="AB116" i="14"/>
  <c r="AA116" i="14"/>
  <c r="AC116" i="14" s="1"/>
  <c r="AE116" i="14"/>
  <c r="AB132" i="14"/>
  <c r="AA132" i="14"/>
  <c r="AC132" i="14" s="1"/>
  <c r="AB135" i="14"/>
  <c r="AA135" i="14"/>
  <c r="AB157" i="14"/>
  <c r="AA157" i="14"/>
  <c r="Y50" i="14"/>
  <c r="AB111" i="14"/>
  <c r="AA139" i="14"/>
  <c r="AC139" i="14" s="1"/>
  <c r="AB139" i="14"/>
  <c r="AB142" i="14"/>
  <c r="AA142" i="14"/>
  <c r="AC142" i="14" s="1"/>
  <c r="AE142" i="14"/>
  <c r="AE85" i="14"/>
  <c r="AA93" i="14"/>
  <c r="AB95" i="14"/>
  <c r="AB99" i="14"/>
  <c r="AA99" i="14"/>
  <c r="AC99" i="14" s="1"/>
  <c r="AE99" i="14"/>
  <c r="AB120" i="14"/>
  <c r="AA120" i="14"/>
  <c r="AB121" i="14"/>
  <c r="AA121" i="14"/>
  <c r="AB131" i="14"/>
  <c r="AA131" i="14"/>
  <c r="AC131" i="14" s="1"/>
  <c r="AB134" i="14"/>
  <c r="AA134" i="14"/>
  <c r="AC134" i="14" s="1"/>
  <c r="AB145" i="14"/>
  <c r="AA145" i="14"/>
  <c r="AC145" i="14" s="1"/>
  <c r="X106" i="14"/>
  <c r="AB93" i="14"/>
  <c r="AA94" i="14"/>
  <c r="AC94" i="14" s="1"/>
  <c r="AA95" i="14"/>
  <c r="AC95" i="14" s="1"/>
  <c r="AB96" i="14"/>
  <c r="AA97" i="14"/>
  <c r="AC97" i="14" s="1"/>
  <c r="AB98" i="14"/>
  <c r="AA98" i="14"/>
  <c r="AB115" i="14"/>
  <c r="AA115" i="14"/>
  <c r="AC115" i="14" s="1"/>
  <c r="AB119" i="14"/>
  <c r="AA119" i="14"/>
  <c r="AB125" i="14"/>
  <c r="AA125" i="14"/>
  <c r="AC125" i="14" s="1"/>
  <c r="Y146" i="14"/>
  <c r="AB138" i="14"/>
  <c r="AA138" i="14"/>
  <c r="AB153" i="14"/>
  <c r="AA153" i="14"/>
  <c r="AC153" i="14" s="1"/>
  <c r="AE153" i="14"/>
  <c r="AB156" i="14"/>
  <c r="AA156" i="14"/>
  <c r="AC156" i="14" s="1"/>
  <c r="AA159" i="14"/>
  <c r="AC159" i="14" s="1"/>
  <c r="AB159" i="14"/>
  <c r="AA45" i="14"/>
  <c r="AC45" i="14" s="1"/>
  <c r="AA62" i="14"/>
  <c r="AC62" i="14" s="1"/>
  <c r="Y90" i="14"/>
  <c r="AB94" i="14"/>
  <c r="AA96" i="14"/>
  <c r="AB97" i="14"/>
  <c r="AB105" i="14"/>
  <c r="AB118" i="14"/>
  <c r="AA118" i="14"/>
  <c r="AB141" i="14"/>
  <c r="AA141" i="14"/>
  <c r="AC141" i="14" s="1"/>
  <c r="AE141" i="14"/>
  <c r="AB144" i="14"/>
  <c r="AA144" i="14"/>
  <c r="AA105" i="14"/>
  <c r="AC105" i="14" s="1"/>
  <c r="AB114" i="14"/>
  <c r="AA114" i="14"/>
  <c r="AC114" i="14" s="1"/>
  <c r="AB124" i="14"/>
  <c r="AA124" i="14"/>
  <c r="AC124" i="14" s="1"/>
  <c r="AB133" i="14"/>
  <c r="AA133" i="14"/>
  <c r="AA158" i="14"/>
  <c r="AC158" i="14" s="1"/>
  <c r="AB158" i="14"/>
  <c r="Z166" i="14"/>
  <c r="AB161" i="14"/>
  <c r="AA161" i="14"/>
  <c r="AC161" i="14" s="1"/>
  <c r="AE161" i="14"/>
  <c r="AB194" i="14"/>
  <c r="AA194" i="14"/>
  <c r="AB199" i="14"/>
  <c r="Y226" i="14"/>
  <c r="Z210" i="14"/>
  <c r="AB214" i="14"/>
  <c r="AA214" i="14"/>
  <c r="AA137" i="14"/>
  <c r="AC137" i="14" s="1"/>
  <c r="AA150" i="14"/>
  <c r="AA151" i="14"/>
  <c r="AC151" i="14" s="1"/>
  <c r="AA152" i="14"/>
  <c r="Y186" i="14"/>
  <c r="AB177" i="14"/>
  <c r="AA177" i="14"/>
  <c r="AC177" i="14" s="1"/>
  <c r="AE177" i="14"/>
  <c r="AB193" i="14"/>
  <c r="AA193" i="14"/>
  <c r="AC193" i="14" s="1"/>
  <c r="AA199" i="14"/>
  <c r="AC199" i="14" s="1"/>
  <c r="Z186" i="14"/>
  <c r="AB170" i="14"/>
  <c r="AB181" i="14"/>
  <c r="AA181" i="14"/>
  <c r="AB182" i="14"/>
  <c r="AA182" i="14"/>
  <c r="AC182" i="14" s="1"/>
  <c r="AB213" i="14"/>
  <c r="AA213" i="14"/>
  <c r="AC213" i="14" s="1"/>
  <c r="Z130" i="14"/>
  <c r="AA170" i="14"/>
  <c r="AE170" i="14" s="1"/>
  <c r="AA174" i="14"/>
  <c r="AA175" i="14"/>
  <c r="AC175" i="14" s="1"/>
  <c r="AE175" i="14"/>
  <c r="AB175" i="14"/>
  <c r="AA176" i="14"/>
  <c r="AC176" i="14" s="1"/>
  <c r="AE176" i="14"/>
  <c r="AB176" i="14"/>
  <c r="AB180" i="14"/>
  <c r="AA180" i="14"/>
  <c r="AC180" i="14" s="1"/>
  <c r="AE180" i="14"/>
  <c r="X186" i="14"/>
  <c r="AB197" i="14"/>
  <c r="AA197" i="14"/>
  <c r="AB198" i="14"/>
  <c r="AA198" i="14"/>
  <c r="AC198" i="14" s="1"/>
  <c r="AB216" i="14"/>
  <c r="AA216" i="14"/>
  <c r="AA173" i="14"/>
  <c r="AB174" i="14"/>
  <c r="AB192" i="14"/>
  <c r="AA192" i="14"/>
  <c r="AC192" i="14" s="1"/>
  <c r="AB196" i="14"/>
  <c r="AA196" i="14"/>
  <c r="AC196" i="14" s="1"/>
  <c r="AB212" i="14"/>
  <c r="AA212" i="14"/>
  <c r="Y110" i="14"/>
  <c r="AB163" i="14"/>
  <c r="AA163" i="14"/>
  <c r="AB164" i="14"/>
  <c r="AA164" i="14"/>
  <c r="AC164" i="14" s="1"/>
  <c r="AI186" i="14"/>
  <c r="AB171" i="14"/>
  <c r="AB172" i="14"/>
  <c r="AB179" i="14"/>
  <c r="AA179" i="14"/>
  <c r="AC179" i="14" s="1"/>
  <c r="AB205" i="14"/>
  <c r="AA205" i="14"/>
  <c r="AC205" i="14" s="1"/>
  <c r="X166" i="14"/>
  <c r="AA171" i="14"/>
  <c r="AC171" i="14" s="1"/>
  <c r="AA172" i="14"/>
  <c r="AC172" i="14" s="1"/>
  <c r="AA184" i="14"/>
  <c r="AA185" i="14"/>
  <c r="AC185" i="14" s="1"/>
  <c r="AB185" i="14"/>
  <c r="AB195" i="14"/>
  <c r="AA195" i="14"/>
  <c r="AC195" i="14" s="1"/>
  <c r="AE195" i="14"/>
  <c r="AA201" i="14"/>
  <c r="AA202" i="14"/>
  <c r="AC202" i="14" s="1"/>
  <c r="AB202" i="14"/>
  <c r="Y166" i="14"/>
  <c r="AB154" i="14"/>
  <c r="AA154" i="14"/>
  <c r="AA160" i="14"/>
  <c r="AC160" i="14" s="1"/>
  <c r="AB162" i="14"/>
  <c r="AA162" i="14"/>
  <c r="AC162" i="14" s="1"/>
  <c r="AB178" i="14"/>
  <c r="AA178" i="14"/>
  <c r="AC178" i="14" s="1"/>
  <c r="AE183" i="14"/>
  <c r="AB183" i="14"/>
  <c r="AB184" i="14"/>
  <c r="AB191" i="14"/>
  <c r="AA191" i="14"/>
  <c r="AC191" i="14" s="1"/>
  <c r="AE191" i="14"/>
  <c r="AE200" i="14"/>
  <c r="AB200" i="14"/>
  <c r="AB211" i="14"/>
  <c r="AA211" i="14"/>
  <c r="AI206" i="14"/>
  <c r="AB234" i="14"/>
  <c r="AA234" i="14"/>
  <c r="AC234" i="14" s="1"/>
  <c r="AE239" i="14"/>
  <c r="AB239" i="14"/>
  <c r="AA242" i="14"/>
  <c r="AC242" i="14" s="1"/>
  <c r="AE242" i="14"/>
  <c r="AB242" i="14"/>
  <c r="AA255" i="14"/>
  <c r="AC255" i="14" s="1"/>
  <c r="AB255" i="14"/>
  <c r="Y266" i="14"/>
  <c r="AB272" i="14"/>
  <c r="AA272" i="14"/>
  <c r="AC272" i="14" s="1"/>
  <c r="AA215" i="14"/>
  <c r="AB221" i="14"/>
  <c r="AA221" i="14"/>
  <c r="AC221" i="14" s="1"/>
  <c r="AI246" i="14"/>
  <c r="AA241" i="14"/>
  <c r="AA254" i="14"/>
  <c r="AB259" i="14"/>
  <c r="AA259" i="14"/>
  <c r="AC259" i="14" s="1"/>
  <c r="AE259" i="14"/>
  <c r="AB294" i="14"/>
  <c r="AA294" i="14"/>
  <c r="AI226" i="14"/>
  <c r="AB215" i="14"/>
  <c r="AB233" i="14"/>
  <c r="AA233" i="14"/>
  <c r="AE234" i="14"/>
  <c r="AB241" i="14"/>
  <c r="AB245" i="14"/>
  <c r="AA245" i="14"/>
  <c r="AC245" i="14" s="1"/>
  <c r="AE245" i="14"/>
  <c r="AE252" i="14"/>
  <c r="AA253" i="14"/>
  <c r="AC253" i="14" s="1"/>
  <c r="AB254" i="14"/>
  <c r="AB220" i="14"/>
  <c r="AA220" i="14"/>
  <c r="AC220" i="14" s="1"/>
  <c r="AB237" i="14"/>
  <c r="AA237" i="14"/>
  <c r="AB238" i="14"/>
  <c r="AA238" i="14"/>
  <c r="AB258" i="14"/>
  <c r="AA258" i="14"/>
  <c r="AB271" i="14"/>
  <c r="AA271" i="14"/>
  <c r="AC271" i="14" s="1"/>
  <c r="AE271" i="14"/>
  <c r="Y190" i="14"/>
  <c r="AA218" i="14"/>
  <c r="AC218" i="14" s="1"/>
  <c r="AB218" i="14"/>
  <c r="AB219" i="14"/>
  <c r="AA219" i="14"/>
  <c r="AC219" i="14" s="1"/>
  <c r="AE219" i="14"/>
  <c r="AB236" i="14"/>
  <c r="AA236" i="14"/>
  <c r="AC236" i="14" s="1"/>
  <c r="AB244" i="14"/>
  <c r="AA244" i="14"/>
  <c r="AA265" i="14"/>
  <c r="AC265" i="14" s="1"/>
  <c r="AB265" i="14"/>
  <c r="X286" i="14"/>
  <c r="Y270" i="14"/>
  <c r="AB276" i="14"/>
  <c r="AA276" i="14"/>
  <c r="AC276" i="14" s="1"/>
  <c r="AB293" i="14"/>
  <c r="AA293" i="14"/>
  <c r="AB232" i="14"/>
  <c r="AA232" i="14"/>
  <c r="AC232" i="14" s="1"/>
  <c r="AE232" i="14"/>
  <c r="AA264" i="14"/>
  <c r="AF275" i="14"/>
  <c r="AJ275" i="14"/>
  <c r="AG275" i="14" s="1"/>
  <c r="AA203" i="14"/>
  <c r="AC203" i="14" s="1"/>
  <c r="AB223" i="14"/>
  <c r="AA223" i="14"/>
  <c r="AB224" i="14"/>
  <c r="AA224" i="14"/>
  <c r="AB235" i="14"/>
  <c r="AA235" i="14"/>
  <c r="AC235" i="14" s="1"/>
  <c r="AB257" i="14"/>
  <c r="AA257" i="14"/>
  <c r="AC257" i="14" s="1"/>
  <c r="AB261" i="14"/>
  <c r="AA261" i="14"/>
  <c r="AB262" i="14"/>
  <c r="AA262" i="14"/>
  <c r="AC262" i="14" s="1"/>
  <c r="AB264" i="14"/>
  <c r="AB273" i="14"/>
  <c r="AA273" i="14"/>
  <c r="AE217" i="14"/>
  <c r="AB222" i="14"/>
  <c r="AA222" i="14"/>
  <c r="AC222" i="14" s="1"/>
  <c r="Y246" i="14"/>
  <c r="AB231" i="14"/>
  <c r="AA231" i="14"/>
  <c r="AC231" i="14" s="1"/>
  <c r="AB243" i="14"/>
  <c r="AA243" i="14"/>
  <c r="AC243" i="14" s="1"/>
  <c r="AE243" i="14"/>
  <c r="AA256" i="14"/>
  <c r="AC256" i="14" s="1"/>
  <c r="AB256" i="14"/>
  <c r="AB260" i="14"/>
  <c r="AA260" i="14"/>
  <c r="AC260" i="14" s="1"/>
  <c r="AE260" i="14"/>
  <c r="AA278" i="14"/>
  <c r="AB278" i="14"/>
  <c r="AE279" i="14"/>
  <c r="Y306" i="14"/>
  <c r="Z290" i="14"/>
  <c r="AB291" i="14"/>
  <c r="AA291" i="14"/>
  <c r="AC291" i="14" s="1"/>
  <c r="AB303" i="14"/>
  <c r="AA303" i="14"/>
  <c r="AC303" i="14" s="1"/>
  <c r="AE303" i="14"/>
  <c r="AB319" i="14"/>
  <c r="AA319" i="14"/>
  <c r="AE319" i="14" s="1"/>
  <c r="AF319" i="14" s="1"/>
  <c r="AB353" i="14"/>
  <c r="AA353" i="14"/>
  <c r="AC353" i="14" s="1"/>
  <c r="AE353" i="14"/>
  <c r="AA297" i="14"/>
  <c r="AB298" i="14"/>
  <c r="AA298" i="14"/>
  <c r="AC298" i="14" s="1"/>
  <c r="AB320" i="14"/>
  <c r="AA320" i="14"/>
  <c r="AE320" i="14" s="1"/>
  <c r="AF320" i="14" s="1"/>
  <c r="AA337" i="14"/>
  <c r="AC337" i="14" s="1"/>
  <c r="AB337" i="14"/>
  <c r="AB342" i="14"/>
  <c r="AA342" i="14"/>
  <c r="AC342" i="14" s="1"/>
  <c r="Z266" i="14"/>
  <c r="AI266" i="14"/>
  <c r="AA274" i="14"/>
  <c r="AC275" i="14"/>
  <c r="AA277" i="14"/>
  <c r="AC277" i="14" s="1"/>
  <c r="AB280" i="14"/>
  <c r="AE295" i="14"/>
  <c r="AB295" i="14"/>
  <c r="AE296" i="14"/>
  <c r="AB296" i="14"/>
  <c r="AB297" i="14"/>
  <c r="AB274" i="14"/>
  <c r="AB277" i="14"/>
  <c r="AE281" i="14"/>
  <c r="AB281" i="14"/>
  <c r="AB302" i="14"/>
  <c r="AA302" i="14"/>
  <c r="AC302" i="14" s="1"/>
  <c r="AE302" i="14"/>
  <c r="AB305" i="14"/>
  <c r="AA305" i="14"/>
  <c r="AB322" i="14"/>
  <c r="AA322" i="14"/>
  <c r="AE322" i="14" s="1"/>
  <c r="AF322" i="14" s="1"/>
  <c r="AB332" i="14"/>
  <c r="AA332" i="14"/>
  <c r="AB336" i="14"/>
  <c r="AA336" i="14"/>
  <c r="AC336" i="14" s="1"/>
  <c r="AA341" i="14"/>
  <c r="AC341" i="14" s="1"/>
  <c r="AB341" i="14"/>
  <c r="AA283" i="14"/>
  <c r="AA311" i="14"/>
  <c r="AE311" i="14" s="1"/>
  <c r="AF311" i="14" s="1"/>
  <c r="AB311" i="14"/>
  <c r="AA323" i="14"/>
  <c r="AE323" i="14"/>
  <c r="AF323" i="14" s="1"/>
  <c r="AB323" i="14"/>
  <c r="AB324" i="14"/>
  <c r="AA324" i="14"/>
  <c r="AE324" i="14" s="1"/>
  <c r="AF324" i="14" s="1"/>
  <c r="Z230" i="14"/>
  <c r="AB279" i="14"/>
  <c r="AE280" i="14"/>
  <c r="AA282" i="14"/>
  <c r="AC282" i="14" s="1"/>
  <c r="AB283" i="14"/>
  <c r="AB284" i="14"/>
  <c r="AA284" i="14"/>
  <c r="AB301" i="14"/>
  <c r="AA301" i="14"/>
  <c r="AC301" i="14" s="1"/>
  <c r="AE301" i="14"/>
  <c r="AB304" i="14"/>
  <c r="AA304" i="14"/>
  <c r="C308" i="14"/>
  <c r="AP310" i="14"/>
  <c r="AA312" i="14"/>
  <c r="AE312" i="14" s="1"/>
  <c r="AF312" i="14" s="1"/>
  <c r="AB312" i="14"/>
  <c r="AB313" i="14"/>
  <c r="AA313" i="14"/>
  <c r="AE313" i="14"/>
  <c r="AF313" i="14" s="1"/>
  <c r="AB314" i="14"/>
  <c r="AA314" i="14"/>
  <c r="AE314" i="14" s="1"/>
  <c r="AF314" i="14" s="1"/>
  <c r="AB325" i="14"/>
  <c r="AA325" i="14"/>
  <c r="AE325" i="14"/>
  <c r="AF325" i="14" s="1"/>
  <c r="AB331" i="14"/>
  <c r="AA331" i="14"/>
  <c r="AC331" i="14" s="1"/>
  <c r="AB354" i="14"/>
  <c r="AA354" i="14"/>
  <c r="AC354" i="14" s="1"/>
  <c r="AE354" i="14"/>
  <c r="AA285" i="14"/>
  <c r="AC285" i="14" s="1"/>
  <c r="AE285" i="14"/>
  <c r="AB285" i="14"/>
  <c r="AT310" i="14"/>
  <c r="AV310" i="14"/>
  <c r="AB315" i="14"/>
  <c r="AA315" i="14"/>
  <c r="AE315" i="14" s="1"/>
  <c r="AF315" i="14" s="1"/>
  <c r="AB335" i="14"/>
  <c r="AA335" i="14"/>
  <c r="AB292" i="14"/>
  <c r="AA292" i="14"/>
  <c r="AC292" i="14" s="1"/>
  <c r="AB316" i="14"/>
  <c r="AA316" i="14"/>
  <c r="AE316" i="14" s="1"/>
  <c r="AF316" i="14" s="1"/>
  <c r="AB317" i="14"/>
  <c r="AA317" i="14"/>
  <c r="AE317" i="14"/>
  <c r="AF317" i="14" s="1"/>
  <c r="AB318" i="14"/>
  <c r="AA318" i="14"/>
  <c r="AE318" i="14" s="1"/>
  <c r="AF318" i="14" s="1"/>
  <c r="AB299" i="14"/>
  <c r="AB300" i="14"/>
  <c r="Y346" i="14"/>
  <c r="AA345" i="14"/>
  <c r="AC345" i="14" s="1"/>
  <c r="AB373" i="14"/>
  <c r="AA373" i="14"/>
  <c r="AC373" i="14" s="1"/>
  <c r="AB376" i="14"/>
  <c r="AA376" i="14"/>
  <c r="AC376" i="14" s="1"/>
  <c r="AB396" i="14"/>
  <c r="AA396" i="14"/>
  <c r="AB404" i="14"/>
  <c r="AA404" i="14"/>
  <c r="AC404" i="14" s="1"/>
  <c r="AE404" i="14"/>
  <c r="AA321" i="14"/>
  <c r="AE321" i="14" s="1"/>
  <c r="AF321" i="14" s="1"/>
  <c r="Z330" i="14"/>
  <c r="AA333" i="14"/>
  <c r="AC333" i="14" s="1"/>
  <c r="AA334" i="14"/>
  <c r="AA339" i="14"/>
  <c r="AC339" i="14" s="1"/>
  <c r="AB356" i="14"/>
  <c r="AA356" i="14"/>
  <c r="AC356" i="14" s="1"/>
  <c r="AB359" i="14"/>
  <c r="AA359" i="14"/>
  <c r="AC359" i="14" s="1"/>
  <c r="AB362" i="14"/>
  <c r="AA362" i="14"/>
  <c r="AB379" i="14"/>
  <c r="AA379" i="14"/>
  <c r="AC379" i="14" s="1"/>
  <c r="AB385" i="14"/>
  <c r="AA385" i="14"/>
  <c r="AA401" i="14"/>
  <c r="AC401" i="14" s="1"/>
  <c r="AB401" i="14"/>
  <c r="AB321" i="14"/>
  <c r="AB333" i="14"/>
  <c r="AB334" i="14"/>
  <c r="AB339" i="14"/>
  <c r="AB365" i="14"/>
  <c r="AA365" i="14"/>
  <c r="AC365" i="14" s="1"/>
  <c r="AE365" i="14"/>
  <c r="AB372" i="14"/>
  <c r="AA372" i="14"/>
  <c r="AC372" i="14" s="1"/>
  <c r="AB382" i="14"/>
  <c r="AA382" i="14"/>
  <c r="AC382" i="14" s="1"/>
  <c r="AB392" i="14"/>
  <c r="AA392" i="14"/>
  <c r="AC392" i="14" s="1"/>
  <c r="AE392" i="14"/>
  <c r="AB395" i="14"/>
  <c r="AA395" i="14"/>
  <c r="AB398" i="14"/>
  <c r="AA398" i="14"/>
  <c r="AC398" i="14" s="1"/>
  <c r="AE299" i="14"/>
  <c r="AE300" i="14"/>
  <c r="AB355" i="14"/>
  <c r="AA355" i="14"/>
  <c r="AC355" i="14" s="1"/>
  <c r="AB375" i="14"/>
  <c r="AA375" i="14"/>
  <c r="AC375" i="14" s="1"/>
  <c r="AB378" i="14"/>
  <c r="AA378" i="14"/>
  <c r="AC378" i="14" s="1"/>
  <c r="AB403" i="14"/>
  <c r="AA403" i="14"/>
  <c r="AC403" i="14" s="1"/>
  <c r="AE403" i="14"/>
  <c r="AA338" i="14"/>
  <c r="AC338" i="14" s="1"/>
  <c r="AB358" i="14"/>
  <c r="AA358" i="14"/>
  <c r="AC358" i="14" s="1"/>
  <c r="AB361" i="14"/>
  <c r="AA361" i="14"/>
  <c r="AC361" i="14" s="1"/>
  <c r="AB364" i="14"/>
  <c r="AA364" i="14"/>
  <c r="AC364" i="14" s="1"/>
  <c r="AB381" i="14"/>
  <c r="AA381" i="14"/>
  <c r="AC381" i="14" s="1"/>
  <c r="AE381" i="14"/>
  <c r="AB384" i="14"/>
  <c r="AA384" i="14"/>
  <c r="AB394" i="14"/>
  <c r="AA394" i="14"/>
  <c r="AC394" i="14" s="1"/>
  <c r="AE394" i="14"/>
  <c r="AB400" i="14"/>
  <c r="AA400" i="14"/>
  <c r="AE343" i="14"/>
  <c r="Y366" i="14"/>
  <c r="Z350" i="14"/>
  <c r="AB371" i="14"/>
  <c r="AA371" i="14"/>
  <c r="AC371" i="14" s="1"/>
  <c r="AB391" i="14"/>
  <c r="AA391" i="14"/>
  <c r="AC391" i="14" s="1"/>
  <c r="AE391" i="14"/>
  <c r="AB397" i="14"/>
  <c r="AA397" i="14"/>
  <c r="AC397" i="14" s="1"/>
  <c r="AB405" i="14"/>
  <c r="AA405" i="14"/>
  <c r="AB357" i="14"/>
  <c r="AA357" i="14"/>
  <c r="AC357" i="14" s="1"/>
  <c r="AB360" i="14"/>
  <c r="AA360" i="14"/>
  <c r="AB374" i="14"/>
  <c r="AA374" i="14"/>
  <c r="AC374" i="14" s="1"/>
  <c r="AA377" i="14"/>
  <c r="AC377" i="14" s="1"/>
  <c r="AE377" i="14"/>
  <c r="AB377" i="14"/>
  <c r="AB402" i="14"/>
  <c r="AA402" i="14"/>
  <c r="AC402" i="14" s="1"/>
  <c r="AA351" i="14"/>
  <c r="AB351" i="14"/>
  <c r="AA352" i="14"/>
  <c r="AB352" i="14"/>
  <c r="AA363" i="14"/>
  <c r="AC363" i="14" s="1"/>
  <c r="AE363" i="14"/>
  <c r="AB363" i="14"/>
  <c r="AB380" i="14"/>
  <c r="AA380" i="14"/>
  <c r="AC380" i="14" s="1"/>
  <c r="AB383" i="14"/>
  <c r="AA383" i="14"/>
  <c r="AC383" i="14" s="1"/>
  <c r="AB393" i="14"/>
  <c r="AA393" i="14"/>
  <c r="AC393" i="14" s="1"/>
  <c r="AE393" i="14"/>
  <c r="AB399" i="14"/>
  <c r="AA399" i="14"/>
  <c r="AC399" i="14" s="1"/>
  <c r="Y370" i="14"/>
  <c r="Z390" i="14"/>
  <c r="E39" i="15" l="1"/>
  <c r="AC360" i="14"/>
  <c r="AE360" i="14"/>
  <c r="AC405" i="14"/>
  <c r="AE405" i="14"/>
  <c r="AC400" i="14"/>
  <c r="AE400" i="14"/>
  <c r="AC384" i="14"/>
  <c r="AE384" i="14"/>
  <c r="AC395" i="14"/>
  <c r="AE395" i="14"/>
  <c r="AC385" i="14"/>
  <c r="AE385" i="14"/>
  <c r="AC362" i="14"/>
  <c r="AE362" i="14"/>
  <c r="AC334" i="14"/>
  <c r="AE334" i="14"/>
  <c r="AC396" i="14"/>
  <c r="AE396" i="14"/>
  <c r="AC335" i="14"/>
  <c r="AE335" i="14"/>
  <c r="AC304" i="14"/>
  <c r="AE304" i="14"/>
  <c r="AC284" i="14"/>
  <c r="AE284" i="14"/>
  <c r="AC283" i="14"/>
  <c r="AE283" i="14"/>
  <c r="AC332" i="14"/>
  <c r="AE332" i="14"/>
  <c r="AC305" i="14"/>
  <c r="AE305" i="14"/>
  <c r="AC274" i="14"/>
  <c r="AE274" i="14"/>
  <c r="AC297" i="14"/>
  <c r="AE297" i="14"/>
  <c r="AC278" i="14"/>
  <c r="AE278" i="14"/>
  <c r="AC273" i="14"/>
  <c r="AE273" i="14"/>
  <c r="AC261" i="14"/>
  <c r="AE261" i="14"/>
  <c r="AC224" i="14"/>
  <c r="AE224" i="14"/>
  <c r="AC223" i="14"/>
  <c r="AE223" i="14"/>
  <c r="AC264" i="14"/>
  <c r="AE264" i="14"/>
  <c r="AC293" i="14"/>
  <c r="AE293" i="14"/>
  <c r="AC238" i="14"/>
  <c r="AE238" i="14"/>
  <c r="AC237" i="14"/>
  <c r="AE237" i="14"/>
  <c r="AC294" i="14"/>
  <c r="AE294" i="14"/>
  <c r="AC254" i="14"/>
  <c r="AE254" i="14"/>
  <c r="AC241" i="14"/>
  <c r="AE241" i="14"/>
  <c r="AC215" i="14"/>
  <c r="AE215" i="14"/>
  <c r="AC211" i="14"/>
  <c r="AE211" i="14"/>
  <c r="AB166" i="14"/>
  <c r="AC201" i="14"/>
  <c r="AE201" i="14"/>
  <c r="AC184" i="14"/>
  <c r="AE184" i="14"/>
  <c r="AC212" i="14"/>
  <c r="AE212" i="14"/>
  <c r="AC173" i="14"/>
  <c r="AE173" i="14"/>
  <c r="AC216" i="14"/>
  <c r="AE216" i="14"/>
  <c r="AC197" i="14"/>
  <c r="AE197" i="14"/>
  <c r="AC174" i="14"/>
  <c r="AE174" i="14"/>
  <c r="AC181" i="14"/>
  <c r="AE181" i="14"/>
  <c r="AC152" i="14"/>
  <c r="AE152" i="14"/>
  <c r="AC214" i="14"/>
  <c r="AE214" i="14"/>
  <c r="AC133" i="14"/>
  <c r="AE133" i="14"/>
  <c r="AC144" i="14"/>
  <c r="AE144" i="14"/>
  <c r="AC118" i="14"/>
  <c r="AE118" i="14"/>
  <c r="AC96" i="14"/>
  <c r="AE96" i="14"/>
  <c r="AC138" i="14"/>
  <c r="AE138" i="14"/>
  <c r="AC119" i="14"/>
  <c r="AE119" i="14"/>
  <c r="AC121" i="14"/>
  <c r="AE121" i="14"/>
  <c r="AC120" i="14"/>
  <c r="AE120" i="14"/>
  <c r="AC93" i="14"/>
  <c r="AE93" i="14"/>
  <c r="AC157" i="14"/>
  <c r="AE157" i="14"/>
  <c r="AC135" i="14"/>
  <c r="AE135" i="14"/>
  <c r="AC136" i="14"/>
  <c r="AE136" i="14"/>
  <c r="AC43" i="14"/>
  <c r="AE43" i="14"/>
  <c r="AC76" i="14"/>
  <c r="AE76" i="14"/>
  <c r="AC40" i="14"/>
  <c r="AE40" i="14"/>
  <c r="AC92" i="14"/>
  <c r="AE92" i="14"/>
  <c r="AC79" i="14"/>
  <c r="AE79" i="14"/>
  <c r="AC32" i="14"/>
  <c r="AE32" i="14"/>
  <c r="AC80" i="14"/>
  <c r="AE80" i="14"/>
  <c r="AC57" i="14"/>
  <c r="AE57" i="14"/>
  <c r="AC65" i="14"/>
  <c r="AE65" i="14"/>
  <c r="AC41" i="14"/>
  <c r="AE41" i="14"/>
  <c r="AC39" i="14"/>
  <c r="AE39" i="14"/>
  <c r="AJ375" i="15"/>
  <c r="AI375" i="15"/>
  <c r="Q398" i="15"/>
  <c r="AL403" i="15"/>
  <c r="AD403" i="15"/>
  <c r="AC344" i="14"/>
  <c r="AE344" i="14"/>
  <c r="AC340" i="14"/>
  <c r="AE340" i="14"/>
  <c r="Y326" i="14"/>
  <c r="Z310" i="14"/>
  <c r="AC263" i="14"/>
  <c r="AE263" i="14"/>
  <c r="AC251" i="14"/>
  <c r="AE251" i="14"/>
  <c r="AB250" i="14"/>
  <c r="AB266" i="14" s="1"/>
  <c r="AA250" i="14"/>
  <c r="AC240" i="14"/>
  <c r="AE240" i="14"/>
  <c r="AC225" i="14"/>
  <c r="AE225" i="14"/>
  <c r="AC204" i="14"/>
  <c r="AE204" i="14"/>
  <c r="AC84" i="14"/>
  <c r="AE84" i="14"/>
  <c r="AC78" i="14"/>
  <c r="AE78" i="14"/>
  <c r="G37" i="15"/>
  <c r="D47" i="15"/>
  <c r="D46" i="15"/>
  <c r="G39" i="15"/>
  <c r="D44" i="15"/>
  <c r="D45" i="15"/>
  <c r="R13" i="13"/>
  <c r="Y13" i="13" s="1"/>
  <c r="S12" i="8"/>
  <c r="S12" i="14" s="1"/>
  <c r="R12" i="8"/>
  <c r="R12" i="14" s="1"/>
  <c r="M501" i="15"/>
  <c r="M532" i="15"/>
  <c r="M495" i="15"/>
  <c r="N398" i="15"/>
  <c r="O398" i="15" s="1"/>
  <c r="L398" i="15"/>
  <c r="M398" i="15" s="1"/>
  <c r="N375" i="15"/>
  <c r="O375" i="15" s="1"/>
  <c r="L375" i="15"/>
  <c r="M375" i="15" s="1"/>
  <c r="N346" i="15"/>
  <c r="O346" i="15" s="1"/>
  <c r="L346" i="15"/>
  <c r="M346" i="15" s="1"/>
  <c r="N401" i="15"/>
  <c r="O401" i="15" s="1"/>
  <c r="L401" i="15"/>
  <c r="M401" i="15" s="1"/>
  <c r="N403" i="15"/>
  <c r="O403" i="15" s="1"/>
  <c r="L403" i="15"/>
  <c r="M403" i="15" s="1"/>
  <c r="S370" i="15"/>
  <c r="Q370" i="15" s="1"/>
  <c r="AH375" i="15"/>
  <c r="Q409" i="15"/>
  <c r="N365" i="15"/>
  <c r="O365" i="15" s="1"/>
  <c r="L365" i="15"/>
  <c r="M365" i="15" s="1"/>
  <c r="AL409" i="15"/>
  <c r="AD409" i="15"/>
  <c r="AG375" i="15"/>
  <c r="AD375" i="15"/>
  <c r="L363" i="15"/>
  <c r="M363" i="15" s="1"/>
  <c r="N363" i="15"/>
  <c r="O363" i="15" s="1"/>
  <c r="L414" i="15"/>
  <c r="M414" i="15" s="1"/>
  <c r="N414" i="15"/>
  <c r="O414" i="15" s="1"/>
  <c r="Q345" i="15"/>
  <c r="N368" i="15"/>
  <c r="O368" i="15" s="1"/>
  <c r="L368" i="15"/>
  <c r="M368" i="15" s="1"/>
  <c r="L416" i="15"/>
  <c r="M416" i="15" s="1"/>
  <c r="N416" i="15"/>
  <c r="O416" i="15" s="1"/>
  <c r="N373" i="15"/>
  <c r="O373" i="15" s="1"/>
  <c r="L373" i="15"/>
  <c r="M373" i="15" s="1"/>
  <c r="N411" i="15"/>
  <c r="O411" i="15" s="1"/>
  <c r="L411" i="15"/>
  <c r="M411" i="15" s="1"/>
  <c r="L396" i="15"/>
  <c r="M396" i="15" s="1"/>
  <c r="N396" i="15"/>
  <c r="O396" i="15" s="1"/>
  <c r="N419" i="15"/>
  <c r="O419" i="15" s="1"/>
  <c r="L419" i="15"/>
  <c r="M419" i="15" s="1"/>
  <c r="Y386" i="14"/>
  <c r="Z370" i="14"/>
  <c r="AJ391" i="14"/>
  <c r="AG391" i="14" s="1"/>
  <c r="AF391" i="14"/>
  <c r="AJ242" i="14"/>
  <c r="AG242" i="14" s="1"/>
  <c r="AF242" i="14"/>
  <c r="AJ118" i="14"/>
  <c r="AG118" i="14" s="1"/>
  <c r="AF118" i="14"/>
  <c r="AC117" i="14"/>
  <c r="AE117" i="14"/>
  <c r="AC52" i="14"/>
  <c r="AE52" i="14"/>
  <c r="AC37" i="14"/>
  <c r="AE37" i="14"/>
  <c r="AF57" i="14"/>
  <c r="AJ57" i="14"/>
  <c r="AG57" i="14" s="1"/>
  <c r="AJ65" i="14"/>
  <c r="AG65" i="14" s="1"/>
  <c r="AF65" i="14"/>
  <c r="AJ280" i="14"/>
  <c r="AG280" i="14" s="1"/>
  <c r="AF280" i="14"/>
  <c r="AJ279" i="14"/>
  <c r="AG279" i="14" s="1"/>
  <c r="AF279" i="14"/>
  <c r="AJ271" i="14"/>
  <c r="AG271" i="14" s="1"/>
  <c r="AF271" i="14"/>
  <c r="AJ245" i="14"/>
  <c r="AG245" i="14" s="1"/>
  <c r="AF245" i="14"/>
  <c r="AJ212" i="14"/>
  <c r="AG212" i="14" s="1"/>
  <c r="AF212" i="14"/>
  <c r="AJ180" i="14"/>
  <c r="AG180" i="14" s="1"/>
  <c r="AF180" i="14"/>
  <c r="AJ175" i="14"/>
  <c r="AG175" i="14" s="1"/>
  <c r="AF175" i="14"/>
  <c r="AJ152" i="14"/>
  <c r="AG152" i="14" s="1"/>
  <c r="AF152" i="14"/>
  <c r="AJ141" i="14"/>
  <c r="AG141" i="14" s="1"/>
  <c r="AF141" i="14"/>
  <c r="AC98" i="14"/>
  <c r="AE98" i="14"/>
  <c r="AE94" i="14"/>
  <c r="AF121" i="14"/>
  <c r="AJ121" i="14"/>
  <c r="AG121" i="14" s="1"/>
  <c r="AJ142" i="14"/>
  <c r="AG142" i="14" s="1"/>
  <c r="AF142" i="14"/>
  <c r="AJ116" i="14"/>
  <c r="AG116" i="14" s="1"/>
  <c r="AF116" i="14"/>
  <c r="AE62" i="14"/>
  <c r="AE60" i="14"/>
  <c r="AE83" i="14"/>
  <c r="AF92" i="14"/>
  <c r="AJ92" i="14"/>
  <c r="AG92" i="14" s="1"/>
  <c r="AJ35" i="14"/>
  <c r="AG35" i="14" s="1"/>
  <c r="AF35" i="14"/>
  <c r="AJ363" i="14"/>
  <c r="AG363" i="14" s="1"/>
  <c r="AF363" i="14"/>
  <c r="AF385" i="14"/>
  <c r="AJ385" i="14"/>
  <c r="AG385" i="14" s="1"/>
  <c r="AJ243" i="14"/>
  <c r="AG243" i="14" s="1"/>
  <c r="AF243" i="14"/>
  <c r="AF215" i="14"/>
  <c r="AJ215" i="14"/>
  <c r="AG215" i="14" s="1"/>
  <c r="AJ177" i="14"/>
  <c r="AG177" i="14" s="1"/>
  <c r="AF177" i="14"/>
  <c r="AJ133" i="14"/>
  <c r="AG133" i="14" s="1"/>
  <c r="AF133" i="14"/>
  <c r="AJ140" i="14"/>
  <c r="AG140" i="14" s="1"/>
  <c r="AF140" i="14"/>
  <c r="AJ39" i="14"/>
  <c r="AG39" i="14" s="1"/>
  <c r="AF39" i="14"/>
  <c r="AJ260" i="14"/>
  <c r="AG260" i="14" s="1"/>
  <c r="AF260" i="14"/>
  <c r="AF224" i="14"/>
  <c r="AJ224" i="14"/>
  <c r="AG224" i="14" s="1"/>
  <c r="AJ232" i="14"/>
  <c r="AG232" i="14" s="1"/>
  <c r="AF232" i="14"/>
  <c r="AJ219" i="14"/>
  <c r="AG219" i="14" s="1"/>
  <c r="AF219" i="14"/>
  <c r="AF238" i="14"/>
  <c r="AJ238" i="14"/>
  <c r="AG238" i="14" s="1"/>
  <c r="AE383" i="14"/>
  <c r="AE374" i="14"/>
  <c r="AE364" i="14"/>
  <c r="AE358" i="14"/>
  <c r="AE378" i="14"/>
  <c r="AE355" i="14"/>
  <c r="AE398" i="14"/>
  <c r="AE401" i="14"/>
  <c r="AE379" i="14"/>
  <c r="AE373" i="14"/>
  <c r="AE282" i="14"/>
  <c r="AE341" i="14"/>
  <c r="AE336" i="14"/>
  <c r="AE337" i="14"/>
  <c r="AE298" i="14"/>
  <c r="AE291" i="14"/>
  <c r="AF217" i="14"/>
  <c r="AJ217" i="14"/>
  <c r="AG217" i="14" s="1"/>
  <c r="AE262" i="14"/>
  <c r="Y286" i="14"/>
  <c r="Z270" i="14"/>
  <c r="AC244" i="14"/>
  <c r="AE244" i="14"/>
  <c r="AE277" i="14"/>
  <c r="AE160" i="14"/>
  <c r="AE202" i="14"/>
  <c r="AE164" i="14"/>
  <c r="AE196" i="14"/>
  <c r="AE198" i="14"/>
  <c r="AE182" i="14"/>
  <c r="AE199" i="14"/>
  <c r="AE151" i="14"/>
  <c r="AE105" i="14"/>
  <c r="AE134" i="14"/>
  <c r="AE113" i="14"/>
  <c r="AE44" i="14"/>
  <c r="AE75" i="14"/>
  <c r="AE122" i="14"/>
  <c r="AE71" i="14"/>
  <c r="AE55" i="14"/>
  <c r="AE165" i="14"/>
  <c r="AF58" i="14"/>
  <c r="AJ58" i="14"/>
  <c r="AG58" i="14" s="1"/>
  <c r="AJ304" i="14"/>
  <c r="AG304" i="14" s="1"/>
  <c r="AF304" i="14"/>
  <c r="AJ259" i="14"/>
  <c r="AG259" i="14" s="1"/>
  <c r="AF259" i="14"/>
  <c r="AA166" i="14"/>
  <c r="AC150" i="14"/>
  <c r="AJ144" i="14"/>
  <c r="AG144" i="14" s="1"/>
  <c r="AF144" i="14"/>
  <c r="AJ99" i="14"/>
  <c r="AG99" i="14" s="1"/>
  <c r="AF99" i="14"/>
  <c r="AJ301" i="14"/>
  <c r="AG301" i="14" s="1"/>
  <c r="AF301" i="14"/>
  <c r="AE399" i="14"/>
  <c r="AE380" i="14"/>
  <c r="AJ343" i="14"/>
  <c r="AG343" i="14" s="1"/>
  <c r="AF343" i="14"/>
  <c r="AE382" i="14"/>
  <c r="AE359" i="14"/>
  <c r="AE339" i="14"/>
  <c r="Z246" i="14"/>
  <c r="AB230" i="14"/>
  <c r="AB246" i="14" s="1"/>
  <c r="AA230" i="14"/>
  <c r="AE231" i="14"/>
  <c r="AF264" i="14"/>
  <c r="AJ264" i="14"/>
  <c r="AG264" i="14" s="1"/>
  <c r="AE203" i="14"/>
  <c r="AF239" i="14"/>
  <c r="AJ239" i="14"/>
  <c r="AG239" i="14" s="1"/>
  <c r="AE185" i="14"/>
  <c r="AE205" i="14"/>
  <c r="AE172" i="14"/>
  <c r="AC163" i="14"/>
  <c r="AE163" i="14"/>
  <c r="AF173" i="14"/>
  <c r="AJ173" i="14"/>
  <c r="AG173" i="14" s="1"/>
  <c r="AE213" i="14"/>
  <c r="AC194" i="14"/>
  <c r="AE194" i="14"/>
  <c r="AE124" i="14"/>
  <c r="AE159" i="14"/>
  <c r="AE97" i="14"/>
  <c r="AE131" i="14"/>
  <c r="Y66" i="14"/>
  <c r="Z50" i="14"/>
  <c r="AE45" i="14"/>
  <c r="AE104" i="14"/>
  <c r="AF43" i="14"/>
  <c r="AJ43" i="14"/>
  <c r="AG43" i="14" s="1"/>
  <c r="Z30" i="14"/>
  <c r="Y46" i="14"/>
  <c r="AE72" i="14"/>
  <c r="AJ54" i="14"/>
  <c r="AG54" i="14" s="1"/>
  <c r="AF54" i="14"/>
  <c r="AJ80" i="14"/>
  <c r="AG80" i="14" s="1"/>
  <c r="AF80" i="14"/>
  <c r="AJ64" i="14"/>
  <c r="AG64" i="14" s="1"/>
  <c r="AF64" i="14"/>
  <c r="AE81" i="14"/>
  <c r="AE56" i="14"/>
  <c r="AA350" i="14"/>
  <c r="Z366" i="14"/>
  <c r="AB350" i="14"/>
  <c r="AB366" i="14" s="1"/>
  <c r="AE350" i="14"/>
  <c r="AJ365" i="14"/>
  <c r="AG365" i="14" s="1"/>
  <c r="AF365" i="14"/>
  <c r="AJ354" i="14"/>
  <c r="AG354" i="14" s="1"/>
  <c r="AF354" i="14"/>
  <c r="Y206" i="14"/>
  <c r="Z190" i="14"/>
  <c r="AF170" i="14"/>
  <c r="AF186" i="14" s="1"/>
  <c r="AK170" i="14"/>
  <c r="AE186" i="14"/>
  <c r="AJ170" i="14"/>
  <c r="AJ53" i="14"/>
  <c r="AG53" i="14" s="1"/>
  <c r="AF53" i="14"/>
  <c r="AC352" i="14"/>
  <c r="AE352" i="14"/>
  <c r="AJ405" i="14"/>
  <c r="AG405" i="14" s="1"/>
  <c r="AF405" i="14"/>
  <c r="AE356" i="14"/>
  <c r="Z346" i="14"/>
  <c r="AB330" i="14"/>
  <c r="AB346" i="14" s="1"/>
  <c r="AA330" i="14"/>
  <c r="AE330" i="14" s="1"/>
  <c r="AJ396" i="14"/>
  <c r="AG396" i="14" s="1"/>
  <c r="AF396" i="14"/>
  <c r="AF281" i="14"/>
  <c r="AJ281" i="14"/>
  <c r="AG281" i="14" s="1"/>
  <c r="AF334" i="14"/>
  <c r="AJ334" i="14"/>
  <c r="AG334" i="14" s="1"/>
  <c r="AF297" i="14"/>
  <c r="AJ297" i="14"/>
  <c r="AG297" i="14" s="1"/>
  <c r="AE235" i="14"/>
  <c r="AJ223" i="14"/>
  <c r="AG223" i="14" s="1"/>
  <c r="AF223" i="14"/>
  <c r="AC258" i="14"/>
  <c r="AE258" i="14"/>
  <c r="AJ237" i="14"/>
  <c r="AG237" i="14" s="1"/>
  <c r="AF237" i="14"/>
  <c r="AF254" i="14"/>
  <c r="AJ254" i="14"/>
  <c r="AG254" i="14" s="1"/>
  <c r="AE255" i="14"/>
  <c r="AJ211" i="14"/>
  <c r="AG211" i="14" s="1"/>
  <c r="AF211" i="14"/>
  <c r="AE154" i="14"/>
  <c r="AC154" i="14"/>
  <c r="AF174" i="14"/>
  <c r="AJ174" i="14"/>
  <c r="AG174" i="14" s="1"/>
  <c r="AF214" i="14"/>
  <c r="AJ214" i="14"/>
  <c r="AG214" i="14" s="1"/>
  <c r="AF119" i="14"/>
  <c r="AJ119" i="14"/>
  <c r="AG119" i="14" s="1"/>
  <c r="AF120" i="14"/>
  <c r="AJ120" i="14"/>
  <c r="AG120" i="14" s="1"/>
  <c r="AE95" i="14"/>
  <c r="AF135" i="14"/>
  <c r="AJ135" i="14"/>
  <c r="AG135" i="14" s="1"/>
  <c r="AE111" i="14"/>
  <c r="AE178" i="14"/>
  <c r="AF74" i="14"/>
  <c r="AJ74" i="14"/>
  <c r="AG74" i="14" s="1"/>
  <c r="AF42" i="14"/>
  <c r="AJ42" i="14"/>
  <c r="AG42" i="14" s="1"/>
  <c r="AE112" i="14"/>
  <c r="AF76" i="14"/>
  <c r="AJ76" i="14"/>
  <c r="AG76" i="14" s="1"/>
  <c r="AF79" i="14"/>
  <c r="AJ79" i="14"/>
  <c r="AG79" i="14" s="1"/>
  <c r="AC70" i="14"/>
  <c r="AC86" i="14" s="1"/>
  <c r="AA86" i="14"/>
  <c r="AE143" i="14"/>
  <c r="AE34" i="14"/>
  <c r="AJ394" i="14"/>
  <c r="AG394" i="14" s="1"/>
  <c r="AF394" i="14"/>
  <c r="AF362" i="14"/>
  <c r="AJ362" i="14"/>
  <c r="AG362" i="14" s="1"/>
  <c r="AJ161" i="14"/>
  <c r="AG161" i="14" s="1"/>
  <c r="AF161" i="14"/>
  <c r="AJ393" i="14"/>
  <c r="AG393" i="14" s="1"/>
  <c r="AF393" i="14"/>
  <c r="AF384" i="14"/>
  <c r="AJ384" i="14"/>
  <c r="AG384" i="14" s="1"/>
  <c r="AJ403" i="14"/>
  <c r="AG403" i="14" s="1"/>
  <c r="AF403" i="14"/>
  <c r="AJ395" i="14"/>
  <c r="AG395" i="14" s="1"/>
  <c r="AF395" i="14"/>
  <c r="AF305" i="14"/>
  <c r="AJ305" i="14"/>
  <c r="AG305" i="14" s="1"/>
  <c r="AF296" i="14"/>
  <c r="AJ296" i="14"/>
  <c r="AG296" i="14" s="1"/>
  <c r="AF274" i="14"/>
  <c r="AJ274" i="14"/>
  <c r="AG274" i="14" s="1"/>
  <c r="Z306" i="14"/>
  <c r="AB290" i="14"/>
  <c r="AB306" i="14" s="1"/>
  <c r="AA290" i="14"/>
  <c r="AE290" i="14" s="1"/>
  <c r="AE256" i="14"/>
  <c r="AJ261" i="14"/>
  <c r="AG261" i="14" s="1"/>
  <c r="AF261" i="14"/>
  <c r="AE265" i="14"/>
  <c r="AE236" i="14"/>
  <c r="AE218" i="14"/>
  <c r="AJ234" i="14"/>
  <c r="AG234" i="14" s="1"/>
  <c r="AF234" i="14"/>
  <c r="AE272" i="14"/>
  <c r="AF183" i="14"/>
  <c r="AJ183" i="14"/>
  <c r="AG183" i="14" s="1"/>
  <c r="AF201" i="14"/>
  <c r="AJ201" i="14"/>
  <c r="AG201" i="14" s="1"/>
  <c r="AE171" i="14"/>
  <c r="AE150" i="14"/>
  <c r="AE192" i="14"/>
  <c r="AJ197" i="14"/>
  <c r="AG197" i="14" s="1"/>
  <c r="AF197" i="14"/>
  <c r="AA186" i="14"/>
  <c r="AC170" i="14"/>
  <c r="AC186" i="14" s="1"/>
  <c r="AJ181" i="14"/>
  <c r="AG181" i="14" s="1"/>
  <c r="AF181" i="14"/>
  <c r="Z226" i="14"/>
  <c r="AB210" i="14"/>
  <c r="AB226" i="14" s="1"/>
  <c r="AA210" i="14"/>
  <c r="AE137" i="14"/>
  <c r="AE156" i="14"/>
  <c r="AF138" i="14"/>
  <c r="AJ138" i="14"/>
  <c r="AG138" i="14" s="1"/>
  <c r="AE115" i="14"/>
  <c r="AE139" i="14"/>
  <c r="AJ157" i="14"/>
  <c r="AG157" i="14" s="1"/>
  <c r="AF157" i="14"/>
  <c r="AE132" i="14"/>
  <c r="AE162" i="14"/>
  <c r="AF136" i="14"/>
  <c r="AJ136" i="14"/>
  <c r="AG136" i="14" s="1"/>
  <c r="AE82" i="14"/>
  <c r="AE36" i="14"/>
  <c r="AB86" i="14"/>
  <c r="AJ101" i="14"/>
  <c r="AG101" i="14" s="1"/>
  <c r="AF101" i="14"/>
  <c r="AF32" i="14"/>
  <c r="AJ32" i="14"/>
  <c r="AG32" i="14" s="1"/>
  <c r="AF73" i="14"/>
  <c r="AJ73" i="14"/>
  <c r="AG73" i="14" s="1"/>
  <c r="AJ283" i="14"/>
  <c r="AG283" i="14" s="1"/>
  <c r="AF283" i="14"/>
  <c r="Z406" i="14"/>
  <c r="AB390" i="14"/>
  <c r="AB406" i="14" s="1"/>
  <c r="AA390" i="14"/>
  <c r="AE390" i="14"/>
  <c r="AJ377" i="14"/>
  <c r="AG377" i="14" s="1"/>
  <c r="AF377" i="14"/>
  <c r="AF360" i="14"/>
  <c r="AJ360" i="14"/>
  <c r="AG360" i="14" s="1"/>
  <c r="AF400" i="14"/>
  <c r="AJ400" i="14"/>
  <c r="AG400" i="14" s="1"/>
  <c r="AJ381" i="14"/>
  <c r="AG381" i="14" s="1"/>
  <c r="AF381" i="14"/>
  <c r="AJ392" i="14"/>
  <c r="AG392" i="14" s="1"/>
  <c r="AF392" i="14"/>
  <c r="AJ404" i="14"/>
  <c r="AG404" i="14" s="1"/>
  <c r="AF404" i="14"/>
  <c r="AE345" i="14"/>
  <c r="AF335" i="14"/>
  <c r="AJ335" i="14"/>
  <c r="AG335" i="14" s="1"/>
  <c r="AJ285" i="14"/>
  <c r="AG285" i="14" s="1"/>
  <c r="AF285" i="14"/>
  <c r="AF284" i="14"/>
  <c r="AJ284" i="14"/>
  <c r="AG284" i="14" s="1"/>
  <c r="AF332" i="14"/>
  <c r="AJ332" i="14"/>
  <c r="AG332" i="14" s="1"/>
  <c r="AJ302" i="14"/>
  <c r="AG302" i="14" s="1"/>
  <c r="AF302" i="14"/>
  <c r="AJ353" i="14"/>
  <c r="AG353" i="14" s="1"/>
  <c r="AF353" i="14"/>
  <c r="AJ303" i="14"/>
  <c r="AG303" i="14" s="1"/>
  <c r="AF303" i="14"/>
  <c r="AJ278" i="14"/>
  <c r="AG278" i="14" s="1"/>
  <c r="AF278" i="14"/>
  <c r="AF273" i="14"/>
  <c r="AJ273" i="14"/>
  <c r="AG273" i="14" s="1"/>
  <c r="AA266" i="14"/>
  <c r="AJ293" i="14"/>
  <c r="AG293" i="14" s="1"/>
  <c r="AF293" i="14"/>
  <c r="AE221" i="14"/>
  <c r="AC233" i="14"/>
  <c r="AE233" i="14"/>
  <c r="AJ294" i="14"/>
  <c r="AG294" i="14" s="1"/>
  <c r="AF294" i="14"/>
  <c r="AF241" i="14"/>
  <c r="AJ241" i="14"/>
  <c r="AG241" i="14" s="1"/>
  <c r="AF200" i="14"/>
  <c r="AJ200" i="14"/>
  <c r="AG200" i="14" s="1"/>
  <c r="AJ195" i="14"/>
  <c r="AG195" i="14" s="1"/>
  <c r="AF195" i="14"/>
  <c r="AF184" i="14"/>
  <c r="AJ184" i="14"/>
  <c r="AG184" i="14" s="1"/>
  <c r="Z110" i="14"/>
  <c r="Y126" i="14"/>
  <c r="AF216" i="14"/>
  <c r="AJ216" i="14"/>
  <c r="AG216" i="14" s="1"/>
  <c r="AJ176" i="14"/>
  <c r="AG176" i="14" s="1"/>
  <c r="AF176" i="14"/>
  <c r="AB186" i="14"/>
  <c r="Y106" i="14"/>
  <c r="Z90" i="14"/>
  <c r="AF96" i="14"/>
  <c r="AJ96" i="14"/>
  <c r="AG96" i="14" s="1"/>
  <c r="AF93" i="14"/>
  <c r="AJ93" i="14"/>
  <c r="AG93" i="14" s="1"/>
  <c r="AJ100" i="14"/>
  <c r="AG100" i="14" s="1"/>
  <c r="AF100" i="14"/>
  <c r="AJ155" i="14"/>
  <c r="AG155" i="14" s="1"/>
  <c r="AF155" i="14"/>
  <c r="AJ123" i="14"/>
  <c r="AG123" i="14" s="1"/>
  <c r="AF123" i="14"/>
  <c r="AF103" i="14"/>
  <c r="AJ103" i="14"/>
  <c r="AG103" i="14" s="1"/>
  <c r="AJ61" i="14"/>
  <c r="AG61" i="14" s="1"/>
  <c r="AF61" i="14"/>
  <c r="AJ40" i="14"/>
  <c r="AG40" i="14" s="1"/>
  <c r="AF40" i="14"/>
  <c r="AF70" i="14"/>
  <c r="AF86" i="14" s="1"/>
  <c r="AE86" i="14"/>
  <c r="AK70" i="14"/>
  <c r="AJ70" i="14"/>
  <c r="AE51" i="14"/>
  <c r="AF41" i="14"/>
  <c r="AJ41" i="14"/>
  <c r="AG41" i="14" s="1"/>
  <c r="AF252" i="14"/>
  <c r="AJ252" i="14"/>
  <c r="AG252" i="14" s="1"/>
  <c r="AJ191" i="14"/>
  <c r="AG191" i="14" s="1"/>
  <c r="AF191" i="14"/>
  <c r="AJ153" i="14"/>
  <c r="AG153" i="14" s="1"/>
  <c r="AF153" i="14"/>
  <c r="AJ85" i="14"/>
  <c r="AG85" i="14" s="1"/>
  <c r="AF85" i="14"/>
  <c r="AC351" i="14"/>
  <c r="AE351" i="14"/>
  <c r="AJ300" i="14"/>
  <c r="AG300" i="14" s="1"/>
  <c r="AF300" i="14"/>
  <c r="AE402" i="14"/>
  <c r="AE357" i="14"/>
  <c r="AE397" i="14"/>
  <c r="AE371" i="14"/>
  <c r="AE361" i="14"/>
  <c r="AE375" i="14"/>
  <c r="AJ299" i="14"/>
  <c r="AG299" i="14" s="1"/>
  <c r="AF299" i="14"/>
  <c r="AE372" i="14"/>
  <c r="AE376" i="14"/>
  <c r="AE338" i="14"/>
  <c r="AE292" i="14"/>
  <c r="AE331" i="14"/>
  <c r="AE333" i="14"/>
  <c r="AF295" i="14"/>
  <c r="AJ295" i="14"/>
  <c r="AG295" i="14" s="1"/>
  <c r="AE342" i="14"/>
  <c r="AE222" i="14"/>
  <c r="AE257" i="14"/>
  <c r="AE276" i="14"/>
  <c r="AE220" i="14"/>
  <c r="AE253" i="14"/>
  <c r="AE179" i="14"/>
  <c r="AE193" i="14"/>
  <c r="Z146" i="14"/>
  <c r="AB130" i="14"/>
  <c r="AB146" i="14" s="1"/>
  <c r="AA130" i="14"/>
  <c r="AE158" i="14"/>
  <c r="AE114" i="14"/>
  <c r="AE125" i="14"/>
  <c r="AE145" i="14"/>
  <c r="AE59" i="14"/>
  <c r="AE91" i="14"/>
  <c r="AE33" i="14"/>
  <c r="AE77" i="14"/>
  <c r="AC63" i="14"/>
  <c r="AE63" i="14"/>
  <c r="AE102" i="14"/>
  <c r="AE31" i="14"/>
  <c r="AF78" i="14" l="1"/>
  <c r="AJ78" i="14"/>
  <c r="AG78" i="14" s="1"/>
  <c r="AF84" i="14"/>
  <c r="AJ84" i="14"/>
  <c r="AG84" i="14" s="1"/>
  <c r="AJ204" i="14"/>
  <c r="AG204" i="14" s="1"/>
  <c r="AF204" i="14"/>
  <c r="AF225" i="14"/>
  <c r="AJ225" i="14"/>
  <c r="AG225" i="14" s="1"/>
  <c r="AF240" i="14"/>
  <c r="AJ240" i="14"/>
  <c r="AG240" i="14" s="1"/>
  <c r="AE250" i="14"/>
  <c r="AC250" i="14"/>
  <c r="AC266" i="14" s="1"/>
  <c r="AF251" i="14"/>
  <c r="AJ251" i="14"/>
  <c r="AG251" i="14" s="1"/>
  <c r="AF263" i="14"/>
  <c r="AJ263" i="14"/>
  <c r="AG263" i="14" s="1"/>
  <c r="AA310" i="14"/>
  <c r="AA326" i="14" s="1"/>
  <c r="AB310" i="14"/>
  <c r="AB326" i="14" s="1"/>
  <c r="Z326" i="14"/>
  <c r="AE310" i="14"/>
  <c r="AF340" i="14"/>
  <c r="AJ340" i="14"/>
  <c r="AG340" i="14" s="1"/>
  <c r="AF344" i="14"/>
  <c r="AJ344" i="14"/>
  <c r="AG344" i="14" s="1"/>
  <c r="G45" i="15"/>
  <c r="G44" i="15"/>
  <c r="G46" i="15"/>
  <c r="G47" i="15"/>
  <c r="S13" i="8"/>
  <c r="S13" i="14" s="1"/>
  <c r="R14" i="13"/>
  <c r="Y14" i="13" s="1"/>
  <c r="R13" i="8"/>
  <c r="R13" i="14" s="1"/>
  <c r="N409" i="15"/>
  <c r="O409" i="15" s="1"/>
  <c r="L409" i="15"/>
  <c r="M409" i="15" s="1"/>
  <c r="N370" i="15"/>
  <c r="O370" i="15" s="1"/>
  <c r="L370" i="15"/>
  <c r="M370" i="15" s="1"/>
  <c r="AK290" i="14"/>
  <c r="AJ290" i="14"/>
  <c r="AE306" i="14"/>
  <c r="AF290" i="14"/>
  <c r="AF306" i="14" s="1"/>
  <c r="AJ222" i="14"/>
  <c r="AG222" i="14" s="1"/>
  <c r="AF222" i="14"/>
  <c r="AJ51" i="14"/>
  <c r="AG51" i="14" s="1"/>
  <c r="AF51" i="14"/>
  <c r="AJ56" i="14"/>
  <c r="AG56" i="14" s="1"/>
  <c r="AF56" i="14"/>
  <c r="AF72" i="14"/>
  <c r="AJ72" i="14"/>
  <c r="AG72" i="14" s="1"/>
  <c r="AF151" i="14"/>
  <c r="AJ151" i="14"/>
  <c r="AG151" i="14" s="1"/>
  <c r="AF373" i="14"/>
  <c r="AJ373" i="14"/>
  <c r="AG373" i="14" s="1"/>
  <c r="AF374" i="14"/>
  <c r="AJ374" i="14"/>
  <c r="AG374" i="14" s="1"/>
  <c r="AJ102" i="14"/>
  <c r="AG102" i="14" s="1"/>
  <c r="AF102" i="14"/>
  <c r="AJ402" i="14"/>
  <c r="AG402" i="14" s="1"/>
  <c r="AF402" i="14"/>
  <c r="AJ233" i="14"/>
  <c r="AG233" i="14" s="1"/>
  <c r="AF233" i="14"/>
  <c r="AJ345" i="14"/>
  <c r="AG345" i="14" s="1"/>
  <c r="AF345" i="14"/>
  <c r="AA146" i="14"/>
  <c r="AC130" i="14"/>
  <c r="AC146" i="14" s="1"/>
  <c r="AK390" i="14"/>
  <c r="AJ390" i="14"/>
  <c r="AE406" i="14"/>
  <c r="AF390" i="14"/>
  <c r="AF406" i="14" s="1"/>
  <c r="AJ218" i="14"/>
  <c r="AG218" i="14" s="1"/>
  <c r="AF218" i="14"/>
  <c r="AJ352" i="14"/>
  <c r="AG352" i="14" s="1"/>
  <c r="AF352" i="14"/>
  <c r="AB190" i="14"/>
  <c r="AB206" i="14" s="1"/>
  <c r="AA190" i="14"/>
  <c r="AE190" i="14" s="1"/>
  <c r="Z206" i="14"/>
  <c r="AJ45" i="14"/>
  <c r="AG45" i="14" s="1"/>
  <c r="AF45" i="14"/>
  <c r="AA246" i="14"/>
  <c r="AC230" i="14"/>
  <c r="AC246" i="14" s="1"/>
  <c r="AJ380" i="14"/>
  <c r="AG380" i="14" s="1"/>
  <c r="AF380" i="14"/>
  <c r="AC166" i="14"/>
  <c r="AJ134" i="14"/>
  <c r="AG134" i="14" s="1"/>
  <c r="AF134" i="14"/>
  <c r="AF262" i="14"/>
  <c r="AJ262" i="14"/>
  <c r="AG262" i="14" s="1"/>
  <c r="AJ31" i="14"/>
  <c r="AG31" i="14" s="1"/>
  <c r="AF31" i="14"/>
  <c r="AF91" i="14"/>
  <c r="AJ91" i="14"/>
  <c r="AG91" i="14" s="1"/>
  <c r="AJ257" i="14"/>
  <c r="AG257" i="14" s="1"/>
  <c r="AF257" i="14"/>
  <c r="AJ338" i="14"/>
  <c r="AG338" i="14" s="1"/>
  <c r="AF338" i="14"/>
  <c r="AF397" i="14"/>
  <c r="AJ397" i="14"/>
  <c r="AG397" i="14" s="1"/>
  <c r="AA406" i="14"/>
  <c r="AC390" i="14"/>
  <c r="AC406" i="14" s="1"/>
  <c r="AJ236" i="14"/>
  <c r="AG236" i="14" s="1"/>
  <c r="AF236" i="14"/>
  <c r="AF95" i="14"/>
  <c r="AJ95" i="14"/>
  <c r="AG95" i="14" s="1"/>
  <c r="AA346" i="14"/>
  <c r="AC330" i="14"/>
  <c r="AC346" i="14" s="1"/>
  <c r="AA366" i="14"/>
  <c r="AC350" i="14"/>
  <c r="AC366" i="14" s="1"/>
  <c r="Z66" i="14"/>
  <c r="AB50" i="14"/>
  <c r="AB66" i="14" s="1"/>
  <c r="AA50" i="14"/>
  <c r="AE50" i="14" s="1"/>
  <c r="AF213" i="14"/>
  <c r="AJ213" i="14"/>
  <c r="AG213" i="14" s="1"/>
  <c r="AF399" i="14"/>
  <c r="AJ399" i="14"/>
  <c r="AG399" i="14" s="1"/>
  <c r="AF165" i="14"/>
  <c r="AJ165" i="14"/>
  <c r="AG165" i="14" s="1"/>
  <c r="AF105" i="14"/>
  <c r="AJ105" i="14"/>
  <c r="AG105" i="14" s="1"/>
  <c r="AJ160" i="14"/>
  <c r="AG160" i="14" s="1"/>
  <c r="AF160" i="14"/>
  <c r="AJ364" i="14"/>
  <c r="AG364" i="14" s="1"/>
  <c r="AF364" i="14"/>
  <c r="AF145" i="14"/>
  <c r="AJ145" i="14"/>
  <c r="AG145" i="14" s="1"/>
  <c r="AJ203" i="14"/>
  <c r="AG203" i="14" s="1"/>
  <c r="AF203" i="14"/>
  <c r="AJ63" i="14"/>
  <c r="AG63" i="14" s="1"/>
  <c r="AF63" i="14"/>
  <c r="AO70" i="14"/>
  <c r="AN70" i="14"/>
  <c r="AL71" i="14"/>
  <c r="AL73" i="14"/>
  <c r="AA226" i="14"/>
  <c r="AC210" i="14"/>
  <c r="AC226" i="14" s="1"/>
  <c r="AJ186" i="14"/>
  <c r="AS170" i="14" s="1"/>
  <c r="AG170" i="14"/>
  <c r="AG186" i="14" s="1"/>
  <c r="AQ170" i="14" s="1"/>
  <c r="Z46" i="14"/>
  <c r="AB30" i="14"/>
  <c r="AB46" i="14" s="1"/>
  <c r="AA30" i="14"/>
  <c r="AE30" i="14"/>
  <c r="AJ97" i="14"/>
  <c r="AG97" i="14" s="1"/>
  <c r="AF97" i="14"/>
  <c r="AJ163" i="14"/>
  <c r="AG163" i="14" s="1"/>
  <c r="AF163" i="14"/>
  <c r="AF359" i="14"/>
  <c r="AJ359" i="14"/>
  <c r="AG359" i="14" s="1"/>
  <c r="AF122" i="14"/>
  <c r="AJ122" i="14"/>
  <c r="AG122" i="14" s="1"/>
  <c r="AF182" i="14"/>
  <c r="AJ182" i="14"/>
  <c r="AG182" i="14" s="1"/>
  <c r="AJ244" i="14"/>
  <c r="AG244" i="14" s="1"/>
  <c r="AF244" i="14"/>
  <c r="AF298" i="14"/>
  <c r="AJ298" i="14"/>
  <c r="AG298" i="14" s="1"/>
  <c r="AJ401" i="14"/>
  <c r="AG401" i="14" s="1"/>
  <c r="AF401" i="14"/>
  <c r="AF376" i="14"/>
  <c r="AJ376" i="14"/>
  <c r="AG376" i="14" s="1"/>
  <c r="AJ162" i="14"/>
  <c r="AG162" i="14" s="1"/>
  <c r="AF162" i="14"/>
  <c r="AJ55" i="14"/>
  <c r="AG55" i="14" s="1"/>
  <c r="AF55" i="14"/>
  <c r="AF342" i="14"/>
  <c r="AJ342" i="14"/>
  <c r="AG342" i="14" s="1"/>
  <c r="AE346" i="14"/>
  <c r="AF330" i="14"/>
  <c r="AF346" i="14" s="1"/>
  <c r="AK330" i="14"/>
  <c r="AJ330" i="14"/>
  <c r="AF81" i="14"/>
  <c r="AJ81" i="14"/>
  <c r="AG81" i="14" s="1"/>
  <c r="AJ131" i="14"/>
  <c r="AG131" i="14" s="1"/>
  <c r="AF131" i="14"/>
  <c r="AF199" i="14"/>
  <c r="AJ199" i="14"/>
  <c r="AG199" i="14" s="1"/>
  <c r="AJ291" i="14"/>
  <c r="AG291" i="14" s="1"/>
  <c r="AF291" i="14"/>
  <c r="AF37" i="14"/>
  <c r="AJ37" i="14"/>
  <c r="AG37" i="14" s="1"/>
  <c r="AJ179" i="14"/>
  <c r="AG179" i="14" s="1"/>
  <c r="AF179" i="14"/>
  <c r="AJ114" i="14"/>
  <c r="AG114" i="14" s="1"/>
  <c r="AF114" i="14"/>
  <c r="AJ221" i="14"/>
  <c r="AG221" i="14" s="1"/>
  <c r="AF221" i="14"/>
  <c r="AJ272" i="14"/>
  <c r="AG272" i="14" s="1"/>
  <c r="AF272" i="14"/>
  <c r="AJ178" i="14"/>
  <c r="AG178" i="14" s="1"/>
  <c r="AF178" i="14"/>
  <c r="AJ356" i="14"/>
  <c r="AG356" i="14" s="1"/>
  <c r="AF356" i="14"/>
  <c r="AJ159" i="14"/>
  <c r="AG159" i="14" s="1"/>
  <c r="AF159" i="14"/>
  <c r="AJ382" i="14"/>
  <c r="AG382" i="14" s="1"/>
  <c r="AF382" i="14"/>
  <c r="AF75" i="14"/>
  <c r="AJ75" i="14"/>
  <c r="AG75" i="14" s="1"/>
  <c r="AF198" i="14"/>
  <c r="AJ198" i="14"/>
  <c r="AG198" i="14" s="1"/>
  <c r="AF337" i="14"/>
  <c r="AJ337" i="14"/>
  <c r="AG337" i="14" s="1"/>
  <c r="AF398" i="14"/>
  <c r="AJ398" i="14"/>
  <c r="AG398" i="14" s="1"/>
  <c r="AF83" i="14"/>
  <c r="AJ83" i="14"/>
  <c r="AG83" i="14" s="1"/>
  <c r="AJ52" i="14"/>
  <c r="AG52" i="14" s="1"/>
  <c r="AF52" i="14"/>
  <c r="AF156" i="14"/>
  <c r="AJ156" i="14"/>
  <c r="AG156" i="14" s="1"/>
  <c r="AJ193" i="14"/>
  <c r="AG193" i="14" s="1"/>
  <c r="AF193" i="14"/>
  <c r="AF137" i="14"/>
  <c r="AJ137" i="14"/>
  <c r="AG137" i="14" s="1"/>
  <c r="AJ154" i="14"/>
  <c r="AG154" i="14" s="1"/>
  <c r="AF154" i="14"/>
  <c r="AJ379" i="14"/>
  <c r="AG379" i="14" s="1"/>
  <c r="AF379" i="14"/>
  <c r="AF253" i="14"/>
  <c r="AJ253" i="14"/>
  <c r="AG253" i="14" s="1"/>
  <c r="AJ351" i="14"/>
  <c r="AG351" i="14" s="1"/>
  <c r="AF351" i="14"/>
  <c r="AJ36" i="14"/>
  <c r="AG36" i="14" s="1"/>
  <c r="AF36" i="14"/>
  <c r="AJ139" i="14"/>
  <c r="AG139" i="14" s="1"/>
  <c r="AF139" i="14"/>
  <c r="AE210" i="14"/>
  <c r="AJ192" i="14"/>
  <c r="AG192" i="14" s="1"/>
  <c r="AF192" i="14"/>
  <c r="AJ256" i="14"/>
  <c r="AG256" i="14" s="1"/>
  <c r="AF256" i="14"/>
  <c r="AJ34" i="14"/>
  <c r="AG34" i="14" s="1"/>
  <c r="AF34" i="14"/>
  <c r="AJ111" i="14"/>
  <c r="AG111" i="14" s="1"/>
  <c r="AF111" i="14"/>
  <c r="AJ255" i="14"/>
  <c r="AG255" i="14" s="1"/>
  <c r="AF255" i="14"/>
  <c r="AO170" i="14"/>
  <c r="AN170" i="14"/>
  <c r="AL171" i="14"/>
  <c r="AL173" i="14"/>
  <c r="AJ350" i="14"/>
  <c r="AE366" i="14"/>
  <c r="AF350" i="14"/>
  <c r="AF366" i="14" s="1"/>
  <c r="AK350" i="14"/>
  <c r="AJ124" i="14"/>
  <c r="AG124" i="14" s="1"/>
  <c r="AF124" i="14"/>
  <c r="AF172" i="14"/>
  <c r="AJ172" i="14"/>
  <c r="AG172" i="14" s="1"/>
  <c r="AJ231" i="14"/>
  <c r="AG231" i="14" s="1"/>
  <c r="AF231" i="14"/>
  <c r="AJ44" i="14"/>
  <c r="AG44" i="14" s="1"/>
  <c r="AF44" i="14"/>
  <c r="AJ196" i="14"/>
  <c r="AG196" i="14" s="1"/>
  <c r="AF196" i="14"/>
  <c r="AB270" i="14"/>
  <c r="AB286" i="14" s="1"/>
  <c r="AA270" i="14"/>
  <c r="Z286" i="14"/>
  <c r="AE270" i="14"/>
  <c r="AF336" i="14"/>
  <c r="AJ336" i="14"/>
  <c r="AG336" i="14" s="1"/>
  <c r="AJ355" i="14"/>
  <c r="AG355" i="14" s="1"/>
  <c r="AF355" i="14"/>
  <c r="AF60" i="14"/>
  <c r="AJ60" i="14"/>
  <c r="AG60" i="14" s="1"/>
  <c r="AF94" i="14"/>
  <c r="AJ94" i="14"/>
  <c r="AG94" i="14" s="1"/>
  <c r="AF59" i="14"/>
  <c r="AJ59" i="14"/>
  <c r="AG59" i="14" s="1"/>
  <c r="AJ357" i="14"/>
  <c r="AG357" i="14" s="1"/>
  <c r="AF357" i="14"/>
  <c r="AJ265" i="14"/>
  <c r="AG265" i="14" s="1"/>
  <c r="AF265" i="14"/>
  <c r="AF372" i="14"/>
  <c r="AJ372" i="14"/>
  <c r="AG372" i="14" s="1"/>
  <c r="AJ132" i="14"/>
  <c r="AG132" i="14" s="1"/>
  <c r="AF132" i="14"/>
  <c r="AJ258" i="14"/>
  <c r="AG258" i="14" s="1"/>
  <c r="AF258" i="14"/>
  <c r="AF339" i="14"/>
  <c r="AJ339" i="14"/>
  <c r="AG339" i="14" s="1"/>
  <c r="AF71" i="14"/>
  <c r="AJ71" i="14"/>
  <c r="AG71" i="14" s="1"/>
  <c r="AF277" i="14"/>
  <c r="AJ277" i="14"/>
  <c r="AG277" i="14" s="1"/>
  <c r="AF383" i="14"/>
  <c r="AJ383" i="14"/>
  <c r="AG383" i="14" s="1"/>
  <c r="AJ125" i="14"/>
  <c r="AG125" i="14" s="1"/>
  <c r="AF125" i="14"/>
  <c r="AJ77" i="14"/>
  <c r="AG77" i="14" s="1"/>
  <c r="AF77" i="14"/>
  <c r="AJ158" i="14"/>
  <c r="AG158" i="14" s="1"/>
  <c r="AF158" i="14"/>
  <c r="AF333" i="14"/>
  <c r="AJ333" i="14"/>
  <c r="AG333" i="14" s="1"/>
  <c r="AF375" i="14"/>
  <c r="AJ375" i="14"/>
  <c r="AG375" i="14" s="1"/>
  <c r="AJ33" i="14"/>
  <c r="AG33" i="14" s="1"/>
  <c r="AF33" i="14"/>
  <c r="AE130" i="14"/>
  <c r="AJ220" i="14"/>
  <c r="AG220" i="14" s="1"/>
  <c r="AF220" i="14"/>
  <c r="AF331" i="14"/>
  <c r="AJ331" i="14"/>
  <c r="AG331" i="14" s="1"/>
  <c r="AF361" i="14"/>
  <c r="AJ361" i="14"/>
  <c r="AG361" i="14" s="1"/>
  <c r="Z106" i="14"/>
  <c r="AB90" i="14"/>
  <c r="AB106" i="14" s="1"/>
  <c r="AA90" i="14"/>
  <c r="AE90" i="14" s="1"/>
  <c r="AA110" i="14"/>
  <c r="AE110" i="14" s="1"/>
  <c r="Z126" i="14"/>
  <c r="AB110" i="14"/>
  <c r="AB126" i="14" s="1"/>
  <c r="AJ82" i="14"/>
  <c r="AG82" i="14" s="1"/>
  <c r="AF82" i="14"/>
  <c r="AJ115" i="14"/>
  <c r="AG115" i="14" s="1"/>
  <c r="AF115" i="14"/>
  <c r="AE166" i="14"/>
  <c r="AF150" i="14"/>
  <c r="AF166" i="14" s="1"/>
  <c r="AK150" i="14"/>
  <c r="AJ150" i="14"/>
  <c r="AJ143" i="14"/>
  <c r="AG143" i="14" s="1"/>
  <c r="AF143" i="14"/>
  <c r="AJ235" i="14"/>
  <c r="AG235" i="14" s="1"/>
  <c r="AF235" i="14"/>
  <c r="AF104" i="14"/>
  <c r="AJ104" i="14"/>
  <c r="AG104" i="14" s="1"/>
  <c r="AJ194" i="14"/>
  <c r="AG194" i="14" s="1"/>
  <c r="AF194" i="14"/>
  <c r="AJ205" i="14"/>
  <c r="AG205" i="14" s="1"/>
  <c r="AF205" i="14"/>
  <c r="AE230" i="14"/>
  <c r="AJ113" i="14"/>
  <c r="AG113" i="14" s="1"/>
  <c r="AF113" i="14"/>
  <c r="AJ164" i="14"/>
  <c r="AG164" i="14" s="1"/>
  <c r="AF164" i="14"/>
  <c r="AJ341" i="14"/>
  <c r="AG341" i="14" s="1"/>
  <c r="AF341" i="14"/>
  <c r="AJ378" i="14"/>
  <c r="AG378" i="14" s="1"/>
  <c r="AF378" i="14"/>
  <c r="AJ62" i="14"/>
  <c r="AG62" i="14" s="1"/>
  <c r="AF62" i="14"/>
  <c r="AJ98" i="14"/>
  <c r="AG98" i="14" s="1"/>
  <c r="AF98" i="14"/>
  <c r="AJ117" i="14"/>
  <c r="AG117" i="14" s="1"/>
  <c r="AF117" i="14"/>
  <c r="Z386" i="14"/>
  <c r="AB370" i="14"/>
  <c r="AB386" i="14" s="1"/>
  <c r="AA370" i="14"/>
  <c r="AE370" i="14" s="1"/>
  <c r="AJ86" i="14"/>
  <c r="AS70" i="14" s="1"/>
  <c r="AG70" i="14"/>
  <c r="AG86" i="14" s="1"/>
  <c r="AQ70" i="14" s="1"/>
  <c r="AF276" i="14"/>
  <c r="AJ276" i="14"/>
  <c r="AG276" i="14" s="1"/>
  <c r="AJ292" i="14"/>
  <c r="AG292" i="14" s="1"/>
  <c r="AF292" i="14"/>
  <c r="AF371" i="14"/>
  <c r="AJ371" i="14"/>
  <c r="AG371" i="14" s="1"/>
  <c r="AF171" i="14"/>
  <c r="AJ171" i="14"/>
  <c r="AG171" i="14" s="1"/>
  <c r="AA306" i="14"/>
  <c r="AC290" i="14"/>
  <c r="AC306" i="14" s="1"/>
  <c r="AJ112" i="14"/>
  <c r="AG112" i="14" s="1"/>
  <c r="AF112" i="14"/>
  <c r="AJ185" i="14"/>
  <c r="AG185" i="14" s="1"/>
  <c r="AF185" i="14"/>
  <c r="AJ202" i="14"/>
  <c r="AG202" i="14" s="1"/>
  <c r="AF202" i="14"/>
  <c r="AF282" i="14"/>
  <c r="AJ282" i="14"/>
  <c r="AG282" i="14" s="1"/>
  <c r="AJ358" i="14"/>
  <c r="AG358" i="14" s="1"/>
  <c r="AF358" i="14"/>
  <c r="AE326" i="14" l="1"/>
  <c r="AF310" i="14"/>
  <c r="AF326" i="14" s="1"/>
  <c r="AK310" i="14"/>
  <c r="AE266" i="14"/>
  <c r="AF250" i="14"/>
  <c r="AF266" i="14" s="1"/>
  <c r="AK250" i="14"/>
  <c r="AJ250" i="14"/>
  <c r="S14" i="8"/>
  <c r="S14" i="14" s="1"/>
  <c r="R15" i="13"/>
  <c r="Y15" i="13" s="1"/>
  <c r="R14" i="8"/>
  <c r="R14" i="14" s="1"/>
  <c r="AJ110" i="14"/>
  <c r="AE126" i="14"/>
  <c r="AF110" i="14"/>
  <c r="AF126" i="14" s="1"/>
  <c r="AK110" i="14"/>
  <c r="AK190" i="14"/>
  <c r="AJ190" i="14"/>
  <c r="AE206" i="14"/>
  <c r="AF190" i="14"/>
  <c r="AF206" i="14" s="1"/>
  <c r="AK50" i="14"/>
  <c r="AJ50" i="14"/>
  <c r="AE66" i="14"/>
  <c r="AF50" i="14"/>
  <c r="AF66" i="14" s="1"/>
  <c r="AE286" i="14"/>
  <c r="AK270" i="14"/>
  <c r="AJ270" i="14"/>
  <c r="AF270" i="14"/>
  <c r="AF286" i="14" s="1"/>
  <c r="AJ166" i="14"/>
  <c r="AS150" i="14" s="1"/>
  <c r="AG150" i="14"/>
  <c r="AG166" i="14" s="1"/>
  <c r="AQ150" i="14" s="1"/>
  <c r="AJ366" i="14"/>
  <c r="AS350" i="14" s="1"/>
  <c r="AG350" i="14"/>
  <c r="AG366" i="14" s="1"/>
  <c r="AQ350" i="14" s="1"/>
  <c r="AK130" i="14"/>
  <c r="AJ130" i="14"/>
  <c r="AE146" i="14"/>
  <c r="AF130" i="14"/>
  <c r="AF146" i="14" s="1"/>
  <c r="AP70" i="14"/>
  <c r="AL79" i="14" s="1"/>
  <c r="AL75" i="14" s="1"/>
  <c r="C68" i="14"/>
  <c r="AK90" i="14"/>
  <c r="AE106" i="14"/>
  <c r="AJ90" i="14"/>
  <c r="AF90" i="14"/>
  <c r="AF106" i="14" s="1"/>
  <c r="AC190" i="14"/>
  <c r="AC206" i="14" s="1"/>
  <c r="AA206" i="14"/>
  <c r="AA386" i="14"/>
  <c r="AC370" i="14"/>
  <c r="AC386" i="14" s="1"/>
  <c r="AL153" i="14"/>
  <c r="AO150" i="14"/>
  <c r="AN150" i="14"/>
  <c r="AL151" i="14"/>
  <c r="AA286" i="14"/>
  <c r="AC270" i="14"/>
  <c r="AC286" i="14" s="1"/>
  <c r="AO330" i="14"/>
  <c r="AN330" i="14"/>
  <c r="AL331" i="14"/>
  <c r="AL333" i="14"/>
  <c r="AA46" i="14"/>
  <c r="AC30" i="14"/>
  <c r="AC46" i="14" s="1"/>
  <c r="AN390" i="14"/>
  <c r="AL391" i="14"/>
  <c r="AL393" i="14"/>
  <c r="AO390" i="14"/>
  <c r="AV70" i="14"/>
  <c r="AT70" i="14"/>
  <c r="AE46" i="14"/>
  <c r="AK30" i="14"/>
  <c r="AJ30" i="14"/>
  <c r="AF30" i="14"/>
  <c r="AF46" i="14" s="1"/>
  <c r="AJ406" i="14"/>
  <c r="AS390" i="14" s="1"/>
  <c r="AG390" i="14"/>
  <c r="AG406" i="14" s="1"/>
  <c r="AQ390" i="14" s="1"/>
  <c r="AK210" i="14"/>
  <c r="AE226" i="14"/>
  <c r="AJ210" i="14"/>
  <c r="AF210" i="14"/>
  <c r="AF226" i="14" s="1"/>
  <c r="AA126" i="14"/>
  <c r="AC110" i="14"/>
  <c r="AC126" i="14" s="1"/>
  <c r="AC50" i="14"/>
  <c r="AC66" i="14" s="1"/>
  <c r="AA66" i="14"/>
  <c r="AJ346" i="14"/>
  <c r="AS330" i="14" s="1"/>
  <c r="AG330" i="14"/>
  <c r="AG346" i="14" s="1"/>
  <c r="AQ330" i="14" s="1"/>
  <c r="AF370" i="14"/>
  <c r="AF386" i="14" s="1"/>
  <c r="AK370" i="14"/>
  <c r="AJ370" i="14"/>
  <c r="AE386" i="14"/>
  <c r="AA106" i="14"/>
  <c r="AC90" i="14"/>
  <c r="AC106" i="14" s="1"/>
  <c r="AP170" i="14"/>
  <c r="AL179" i="14" s="1"/>
  <c r="AL175" i="14" s="1"/>
  <c r="C168" i="14"/>
  <c r="AJ306" i="14"/>
  <c r="AS290" i="14" s="1"/>
  <c r="AG290" i="14"/>
  <c r="AG306" i="14" s="1"/>
  <c r="AQ290" i="14" s="1"/>
  <c r="AK230" i="14"/>
  <c r="AJ230" i="14"/>
  <c r="AE246" i="14"/>
  <c r="AF230" i="14"/>
  <c r="AF246" i="14" s="1"/>
  <c r="AL353" i="14"/>
  <c r="AO350" i="14"/>
  <c r="AN350" i="14"/>
  <c r="AL351" i="14"/>
  <c r="AV170" i="14"/>
  <c r="AT170" i="14"/>
  <c r="AO290" i="14"/>
  <c r="AN290" i="14"/>
  <c r="AL291" i="14"/>
  <c r="AL293" i="14"/>
  <c r="AJ266" i="14" l="1"/>
  <c r="AS250" i="14" s="1"/>
  <c r="AG250" i="14"/>
  <c r="AG266" i="14" s="1"/>
  <c r="AQ250" i="14" s="1"/>
  <c r="AO250" i="14"/>
  <c r="AN250" i="14"/>
  <c r="AL251" i="14"/>
  <c r="AL253" i="14"/>
  <c r="AL313" i="14"/>
  <c r="AO310" i="14"/>
  <c r="AN310" i="14"/>
  <c r="AL319" i="14" s="1"/>
  <c r="AL315" i="14" s="1"/>
  <c r="AL311" i="14"/>
  <c r="S15" i="8"/>
  <c r="S15" i="14" s="1"/>
  <c r="R16" i="13"/>
  <c r="Y16" i="13" s="1"/>
  <c r="R15" i="8"/>
  <c r="R15" i="14" s="1"/>
  <c r="AP330" i="14"/>
  <c r="C328" i="14"/>
  <c r="AL339" i="14"/>
  <c r="AL335" i="14" s="1"/>
  <c r="AO90" i="14"/>
  <c r="AL91" i="14"/>
  <c r="AN90" i="14"/>
  <c r="AL93" i="14"/>
  <c r="AJ146" i="14"/>
  <c r="AS130" i="14" s="1"/>
  <c r="AG130" i="14"/>
  <c r="AG146" i="14" s="1"/>
  <c r="AQ130" i="14" s="1"/>
  <c r="AO270" i="14"/>
  <c r="AN270" i="14"/>
  <c r="AL271" i="14"/>
  <c r="AL273" i="14"/>
  <c r="AV330" i="14"/>
  <c r="AT330" i="14"/>
  <c r="AO130" i="14"/>
  <c r="AN130" i="14"/>
  <c r="AL131" i="14"/>
  <c r="AL133" i="14"/>
  <c r="AJ226" i="14"/>
  <c r="AS210" i="14" s="1"/>
  <c r="AG210" i="14"/>
  <c r="AG226" i="14" s="1"/>
  <c r="AQ210" i="14" s="1"/>
  <c r="C348" i="14"/>
  <c r="AP350" i="14"/>
  <c r="AJ206" i="14"/>
  <c r="AS190" i="14" s="1"/>
  <c r="AG190" i="14"/>
  <c r="AG206" i="14" s="1"/>
  <c r="AQ190" i="14" s="1"/>
  <c r="AJ46" i="14"/>
  <c r="AS30" i="14" s="1"/>
  <c r="AG30" i="14"/>
  <c r="AG46" i="14" s="1"/>
  <c r="AQ30" i="14" s="1"/>
  <c r="AT350" i="14"/>
  <c r="AV350" i="14"/>
  <c r="AL191" i="14"/>
  <c r="AL193" i="14"/>
  <c r="AN190" i="14"/>
  <c r="AO190" i="14"/>
  <c r="AG230" i="14"/>
  <c r="AG246" i="14" s="1"/>
  <c r="AQ230" i="14" s="1"/>
  <c r="AJ246" i="14"/>
  <c r="AS230" i="14" s="1"/>
  <c r="AL213" i="14"/>
  <c r="AO210" i="14"/>
  <c r="AN210" i="14"/>
  <c r="AL211" i="14"/>
  <c r="AO30" i="14"/>
  <c r="AN30" i="14"/>
  <c r="AL31" i="14"/>
  <c r="AL33" i="14"/>
  <c r="AP150" i="14"/>
  <c r="C148" i="14"/>
  <c r="AL113" i="14"/>
  <c r="AO110" i="14"/>
  <c r="AN110" i="14"/>
  <c r="AL111" i="14"/>
  <c r="C388" i="14"/>
  <c r="AP390" i="14"/>
  <c r="AL399" i="14" s="1"/>
  <c r="AL395" i="14" s="1"/>
  <c r="AL159" i="14"/>
  <c r="AL155" i="14" s="1"/>
  <c r="AV150" i="14"/>
  <c r="AT150" i="14"/>
  <c r="AJ386" i="14"/>
  <c r="AS370" i="14" s="1"/>
  <c r="AG370" i="14"/>
  <c r="AG386" i="14" s="1"/>
  <c r="AQ370" i="14" s="1"/>
  <c r="C288" i="14"/>
  <c r="AP290" i="14"/>
  <c r="AL299" i="14" s="1"/>
  <c r="AL295" i="14" s="1"/>
  <c r="AO370" i="14"/>
  <c r="AN370" i="14"/>
  <c r="AL371" i="14"/>
  <c r="AL373" i="14"/>
  <c r="AV390" i="14"/>
  <c r="AT390" i="14"/>
  <c r="AJ106" i="14"/>
  <c r="AS90" i="14" s="1"/>
  <c r="AG90" i="14"/>
  <c r="AG106" i="14" s="1"/>
  <c r="AQ90" i="14" s="1"/>
  <c r="AJ66" i="14"/>
  <c r="AS50" i="14" s="1"/>
  <c r="AG50" i="14"/>
  <c r="AG66" i="14" s="1"/>
  <c r="AQ50" i="14" s="1"/>
  <c r="AL231" i="14"/>
  <c r="AL233" i="14"/>
  <c r="AN230" i="14"/>
  <c r="AO230" i="14"/>
  <c r="AL359" i="14"/>
  <c r="AL355" i="14" s="1"/>
  <c r="AV290" i="14"/>
  <c r="AT290" i="14"/>
  <c r="AJ286" i="14"/>
  <c r="AS270" i="14" s="1"/>
  <c r="AG270" i="14"/>
  <c r="AG286" i="14" s="1"/>
  <c r="AQ270" i="14" s="1"/>
  <c r="AN50" i="14"/>
  <c r="AL51" i="14"/>
  <c r="AL53" i="14"/>
  <c r="AO50" i="14"/>
  <c r="AG110" i="14"/>
  <c r="AG126" i="14" s="1"/>
  <c r="AQ110" i="14" s="1"/>
  <c r="AJ126" i="14"/>
  <c r="AS110" i="14" s="1"/>
  <c r="AP250" i="14" l="1"/>
  <c r="AL259" i="14" s="1"/>
  <c r="AL255" i="14" s="1"/>
  <c r="C248" i="14"/>
  <c r="AV250" i="14"/>
  <c r="AT250" i="14"/>
  <c r="S16" i="8"/>
  <c r="S16" i="14" s="1"/>
  <c r="R16" i="8"/>
  <c r="R16" i="14" s="1"/>
  <c r="R17" i="13"/>
  <c r="Y17" i="13" s="1"/>
  <c r="AP90" i="14"/>
  <c r="C88" i="14"/>
  <c r="C228" i="14"/>
  <c r="AP230" i="14"/>
  <c r="AP30" i="14"/>
  <c r="AL39" i="14" s="1"/>
  <c r="AL35" i="14" s="1"/>
  <c r="C28" i="14"/>
  <c r="AV210" i="14"/>
  <c r="AT210" i="14"/>
  <c r="AV90" i="14"/>
  <c r="AT90" i="14"/>
  <c r="AV30" i="14"/>
  <c r="AT30" i="14"/>
  <c r="AP370" i="14"/>
  <c r="C368" i="14"/>
  <c r="C268" i="14"/>
  <c r="AP270" i="14"/>
  <c r="AL279" i="14" s="1"/>
  <c r="AL275" i="14" s="1"/>
  <c r="AL239" i="14"/>
  <c r="AL235" i="14" s="1"/>
  <c r="AV370" i="14"/>
  <c r="AT370" i="14"/>
  <c r="C188" i="14"/>
  <c r="AP190" i="14"/>
  <c r="AL199" i="14" s="1"/>
  <c r="AL195" i="14" s="1"/>
  <c r="C128" i="14"/>
  <c r="AP130" i="14"/>
  <c r="AL139" i="14" s="1"/>
  <c r="AL135" i="14" s="1"/>
  <c r="AV270" i="14"/>
  <c r="AT270" i="14"/>
  <c r="AV190" i="14"/>
  <c r="AT190" i="14"/>
  <c r="AV130" i="14"/>
  <c r="AT130" i="14"/>
  <c r="AT110" i="14"/>
  <c r="AV110" i="14"/>
  <c r="C108" i="14"/>
  <c r="AP110" i="14"/>
  <c r="AL119" i="14" s="1"/>
  <c r="AL115" i="14" s="1"/>
  <c r="C48" i="14"/>
  <c r="AP50" i="14"/>
  <c r="AL59" i="14" s="1"/>
  <c r="AL55" i="14" s="1"/>
  <c r="AL379" i="14"/>
  <c r="AL375" i="14" s="1"/>
  <c r="AL99" i="14"/>
  <c r="AL95" i="14" s="1"/>
  <c r="AV50" i="14"/>
  <c r="AT50" i="14"/>
  <c r="AV230" i="14"/>
  <c r="AT230" i="14"/>
  <c r="AP210" i="14"/>
  <c r="AL219" i="14" s="1"/>
  <c r="AL215" i="14" s="1"/>
  <c r="C208" i="14"/>
  <c r="S17" i="8" l="1"/>
  <c r="S17" i="14" s="1"/>
  <c r="R18" i="13"/>
  <c r="Y18" i="13" s="1"/>
  <c r="R17" i="8"/>
  <c r="R17" i="14" s="1"/>
  <c r="S18" i="8" l="1"/>
  <c r="S18" i="14" s="1"/>
  <c r="R19" i="13"/>
  <c r="Y19" i="13" s="1"/>
  <c r="R18" i="8"/>
  <c r="R18" i="14" s="1"/>
  <c r="S19" i="8" l="1"/>
  <c r="S19" i="14" s="1"/>
  <c r="R19" i="8"/>
  <c r="R19" i="14" s="1"/>
  <c r="R20" i="13"/>
  <c r="Y20" i="13" s="1"/>
  <c r="S20" i="8" l="1"/>
  <c r="S20" i="14" s="1"/>
  <c r="R21" i="13"/>
  <c r="Y21" i="13" s="1"/>
  <c r="R20" i="8"/>
  <c r="R20" i="14" s="1"/>
  <c r="S21" i="8" l="1"/>
  <c r="S21" i="14" s="1"/>
  <c r="R22" i="13"/>
  <c r="Y22" i="13" s="1"/>
  <c r="R21" i="8"/>
  <c r="R21" i="14" s="1"/>
  <c r="S22" i="8" l="1"/>
  <c r="S22" i="14" s="1"/>
  <c r="R23" i="13"/>
  <c r="Y23" i="13" s="1"/>
  <c r="R22" i="8"/>
  <c r="R22" i="14" s="1"/>
  <c r="S23" i="8" l="1"/>
  <c r="S23" i="14" s="1"/>
  <c r="R24" i="13"/>
  <c r="Y24" i="13" s="1"/>
  <c r="R23" i="8"/>
  <c r="R23" i="14" s="1"/>
  <c r="S24" i="8" l="1"/>
  <c r="S24" i="14" s="1"/>
  <c r="R25" i="13"/>
  <c r="Y25" i="13" s="1"/>
  <c r="R24" i="8"/>
  <c r="R24" i="14" l="1"/>
  <c r="R25" i="8"/>
  <c r="R25" i="14" s="1"/>
  <c r="S25" i="8"/>
  <c r="S25" i="14" s="1"/>
  <c r="V25" i="8" l="1"/>
  <c r="V25" i="14" s="1"/>
  <c r="V24" i="8"/>
  <c r="V24" i="14" s="1"/>
  <c r="V23" i="8"/>
  <c r="V23" i="14" s="1"/>
  <c r="V22" i="8"/>
  <c r="V22" i="14" s="1"/>
  <c r="V21" i="8"/>
  <c r="V21" i="14" s="1"/>
  <c r="V20" i="8"/>
  <c r="V20" i="14" s="1"/>
  <c r="V19" i="8"/>
  <c r="V19" i="14" s="1"/>
  <c r="V18" i="8"/>
  <c r="V18" i="14" s="1"/>
  <c r="V17" i="8"/>
  <c r="V17" i="14" s="1"/>
  <c r="V16" i="8"/>
  <c r="V16" i="14" s="1"/>
  <c r="V15" i="8"/>
  <c r="V15" i="14" s="1"/>
  <c r="V14" i="8"/>
  <c r="V14" i="14" s="1"/>
  <c r="V13" i="8"/>
  <c r="V13" i="14" s="1"/>
  <c r="V12" i="8"/>
  <c r="V12" i="14" s="1"/>
  <c r="V11" i="8"/>
  <c r="V11" i="14" s="1"/>
  <c r="V10" i="8"/>
  <c r="V10" i="14" s="1"/>
  <c r="G51" i="7"/>
  <c r="I49" i="7"/>
  <c r="AR390" i="8"/>
  <c r="AR370" i="8"/>
  <c r="E321" i="15" s="1"/>
  <c r="AR350" i="8"/>
  <c r="E306" i="15" s="1"/>
  <c r="AR330" i="8"/>
  <c r="E291" i="15" s="1"/>
  <c r="AR310" i="8"/>
  <c r="E276" i="15" s="1"/>
  <c r="AR290" i="8"/>
  <c r="E261" i="15" s="1"/>
  <c r="AR270" i="8"/>
  <c r="E246" i="15" s="1"/>
  <c r="AR250" i="8"/>
  <c r="E231" i="15" s="1"/>
  <c r="AR230" i="8"/>
  <c r="E216" i="15" s="1"/>
  <c r="AR210" i="8"/>
  <c r="E201" i="15" s="1"/>
  <c r="AR190" i="8"/>
  <c r="E186" i="15" s="1"/>
  <c r="AR170" i="8"/>
  <c r="E171" i="15" s="1"/>
  <c r="AR150" i="8"/>
  <c r="E156" i="15" s="1"/>
  <c r="AR130" i="8"/>
  <c r="E141" i="15" s="1"/>
  <c r="AR110" i="8"/>
  <c r="E126" i="15" s="1"/>
  <c r="AR90" i="8"/>
  <c r="E111" i="15" s="1"/>
  <c r="AR70" i="8"/>
  <c r="E96" i="15" s="1"/>
  <c r="AR50" i="8"/>
  <c r="E81" i="15" s="1"/>
  <c r="AR30" i="8"/>
  <c r="AR10" i="14"/>
  <c r="E62" i="7"/>
  <c r="G64" i="7"/>
  <c r="K519" i="7"/>
  <c r="K532" i="7"/>
  <c r="K501" i="7"/>
  <c r="K495" i="7"/>
  <c r="L486" i="7"/>
  <c r="L488" i="7"/>
  <c r="L490" i="7"/>
  <c r="L482" i="7"/>
  <c r="L478" i="7"/>
  <c r="L476" i="7"/>
  <c r="L473" i="7"/>
  <c r="L470" i="7"/>
  <c r="L467" i="7"/>
  <c r="L464" i="7"/>
  <c r="L461" i="7"/>
  <c r="L458" i="7"/>
  <c r="L454" i="7"/>
  <c r="L451" i="7"/>
  <c r="L448" i="7"/>
  <c r="L444" i="7"/>
  <c r="L441" i="7"/>
  <c r="L438" i="7"/>
  <c r="L436" i="7"/>
  <c r="L431" i="7"/>
  <c r="L427" i="7"/>
  <c r="L423" i="7"/>
  <c r="N490" i="7"/>
  <c r="N488" i="7"/>
  <c r="N486" i="7"/>
  <c r="E66" i="7" l="1"/>
  <c r="E66" i="15"/>
  <c r="D86" i="15"/>
  <c r="G86" i="15" s="1"/>
  <c r="D87" i="15"/>
  <c r="G87" i="15" s="1"/>
  <c r="G81" i="15"/>
  <c r="D88" i="15"/>
  <c r="G88" i="15" s="1"/>
  <c r="D89" i="15"/>
  <c r="G89" i="15" s="1"/>
  <c r="D104" i="15"/>
  <c r="D101" i="15"/>
  <c r="G101" i="15" s="1"/>
  <c r="D102" i="15"/>
  <c r="G102" i="15" s="1"/>
  <c r="D103" i="15"/>
  <c r="G103" i="15" s="1"/>
  <c r="G96" i="15"/>
  <c r="D119" i="15"/>
  <c r="D118" i="15"/>
  <c r="G118" i="15" s="1"/>
  <c r="D116" i="15"/>
  <c r="G116" i="15" s="1"/>
  <c r="G111" i="15"/>
  <c r="D117" i="15"/>
  <c r="G117" i="15" s="1"/>
  <c r="D133" i="15"/>
  <c r="G133" i="15" s="1"/>
  <c r="D132" i="15"/>
  <c r="G132" i="15" s="1"/>
  <c r="D131" i="15"/>
  <c r="G131" i="15" s="1"/>
  <c r="G126" i="15"/>
  <c r="D134" i="15"/>
  <c r="D149" i="15"/>
  <c r="D148" i="15"/>
  <c r="G148" i="15" s="1"/>
  <c r="D147" i="15"/>
  <c r="G147" i="15" s="1"/>
  <c r="D146" i="15"/>
  <c r="G146" i="15" s="1"/>
  <c r="G141" i="15"/>
  <c r="D164" i="15"/>
  <c r="D163" i="15"/>
  <c r="G163" i="15" s="1"/>
  <c r="D162" i="15"/>
  <c r="G162" i="15" s="1"/>
  <c r="D161" i="15"/>
  <c r="G161" i="15" s="1"/>
  <c r="G156" i="15"/>
  <c r="D177" i="15"/>
  <c r="G177" i="15" s="1"/>
  <c r="D178" i="15"/>
  <c r="G178" i="15" s="1"/>
  <c r="D176" i="15"/>
  <c r="G176" i="15" s="1"/>
  <c r="G171" i="15"/>
  <c r="D179" i="15"/>
  <c r="D194" i="15"/>
  <c r="D193" i="15"/>
  <c r="G193" i="15" s="1"/>
  <c r="D192" i="15"/>
  <c r="G192" i="15" s="1"/>
  <c r="D191" i="15"/>
  <c r="G191" i="15" s="1"/>
  <c r="G186" i="15"/>
  <c r="D207" i="15"/>
  <c r="G207" i="15" s="1"/>
  <c r="D208" i="15"/>
  <c r="G208" i="15" s="1"/>
  <c r="D209" i="15"/>
  <c r="G201" i="15"/>
  <c r="D206" i="15"/>
  <c r="G206" i="15" s="1"/>
  <c r="D224" i="15"/>
  <c r="D223" i="15"/>
  <c r="G223" i="15" s="1"/>
  <c r="D222" i="15"/>
  <c r="G222" i="15" s="1"/>
  <c r="D221" i="15"/>
  <c r="G221" i="15" s="1"/>
  <c r="G216" i="15"/>
  <c r="D237" i="15"/>
  <c r="G237" i="15" s="1"/>
  <c r="D239" i="15"/>
  <c r="D238" i="15"/>
  <c r="G238" i="15" s="1"/>
  <c r="G231" i="15"/>
  <c r="D236" i="15"/>
  <c r="G236" i="15" s="1"/>
  <c r="D253" i="15"/>
  <c r="G253" i="15" s="1"/>
  <c r="D252" i="15"/>
  <c r="G252" i="15" s="1"/>
  <c r="D251" i="15"/>
  <c r="G251" i="15" s="1"/>
  <c r="G246" i="15"/>
  <c r="D254" i="15"/>
  <c r="D269" i="15"/>
  <c r="D267" i="15"/>
  <c r="G267" i="15" s="1"/>
  <c r="D266" i="15"/>
  <c r="G266" i="15" s="1"/>
  <c r="G261" i="15"/>
  <c r="D268" i="15"/>
  <c r="G268" i="15" s="1"/>
  <c r="D283" i="15"/>
  <c r="G283" i="15" s="1"/>
  <c r="D281" i="15"/>
  <c r="G281" i="15" s="1"/>
  <c r="D284" i="15"/>
  <c r="G276" i="15"/>
  <c r="D282" i="15"/>
  <c r="G282" i="15" s="1"/>
  <c r="D298" i="15"/>
  <c r="G298" i="15" s="1"/>
  <c r="D297" i="15"/>
  <c r="G297" i="15" s="1"/>
  <c r="D296" i="15"/>
  <c r="G296" i="15" s="1"/>
  <c r="G291" i="15"/>
  <c r="D299" i="15"/>
  <c r="D314" i="15"/>
  <c r="G314" i="15" s="1"/>
  <c r="D313" i="15"/>
  <c r="G313" i="15" s="1"/>
  <c r="D311" i="15"/>
  <c r="G311" i="15" s="1"/>
  <c r="G306" i="15"/>
  <c r="D312" i="15"/>
  <c r="G312" i="15" s="1"/>
  <c r="D326" i="15"/>
  <c r="G326" i="15" s="1"/>
  <c r="D329" i="15"/>
  <c r="D328" i="15"/>
  <c r="G328" i="15" s="1"/>
  <c r="G321" i="15"/>
  <c r="D327" i="15"/>
  <c r="G327" i="15" s="1"/>
  <c r="D73" i="7"/>
  <c r="G73" i="7" s="1"/>
  <c r="D71" i="7"/>
  <c r="G71" i="7" s="1"/>
  <c r="D74" i="7"/>
  <c r="H74" i="7" s="1"/>
  <c r="G66" i="7"/>
  <c r="D72" i="7"/>
  <c r="G319" i="7"/>
  <c r="E317" i="7"/>
  <c r="G304" i="7"/>
  <c r="E306" i="7"/>
  <c r="E302" i="7"/>
  <c r="G289" i="7"/>
  <c r="E291" i="7"/>
  <c r="E287" i="7"/>
  <c r="G274" i="7"/>
  <c r="E276" i="7"/>
  <c r="E272" i="7"/>
  <c r="G259" i="7"/>
  <c r="E261" i="7"/>
  <c r="E257" i="7"/>
  <c r="G244" i="7"/>
  <c r="E246" i="7"/>
  <c r="E242" i="7"/>
  <c r="G229" i="7"/>
  <c r="E231" i="7"/>
  <c r="E227" i="7"/>
  <c r="G214" i="7"/>
  <c r="E216" i="7"/>
  <c r="E212" i="7"/>
  <c r="DC405" i="8"/>
  <c r="CU405" i="8"/>
  <c r="CR405" i="8"/>
  <c r="CQ405" i="8"/>
  <c r="CN405" i="8"/>
  <c r="CM405" i="8"/>
  <c r="CK405" i="8"/>
  <c r="CI405" i="8"/>
  <c r="DA405" i="8" s="1"/>
  <c r="CH405" i="8"/>
  <c r="DE405" i="8" s="1"/>
  <c r="BV405" i="8"/>
  <c r="BK405" i="8"/>
  <c r="BJ405" i="8"/>
  <c r="BG405" i="8"/>
  <c r="BF405" i="8"/>
  <c r="BB405" i="8"/>
  <c r="BT405" i="8" s="1"/>
  <c r="BA405" i="8"/>
  <c r="BR405" i="8" s="1"/>
  <c r="X405" i="8"/>
  <c r="W405" i="8"/>
  <c r="V405" i="8"/>
  <c r="C405" i="8"/>
  <c r="DC404" i="8"/>
  <c r="CU404" i="8"/>
  <c r="CR404" i="8"/>
  <c r="CQ404" i="8"/>
  <c r="CS404" i="8" s="1"/>
  <c r="CN404" i="8"/>
  <c r="CM404" i="8"/>
  <c r="CJ404" i="8" s="1"/>
  <c r="CK404" i="8"/>
  <c r="CL404" i="8" s="1"/>
  <c r="CI404" i="8"/>
  <c r="CH404" i="8"/>
  <c r="CZ404" i="8" s="1"/>
  <c r="BV404" i="8"/>
  <c r="BK404" i="8"/>
  <c r="BJ404" i="8"/>
  <c r="BL404" i="8" s="1"/>
  <c r="BG404" i="8"/>
  <c r="BN404" i="8" s="1"/>
  <c r="BF404" i="8"/>
  <c r="BC404" i="8" s="1"/>
  <c r="BD404" i="8"/>
  <c r="BE404" i="8" s="1"/>
  <c r="BB404" i="8"/>
  <c r="BA404" i="8"/>
  <c r="X404" i="8"/>
  <c r="W404" i="8"/>
  <c r="V404" i="8"/>
  <c r="C404" i="8"/>
  <c r="DC403" i="8"/>
  <c r="CU403" i="8"/>
  <c r="CR403" i="8"/>
  <c r="CQ403" i="8"/>
  <c r="CN403" i="8"/>
  <c r="CM403" i="8"/>
  <c r="CT403" i="8" s="1"/>
  <c r="CV403" i="8" s="1"/>
  <c r="CK403" i="8"/>
  <c r="CI403" i="8"/>
  <c r="CY403" i="8" s="1"/>
  <c r="CH403" i="8"/>
  <c r="BV403" i="8"/>
  <c r="BK403" i="8"/>
  <c r="BJ403" i="8"/>
  <c r="BG403" i="8"/>
  <c r="BN403" i="8" s="1"/>
  <c r="BF403" i="8"/>
  <c r="BD403" i="8"/>
  <c r="BC403" i="8"/>
  <c r="BB403" i="8"/>
  <c r="BA403" i="8"/>
  <c r="X403" i="8"/>
  <c r="W403" i="8"/>
  <c r="V403" i="8"/>
  <c r="C403" i="8"/>
  <c r="DC402" i="8"/>
  <c r="CU402" i="8"/>
  <c r="CR402" i="8"/>
  <c r="CQ402" i="8"/>
  <c r="CN402" i="8"/>
  <c r="CM402" i="8"/>
  <c r="CT402" i="8" s="1"/>
  <c r="CV402" i="8" s="1"/>
  <c r="CK402" i="8"/>
  <c r="CI402" i="8"/>
  <c r="CH402" i="8"/>
  <c r="BV402" i="8"/>
  <c r="BK402" i="8"/>
  <c r="BJ402" i="8"/>
  <c r="BG402" i="8"/>
  <c r="BN402" i="8" s="1"/>
  <c r="BF402" i="8"/>
  <c r="BM402" i="8" s="1"/>
  <c r="BC402" i="8"/>
  <c r="BB402" i="8"/>
  <c r="BA402" i="8"/>
  <c r="X402" i="8"/>
  <c r="W402" i="8"/>
  <c r="V402" i="8"/>
  <c r="C402" i="8"/>
  <c r="DC401" i="8"/>
  <c r="CU401" i="8"/>
  <c r="CR401" i="8"/>
  <c r="CQ401" i="8"/>
  <c r="CS401" i="8" s="1"/>
  <c r="CN401" i="8"/>
  <c r="CM401" i="8"/>
  <c r="CJ401" i="8" s="1"/>
  <c r="CK401" i="8"/>
  <c r="CI401" i="8"/>
  <c r="CH401" i="8"/>
  <c r="CZ401" i="8" s="1"/>
  <c r="BV401" i="8"/>
  <c r="BK401" i="8"/>
  <c r="BJ401" i="8"/>
  <c r="BL401" i="8" s="1"/>
  <c r="BG401" i="8"/>
  <c r="BF401" i="8"/>
  <c r="BB401" i="8"/>
  <c r="BA401" i="8"/>
  <c r="BS401" i="8" s="1"/>
  <c r="X401" i="8"/>
  <c r="W401" i="8"/>
  <c r="V401" i="8"/>
  <c r="C401" i="8"/>
  <c r="DC400" i="8"/>
  <c r="CU400" i="8"/>
  <c r="CR400" i="8"/>
  <c r="CQ400" i="8"/>
  <c r="CN400" i="8"/>
  <c r="CM400" i="8"/>
  <c r="CK400" i="8"/>
  <c r="CI400" i="8"/>
  <c r="CH400" i="8"/>
  <c r="BV400" i="8"/>
  <c r="BK400" i="8"/>
  <c r="BJ400" i="8"/>
  <c r="BG400" i="8"/>
  <c r="BF400" i="8"/>
  <c r="BD400" i="8"/>
  <c r="BB400" i="8"/>
  <c r="BA400" i="8"/>
  <c r="X400" i="8"/>
  <c r="W400" i="8"/>
  <c r="V400" i="8"/>
  <c r="C400" i="8"/>
  <c r="DC399" i="8"/>
  <c r="CU399" i="8"/>
  <c r="CR399" i="8"/>
  <c r="CQ399" i="8"/>
  <c r="CN399" i="8"/>
  <c r="CM399" i="8"/>
  <c r="CT399" i="8" s="1"/>
  <c r="CK399" i="8"/>
  <c r="CI399" i="8"/>
  <c r="CH399" i="8"/>
  <c r="BV399" i="8"/>
  <c r="BK399" i="8"/>
  <c r="BJ399" i="8"/>
  <c r="BG399" i="8"/>
  <c r="BN399" i="8" s="1"/>
  <c r="BF399" i="8"/>
  <c r="BD399" i="8"/>
  <c r="BB399" i="8"/>
  <c r="BT399" i="8" s="1"/>
  <c r="BA399" i="8"/>
  <c r="BR399" i="8" s="1"/>
  <c r="X399" i="8"/>
  <c r="W399" i="8"/>
  <c r="V399" i="8"/>
  <c r="C399" i="8"/>
  <c r="DC398" i="8"/>
  <c r="CU398" i="8"/>
  <c r="CR398" i="8"/>
  <c r="CQ398" i="8"/>
  <c r="CN398" i="8"/>
  <c r="CM398" i="8"/>
  <c r="CT398" i="8" s="1"/>
  <c r="CK398" i="8"/>
  <c r="CJ398" i="8"/>
  <c r="CL398" i="8" s="1"/>
  <c r="CI398" i="8"/>
  <c r="CH398" i="8"/>
  <c r="BV398" i="8"/>
  <c r="BK398" i="8"/>
  <c r="BJ398" i="8"/>
  <c r="BG398" i="8"/>
  <c r="BN398" i="8" s="1"/>
  <c r="BF398" i="8"/>
  <c r="BD398" i="8"/>
  <c r="BB398" i="8"/>
  <c r="BT398" i="8" s="1"/>
  <c r="BA398" i="8"/>
  <c r="BR398" i="8" s="1"/>
  <c r="X398" i="8"/>
  <c r="W398" i="8"/>
  <c r="V398" i="8"/>
  <c r="C398" i="8"/>
  <c r="DC397" i="8"/>
  <c r="CU397" i="8"/>
  <c r="CR397" i="8"/>
  <c r="CQ397" i="8"/>
  <c r="CN397" i="8"/>
  <c r="CM397" i="8"/>
  <c r="CK397" i="8"/>
  <c r="CJ397" i="8"/>
  <c r="CL397" i="8" s="1"/>
  <c r="CI397" i="8"/>
  <c r="CH397" i="8"/>
  <c r="BV397" i="8"/>
  <c r="BK397" i="8"/>
  <c r="BJ397" i="8"/>
  <c r="BG397" i="8"/>
  <c r="BN397" i="8" s="1"/>
  <c r="BF397" i="8"/>
  <c r="BM397" i="8" s="1"/>
  <c r="BO397" i="8" s="1"/>
  <c r="BC397" i="8"/>
  <c r="BB397" i="8"/>
  <c r="BA397" i="8"/>
  <c r="BS397" i="8" s="1"/>
  <c r="X397" i="8"/>
  <c r="W397" i="8"/>
  <c r="V397" i="8"/>
  <c r="C397" i="8"/>
  <c r="DC396" i="8"/>
  <c r="CU396" i="8"/>
  <c r="CR396" i="8"/>
  <c r="CQ396" i="8"/>
  <c r="CN396" i="8"/>
  <c r="CM396" i="8"/>
  <c r="CT396" i="8" s="1"/>
  <c r="CV396" i="8" s="1"/>
  <c r="CK396" i="8"/>
  <c r="CI396" i="8"/>
  <c r="CH396" i="8"/>
  <c r="DE396" i="8" s="1"/>
  <c r="BV396" i="8"/>
  <c r="BK396" i="8"/>
  <c r="BJ396" i="8"/>
  <c r="BG396" i="8"/>
  <c r="BF396" i="8"/>
  <c r="BM396" i="8" s="1"/>
  <c r="BD396" i="8"/>
  <c r="BC396" i="8"/>
  <c r="BB396" i="8"/>
  <c r="BU396" i="8" s="1"/>
  <c r="BA396" i="8"/>
  <c r="BS396" i="8" s="1"/>
  <c r="X396" i="8"/>
  <c r="W396" i="8"/>
  <c r="V396" i="8"/>
  <c r="C396" i="8"/>
  <c r="DC395" i="8"/>
  <c r="CU395" i="8"/>
  <c r="CR395" i="8"/>
  <c r="CQ395" i="8"/>
  <c r="CN395" i="8"/>
  <c r="CM395" i="8"/>
  <c r="CK395" i="8"/>
  <c r="CI395" i="8"/>
  <c r="DA395" i="8" s="1"/>
  <c r="CH395" i="8"/>
  <c r="BV395" i="8"/>
  <c r="BK395" i="8"/>
  <c r="BJ395" i="8"/>
  <c r="BG395" i="8"/>
  <c r="BF395" i="8"/>
  <c r="BH395" i="8" s="1"/>
  <c r="BC395" i="8"/>
  <c r="BB395" i="8"/>
  <c r="BU395" i="8" s="1"/>
  <c r="BA395" i="8"/>
  <c r="X395" i="8"/>
  <c r="W395" i="8"/>
  <c r="V395" i="8"/>
  <c r="C395" i="8"/>
  <c r="DC394" i="8"/>
  <c r="CU394" i="8"/>
  <c r="CR394" i="8"/>
  <c r="CQ394" i="8"/>
  <c r="CN394" i="8"/>
  <c r="CM394" i="8"/>
  <c r="CK394" i="8"/>
  <c r="CI394" i="8"/>
  <c r="DA394" i="8" s="1"/>
  <c r="CH394" i="8"/>
  <c r="BV394" i="8"/>
  <c r="BK394" i="8"/>
  <c r="BJ394" i="8"/>
  <c r="BG394" i="8"/>
  <c r="BN394" i="8" s="1"/>
  <c r="BF394" i="8"/>
  <c r="BB394" i="8"/>
  <c r="BA394" i="8"/>
  <c r="BS394" i="8" s="1"/>
  <c r="X394" i="8"/>
  <c r="W394" i="8"/>
  <c r="V394" i="8"/>
  <c r="C394" i="8"/>
  <c r="DC393" i="8"/>
  <c r="CU393" i="8"/>
  <c r="CR393" i="8"/>
  <c r="CQ393" i="8"/>
  <c r="CN393" i="8"/>
  <c r="CM393" i="8"/>
  <c r="CK393" i="8"/>
  <c r="CI393" i="8"/>
  <c r="CH393" i="8"/>
  <c r="BV393" i="8"/>
  <c r="BK393" i="8"/>
  <c r="BJ393" i="8"/>
  <c r="BG393" i="8"/>
  <c r="BF393" i="8"/>
  <c r="BM393" i="8" s="1"/>
  <c r="BB393" i="8"/>
  <c r="BT393" i="8" s="1"/>
  <c r="BA393" i="8"/>
  <c r="X393" i="8"/>
  <c r="W393" i="8"/>
  <c r="V393" i="8"/>
  <c r="C393" i="8"/>
  <c r="DC392" i="8"/>
  <c r="CU392" i="8"/>
  <c r="CR392" i="8"/>
  <c r="CQ392" i="8"/>
  <c r="CN392" i="8"/>
  <c r="CM392" i="8"/>
  <c r="CT392" i="8" s="1"/>
  <c r="CK392" i="8"/>
  <c r="CI392" i="8"/>
  <c r="CH392" i="8"/>
  <c r="BV392" i="8"/>
  <c r="BK392" i="8"/>
  <c r="BJ392" i="8"/>
  <c r="BG392" i="8"/>
  <c r="BF392" i="8"/>
  <c r="BM392" i="8" s="1"/>
  <c r="BB392" i="8"/>
  <c r="BA392" i="8"/>
  <c r="BS392" i="8" s="1"/>
  <c r="X392" i="8"/>
  <c r="Y392" i="8" s="1"/>
  <c r="Z392" i="8" s="1"/>
  <c r="AB392" i="8" s="1"/>
  <c r="W392" i="8"/>
  <c r="V392" i="8"/>
  <c r="C392" i="8"/>
  <c r="DC391" i="8"/>
  <c r="CU391" i="8"/>
  <c r="CR391" i="8"/>
  <c r="CQ391" i="8"/>
  <c r="CN391" i="8"/>
  <c r="CM391" i="8"/>
  <c r="CK391" i="8"/>
  <c r="CI391" i="8"/>
  <c r="CY391" i="8" s="1"/>
  <c r="CH391" i="8"/>
  <c r="CZ391" i="8" s="1"/>
  <c r="BV391" i="8"/>
  <c r="BK391" i="8"/>
  <c r="BJ391" i="8"/>
  <c r="BG391" i="8"/>
  <c r="BN391" i="8" s="1"/>
  <c r="BF391" i="8"/>
  <c r="BD391" i="8"/>
  <c r="BB391" i="8"/>
  <c r="BQ391" i="8" s="1"/>
  <c r="BA391" i="8"/>
  <c r="BS391" i="8" s="1"/>
  <c r="X391" i="8"/>
  <c r="Y391" i="8" s="1"/>
  <c r="Z391" i="8" s="1"/>
  <c r="AB391" i="8" s="1"/>
  <c r="W391" i="8"/>
  <c r="V391" i="8"/>
  <c r="C391" i="8"/>
  <c r="DC390" i="8"/>
  <c r="CU390" i="8"/>
  <c r="CR390" i="8"/>
  <c r="CQ390" i="8"/>
  <c r="CN390" i="8"/>
  <c r="CM390" i="8"/>
  <c r="CK390" i="8"/>
  <c r="CI390" i="8"/>
  <c r="CY390" i="8" s="1"/>
  <c r="CH390" i="8"/>
  <c r="CZ390" i="8" s="1"/>
  <c r="BV390" i="8"/>
  <c r="BM390" i="8"/>
  <c r="BK390" i="8"/>
  <c r="BJ390" i="8"/>
  <c r="BG390" i="8"/>
  <c r="BN390" i="8" s="1"/>
  <c r="BF390" i="8"/>
  <c r="BH390" i="8" s="1"/>
  <c r="BD390" i="8"/>
  <c r="BC390" i="8"/>
  <c r="BB390" i="8"/>
  <c r="BQ390" i="8" s="1"/>
  <c r="BA390" i="8"/>
  <c r="BS390" i="8" s="1"/>
  <c r="X390" i="8"/>
  <c r="Y390" i="8" s="1"/>
  <c r="W390" i="8"/>
  <c r="V390" i="8"/>
  <c r="C390" i="8"/>
  <c r="C389" i="8"/>
  <c r="DC385" i="8"/>
  <c r="CU385" i="8"/>
  <c r="CR385" i="8"/>
  <c r="CQ385" i="8"/>
  <c r="CN385" i="8"/>
  <c r="CM385" i="8"/>
  <c r="CJ385" i="8" s="1"/>
  <c r="CK385" i="8"/>
  <c r="CI385" i="8"/>
  <c r="CH385" i="8"/>
  <c r="CZ385" i="8" s="1"/>
  <c r="BV385" i="8"/>
  <c r="BK385" i="8"/>
  <c r="BJ385" i="8"/>
  <c r="BG385" i="8"/>
  <c r="BF385" i="8"/>
  <c r="BB385" i="8"/>
  <c r="BA385" i="8"/>
  <c r="BS385" i="8" s="1"/>
  <c r="X385" i="8"/>
  <c r="Y385" i="8" s="1"/>
  <c r="Z385" i="8" s="1"/>
  <c r="AB385" i="8" s="1"/>
  <c r="W385" i="8"/>
  <c r="V385" i="8"/>
  <c r="C385" i="8"/>
  <c r="DC384" i="8"/>
  <c r="CU384" i="8"/>
  <c r="CR384" i="8"/>
  <c r="CQ384" i="8"/>
  <c r="CN384" i="8"/>
  <c r="CM384" i="8"/>
  <c r="CK384" i="8"/>
  <c r="CI384" i="8"/>
  <c r="CH384" i="8"/>
  <c r="CZ384" i="8" s="1"/>
  <c r="BV384" i="8"/>
  <c r="BK384" i="8"/>
  <c r="BJ384" i="8"/>
  <c r="BG384" i="8"/>
  <c r="BF384" i="8"/>
  <c r="BD384" i="8"/>
  <c r="BB384" i="8"/>
  <c r="BA384" i="8"/>
  <c r="BS384" i="8" s="1"/>
  <c r="X384" i="8"/>
  <c r="W384" i="8"/>
  <c r="V384" i="8"/>
  <c r="C384" i="8"/>
  <c r="DC383" i="8"/>
  <c r="CU383" i="8"/>
  <c r="CR383" i="8"/>
  <c r="CQ383" i="8"/>
  <c r="CN383" i="8"/>
  <c r="CM383" i="8"/>
  <c r="CT383" i="8" s="1"/>
  <c r="CK383" i="8"/>
  <c r="CJ383" i="8"/>
  <c r="CI383" i="8"/>
  <c r="CH383" i="8"/>
  <c r="BV383" i="8"/>
  <c r="BK383" i="8"/>
  <c r="BJ383" i="8"/>
  <c r="BG383" i="8"/>
  <c r="BF383" i="8"/>
  <c r="BM383" i="8" s="1"/>
  <c r="BD383" i="8"/>
  <c r="BC383" i="8"/>
  <c r="BB383" i="8"/>
  <c r="BA383" i="8"/>
  <c r="X383" i="8"/>
  <c r="W383" i="8"/>
  <c r="V383" i="8"/>
  <c r="C383" i="8"/>
  <c r="DC382" i="8"/>
  <c r="CU382" i="8"/>
  <c r="CR382" i="8"/>
  <c r="CQ382" i="8"/>
  <c r="CN382" i="8"/>
  <c r="CM382" i="8"/>
  <c r="CT382" i="8" s="1"/>
  <c r="CV382" i="8" s="1"/>
  <c r="CK382" i="8"/>
  <c r="CJ382" i="8"/>
  <c r="CI382" i="8"/>
  <c r="CH382" i="8"/>
  <c r="BV382" i="8"/>
  <c r="BK382" i="8"/>
  <c r="BJ382" i="8"/>
  <c r="BG382" i="8"/>
  <c r="BF382" i="8"/>
  <c r="BM382" i="8" s="1"/>
  <c r="BC382" i="8"/>
  <c r="BB382" i="8"/>
  <c r="BA382" i="8"/>
  <c r="X382" i="8"/>
  <c r="W382" i="8"/>
  <c r="V382" i="8"/>
  <c r="C382" i="8"/>
  <c r="DC381" i="8"/>
  <c r="CU381" i="8"/>
  <c r="CR381" i="8"/>
  <c r="CQ381" i="8"/>
  <c r="CN381" i="8"/>
  <c r="CM381" i="8"/>
  <c r="CK381" i="8"/>
  <c r="CI381" i="8"/>
  <c r="CY381" i="8" s="1"/>
  <c r="CH381" i="8"/>
  <c r="BV381" i="8"/>
  <c r="BK381" i="8"/>
  <c r="BJ381" i="8"/>
  <c r="BG381" i="8"/>
  <c r="BF381" i="8"/>
  <c r="BB381" i="8"/>
  <c r="BQ381" i="8" s="1"/>
  <c r="BA381" i="8"/>
  <c r="X381" i="8"/>
  <c r="W381" i="8"/>
  <c r="V381" i="8"/>
  <c r="C381" i="8"/>
  <c r="DC380" i="8"/>
  <c r="CU380" i="8"/>
  <c r="CR380" i="8"/>
  <c r="CQ380" i="8"/>
  <c r="CN380" i="8"/>
  <c r="CM380" i="8"/>
  <c r="CK380" i="8"/>
  <c r="CI380" i="8"/>
  <c r="CH380" i="8"/>
  <c r="BV380" i="8"/>
  <c r="BK380" i="8"/>
  <c r="BJ380" i="8"/>
  <c r="BG380" i="8"/>
  <c r="BF380" i="8"/>
  <c r="BD380" i="8"/>
  <c r="BB380" i="8"/>
  <c r="BA380" i="8"/>
  <c r="X380" i="8"/>
  <c r="W380" i="8"/>
  <c r="V380" i="8"/>
  <c r="C380" i="8"/>
  <c r="DC379" i="8"/>
  <c r="CU379" i="8"/>
  <c r="CR379" i="8"/>
  <c r="CQ379" i="8"/>
  <c r="CN379" i="8"/>
  <c r="CM379" i="8"/>
  <c r="CT379" i="8" s="1"/>
  <c r="CK379" i="8"/>
  <c r="CJ379" i="8"/>
  <c r="CI379" i="8"/>
  <c r="CH379" i="8"/>
  <c r="BV379" i="8"/>
  <c r="BK379" i="8"/>
  <c r="BJ379" i="8"/>
  <c r="BG379" i="8"/>
  <c r="BN379" i="8" s="1"/>
  <c r="BF379" i="8"/>
  <c r="BM379" i="8" s="1"/>
  <c r="BC379" i="8"/>
  <c r="BB379" i="8"/>
  <c r="BA379" i="8"/>
  <c r="X379" i="8"/>
  <c r="W379" i="8"/>
  <c r="V379" i="8"/>
  <c r="C379" i="8"/>
  <c r="DC378" i="8"/>
  <c r="CU378" i="8"/>
  <c r="CR378" i="8"/>
  <c r="CQ378" i="8"/>
  <c r="CN378" i="8"/>
  <c r="CM378" i="8"/>
  <c r="CT378" i="8" s="1"/>
  <c r="CK378" i="8"/>
  <c r="CJ378" i="8"/>
  <c r="CI378" i="8"/>
  <c r="CH378" i="8"/>
  <c r="BV378" i="8"/>
  <c r="BK378" i="8"/>
  <c r="BJ378" i="8"/>
  <c r="BG378" i="8"/>
  <c r="BN378" i="8" s="1"/>
  <c r="BF378" i="8"/>
  <c r="BM378" i="8" s="1"/>
  <c r="BD378" i="8"/>
  <c r="BC378" i="8"/>
  <c r="BB378" i="8"/>
  <c r="BA378" i="8"/>
  <c r="X378" i="8"/>
  <c r="W378" i="8"/>
  <c r="V378" i="8"/>
  <c r="C378" i="8"/>
  <c r="DC377" i="8"/>
  <c r="CU377" i="8"/>
  <c r="CR377" i="8"/>
  <c r="CQ377" i="8"/>
  <c r="CN377" i="8"/>
  <c r="CM377" i="8"/>
  <c r="CK377" i="8"/>
  <c r="CI377" i="8"/>
  <c r="CY377" i="8" s="1"/>
  <c r="CH377" i="8"/>
  <c r="BV377" i="8"/>
  <c r="BK377" i="8"/>
  <c r="BJ377" i="8"/>
  <c r="BG377" i="8"/>
  <c r="BN377" i="8" s="1"/>
  <c r="BF377" i="8"/>
  <c r="BM377" i="8" s="1"/>
  <c r="BC377" i="8"/>
  <c r="BB377" i="8"/>
  <c r="BA377" i="8"/>
  <c r="X377" i="8"/>
  <c r="W377" i="8"/>
  <c r="V377" i="8"/>
  <c r="C377" i="8"/>
  <c r="DC376" i="8"/>
  <c r="CU376" i="8"/>
  <c r="CR376" i="8"/>
  <c r="CQ376" i="8"/>
  <c r="CN376" i="8"/>
  <c r="CM376" i="8"/>
  <c r="CT376" i="8" s="1"/>
  <c r="CK376" i="8"/>
  <c r="CI376" i="8"/>
  <c r="CH376" i="8"/>
  <c r="BV376" i="8"/>
  <c r="BK376" i="8"/>
  <c r="BJ376" i="8"/>
  <c r="BG376" i="8"/>
  <c r="BN376" i="8" s="1"/>
  <c r="BF376" i="8"/>
  <c r="BM376" i="8" s="1"/>
  <c r="BB376" i="8"/>
  <c r="BA376" i="8"/>
  <c r="X376" i="8"/>
  <c r="BW376" i="8" s="1"/>
  <c r="W376" i="8"/>
  <c r="V376" i="8"/>
  <c r="C376" i="8"/>
  <c r="DC375" i="8"/>
  <c r="CU375" i="8"/>
  <c r="CR375" i="8"/>
  <c r="CQ375" i="8"/>
  <c r="CN375" i="8"/>
  <c r="CM375" i="8"/>
  <c r="CJ375" i="8" s="1"/>
  <c r="CK375" i="8"/>
  <c r="CL375" i="8" s="1"/>
  <c r="CI375" i="8"/>
  <c r="CH375" i="8"/>
  <c r="BV375" i="8"/>
  <c r="BK375" i="8"/>
  <c r="BJ375" i="8"/>
  <c r="BG375" i="8"/>
  <c r="BN375" i="8" s="1"/>
  <c r="BF375" i="8"/>
  <c r="BD375" i="8"/>
  <c r="BB375" i="8"/>
  <c r="BA375" i="8"/>
  <c r="X375" i="8"/>
  <c r="W375" i="8"/>
  <c r="V375" i="8"/>
  <c r="C375" i="8"/>
  <c r="DC374" i="8"/>
  <c r="CU374" i="8"/>
  <c r="CR374" i="8"/>
  <c r="CQ374" i="8"/>
  <c r="CS374" i="8" s="1"/>
  <c r="CN374" i="8"/>
  <c r="CM374" i="8"/>
  <c r="CK374" i="8"/>
  <c r="CI374" i="8"/>
  <c r="CH374" i="8"/>
  <c r="BV374" i="8"/>
  <c r="BK374" i="8"/>
  <c r="BJ374" i="8"/>
  <c r="BG374" i="8"/>
  <c r="BN374" i="8" s="1"/>
  <c r="BF374" i="8"/>
  <c r="BD374" i="8"/>
  <c r="BB374" i="8"/>
  <c r="BA374" i="8"/>
  <c r="BS374" i="8" s="1"/>
  <c r="X374" i="8"/>
  <c r="W374" i="8"/>
  <c r="V374" i="8"/>
  <c r="C374" i="8"/>
  <c r="DC373" i="8"/>
  <c r="CU373" i="8"/>
  <c r="CR373" i="8"/>
  <c r="CQ373" i="8"/>
  <c r="CN373" i="8"/>
  <c r="CM373" i="8"/>
  <c r="CT373" i="8" s="1"/>
  <c r="CV373" i="8" s="1"/>
  <c r="CK373" i="8"/>
  <c r="CJ373" i="8"/>
  <c r="CI373" i="8"/>
  <c r="CH373" i="8"/>
  <c r="BV373" i="8"/>
  <c r="BK373" i="8"/>
  <c r="BJ373" i="8"/>
  <c r="BG373" i="8"/>
  <c r="BF373" i="8"/>
  <c r="BM373" i="8" s="1"/>
  <c r="BD373" i="8"/>
  <c r="BC373" i="8"/>
  <c r="BB373" i="8"/>
  <c r="BA373" i="8"/>
  <c r="X373" i="8"/>
  <c r="W373" i="8"/>
  <c r="V373" i="8"/>
  <c r="C373" i="8"/>
  <c r="DC372" i="8"/>
  <c r="CU372" i="8"/>
  <c r="CR372" i="8"/>
  <c r="CQ372" i="8"/>
  <c r="CN372" i="8"/>
  <c r="CM372" i="8"/>
  <c r="CT372" i="8" s="1"/>
  <c r="CV372" i="8" s="1"/>
  <c r="CK372" i="8"/>
  <c r="CJ372" i="8"/>
  <c r="CI372" i="8"/>
  <c r="CH372" i="8"/>
  <c r="BV372" i="8"/>
  <c r="BK372" i="8"/>
  <c r="BJ372" i="8"/>
  <c r="BG372" i="8"/>
  <c r="BF372" i="8"/>
  <c r="BD372" i="8"/>
  <c r="BB372" i="8"/>
  <c r="BA372" i="8"/>
  <c r="X372" i="8"/>
  <c r="W372" i="8"/>
  <c r="V372" i="8"/>
  <c r="C372" i="8"/>
  <c r="DC371" i="8"/>
  <c r="CU371" i="8"/>
  <c r="CR371" i="8"/>
  <c r="CQ371" i="8"/>
  <c r="CN371" i="8"/>
  <c r="CM371" i="8"/>
  <c r="CT371" i="8" s="1"/>
  <c r="CV371" i="8" s="1"/>
  <c r="CK371" i="8"/>
  <c r="CJ371" i="8"/>
  <c r="CI371" i="8"/>
  <c r="CH371" i="8"/>
  <c r="BV371" i="8"/>
  <c r="BK371" i="8"/>
  <c r="BJ371" i="8"/>
  <c r="BG371" i="8"/>
  <c r="BF371" i="8"/>
  <c r="BM371" i="8" s="1"/>
  <c r="BD371" i="8"/>
  <c r="BC371" i="8"/>
  <c r="BB371" i="8"/>
  <c r="BA371" i="8"/>
  <c r="X371" i="8"/>
  <c r="W371" i="8"/>
  <c r="V371" i="8"/>
  <c r="C371" i="8"/>
  <c r="DC370" i="8"/>
  <c r="CU370" i="8"/>
  <c r="CR370" i="8"/>
  <c r="CQ370" i="8"/>
  <c r="CN370" i="8"/>
  <c r="CM370" i="8"/>
  <c r="CT370" i="8" s="1"/>
  <c r="CV370" i="8" s="1"/>
  <c r="CK370" i="8"/>
  <c r="CJ370" i="8"/>
  <c r="CI370" i="8"/>
  <c r="CH370" i="8"/>
  <c r="BV370" i="8"/>
  <c r="BM370" i="8"/>
  <c r="BK370" i="8"/>
  <c r="BJ370" i="8"/>
  <c r="BG370" i="8"/>
  <c r="BF370" i="8"/>
  <c r="BD370" i="8"/>
  <c r="BC370" i="8"/>
  <c r="BB370" i="8"/>
  <c r="BA370" i="8"/>
  <c r="E321" i="7"/>
  <c r="X370" i="8"/>
  <c r="W370" i="8"/>
  <c r="V370" i="8"/>
  <c r="C370" i="8"/>
  <c r="C369" i="8"/>
  <c r="DC365" i="8"/>
  <c r="CU365" i="8"/>
  <c r="CR365" i="8"/>
  <c r="CQ365" i="8"/>
  <c r="CN365" i="8"/>
  <c r="CM365" i="8"/>
  <c r="CK365" i="8"/>
  <c r="CI365" i="8"/>
  <c r="DA365" i="8" s="1"/>
  <c r="CH365" i="8"/>
  <c r="CZ365" i="8" s="1"/>
  <c r="BV365" i="8"/>
  <c r="BK365" i="8"/>
  <c r="BJ365" i="8"/>
  <c r="BL365" i="8" s="1"/>
  <c r="BG365" i="8"/>
  <c r="BN365" i="8" s="1"/>
  <c r="BF365" i="8"/>
  <c r="BB365" i="8"/>
  <c r="BT365" i="8" s="1"/>
  <c r="BA365" i="8"/>
  <c r="BS365" i="8" s="1"/>
  <c r="X365" i="8"/>
  <c r="W365" i="8"/>
  <c r="V365" i="8"/>
  <c r="C365" i="8"/>
  <c r="DC364" i="8"/>
  <c r="CU364" i="8"/>
  <c r="CR364" i="8"/>
  <c r="CQ364" i="8"/>
  <c r="CN364" i="8"/>
  <c r="CM364" i="8"/>
  <c r="CK364" i="8"/>
  <c r="CI364" i="8"/>
  <c r="CH364" i="8"/>
  <c r="CZ364" i="8" s="1"/>
  <c r="BV364" i="8"/>
  <c r="BK364" i="8"/>
  <c r="BJ364" i="8"/>
  <c r="BL364" i="8" s="1"/>
  <c r="BG364" i="8"/>
  <c r="BN364" i="8" s="1"/>
  <c r="BF364" i="8"/>
  <c r="BD364" i="8"/>
  <c r="BB364" i="8"/>
  <c r="BA364" i="8"/>
  <c r="BS364" i="8" s="1"/>
  <c r="X364" i="8"/>
  <c r="W364" i="8"/>
  <c r="V364" i="8"/>
  <c r="C364" i="8"/>
  <c r="DC363" i="8"/>
  <c r="CU363" i="8"/>
  <c r="CR363" i="8"/>
  <c r="CQ363" i="8"/>
  <c r="CN363" i="8"/>
  <c r="CM363" i="8"/>
  <c r="CT363" i="8" s="1"/>
  <c r="CV363" i="8" s="1"/>
  <c r="CK363" i="8"/>
  <c r="CJ363" i="8"/>
  <c r="CI363" i="8"/>
  <c r="CH363" i="8"/>
  <c r="BV363" i="8"/>
  <c r="BK363" i="8"/>
  <c r="BJ363" i="8"/>
  <c r="BG363" i="8"/>
  <c r="BF363" i="8"/>
  <c r="BM363" i="8" s="1"/>
  <c r="BD363" i="8"/>
  <c r="BC363" i="8"/>
  <c r="BB363" i="8"/>
  <c r="BA363" i="8"/>
  <c r="X363" i="8"/>
  <c r="W363" i="8"/>
  <c r="V363" i="8"/>
  <c r="C363" i="8"/>
  <c r="DC362" i="8"/>
  <c r="CU362" i="8"/>
  <c r="CR362" i="8"/>
  <c r="CQ362" i="8"/>
  <c r="CN362" i="8"/>
  <c r="CM362" i="8"/>
  <c r="CT362" i="8" s="1"/>
  <c r="CK362" i="8"/>
  <c r="CJ362" i="8"/>
  <c r="CI362" i="8"/>
  <c r="CH362" i="8"/>
  <c r="BV362" i="8"/>
  <c r="BK362" i="8"/>
  <c r="BJ362" i="8"/>
  <c r="BG362" i="8"/>
  <c r="BF362" i="8"/>
  <c r="BM362" i="8" s="1"/>
  <c r="BD362" i="8"/>
  <c r="BC362" i="8"/>
  <c r="BB362" i="8"/>
  <c r="BA362" i="8"/>
  <c r="X362" i="8"/>
  <c r="W362" i="8"/>
  <c r="V362" i="8"/>
  <c r="C362" i="8"/>
  <c r="DC361" i="8"/>
  <c r="CU361" i="8"/>
  <c r="CR361" i="8"/>
  <c r="CQ361" i="8"/>
  <c r="CN361" i="8"/>
  <c r="CM361" i="8"/>
  <c r="CT361" i="8" s="1"/>
  <c r="CK361" i="8"/>
  <c r="CI361" i="8"/>
  <c r="CH361" i="8"/>
  <c r="BV361" i="8"/>
  <c r="BK361" i="8"/>
  <c r="BJ361" i="8"/>
  <c r="BG361" i="8"/>
  <c r="BF361" i="8"/>
  <c r="BB361" i="8"/>
  <c r="BA361" i="8"/>
  <c r="X361" i="8"/>
  <c r="W361" i="8"/>
  <c r="V361" i="8"/>
  <c r="C361" i="8"/>
  <c r="DC360" i="8"/>
  <c r="CU360" i="8"/>
  <c r="CR360" i="8"/>
  <c r="CQ360" i="8"/>
  <c r="CS360" i="8" s="1"/>
  <c r="CN360" i="8"/>
  <c r="CM360" i="8"/>
  <c r="CK360" i="8"/>
  <c r="CI360" i="8"/>
  <c r="CH360" i="8"/>
  <c r="BV360" i="8"/>
  <c r="BK360" i="8"/>
  <c r="BJ360" i="8"/>
  <c r="BL360" i="8" s="1"/>
  <c r="BG360" i="8"/>
  <c r="BF360" i="8"/>
  <c r="BB360" i="8"/>
  <c r="BT360" i="8" s="1"/>
  <c r="BA360" i="8"/>
  <c r="X360" i="8"/>
  <c r="W360" i="8"/>
  <c r="V360" i="8"/>
  <c r="C360" i="8"/>
  <c r="DC359" i="8"/>
  <c r="CU359" i="8"/>
  <c r="CR359" i="8"/>
  <c r="CQ359" i="8"/>
  <c r="CN359" i="8"/>
  <c r="CM359" i="8"/>
  <c r="CT359" i="8" s="1"/>
  <c r="CK359" i="8"/>
  <c r="CJ359" i="8"/>
  <c r="CI359" i="8"/>
  <c r="CH359" i="8"/>
  <c r="BV359" i="8"/>
  <c r="BK359" i="8"/>
  <c r="BJ359" i="8"/>
  <c r="BG359" i="8"/>
  <c r="BF359" i="8"/>
  <c r="BD359" i="8"/>
  <c r="BB359" i="8"/>
  <c r="BA359" i="8"/>
  <c r="X359" i="8"/>
  <c r="W359" i="8"/>
  <c r="V359" i="8"/>
  <c r="C359" i="8"/>
  <c r="DC358" i="8"/>
  <c r="CU358" i="8"/>
  <c r="CR358" i="8"/>
  <c r="CQ358" i="8"/>
  <c r="CN358" i="8"/>
  <c r="CM358" i="8"/>
  <c r="CK358" i="8"/>
  <c r="CI358" i="8"/>
  <c r="CH358" i="8"/>
  <c r="BV358" i="8"/>
  <c r="BK358" i="8"/>
  <c r="BJ358" i="8"/>
  <c r="BG358" i="8"/>
  <c r="BF358" i="8"/>
  <c r="BM358" i="8" s="1"/>
  <c r="BD358" i="8"/>
  <c r="BC358" i="8"/>
  <c r="BE358" i="8" s="1"/>
  <c r="BB358" i="8"/>
  <c r="BA358" i="8"/>
  <c r="X358" i="8"/>
  <c r="W358" i="8"/>
  <c r="V358" i="8"/>
  <c r="C358" i="8"/>
  <c r="DC357" i="8"/>
  <c r="CU357" i="8"/>
  <c r="CR357" i="8"/>
  <c r="CQ357" i="8"/>
  <c r="CN357" i="8"/>
  <c r="CM357" i="8"/>
  <c r="CT357" i="8" s="1"/>
  <c r="CK357" i="8"/>
  <c r="CJ357" i="8"/>
  <c r="CL357" i="8" s="1"/>
  <c r="CI357" i="8"/>
  <c r="CH357" i="8"/>
  <c r="BV357" i="8"/>
  <c r="BK357" i="8"/>
  <c r="BJ357" i="8"/>
  <c r="BG357" i="8"/>
  <c r="BF357" i="8"/>
  <c r="BM357" i="8" s="1"/>
  <c r="BD357" i="8"/>
  <c r="BC357" i="8"/>
  <c r="BE357" i="8" s="1"/>
  <c r="BB357" i="8"/>
  <c r="BA357" i="8"/>
  <c r="X357" i="8"/>
  <c r="Y357" i="8" s="1"/>
  <c r="Z357" i="8" s="1"/>
  <c r="W357" i="8"/>
  <c r="V357" i="8"/>
  <c r="C357" i="8"/>
  <c r="DC356" i="8"/>
  <c r="CU356" i="8"/>
  <c r="CR356" i="8"/>
  <c r="CQ356" i="8"/>
  <c r="CN356" i="8"/>
  <c r="CM356" i="8"/>
  <c r="CT356" i="8" s="1"/>
  <c r="CK356" i="8"/>
  <c r="CI356" i="8"/>
  <c r="CH356" i="8"/>
  <c r="BV356" i="8"/>
  <c r="BK356" i="8"/>
  <c r="BJ356" i="8"/>
  <c r="BG356" i="8"/>
  <c r="BF356" i="8"/>
  <c r="BM356" i="8" s="1"/>
  <c r="BB356" i="8"/>
  <c r="BU356" i="8" s="1"/>
  <c r="BA356" i="8"/>
  <c r="X356" i="8"/>
  <c r="W356" i="8"/>
  <c r="V356" i="8"/>
  <c r="C356" i="8"/>
  <c r="DC355" i="8"/>
  <c r="CU355" i="8"/>
  <c r="CR355" i="8"/>
  <c r="CQ355" i="8"/>
  <c r="CN355" i="8"/>
  <c r="CM355" i="8"/>
  <c r="CK355" i="8"/>
  <c r="CI355" i="8"/>
  <c r="CH355" i="8"/>
  <c r="BV355" i="8"/>
  <c r="BK355" i="8"/>
  <c r="BJ355" i="8"/>
  <c r="BG355" i="8"/>
  <c r="BN355" i="8" s="1"/>
  <c r="BF355" i="8"/>
  <c r="BD355" i="8"/>
  <c r="BB355" i="8"/>
  <c r="BA355" i="8"/>
  <c r="BX355" i="8" s="1"/>
  <c r="X355" i="8"/>
  <c r="W355" i="8"/>
  <c r="V355" i="8"/>
  <c r="C355" i="8"/>
  <c r="DC354" i="8"/>
  <c r="CU354" i="8"/>
  <c r="CR354" i="8"/>
  <c r="CQ354" i="8"/>
  <c r="CS354" i="8" s="1"/>
  <c r="CN354" i="8"/>
  <c r="CM354" i="8"/>
  <c r="CT354" i="8" s="1"/>
  <c r="CV354" i="8" s="1"/>
  <c r="CK354" i="8"/>
  <c r="CJ354" i="8"/>
  <c r="CI354" i="8"/>
  <c r="CH354" i="8"/>
  <c r="BV354" i="8"/>
  <c r="BK354" i="8"/>
  <c r="BJ354" i="8"/>
  <c r="BL354" i="8" s="1"/>
  <c r="BG354" i="8"/>
  <c r="BN354" i="8" s="1"/>
  <c r="BF354" i="8"/>
  <c r="BM354" i="8" s="1"/>
  <c r="BD354" i="8"/>
  <c r="BC354" i="8"/>
  <c r="BB354" i="8"/>
  <c r="BA354" i="8"/>
  <c r="X354" i="8"/>
  <c r="DD354" i="8" s="1"/>
  <c r="W354" i="8"/>
  <c r="V354" i="8"/>
  <c r="C354" i="8"/>
  <c r="DC353" i="8"/>
  <c r="CU353" i="8"/>
  <c r="CR353" i="8"/>
  <c r="CQ353" i="8"/>
  <c r="CN353" i="8"/>
  <c r="CM353" i="8"/>
  <c r="CT353" i="8" s="1"/>
  <c r="CK353" i="8"/>
  <c r="CJ353" i="8"/>
  <c r="CI353" i="8"/>
  <c r="CH353" i="8"/>
  <c r="CZ353" i="8" s="1"/>
  <c r="BV353" i="8"/>
  <c r="BK353" i="8"/>
  <c r="BJ353" i="8"/>
  <c r="BG353" i="8"/>
  <c r="BF353" i="8"/>
  <c r="BM353" i="8" s="1"/>
  <c r="BD353" i="8"/>
  <c r="BC353" i="8"/>
  <c r="BB353" i="8"/>
  <c r="BA353" i="8"/>
  <c r="BX353" i="8" s="1"/>
  <c r="X353" i="8"/>
  <c r="Y353" i="8" s="1"/>
  <c r="Z353" i="8" s="1"/>
  <c r="AB353" i="8" s="1"/>
  <c r="W353" i="8"/>
  <c r="V353" i="8"/>
  <c r="C353" i="8"/>
  <c r="DC352" i="8"/>
  <c r="CU352" i="8"/>
  <c r="CR352" i="8"/>
  <c r="CQ352" i="8"/>
  <c r="CN352" i="8"/>
  <c r="CM352" i="8"/>
  <c r="CT352" i="8" s="1"/>
  <c r="CK352" i="8"/>
  <c r="CJ352" i="8"/>
  <c r="CI352" i="8"/>
  <c r="CH352" i="8"/>
  <c r="CZ352" i="8" s="1"/>
  <c r="BV352" i="8"/>
  <c r="BK352" i="8"/>
  <c r="BJ352" i="8"/>
  <c r="BG352" i="8"/>
  <c r="BF352" i="8"/>
  <c r="BM352" i="8" s="1"/>
  <c r="BD352" i="8"/>
  <c r="BC352" i="8"/>
  <c r="BB352" i="8"/>
  <c r="BA352" i="8"/>
  <c r="X352" i="8"/>
  <c r="W352" i="8"/>
  <c r="V352" i="8"/>
  <c r="C352" i="8"/>
  <c r="DC351" i="8"/>
  <c r="CU351" i="8"/>
  <c r="CR351" i="8"/>
  <c r="CQ351" i="8"/>
  <c r="CN351" i="8"/>
  <c r="CM351" i="8"/>
  <c r="CT351" i="8" s="1"/>
  <c r="CK351" i="8"/>
  <c r="CJ351" i="8"/>
  <c r="CL351" i="8" s="1"/>
  <c r="CI351" i="8"/>
  <c r="DB351" i="8" s="1"/>
  <c r="CH351" i="8"/>
  <c r="BV351" i="8"/>
  <c r="BK351" i="8"/>
  <c r="BJ351" i="8"/>
  <c r="BG351" i="8"/>
  <c r="BF351" i="8"/>
  <c r="BM351" i="8" s="1"/>
  <c r="BC351" i="8"/>
  <c r="BB351" i="8"/>
  <c r="BU351" i="8" s="1"/>
  <c r="BA351" i="8"/>
  <c r="X351" i="8"/>
  <c r="W351" i="8"/>
  <c r="V351" i="8"/>
  <c r="C351" i="8"/>
  <c r="DC350" i="8"/>
  <c r="CU350" i="8"/>
  <c r="CR350" i="8"/>
  <c r="CQ350" i="8"/>
  <c r="CN350" i="8"/>
  <c r="CM350" i="8"/>
  <c r="CT350" i="8" s="1"/>
  <c r="CK350" i="8"/>
  <c r="CJ350" i="8"/>
  <c r="CL350" i="8" s="1"/>
  <c r="CI350" i="8"/>
  <c r="DB350" i="8" s="1"/>
  <c r="CH350" i="8"/>
  <c r="BV350" i="8"/>
  <c r="BM350" i="8"/>
  <c r="BK350" i="8"/>
  <c r="BJ350" i="8"/>
  <c r="BG350" i="8"/>
  <c r="BF350" i="8"/>
  <c r="BC350" i="8"/>
  <c r="BB350" i="8"/>
  <c r="BU350" i="8" s="1"/>
  <c r="BA350" i="8"/>
  <c r="X350" i="8"/>
  <c r="W350" i="8"/>
  <c r="V350" i="8"/>
  <c r="C350" i="8"/>
  <c r="C349" i="8"/>
  <c r="DC345" i="8"/>
  <c r="CU345" i="8"/>
  <c r="CR345" i="8"/>
  <c r="CQ345" i="8"/>
  <c r="CN345" i="8"/>
  <c r="CM345" i="8"/>
  <c r="CK345" i="8"/>
  <c r="CI345" i="8"/>
  <c r="DA345" i="8" s="1"/>
  <c r="CH345" i="8"/>
  <c r="CZ345" i="8" s="1"/>
  <c r="BV345" i="8"/>
  <c r="BK345" i="8"/>
  <c r="BJ345" i="8"/>
  <c r="BL345" i="8" s="1"/>
  <c r="BG345" i="8"/>
  <c r="BN345" i="8" s="1"/>
  <c r="BF345" i="8"/>
  <c r="BB345" i="8"/>
  <c r="BT345" i="8" s="1"/>
  <c r="BA345" i="8"/>
  <c r="BS345" i="8" s="1"/>
  <c r="X345" i="8"/>
  <c r="W345" i="8"/>
  <c r="V345" i="8"/>
  <c r="C345" i="8"/>
  <c r="DC344" i="8"/>
  <c r="CU344" i="8"/>
  <c r="CR344" i="8"/>
  <c r="CQ344" i="8"/>
  <c r="CS344" i="8" s="1"/>
  <c r="CN344" i="8"/>
  <c r="CM344" i="8"/>
  <c r="CT344" i="8" s="1"/>
  <c r="CK344" i="8"/>
  <c r="CI344" i="8"/>
  <c r="CH344" i="8"/>
  <c r="CZ344" i="8" s="1"/>
  <c r="BV344" i="8"/>
  <c r="BK344" i="8"/>
  <c r="BJ344" i="8"/>
  <c r="BL344" i="8" s="1"/>
  <c r="BG344" i="8"/>
  <c r="BN344" i="8" s="1"/>
  <c r="BF344" i="8"/>
  <c r="BM344" i="8" s="1"/>
  <c r="BD344" i="8"/>
  <c r="BB344" i="8"/>
  <c r="BA344" i="8"/>
  <c r="BS344" i="8" s="1"/>
  <c r="X344" i="8"/>
  <c r="W344" i="8"/>
  <c r="V344" i="8"/>
  <c r="C344" i="8"/>
  <c r="DC343" i="8"/>
  <c r="CU343" i="8"/>
  <c r="CR343" i="8"/>
  <c r="CQ343" i="8"/>
  <c r="CN343" i="8"/>
  <c r="CM343" i="8"/>
  <c r="CT343" i="8" s="1"/>
  <c r="CV343" i="8" s="1"/>
  <c r="CK343" i="8"/>
  <c r="CJ343" i="8"/>
  <c r="CI343" i="8"/>
  <c r="CH343" i="8"/>
  <c r="DE343" i="8" s="1"/>
  <c r="BV343" i="8"/>
  <c r="BK343" i="8"/>
  <c r="BJ343" i="8"/>
  <c r="BG343" i="8"/>
  <c r="BF343" i="8"/>
  <c r="BM343" i="8" s="1"/>
  <c r="BD343" i="8"/>
  <c r="BC343" i="8"/>
  <c r="BB343" i="8"/>
  <c r="BA343" i="8"/>
  <c r="X343" i="8"/>
  <c r="W343" i="8"/>
  <c r="V343" i="8"/>
  <c r="C343" i="8"/>
  <c r="DC342" i="8"/>
  <c r="CU342" i="8"/>
  <c r="CR342" i="8"/>
  <c r="CQ342" i="8"/>
  <c r="CN342" i="8"/>
  <c r="CM342" i="8"/>
  <c r="CT342" i="8" s="1"/>
  <c r="CV342" i="8" s="1"/>
  <c r="CK342" i="8"/>
  <c r="CJ342" i="8"/>
  <c r="CI342" i="8"/>
  <c r="CH342" i="8"/>
  <c r="BV342" i="8"/>
  <c r="BK342" i="8"/>
  <c r="BJ342" i="8"/>
  <c r="BG342" i="8"/>
  <c r="BF342" i="8"/>
  <c r="BM342" i="8" s="1"/>
  <c r="BD342" i="8"/>
  <c r="BC342" i="8"/>
  <c r="BB342" i="8"/>
  <c r="BA342" i="8"/>
  <c r="X342" i="8"/>
  <c r="W342" i="8"/>
  <c r="V342" i="8"/>
  <c r="C342" i="8"/>
  <c r="DC341" i="8"/>
  <c r="CU341" i="8"/>
  <c r="CR341" i="8"/>
  <c r="CQ341" i="8"/>
  <c r="CN341" i="8"/>
  <c r="CM341" i="8"/>
  <c r="CT341" i="8" s="1"/>
  <c r="CK341" i="8"/>
  <c r="CJ341" i="8"/>
  <c r="CI341" i="8"/>
  <c r="CH341" i="8"/>
  <c r="BV341" i="8"/>
  <c r="BK341" i="8"/>
  <c r="BJ341" i="8"/>
  <c r="BG341" i="8"/>
  <c r="BF341" i="8"/>
  <c r="BM341" i="8" s="1"/>
  <c r="BC341" i="8"/>
  <c r="BB341" i="8"/>
  <c r="BA341" i="8"/>
  <c r="X341" i="8"/>
  <c r="W341" i="8"/>
  <c r="V341" i="8"/>
  <c r="C341" i="8"/>
  <c r="DC340" i="8"/>
  <c r="CU340" i="8"/>
  <c r="CR340" i="8"/>
  <c r="CQ340" i="8"/>
  <c r="CS340" i="8" s="1"/>
  <c r="CN340" i="8"/>
  <c r="CM340" i="8"/>
  <c r="CK340" i="8"/>
  <c r="CI340" i="8"/>
  <c r="CH340" i="8"/>
  <c r="BV340" i="8"/>
  <c r="BK340" i="8"/>
  <c r="BJ340" i="8"/>
  <c r="BL340" i="8" s="1"/>
  <c r="BG340" i="8"/>
  <c r="BF340" i="8"/>
  <c r="BB340" i="8"/>
  <c r="BQ340" i="8" s="1"/>
  <c r="BA340" i="8"/>
  <c r="X340" i="8"/>
  <c r="W340" i="8"/>
  <c r="V340" i="8"/>
  <c r="C340" i="8"/>
  <c r="DC339" i="8"/>
  <c r="CU339" i="8"/>
  <c r="CR339" i="8"/>
  <c r="CQ339" i="8"/>
  <c r="CN339" i="8"/>
  <c r="CM339" i="8"/>
  <c r="CK339" i="8"/>
  <c r="CI339" i="8"/>
  <c r="CH339" i="8"/>
  <c r="CZ339" i="8" s="1"/>
  <c r="BV339" i="8"/>
  <c r="BK339" i="8"/>
  <c r="BJ339" i="8"/>
  <c r="BG339" i="8"/>
  <c r="BF339" i="8"/>
  <c r="BD339" i="8"/>
  <c r="BB339" i="8"/>
  <c r="BA339" i="8"/>
  <c r="X339" i="8"/>
  <c r="W339" i="8"/>
  <c r="V339" i="8"/>
  <c r="C339" i="8"/>
  <c r="DC338" i="8"/>
  <c r="CU338" i="8"/>
  <c r="CR338" i="8"/>
  <c r="CQ338" i="8"/>
  <c r="CN338" i="8"/>
  <c r="CM338" i="8"/>
  <c r="CK338" i="8"/>
  <c r="CI338" i="8"/>
  <c r="CH338" i="8"/>
  <c r="CZ338" i="8" s="1"/>
  <c r="BV338" i="8"/>
  <c r="BK338" i="8"/>
  <c r="BJ338" i="8"/>
  <c r="BG338" i="8"/>
  <c r="BF338" i="8"/>
  <c r="BD338" i="8"/>
  <c r="BB338" i="8"/>
  <c r="BA338" i="8"/>
  <c r="X338" i="8"/>
  <c r="W338" i="8"/>
  <c r="V338" i="8"/>
  <c r="C338" i="8"/>
  <c r="DC337" i="8"/>
  <c r="CU337" i="8"/>
  <c r="CR337" i="8"/>
  <c r="CQ337" i="8"/>
  <c r="CN337" i="8"/>
  <c r="CM337" i="8"/>
  <c r="CT337" i="8" s="1"/>
  <c r="CK337" i="8"/>
  <c r="CJ337" i="8"/>
  <c r="CI337" i="8"/>
  <c r="CH337" i="8"/>
  <c r="DE337" i="8" s="1"/>
  <c r="BV337" i="8"/>
  <c r="BK337" i="8"/>
  <c r="BJ337" i="8"/>
  <c r="BG337" i="8"/>
  <c r="BN337" i="8" s="1"/>
  <c r="BF337" i="8"/>
  <c r="BM337" i="8" s="1"/>
  <c r="BO337" i="8" s="1"/>
  <c r="BD337" i="8"/>
  <c r="BC337" i="8"/>
  <c r="BE337" i="8" s="1"/>
  <c r="BB337" i="8"/>
  <c r="BA337" i="8"/>
  <c r="BR337" i="8" s="1"/>
  <c r="X337" i="8"/>
  <c r="W337" i="8"/>
  <c r="V337" i="8"/>
  <c r="C337" i="8"/>
  <c r="DC336" i="8"/>
  <c r="CU336" i="8"/>
  <c r="CR336" i="8"/>
  <c r="CQ336" i="8"/>
  <c r="CS336" i="8" s="1"/>
  <c r="CN336" i="8"/>
  <c r="CM336" i="8"/>
  <c r="CT336" i="8" s="1"/>
  <c r="CK336" i="8"/>
  <c r="CJ336" i="8"/>
  <c r="CI336" i="8"/>
  <c r="DA336" i="8" s="1"/>
  <c r="CH336" i="8"/>
  <c r="BV336" i="8"/>
  <c r="BK336" i="8"/>
  <c r="BJ336" i="8"/>
  <c r="BG336" i="8"/>
  <c r="BF336" i="8"/>
  <c r="BM336" i="8" s="1"/>
  <c r="BD336" i="8"/>
  <c r="BC336" i="8"/>
  <c r="BB336" i="8"/>
  <c r="BU336" i="8" s="1"/>
  <c r="BA336" i="8"/>
  <c r="X336" i="8"/>
  <c r="W336" i="8"/>
  <c r="V336" i="8"/>
  <c r="C336" i="8"/>
  <c r="DC335" i="8"/>
  <c r="CU335" i="8"/>
  <c r="CR335" i="8"/>
  <c r="CQ335" i="8"/>
  <c r="CN335" i="8"/>
  <c r="CM335" i="8"/>
  <c r="CT335" i="8" s="1"/>
  <c r="CV335" i="8" s="1"/>
  <c r="CK335" i="8"/>
  <c r="CI335" i="8"/>
  <c r="CH335" i="8"/>
  <c r="BV335" i="8"/>
  <c r="BK335" i="8"/>
  <c r="BJ335" i="8"/>
  <c r="BG335" i="8"/>
  <c r="BF335" i="8"/>
  <c r="BM335" i="8" s="1"/>
  <c r="BC335" i="8"/>
  <c r="BB335" i="8"/>
  <c r="BT335" i="8" s="1"/>
  <c r="BA335" i="8"/>
  <c r="X335" i="8"/>
  <c r="W335" i="8"/>
  <c r="V335" i="8"/>
  <c r="C335" i="8"/>
  <c r="DC334" i="8"/>
  <c r="CU334" i="8"/>
  <c r="CR334" i="8"/>
  <c r="CQ334" i="8"/>
  <c r="CN334" i="8"/>
  <c r="CM334" i="8"/>
  <c r="CT334" i="8" s="1"/>
  <c r="CV334" i="8" s="1"/>
  <c r="CK334" i="8"/>
  <c r="CI334" i="8"/>
  <c r="CH334" i="8"/>
  <c r="BV334" i="8"/>
  <c r="BK334" i="8"/>
  <c r="BJ334" i="8"/>
  <c r="BG334" i="8"/>
  <c r="BN334" i="8" s="1"/>
  <c r="BF334" i="8"/>
  <c r="BM334" i="8" s="1"/>
  <c r="BB334" i="8"/>
  <c r="BA334" i="8"/>
  <c r="BS334" i="8" s="1"/>
  <c r="X334" i="8"/>
  <c r="W334" i="8"/>
  <c r="V334" i="8"/>
  <c r="C334" i="8"/>
  <c r="DC333" i="8"/>
  <c r="CU333" i="8"/>
  <c r="CR333" i="8"/>
  <c r="CQ333" i="8"/>
  <c r="CN333" i="8"/>
  <c r="CM333" i="8"/>
  <c r="CT333" i="8" s="1"/>
  <c r="CK333" i="8"/>
  <c r="CI333" i="8"/>
  <c r="CH333" i="8"/>
  <c r="BV333" i="8"/>
  <c r="BK333" i="8"/>
  <c r="BJ333" i="8"/>
  <c r="BG333" i="8"/>
  <c r="BN333" i="8" s="1"/>
  <c r="BF333" i="8"/>
  <c r="BM333" i="8" s="1"/>
  <c r="BD333" i="8"/>
  <c r="BB333" i="8"/>
  <c r="BA333" i="8"/>
  <c r="X333" i="8"/>
  <c r="W333" i="8"/>
  <c r="V333" i="8"/>
  <c r="C333" i="8"/>
  <c r="DC332" i="8"/>
  <c r="CU332" i="8"/>
  <c r="CR332" i="8"/>
  <c r="CQ332" i="8"/>
  <c r="CN332" i="8"/>
  <c r="CM332" i="8"/>
  <c r="CT332" i="8" s="1"/>
  <c r="CK332" i="8"/>
  <c r="CI332" i="8"/>
  <c r="CH332" i="8"/>
  <c r="BV332" i="8"/>
  <c r="BK332" i="8"/>
  <c r="BJ332" i="8"/>
  <c r="BG332" i="8"/>
  <c r="BN332" i="8" s="1"/>
  <c r="BF332" i="8"/>
  <c r="BM332" i="8" s="1"/>
  <c r="BD332" i="8"/>
  <c r="BB332" i="8"/>
  <c r="BA332" i="8"/>
  <c r="X332" i="8"/>
  <c r="W332" i="8"/>
  <c r="V332" i="8"/>
  <c r="C332" i="8"/>
  <c r="DC331" i="8"/>
  <c r="CU331" i="8"/>
  <c r="CR331" i="8"/>
  <c r="CQ331" i="8"/>
  <c r="CN331" i="8"/>
  <c r="CM331" i="8"/>
  <c r="CT331" i="8" s="1"/>
  <c r="CV331" i="8" s="1"/>
  <c r="CK331" i="8"/>
  <c r="CJ331" i="8"/>
  <c r="CI331" i="8"/>
  <c r="CH331" i="8"/>
  <c r="BV331" i="8"/>
  <c r="BK331" i="8"/>
  <c r="BJ331" i="8"/>
  <c r="BG331" i="8"/>
  <c r="BF331" i="8"/>
  <c r="BM331" i="8" s="1"/>
  <c r="BD331" i="8"/>
  <c r="BC331" i="8"/>
  <c r="BB331" i="8"/>
  <c r="BA331" i="8"/>
  <c r="X331" i="8"/>
  <c r="W331" i="8"/>
  <c r="V331" i="8"/>
  <c r="C331" i="8"/>
  <c r="DC330" i="8"/>
  <c r="CU330" i="8"/>
  <c r="CR330" i="8"/>
  <c r="CQ330" i="8"/>
  <c r="CN330" i="8"/>
  <c r="CM330" i="8"/>
  <c r="CT330" i="8" s="1"/>
  <c r="CV330" i="8" s="1"/>
  <c r="CK330" i="8"/>
  <c r="CJ330" i="8"/>
  <c r="CI330" i="8"/>
  <c r="CH330" i="8"/>
  <c r="CZ330" i="8" s="1"/>
  <c r="BV330" i="8"/>
  <c r="BM330" i="8"/>
  <c r="BK330" i="8"/>
  <c r="BJ330" i="8"/>
  <c r="BG330" i="8"/>
  <c r="BF330" i="8"/>
  <c r="BD330" i="8"/>
  <c r="BC330" i="8"/>
  <c r="BB330" i="8"/>
  <c r="BA330" i="8"/>
  <c r="BS330" i="8" s="1"/>
  <c r="X330" i="8"/>
  <c r="W330" i="8"/>
  <c r="V330" i="8"/>
  <c r="C330" i="8"/>
  <c r="C329" i="8"/>
  <c r="DC325" i="8"/>
  <c r="CU325" i="8"/>
  <c r="CR325" i="8"/>
  <c r="CQ325" i="8"/>
  <c r="CN325" i="8"/>
  <c r="CM325" i="8"/>
  <c r="CK325" i="8"/>
  <c r="CI325" i="8"/>
  <c r="DA325" i="8" s="1"/>
  <c r="CH325" i="8"/>
  <c r="CZ325" i="8" s="1"/>
  <c r="BV325" i="8"/>
  <c r="BK325" i="8"/>
  <c r="BJ325" i="8"/>
  <c r="BG325" i="8"/>
  <c r="BF325" i="8"/>
  <c r="BB325" i="8"/>
  <c r="BT325" i="8" s="1"/>
  <c r="BA325" i="8"/>
  <c r="BS325" i="8" s="1"/>
  <c r="X325" i="8"/>
  <c r="W325" i="8"/>
  <c r="V325" i="8"/>
  <c r="C325" i="8"/>
  <c r="DC324" i="8"/>
  <c r="CU324" i="8"/>
  <c r="CR324" i="8"/>
  <c r="CQ324" i="8"/>
  <c r="CN324" i="8"/>
  <c r="CM324" i="8"/>
  <c r="CJ324" i="8" s="1"/>
  <c r="CK324" i="8"/>
  <c r="CI324" i="8"/>
  <c r="CH324" i="8"/>
  <c r="CZ324" i="8" s="1"/>
  <c r="BV324" i="8"/>
  <c r="BK324" i="8"/>
  <c r="BJ324" i="8"/>
  <c r="BL324" i="8" s="1"/>
  <c r="BG324" i="8"/>
  <c r="BF324" i="8"/>
  <c r="BC324" i="8" s="1"/>
  <c r="BD324" i="8"/>
  <c r="BB324" i="8"/>
  <c r="BA324" i="8"/>
  <c r="BS324" i="8" s="1"/>
  <c r="X324" i="8"/>
  <c r="W324" i="8"/>
  <c r="V324" i="8"/>
  <c r="C324" i="8"/>
  <c r="DC323" i="8"/>
  <c r="CU323" i="8"/>
  <c r="CR323" i="8"/>
  <c r="CQ323" i="8"/>
  <c r="CN323" i="8"/>
  <c r="CM323" i="8"/>
  <c r="CT323" i="8" s="1"/>
  <c r="CV323" i="8" s="1"/>
  <c r="CK323" i="8"/>
  <c r="CJ323" i="8"/>
  <c r="CI323" i="8"/>
  <c r="CH323" i="8"/>
  <c r="DE323" i="8" s="1"/>
  <c r="BV323" i="8"/>
  <c r="BK323" i="8"/>
  <c r="BJ323" i="8"/>
  <c r="BG323" i="8"/>
  <c r="BF323" i="8"/>
  <c r="BM323" i="8" s="1"/>
  <c r="BD323" i="8"/>
  <c r="BC323" i="8"/>
  <c r="BB323" i="8"/>
  <c r="BU323" i="8" s="1"/>
  <c r="BA323" i="8"/>
  <c r="BR323" i="8" s="1"/>
  <c r="X323" i="8"/>
  <c r="W323" i="8"/>
  <c r="V323" i="8"/>
  <c r="C323" i="8"/>
  <c r="DC322" i="8"/>
  <c r="CU322" i="8"/>
  <c r="CR322" i="8"/>
  <c r="CQ322" i="8"/>
  <c r="CN322" i="8"/>
  <c r="CM322" i="8"/>
  <c r="CT322" i="8" s="1"/>
  <c r="CV322" i="8" s="1"/>
  <c r="CK322" i="8"/>
  <c r="CI322" i="8"/>
  <c r="DB322" i="8" s="1"/>
  <c r="CH322" i="8"/>
  <c r="DE322" i="8" s="1"/>
  <c r="BV322" i="8"/>
  <c r="BK322" i="8"/>
  <c r="BJ322" i="8"/>
  <c r="BG322" i="8"/>
  <c r="BF322" i="8"/>
  <c r="BM322" i="8" s="1"/>
  <c r="BC322" i="8"/>
  <c r="BB322" i="8"/>
  <c r="BU322" i="8" s="1"/>
  <c r="BA322" i="8"/>
  <c r="X322" i="8"/>
  <c r="W322" i="8"/>
  <c r="V322" i="8"/>
  <c r="C322" i="8"/>
  <c r="DC321" i="8"/>
  <c r="CU321" i="8"/>
  <c r="CR321" i="8"/>
  <c r="CQ321" i="8"/>
  <c r="CN321" i="8"/>
  <c r="CM321" i="8"/>
  <c r="CT321" i="8" s="1"/>
  <c r="CV321" i="8" s="1"/>
  <c r="CK321" i="8"/>
  <c r="CI321" i="8"/>
  <c r="CH321" i="8"/>
  <c r="CZ321" i="8" s="1"/>
  <c r="BV321" i="8"/>
  <c r="BK321" i="8"/>
  <c r="BJ321" i="8"/>
  <c r="BG321" i="8"/>
  <c r="BF321" i="8"/>
  <c r="BM321" i="8" s="1"/>
  <c r="BB321" i="8"/>
  <c r="BA321" i="8"/>
  <c r="X321" i="8"/>
  <c r="W321" i="8"/>
  <c r="V321" i="8"/>
  <c r="C321" i="8"/>
  <c r="DC320" i="8"/>
  <c r="CU320" i="8"/>
  <c r="CR320" i="8"/>
  <c r="CQ320" i="8"/>
  <c r="CN320" i="8"/>
  <c r="CM320" i="8"/>
  <c r="CT320" i="8" s="1"/>
  <c r="CK320" i="8"/>
  <c r="CI320" i="8"/>
  <c r="CH320" i="8"/>
  <c r="BV320" i="8"/>
  <c r="BK320" i="8"/>
  <c r="BJ320" i="8"/>
  <c r="BG320" i="8"/>
  <c r="BN320" i="8" s="1"/>
  <c r="BF320" i="8"/>
  <c r="BM320" i="8" s="1"/>
  <c r="BD320" i="8"/>
  <c r="BB320" i="8"/>
  <c r="BA320" i="8"/>
  <c r="X320" i="8"/>
  <c r="W320" i="8"/>
  <c r="V320" i="8"/>
  <c r="C320" i="8"/>
  <c r="DC319" i="8"/>
  <c r="CU319" i="8"/>
  <c r="CR319" i="8"/>
  <c r="CQ319" i="8"/>
  <c r="CN319" i="8"/>
  <c r="CM319" i="8"/>
  <c r="CT319" i="8" s="1"/>
  <c r="CK319" i="8"/>
  <c r="CI319" i="8"/>
  <c r="CH319" i="8"/>
  <c r="CZ319" i="8" s="1"/>
  <c r="BV319" i="8"/>
  <c r="BK319" i="8"/>
  <c r="BJ319" i="8"/>
  <c r="BG319" i="8"/>
  <c r="BN319" i="8" s="1"/>
  <c r="BF319" i="8"/>
  <c r="BH319" i="8" s="1"/>
  <c r="BD319" i="8"/>
  <c r="BB319" i="8"/>
  <c r="BA319" i="8"/>
  <c r="X319" i="8"/>
  <c r="W319" i="8"/>
  <c r="V319" i="8"/>
  <c r="C319" i="8"/>
  <c r="DC318" i="8"/>
  <c r="CU318" i="8"/>
  <c r="CR318" i="8"/>
  <c r="CQ318" i="8"/>
  <c r="CN318" i="8"/>
  <c r="CM318" i="8"/>
  <c r="CK318" i="8"/>
  <c r="CJ318" i="8"/>
  <c r="CL318" i="8" s="1"/>
  <c r="CI318" i="8"/>
  <c r="CY318" i="8" s="1"/>
  <c r="CH318" i="8"/>
  <c r="CZ318" i="8" s="1"/>
  <c r="BV318" i="8"/>
  <c r="BK318" i="8"/>
  <c r="BJ318" i="8"/>
  <c r="BG318" i="8"/>
  <c r="BN318" i="8" s="1"/>
  <c r="BF318" i="8"/>
  <c r="BD318" i="8"/>
  <c r="BC318" i="8"/>
  <c r="BE318" i="8" s="1"/>
  <c r="BB318" i="8"/>
  <c r="BQ318" i="8" s="1"/>
  <c r="BA318" i="8"/>
  <c r="X318" i="8"/>
  <c r="W318" i="8"/>
  <c r="V318" i="8"/>
  <c r="C318" i="8"/>
  <c r="DC317" i="8"/>
  <c r="CU317" i="8"/>
  <c r="CR317" i="8"/>
  <c r="CQ317" i="8"/>
  <c r="CS317" i="8" s="1"/>
  <c r="CN317" i="8"/>
  <c r="CM317" i="8"/>
  <c r="CJ317" i="8" s="1"/>
  <c r="CK317" i="8"/>
  <c r="CI317" i="8"/>
  <c r="DA317" i="8" s="1"/>
  <c r="CH317" i="8"/>
  <c r="CZ317" i="8" s="1"/>
  <c r="BV317" i="8"/>
  <c r="BK317" i="8"/>
  <c r="BJ317" i="8"/>
  <c r="BL317" i="8" s="1"/>
  <c r="BG317" i="8"/>
  <c r="BN317" i="8" s="1"/>
  <c r="BF317" i="8"/>
  <c r="BD317" i="8"/>
  <c r="BC317" i="8"/>
  <c r="BB317" i="8"/>
  <c r="BU317" i="8" s="1"/>
  <c r="BA317" i="8"/>
  <c r="BS317" i="8" s="1"/>
  <c r="X317" i="8"/>
  <c r="W317" i="8"/>
  <c r="V317" i="8"/>
  <c r="C317" i="8"/>
  <c r="DC316" i="8"/>
  <c r="CU316" i="8"/>
  <c r="CR316" i="8"/>
  <c r="CQ316" i="8"/>
  <c r="CN316" i="8"/>
  <c r="CM316" i="8"/>
  <c r="CT316" i="8" s="1"/>
  <c r="CK316" i="8"/>
  <c r="CJ316" i="8"/>
  <c r="CI316" i="8"/>
  <c r="DB316" i="8" s="1"/>
  <c r="CH316" i="8"/>
  <c r="CZ316" i="8" s="1"/>
  <c r="BV316" i="8"/>
  <c r="BK316" i="8"/>
  <c r="BJ316" i="8"/>
  <c r="BG316" i="8"/>
  <c r="BN316" i="8" s="1"/>
  <c r="BF316" i="8"/>
  <c r="BM316" i="8" s="1"/>
  <c r="BB316" i="8"/>
  <c r="BA316" i="8"/>
  <c r="X316" i="8"/>
  <c r="W316" i="8"/>
  <c r="V316" i="8"/>
  <c r="C316" i="8"/>
  <c r="DC315" i="8"/>
  <c r="CU315" i="8"/>
  <c r="CR315" i="8"/>
  <c r="CQ315" i="8"/>
  <c r="CN315" i="8"/>
  <c r="CM315" i="8"/>
  <c r="CT315" i="8" s="1"/>
  <c r="CK315" i="8"/>
  <c r="CJ315" i="8"/>
  <c r="CL315" i="8" s="1"/>
  <c r="CI315" i="8"/>
  <c r="CH315" i="8"/>
  <c r="DE315" i="8" s="1"/>
  <c r="BV315" i="8"/>
  <c r="BK315" i="8"/>
  <c r="BJ315" i="8"/>
  <c r="BG315" i="8"/>
  <c r="BD315" i="8" s="1"/>
  <c r="BF315" i="8"/>
  <c r="BM315" i="8" s="1"/>
  <c r="BB315" i="8"/>
  <c r="BA315" i="8"/>
  <c r="X315" i="8"/>
  <c r="W315" i="8"/>
  <c r="V315" i="8"/>
  <c r="C315" i="8"/>
  <c r="DC314" i="8"/>
  <c r="CU314" i="8"/>
  <c r="CR314" i="8"/>
  <c r="CQ314" i="8"/>
  <c r="CN314" i="8"/>
  <c r="CM314" i="8"/>
  <c r="CT314" i="8" s="1"/>
  <c r="CK314" i="8"/>
  <c r="CJ314" i="8"/>
  <c r="CL314" i="8" s="1"/>
  <c r="CI314" i="8"/>
  <c r="CH314" i="8"/>
  <c r="DE314" i="8" s="1"/>
  <c r="BV314" i="8"/>
  <c r="BK314" i="8"/>
  <c r="BJ314" i="8"/>
  <c r="BG314" i="8"/>
  <c r="BN314" i="8" s="1"/>
  <c r="BF314" i="8"/>
  <c r="BM314" i="8" s="1"/>
  <c r="BD314" i="8"/>
  <c r="BB314" i="8"/>
  <c r="BU314" i="8" s="1"/>
  <c r="BA314" i="8"/>
  <c r="X314" i="8"/>
  <c r="W314" i="8"/>
  <c r="V314" i="8"/>
  <c r="C314" i="8"/>
  <c r="DC313" i="8"/>
  <c r="CU313" i="8"/>
  <c r="CR313" i="8"/>
  <c r="CQ313" i="8"/>
  <c r="CN313" i="8"/>
  <c r="CM313" i="8"/>
  <c r="CT313" i="8" s="1"/>
  <c r="CK313" i="8"/>
  <c r="CJ313" i="8"/>
  <c r="CL313" i="8" s="1"/>
  <c r="CI313" i="8"/>
  <c r="DB313" i="8" s="1"/>
  <c r="CH313" i="8"/>
  <c r="CZ313" i="8" s="1"/>
  <c r="BV313" i="8"/>
  <c r="BK313" i="8"/>
  <c r="BJ313" i="8"/>
  <c r="BG313" i="8"/>
  <c r="BN313" i="8" s="1"/>
  <c r="BF313" i="8"/>
  <c r="BM313" i="8" s="1"/>
  <c r="BC313" i="8"/>
  <c r="BB313" i="8"/>
  <c r="BU313" i="8" s="1"/>
  <c r="BA313" i="8"/>
  <c r="BS313" i="8" s="1"/>
  <c r="X313" i="8"/>
  <c r="W313" i="8"/>
  <c r="V313" i="8"/>
  <c r="C313" i="8"/>
  <c r="DC312" i="8"/>
  <c r="CU312" i="8"/>
  <c r="CR312" i="8"/>
  <c r="CQ312" i="8"/>
  <c r="CN312" i="8"/>
  <c r="CM312" i="8"/>
  <c r="CJ312" i="8" s="1"/>
  <c r="CK312" i="8"/>
  <c r="CI312" i="8"/>
  <c r="DB312" i="8" s="1"/>
  <c r="CH312" i="8"/>
  <c r="CZ312" i="8" s="1"/>
  <c r="BV312" i="8"/>
  <c r="BK312" i="8"/>
  <c r="BJ312" i="8"/>
  <c r="BG312" i="8"/>
  <c r="BN312" i="8" s="1"/>
  <c r="BF312" i="8"/>
  <c r="BB312" i="8"/>
  <c r="BU312" i="8" s="1"/>
  <c r="BA312" i="8"/>
  <c r="BS312" i="8" s="1"/>
  <c r="X312" i="8"/>
  <c r="W312" i="8"/>
  <c r="V312" i="8"/>
  <c r="C312" i="8"/>
  <c r="DC311" i="8"/>
  <c r="CU311" i="8"/>
  <c r="CR311" i="8"/>
  <c r="CQ311" i="8"/>
  <c r="CN311" i="8"/>
  <c r="CM311" i="8"/>
  <c r="CT311" i="8" s="1"/>
  <c r="CK311" i="8"/>
  <c r="CI311" i="8"/>
  <c r="DB311" i="8" s="1"/>
  <c r="CH311" i="8"/>
  <c r="CZ311" i="8" s="1"/>
  <c r="BV311" i="8"/>
  <c r="BK311" i="8"/>
  <c r="BJ311" i="8"/>
  <c r="BL311" i="8" s="1"/>
  <c r="BG311" i="8"/>
  <c r="BF311" i="8"/>
  <c r="BM311" i="8" s="1"/>
  <c r="BB311" i="8"/>
  <c r="BA311" i="8"/>
  <c r="BS311" i="8" s="1"/>
  <c r="X311" i="8"/>
  <c r="W311" i="8"/>
  <c r="V311" i="8"/>
  <c r="C311" i="8"/>
  <c r="DC310" i="8"/>
  <c r="CU310" i="8"/>
  <c r="CR310" i="8"/>
  <c r="CQ310" i="8"/>
  <c r="CS310" i="8" s="1"/>
  <c r="CN310" i="8"/>
  <c r="CM310" i="8"/>
  <c r="CT310" i="8" s="1"/>
  <c r="CK310" i="8"/>
  <c r="CI310" i="8"/>
  <c r="DB310" i="8" s="1"/>
  <c r="CH310" i="8"/>
  <c r="CZ310" i="8" s="1"/>
  <c r="BV310" i="8"/>
  <c r="BM310" i="8"/>
  <c r="BK310" i="8"/>
  <c r="BJ310" i="8"/>
  <c r="BL310" i="8" s="1"/>
  <c r="BG310" i="8"/>
  <c r="BF310" i="8"/>
  <c r="BH310" i="8" s="1"/>
  <c r="BC310" i="8"/>
  <c r="BB310" i="8"/>
  <c r="BU310" i="8" s="1"/>
  <c r="BA310" i="8"/>
  <c r="BS310" i="8" s="1"/>
  <c r="X310" i="8"/>
  <c r="W310" i="8"/>
  <c r="V310" i="8"/>
  <c r="C310" i="8"/>
  <c r="C309" i="8"/>
  <c r="DC305" i="8"/>
  <c r="CU305" i="8"/>
  <c r="CR305" i="8"/>
  <c r="CQ305" i="8"/>
  <c r="CN305" i="8"/>
  <c r="CM305" i="8"/>
  <c r="CK305" i="8"/>
  <c r="CI305" i="8"/>
  <c r="DA305" i="8" s="1"/>
  <c r="CH305" i="8"/>
  <c r="CZ305" i="8" s="1"/>
  <c r="BV305" i="8"/>
  <c r="BK305" i="8"/>
  <c r="BJ305" i="8"/>
  <c r="BG305" i="8"/>
  <c r="BF305" i="8"/>
  <c r="BB305" i="8"/>
  <c r="BT305" i="8" s="1"/>
  <c r="BA305" i="8"/>
  <c r="BS305" i="8" s="1"/>
  <c r="X305" i="8"/>
  <c r="W305" i="8"/>
  <c r="V305" i="8"/>
  <c r="C305" i="8"/>
  <c r="DC304" i="8"/>
  <c r="CU304" i="8"/>
  <c r="CR304" i="8"/>
  <c r="CQ304" i="8"/>
  <c r="CN304" i="8"/>
  <c r="CM304" i="8"/>
  <c r="CK304" i="8"/>
  <c r="CI304" i="8"/>
  <c r="CH304" i="8"/>
  <c r="CZ304" i="8" s="1"/>
  <c r="BV304" i="8"/>
  <c r="BK304" i="8"/>
  <c r="BJ304" i="8"/>
  <c r="BL304" i="8" s="1"/>
  <c r="BG304" i="8"/>
  <c r="BF304" i="8"/>
  <c r="BD304" i="8"/>
  <c r="BB304" i="8"/>
  <c r="BA304" i="8"/>
  <c r="BS304" i="8" s="1"/>
  <c r="X304" i="8"/>
  <c r="W304" i="8"/>
  <c r="V304" i="8"/>
  <c r="C304" i="8"/>
  <c r="DC303" i="8"/>
  <c r="CU303" i="8"/>
  <c r="CR303" i="8"/>
  <c r="CQ303" i="8"/>
  <c r="CN303" i="8"/>
  <c r="CM303" i="8"/>
  <c r="CT303" i="8" s="1"/>
  <c r="CK303" i="8"/>
  <c r="CJ303" i="8"/>
  <c r="CI303" i="8"/>
  <c r="CH303" i="8"/>
  <c r="BV303" i="8"/>
  <c r="BK303" i="8"/>
  <c r="BJ303" i="8"/>
  <c r="BG303" i="8"/>
  <c r="BF303" i="8"/>
  <c r="BM303" i="8" s="1"/>
  <c r="BD303" i="8"/>
  <c r="BC303" i="8"/>
  <c r="BB303" i="8"/>
  <c r="BA303" i="8"/>
  <c r="X303" i="8"/>
  <c r="W303" i="8"/>
  <c r="V303" i="8"/>
  <c r="C303" i="8"/>
  <c r="DC302" i="8"/>
  <c r="CU302" i="8"/>
  <c r="CR302" i="8"/>
  <c r="CQ302" i="8"/>
  <c r="CN302" i="8"/>
  <c r="CM302" i="8"/>
  <c r="CT302" i="8" s="1"/>
  <c r="CV302" i="8" s="1"/>
  <c r="CK302" i="8"/>
  <c r="CJ302" i="8"/>
  <c r="CI302" i="8"/>
  <c r="CH302" i="8"/>
  <c r="BV302" i="8"/>
  <c r="BK302" i="8"/>
  <c r="BJ302" i="8"/>
  <c r="BG302" i="8"/>
  <c r="BF302" i="8"/>
  <c r="BM302" i="8" s="1"/>
  <c r="BC302" i="8"/>
  <c r="BB302" i="8"/>
  <c r="BA302" i="8"/>
  <c r="X302" i="8"/>
  <c r="W302" i="8"/>
  <c r="V302" i="8"/>
  <c r="C302" i="8"/>
  <c r="DC301" i="8"/>
  <c r="CU301" i="8"/>
  <c r="CR301" i="8"/>
  <c r="CQ301" i="8"/>
  <c r="CN301" i="8"/>
  <c r="CM301" i="8"/>
  <c r="CK301" i="8"/>
  <c r="CI301" i="8"/>
  <c r="CY301" i="8" s="1"/>
  <c r="CH301" i="8"/>
  <c r="BV301" i="8"/>
  <c r="BK301" i="8"/>
  <c r="BJ301" i="8"/>
  <c r="BG301" i="8"/>
  <c r="BN301" i="8" s="1"/>
  <c r="BF301" i="8"/>
  <c r="BB301" i="8"/>
  <c r="BA301" i="8"/>
  <c r="X301" i="8"/>
  <c r="DD301" i="8" s="1"/>
  <c r="W301" i="8"/>
  <c r="V301" i="8"/>
  <c r="C301" i="8"/>
  <c r="DC300" i="8"/>
  <c r="CU300" i="8"/>
  <c r="CR300" i="8"/>
  <c r="CQ300" i="8"/>
  <c r="CN300" i="8"/>
  <c r="CM300" i="8"/>
  <c r="CK300" i="8"/>
  <c r="CI300" i="8"/>
  <c r="CH300" i="8"/>
  <c r="BV300" i="8"/>
  <c r="BK300" i="8"/>
  <c r="BJ300" i="8"/>
  <c r="BG300" i="8"/>
  <c r="BN300" i="8" s="1"/>
  <c r="BF300" i="8"/>
  <c r="BD300" i="8"/>
  <c r="BB300" i="8"/>
  <c r="BA300" i="8"/>
  <c r="X300" i="8"/>
  <c r="Y300" i="8" s="1"/>
  <c r="Z300" i="8" s="1"/>
  <c r="W300" i="8"/>
  <c r="V300" i="8"/>
  <c r="C300" i="8"/>
  <c r="DC299" i="8"/>
  <c r="CU299" i="8"/>
  <c r="CR299" i="8"/>
  <c r="CQ299" i="8"/>
  <c r="CN299" i="8"/>
  <c r="CM299" i="8"/>
  <c r="CT299" i="8" s="1"/>
  <c r="CK299" i="8"/>
  <c r="CJ299" i="8"/>
  <c r="CL299" i="8" s="1"/>
  <c r="CI299" i="8"/>
  <c r="CH299" i="8"/>
  <c r="BV299" i="8"/>
  <c r="BK299" i="8"/>
  <c r="BJ299" i="8"/>
  <c r="BG299" i="8"/>
  <c r="BF299" i="8"/>
  <c r="BM299" i="8" s="1"/>
  <c r="BD299" i="8"/>
  <c r="BC299" i="8"/>
  <c r="BE299" i="8" s="1"/>
  <c r="BB299" i="8"/>
  <c r="BA299" i="8"/>
  <c r="X299" i="8"/>
  <c r="Y299" i="8" s="1"/>
  <c r="Z299" i="8" s="1"/>
  <c r="W299" i="8"/>
  <c r="V299" i="8"/>
  <c r="C299" i="8"/>
  <c r="DC298" i="8"/>
  <c r="CU298" i="8"/>
  <c r="CR298" i="8"/>
  <c r="CQ298" i="8"/>
  <c r="CN298" i="8"/>
  <c r="CM298" i="8"/>
  <c r="CT298" i="8" s="1"/>
  <c r="CK298" i="8"/>
  <c r="CJ298" i="8"/>
  <c r="CI298" i="8"/>
  <c r="CH298" i="8"/>
  <c r="BV298" i="8"/>
  <c r="BK298" i="8"/>
  <c r="BJ298" i="8"/>
  <c r="BG298" i="8"/>
  <c r="BF298" i="8"/>
  <c r="BM298" i="8" s="1"/>
  <c r="BD298" i="8"/>
  <c r="BC298" i="8"/>
  <c r="BB298" i="8"/>
  <c r="BA298" i="8"/>
  <c r="X298" i="8"/>
  <c r="Y298" i="8" s="1"/>
  <c r="Z298" i="8" s="1"/>
  <c r="W298" i="8"/>
  <c r="V298" i="8"/>
  <c r="C298" i="8"/>
  <c r="DC297" i="8"/>
  <c r="CU297" i="8"/>
  <c r="CR297" i="8"/>
  <c r="CQ297" i="8"/>
  <c r="CN297" i="8"/>
  <c r="CM297" i="8"/>
  <c r="CT297" i="8" s="1"/>
  <c r="CV297" i="8" s="1"/>
  <c r="CK297" i="8"/>
  <c r="CJ297" i="8"/>
  <c r="CI297" i="8"/>
  <c r="CX297" i="8" s="1"/>
  <c r="CH297" i="8"/>
  <c r="BV297" i="8"/>
  <c r="BK297" i="8"/>
  <c r="BJ297" i="8"/>
  <c r="BG297" i="8"/>
  <c r="BN297" i="8" s="1"/>
  <c r="BF297" i="8"/>
  <c r="BM297" i="8" s="1"/>
  <c r="BC297" i="8"/>
  <c r="BB297" i="8"/>
  <c r="BA297" i="8"/>
  <c r="X297" i="8"/>
  <c r="W297" i="8"/>
  <c r="V297" i="8"/>
  <c r="C297" i="8"/>
  <c r="DC296" i="8"/>
  <c r="CU296" i="8"/>
  <c r="CR296" i="8"/>
  <c r="CQ296" i="8"/>
  <c r="CN296" i="8"/>
  <c r="CM296" i="8"/>
  <c r="CT296" i="8" s="1"/>
  <c r="CK296" i="8"/>
  <c r="CJ296" i="8"/>
  <c r="CI296" i="8"/>
  <c r="CH296" i="8"/>
  <c r="DE296" i="8" s="1"/>
  <c r="BV296" i="8"/>
  <c r="BK296" i="8"/>
  <c r="BJ296" i="8"/>
  <c r="BG296" i="8"/>
  <c r="BF296" i="8"/>
  <c r="BM296" i="8" s="1"/>
  <c r="BC296" i="8"/>
  <c r="BB296" i="8"/>
  <c r="BA296" i="8"/>
  <c r="BX296" i="8" s="1"/>
  <c r="X296" i="8"/>
  <c r="W296" i="8"/>
  <c r="V296" i="8"/>
  <c r="C296" i="8"/>
  <c r="DC295" i="8"/>
  <c r="CU295" i="8"/>
  <c r="CR295" i="8"/>
  <c r="CQ295" i="8"/>
  <c r="CN295" i="8"/>
  <c r="CM295" i="8"/>
  <c r="CJ295" i="8" s="1"/>
  <c r="CK295" i="8"/>
  <c r="CL295" i="8" s="1"/>
  <c r="CI295" i="8"/>
  <c r="CH295" i="8"/>
  <c r="BV295" i="8"/>
  <c r="BK295" i="8"/>
  <c r="BJ295" i="8"/>
  <c r="BG295" i="8"/>
  <c r="BN295" i="8" s="1"/>
  <c r="BF295" i="8"/>
  <c r="BH295" i="8" s="1"/>
  <c r="BD295" i="8"/>
  <c r="BB295" i="8"/>
  <c r="BA295" i="8"/>
  <c r="BX295" i="8" s="1"/>
  <c r="X295" i="8"/>
  <c r="Y295" i="8" s="1"/>
  <c r="Z295" i="8" s="1"/>
  <c r="AB295" i="8" s="1"/>
  <c r="W295" i="8"/>
  <c r="V295" i="8"/>
  <c r="C295" i="8"/>
  <c r="DC294" i="8"/>
  <c r="CU294" i="8"/>
  <c r="CR294" i="8"/>
  <c r="CQ294" i="8"/>
  <c r="CN294" i="8"/>
  <c r="CM294" i="8"/>
  <c r="CT294" i="8" s="1"/>
  <c r="CV294" i="8" s="1"/>
  <c r="CK294" i="8"/>
  <c r="CJ294" i="8"/>
  <c r="CI294" i="8"/>
  <c r="CH294" i="8"/>
  <c r="BV294" i="8"/>
  <c r="BK294" i="8"/>
  <c r="BJ294" i="8"/>
  <c r="BG294" i="8"/>
  <c r="BD294" i="8" s="1"/>
  <c r="BF294" i="8"/>
  <c r="BM294" i="8" s="1"/>
  <c r="BC294" i="8"/>
  <c r="BB294" i="8"/>
  <c r="BA294" i="8"/>
  <c r="X294" i="8"/>
  <c r="DD294" i="8" s="1"/>
  <c r="W294" i="8"/>
  <c r="V294" i="8"/>
  <c r="C294" i="8"/>
  <c r="DC293" i="8"/>
  <c r="CU293" i="8"/>
  <c r="CR293" i="8"/>
  <c r="CQ293" i="8"/>
  <c r="CN293" i="8"/>
  <c r="CM293" i="8"/>
  <c r="CJ293" i="8" s="1"/>
  <c r="CK293" i="8"/>
  <c r="CL293" i="8" s="1"/>
  <c r="CI293" i="8"/>
  <c r="CH293" i="8"/>
  <c r="CZ293" i="8" s="1"/>
  <c r="BV293" i="8"/>
  <c r="BK293" i="8"/>
  <c r="BJ293" i="8"/>
  <c r="BG293" i="8"/>
  <c r="BN293" i="8" s="1"/>
  <c r="BF293" i="8"/>
  <c r="BC293" i="8" s="1"/>
  <c r="BD293" i="8"/>
  <c r="BB293" i="8"/>
  <c r="BA293" i="8"/>
  <c r="X293" i="8"/>
  <c r="DD293" i="8" s="1"/>
  <c r="W293" i="8"/>
  <c r="V293" i="8"/>
  <c r="C293" i="8"/>
  <c r="DC292" i="8"/>
  <c r="CU292" i="8"/>
  <c r="CR292" i="8"/>
  <c r="CQ292" i="8"/>
  <c r="CN292" i="8"/>
  <c r="CM292" i="8"/>
  <c r="CJ292" i="8" s="1"/>
  <c r="CK292" i="8"/>
  <c r="CL292" i="8" s="1"/>
  <c r="CI292" i="8"/>
  <c r="CH292" i="8"/>
  <c r="CZ292" i="8" s="1"/>
  <c r="BV292" i="8"/>
  <c r="BK292" i="8"/>
  <c r="BJ292" i="8"/>
  <c r="BG292" i="8"/>
  <c r="BN292" i="8" s="1"/>
  <c r="BF292" i="8"/>
  <c r="BC292" i="8" s="1"/>
  <c r="BD292" i="8"/>
  <c r="BE292" i="8" s="1"/>
  <c r="BB292" i="8"/>
  <c r="BA292" i="8"/>
  <c r="X292" i="8"/>
  <c r="W292" i="8"/>
  <c r="V292" i="8"/>
  <c r="C292" i="8"/>
  <c r="DC291" i="8"/>
  <c r="CU291" i="8"/>
  <c r="CR291" i="8"/>
  <c r="CQ291" i="8"/>
  <c r="CN291" i="8"/>
  <c r="CM291" i="8"/>
  <c r="CT291" i="8" s="1"/>
  <c r="CV291" i="8" s="1"/>
  <c r="CK291" i="8"/>
  <c r="CJ291" i="8"/>
  <c r="CL291" i="8" s="1"/>
  <c r="CI291" i="8"/>
  <c r="CH291" i="8"/>
  <c r="BV291" i="8"/>
  <c r="BK291" i="8"/>
  <c r="BJ291" i="8"/>
  <c r="BG291" i="8"/>
  <c r="BF291" i="8"/>
  <c r="BM291" i="8" s="1"/>
  <c r="BC291" i="8"/>
  <c r="BB291" i="8"/>
  <c r="BA291" i="8"/>
  <c r="X291" i="8"/>
  <c r="W291" i="8"/>
  <c r="V291" i="8"/>
  <c r="C291" i="8"/>
  <c r="DC290" i="8"/>
  <c r="CU290" i="8"/>
  <c r="CR290" i="8"/>
  <c r="CQ290" i="8"/>
  <c r="CN290" i="8"/>
  <c r="CM290" i="8"/>
  <c r="CT290" i="8" s="1"/>
  <c r="CV290" i="8" s="1"/>
  <c r="CK290" i="8"/>
  <c r="CJ290" i="8"/>
  <c r="CL290" i="8" s="1"/>
  <c r="CI290" i="8"/>
  <c r="CH290" i="8"/>
  <c r="BV290" i="8"/>
  <c r="BM290" i="8"/>
  <c r="BK290" i="8"/>
  <c r="BJ290" i="8"/>
  <c r="BG290" i="8"/>
  <c r="BF290" i="8"/>
  <c r="BC290" i="8"/>
  <c r="BB290" i="8"/>
  <c r="BA290" i="8"/>
  <c r="X290" i="8"/>
  <c r="W290" i="8"/>
  <c r="V290" i="8"/>
  <c r="C290" i="8"/>
  <c r="C289" i="8"/>
  <c r="DC285" i="8"/>
  <c r="CU285" i="8"/>
  <c r="CR285" i="8"/>
  <c r="CQ285" i="8"/>
  <c r="CN285" i="8"/>
  <c r="CM285" i="8"/>
  <c r="CK285" i="8"/>
  <c r="CI285" i="8"/>
  <c r="CH285" i="8"/>
  <c r="CZ285" i="8" s="1"/>
  <c r="BV285" i="8"/>
  <c r="BK285" i="8"/>
  <c r="BJ285" i="8"/>
  <c r="BG285" i="8"/>
  <c r="BF285" i="8"/>
  <c r="BB285" i="8"/>
  <c r="BA285" i="8"/>
  <c r="BS285" i="8" s="1"/>
  <c r="X285" i="8"/>
  <c r="W285" i="8"/>
  <c r="V285" i="8"/>
  <c r="C285" i="8"/>
  <c r="DC284" i="8"/>
  <c r="CU284" i="8"/>
  <c r="CR284" i="8"/>
  <c r="CQ284" i="8"/>
  <c r="CN284" i="8"/>
  <c r="CM284" i="8"/>
  <c r="CK284" i="8"/>
  <c r="CI284" i="8"/>
  <c r="CH284" i="8"/>
  <c r="CZ284" i="8" s="1"/>
  <c r="BV284" i="8"/>
  <c r="BK284" i="8"/>
  <c r="BJ284" i="8"/>
  <c r="BG284" i="8"/>
  <c r="BN284" i="8" s="1"/>
  <c r="BF284" i="8"/>
  <c r="BD284" i="8"/>
  <c r="BB284" i="8"/>
  <c r="BA284" i="8"/>
  <c r="BS284" i="8" s="1"/>
  <c r="X284" i="8"/>
  <c r="DD284" i="8" s="1"/>
  <c r="W284" i="8"/>
  <c r="V284" i="8"/>
  <c r="C284" i="8"/>
  <c r="DC283" i="8"/>
  <c r="CU283" i="8"/>
  <c r="CR283" i="8"/>
  <c r="CQ283" i="8"/>
  <c r="CN283" i="8"/>
  <c r="CM283" i="8"/>
  <c r="CT283" i="8" s="1"/>
  <c r="CV283" i="8" s="1"/>
  <c r="CK283" i="8"/>
  <c r="CJ283" i="8"/>
  <c r="CI283" i="8"/>
  <c r="CH283" i="8"/>
  <c r="BV283" i="8"/>
  <c r="BK283" i="8"/>
  <c r="BJ283" i="8"/>
  <c r="BG283" i="8"/>
  <c r="BF283" i="8"/>
  <c r="BM283" i="8" s="1"/>
  <c r="BD283" i="8"/>
  <c r="BC283" i="8"/>
  <c r="BB283" i="8"/>
  <c r="BA283" i="8"/>
  <c r="X283" i="8"/>
  <c r="DD283" i="8" s="1"/>
  <c r="W283" i="8"/>
  <c r="V283" i="8"/>
  <c r="C283" i="8"/>
  <c r="DC282" i="8"/>
  <c r="CU282" i="8"/>
  <c r="CR282" i="8"/>
  <c r="CQ282" i="8"/>
  <c r="CN282" i="8"/>
  <c r="CM282" i="8"/>
  <c r="CT282" i="8" s="1"/>
  <c r="CV282" i="8" s="1"/>
  <c r="CK282" i="8"/>
  <c r="CJ282" i="8"/>
  <c r="CI282" i="8"/>
  <c r="CH282" i="8"/>
  <c r="BV282" i="8"/>
  <c r="BK282" i="8"/>
  <c r="BJ282" i="8"/>
  <c r="BG282" i="8"/>
  <c r="BF282" i="8"/>
  <c r="BM282" i="8" s="1"/>
  <c r="BD282" i="8"/>
  <c r="BC282" i="8"/>
  <c r="BB282" i="8"/>
  <c r="BA282" i="8"/>
  <c r="X282" i="8"/>
  <c r="W282" i="8"/>
  <c r="V282" i="8"/>
  <c r="C282" i="8"/>
  <c r="DC281" i="8"/>
  <c r="CU281" i="8"/>
  <c r="CR281" i="8"/>
  <c r="CQ281" i="8"/>
  <c r="CN281" i="8"/>
  <c r="CM281" i="8"/>
  <c r="CT281" i="8" s="1"/>
  <c r="CK281" i="8"/>
  <c r="CJ281" i="8"/>
  <c r="CL281" i="8" s="1"/>
  <c r="CI281" i="8"/>
  <c r="CH281" i="8"/>
  <c r="DE281" i="8" s="1"/>
  <c r="BV281" i="8"/>
  <c r="BK281" i="8"/>
  <c r="BJ281" i="8"/>
  <c r="BG281" i="8"/>
  <c r="BF281" i="8"/>
  <c r="BM281" i="8" s="1"/>
  <c r="BC281" i="8"/>
  <c r="BB281" i="8"/>
  <c r="BA281" i="8"/>
  <c r="BX281" i="8" s="1"/>
  <c r="X281" i="8"/>
  <c r="W281" i="8"/>
  <c r="V281" i="8"/>
  <c r="C281" i="8"/>
  <c r="DC280" i="8"/>
  <c r="CU280" i="8"/>
  <c r="CR280" i="8"/>
  <c r="CQ280" i="8"/>
  <c r="CS280" i="8" s="1"/>
  <c r="CN280" i="8"/>
  <c r="CM280" i="8"/>
  <c r="CK280" i="8"/>
  <c r="CI280" i="8"/>
  <c r="DA280" i="8" s="1"/>
  <c r="CH280" i="8"/>
  <c r="BV280" i="8"/>
  <c r="BK280" i="8"/>
  <c r="BJ280" i="8"/>
  <c r="BG280" i="8"/>
  <c r="BN280" i="8" s="1"/>
  <c r="BF280" i="8"/>
  <c r="BD280" i="8"/>
  <c r="BB280" i="8"/>
  <c r="BA280" i="8"/>
  <c r="BS280" i="8" s="1"/>
  <c r="X280" i="8"/>
  <c r="Y280" i="8" s="1"/>
  <c r="Z280" i="8" s="1"/>
  <c r="W280" i="8"/>
  <c r="V280" i="8"/>
  <c r="C280" i="8"/>
  <c r="DC279" i="8"/>
  <c r="CU279" i="8"/>
  <c r="CR279" i="8"/>
  <c r="CQ279" i="8"/>
  <c r="CN279" i="8"/>
  <c r="CM279" i="8"/>
  <c r="CT279" i="8" s="1"/>
  <c r="CK279" i="8"/>
  <c r="CJ279" i="8"/>
  <c r="CI279" i="8"/>
  <c r="CH279" i="8"/>
  <c r="BV279" i="8"/>
  <c r="BK279" i="8"/>
  <c r="BJ279" i="8"/>
  <c r="BG279" i="8"/>
  <c r="BF279" i="8"/>
  <c r="BM279" i="8" s="1"/>
  <c r="BC279" i="8"/>
  <c r="BB279" i="8"/>
  <c r="BA279" i="8"/>
  <c r="X279" i="8"/>
  <c r="W279" i="8"/>
  <c r="V279" i="8"/>
  <c r="C279" i="8"/>
  <c r="DC278" i="8"/>
  <c r="CU278" i="8"/>
  <c r="CR278" i="8"/>
  <c r="CQ278" i="8"/>
  <c r="CN278" i="8"/>
  <c r="CM278" i="8"/>
  <c r="CT278" i="8" s="1"/>
  <c r="CV278" i="8" s="1"/>
  <c r="CK278" i="8"/>
  <c r="CJ278" i="8"/>
  <c r="CI278" i="8"/>
  <c r="CH278" i="8"/>
  <c r="BV278" i="8"/>
  <c r="BK278" i="8"/>
  <c r="BJ278" i="8"/>
  <c r="BG278" i="8"/>
  <c r="BF278" i="8"/>
  <c r="BM278" i="8" s="1"/>
  <c r="BD278" i="8"/>
  <c r="BC278" i="8"/>
  <c r="BB278" i="8"/>
  <c r="BA278" i="8"/>
  <c r="BS278" i="8" s="1"/>
  <c r="X278" i="8"/>
  <c r="W278" i="8"/>
  <c r="V278" i="8"/>
  <c r="C278" i="8"/>
  <c r="DC277" i="8"/>
  <c r="CU277" i="8"/>
  <c r="CR277" i="8"/>
  <c r="CQ277" i="8"/>
  <c r="CN277" i="8"/>
  <c r="CM277" i="8"/>
  <c r="CK277" i="8"/>
  <c r="CI277" i="8"/>
  <c r="CH277" i="8"/>
  <c r="BV277" i="8"/>
  <c r="BK277" i="8"/>
  <c r="BJ277" i="8"/>
  <c r="BG277" i="8"/>
  <c r="BN277" i="8" s="1"/>
  <c r="BF277" i="8"/>
  <c r="BM277" i="8" s="1"/>
  <c r="BD277" i="8"/>
  <c r="BC277" i="8"/>
  <c r="BB277" i="8"/>
  <c r="BA277" i="8"/>
  <c r="X277" i="8"/>
  <c r="W277" i="8"/>
  <c r="V277" i="8"/>
  <c r="C277" i="8"/>
  <c r="DC276" i="8"/>
  <c r="CU276" i="8"/>
  <c r="CR276" i="8"/>
  <c r="CQ276" i="8"/>
  <c r="CN276" i="8"/>
  <c r="CM276" i="8"/>
  <c r="CT276" i="8" s="1"/>
  <c r="CV276" i="8" s="1"/>
  <c r="CK276" i="8"/>
  <c r="CI276" i="8"/>
  <c r="CH276" i="8"/>
  <c r="BV276" i="8"/>
  <c r="BK276" i="8"/>
  <c r="BJ276" i="8"/>
  <c r="BG276" i="8"/>
  <c r="BN276" i="8" s="1"/>
  <c r="BF276" i="8"/>
  <c r="BB276" i="8"/>
  <c r="BT276" i="8" s="1"/>
  <c r="BA276" i="8"/>
  <c r="BX276" i="8" s="1"/>
  <c r="X276" i="8"/>
  <c r="BW276" i="8" s="1"/>
  <c r="W276" i="8"/>
  <c r="V276" i="8"/>
  <c r="C276" i="8"/>
  <c r="DC275" i="8"/>
  <c r="CU275" i="8"/>
  <c r="CR275" i="8"/>
  <c r="CQ275" i="8"/>
  <c r="CN275" i="8"/>
  <c r="CM275" i="8"/>
  <c r="CK275" i="8"/>
  <c r="CI275" i="8"/>
  <c r="CH275" i="8"/>
  <c r="BV275" i="8"/>
  <c r="BK275" i="8"/>
  <c r="BJ275" i="8"/>
  <c r="BG275" i="8"/>
  <c r="BF275" i="8"/>
  <c r="BB275" i="8"/>
  <c r="BT275" i="8" s="1"/>
  <c r="BA275" i="8"/>
  <c r="X275" i="8"/>
  <c r="W275" i="8"/>
  <c r="V275" i="8"/>
  <c r="C275" i="8"/>
  <c r="DC274" i="8"/>
  <c r="CU274" i="8"/>
  <c r="CR274" i="8"/>
  <c r="CQ274" i="8"/>
  <c r="CN274" i="8"/>
  <c r="CM274" i="8"/>
  <c r="CK274" i="8"/>
  <c r="CI274" i="8"/>
  <c r="CY274" i="8" s="1"/>
  <c r="CH274" i="8"/>
  <c r="BV274" i="8"/>
  <c r="BK274" i="8"/>
  <c r="BJ274" i="8"/>
  <c r="BG274" i="8"/>
  <c r="BF274" i="8"/>
  <c r="BB274" i="8"/>
  <c r="BA274" i="8"/>
  <c r="BR274" i="8" s="1"/>
  <c r="X274" i="8"/>
  <c r="BW274" i="8" s="1"/>
  <c r="W274" i="8"/>
  <c r="V274" i="8"/>
  <c r="C274" i="8"/>
  <c r="DC273" i="8"/>
  <c r="CU273" i="8"/>
  <c r="CR273" i="8"/>
  <c r="CQ273" i="8"/>
  <c r="CN273" i="8"/>
  <c r="CM273" i="8"/>
  <c r="CK273" i="8"/>
  <c r="CI273" i="8"/>
  <c r="CH273" i="8"/>
  <c r="CZ273" i="8" s="1"/>
  <c r="BV273" i="8"/>
  <c r="BK273" i="8"/>
  <c r="BJ273" i="8"/>
  <c r="BG273" i="8"/>
  <c r="BN273" i="8" s="1"/>
  <c r="BF273" i="8"/>
  <c r="BH273" i="8" s="1"/>
  <c r="BD273" i="8"/>
  <c r="BB273" i="8"/>
  <c r="BA273" i="8"/>
  <c r="X273" i="8"/>
  <c r="W273" i="8"/>
  <c r="V273" i="8"/>
  <c r="C273" i="8"/>
  <c r="DC272" i="8"/>
  <c r="CU272" i="8"/>
  <c r="CR272" i="8"/>
  <c r="CQ272" i="8"/>
  <c r="CN272" i="8"/>
  <c r="CM272" i="8"/>
  <c r="CK272" i="8"/>
  <c r="CI272" i="8"/>
  <c r="CH272" i="8"/>
  <c r="CZ272" i="8" s="1"/>
  <c r="BV272" i="8"/>
  <c r="BK272" i="8"/>
  <c r="BJ272" i="8"/>
  <c r="BG272" i="8"/>
  <c r="BF272" i="8"/>
  <c r="BD272" i="8"/>
  <c r="BB272" i="8"/>
  <c r="BA272" i="8"/>
  <c r="BX272" i="8" s="1"/>
  <c r="X272" i="8"/>
  <c r="W272" i="8"/>
  <c r="V272" i="8"/>
  <c r="C272" i="8"/>
  <c r="DC271" i="8"/>
  <c r="CU271" i="8"/>
  <c r="CR271" i="8"/>
  <c r="CQ271" i="8"/>
  <c r="CN271" i="8"/>
  <c r="CM271" i="8"/>
  <c r="CT271" i="8" s="1"/>
  <c r="CK271" i="8"/>
  <c r="CJ271" i="8"/>
  <c r="CI271" i="8"/>
  <c r="CH271" i="8"/>
  <c r="BV271" i="8"/>
  <c r="BK271" i="8"/>
  <c r="BJ271" i="8"/>
  <c r="BG271" i="8"/>
  <c r="BF271" i="8"/>
  <c r="BM271" i="8" s="1"/>
  <c r="BC271" i="8"/>
  <c r="BB271" i="8"/>
  <c r="BA271" i="8"/>
  <c r="X271" i="8"/>
  <c r="W271" i="8"/>
  <c r="V271" i="8"/>
  <c r="C271" i="8"/>
  <c r="DC270" i="8"/>
  <c r="CU270" i="8"/>
  <c r="CR270" i="8"/>
  <c r="CQ270" i="8"/>
  <c r="CN270" i="8"/>
  <c r="CM270" i="8"/>
  <c r="CT270" i="8" s="1"/>
  <c r="CK270" i="8"/>
  <c r="CJ270" i="8"/>
  <c r="CI270" i="8"/>
  <c r="CH270" i="8"/>
  <c r="BV270" i="8"/>
  <c r="BM270" i="8"/>
  <c r="BK270" i="8"/>
  <c r="BJ270" i="8"/>
  <c r="BG270" i="8"/>
  <c r="BF270" i="8"/>
  <c r="BC270" i="8"/>
  <c r="BB270" i="8"/>
  <c r="BA270" i="8"/>
  <c r="X270" i="8"/>
  <c r="W270" i="8"/>
  <c r="V270" i="8"/>
  <c r="C270" i="8"/>
  <c r="C269" i="8"/>
  <c r="DC265" i="8"/>
  <c r="CU265" i="8"/>
  <c r="CR265" i="8"/>
  <c r="CQ265" i="8"/>
  <c r="CN265" i="8"/>
  <c r="CM265" i="8"/>
  <c r="CK265" i="8"/>
  <c r="CI265" i="8"/>
  <c r="DA265" i="8" s="1"/>
  <c r="CH265" i="8"/>
  <c r="CZ265" i="8" s="1"/>
  <c r="BV265" i="8"/>
  <c r="BK265" i="8"/>
  <c r="BJ265" i="8"/>
  <c r="BG265" i="8"/>
  <c r="BF265" i="8"/>
  <c r="BB265" i="8"/>
  <c r="BT265" i="8" s="1"/>
  <c r="BA265" i="8"/>
  <c r="BS265" i="8" s="1"/>
  <c r="X265" i="8"/>
  <c r="W265" i="8"/>
  <c r="V265" i="8"/>
  <c r="C265" i="8"/>
  <c r="DC264" i="8"/>
  <c r="CU264" i="8"/>
  <c r="CR264" i="8"/>
  <c r="CQ264" i="8"/>
  <c r="CN264" i="8"/>
  <c r="CM264" i="8"/>
  <c r="CK264" i="8"/>
  <c r="CI264" i="8"/>
  <c r="CH264" i="8"/>
  <c r="CZ264" i="8" s="1"/>
  <c r="BV264" i="8"/>
  <c r="BK264" i="8"/>
  <c r="BJ264" i="8"/>
  <c r="BG264" i="8"/>
  <c r="BN264" i="8" s="1"/>
  <c r="BF264" i="8"/>
  <c r="BD264" i="8"/>
  <c r="BB264" i="8"/>
  <c r="BA264" i="8"/>
  <c r="BS264" i="8" s="1"/>
  <c r="X264" i="8"/>
  <c r="W264" i="8"/>
  <c r="V264" i="8"/>
  <c r="C264" i="8"/>
  <c r="DC263" i="8"/>
  <c r="CU263" i="8"/>
  <c r="CR263" i="8"/>
  <c r="CQ263" i="8"/>
  <c r="CN263" i="8"/>
  <c r="CM263" i="8"/>
  <c r="CT263" i="8" s="1"/>
  <c r="CV263" i="8" s="1"/>
  <c r="CK263" i="8"/>
  <c r="CJ263" i="8"/>
  <c r="CI263" i="8"/>
  <c r="CH263" i="8"/>
  <c r="BV263" i="8"/>
  <c r="BK263" i="8"/>
  <c r="BJ263" i="8"/>
  <c r="BG263" i="8"/>
  <c r="BF263" i="8"/>
  <c r="BM263" i="8" s="1"/>
  <c r="BD263" i="8"/>
  <c r="BC263" i="8"/>
  <c r="BB263" i="8"/>
  <c r="BA263" i="8"/>
  <c r="X263" i="8"/>
  <c r="DD263" i="8" s="1"/>
  <c r="W263" i="8"/>
  <c r="V263" i="8"/>
  <c r="C263" i="8"/>
  <c r="DC262" i="8"/>
  <c r="CU262" i="8"/>
  <c r="CR262" i="8"/>
  <c r="CQ262" i="8"/>
  <c r="CN262" i="8"/>
  <c r="CM262" i="8"/>
  <c r="CT262" i="8" s="1"/>
  <c r="CV262" i="8" s="1"/>
  <c r="CK262" i="8"/>
  <c r="CJ262" i="8"/>
  <c r="CI262" i="8"/>
  <c r="CH262" i="8"/>
  <c r="BV262" i="8"/>
  <c r="BK262" i="8"/>
  <c r="BJ262" i="8"/>
  <c r="BG262" i="8"/>
  <c r="BF262" i="8"/>
  <c r="BM262" i="8" s="1"/>
  <c r="BC262" i="8"/>
  <c r="BB262" i="8"/>
  <c r="BA262" i="8"/>
  <c r="X262" i="8"/>
  <c r="W262" i="8"/>
  <c r="V262" i="8"/>
  <c r="C262" i="8"/>
  <c r="DC261" i="8"/>
  <c r="CU261" i="8"/>
  <c r="CR261" i="8"/>
  <c r="CQ261" i="8"/>
  <c r="CN261" i="8"/>
  <c r="CM261" i="8"/>
  <c r="CO261" i="8" s="1"/>
  <c r="CK261" i="8"/>
  <c r="CI261" i="8"/>
  <c r="CH261" i="8"/>
  <c r="BV261" i="8"/>
  <c r="BK261" i="8"/>
  <c r="BJ261" i="8"/>
  <c r="BG261" i="8"/>
  <c r="BF261" i="8"/>
  <c r="BH261" i="8" s="1"/>
  <c r="BB261" i="8"/>
  <c r="BA261" i="8"/>
  <c r="X261" i="8"/>
  <c r="W261" i="8"/>
  <c r="V261" i="8"/>
  <c r="C261" i="8"/>
  <c r="DC260" i="8"/>
  <c r="CU260" i="8"/>
  <c r="CR260" i="8"/>
  <c r="CQ260" i="8"/>
  <c r="CS260" i="8" s="1"/>
  <c r="CN260" i="8"/>
  <c r="CM260" i="8"/>
  <c r="CK260" i="8"/>
  <c r="CI260" i="8"/>
  <c r="CH260" i="8"/>
  <c r="BV260" i="8"/>
  <c r="BK260" i="8"/>
  <c r="BJ260" i="8"/>
  <c r="BL260" i="8" s="1"/>
  <c r="BG260" i="8"/>
  <c r="BF260" i="8"/>
  <c r="BB260" i="8"/>
  <c r="BA260" i="8"/>
  <c r="X260" i="8"/>
  <c r="W260" i="8"/>
  <c r="V260" i="8"/>
  <c r="C260" i="8"/>
  <c r="DC259" i="8"/>
  <c r="CU259" i="8"/>
  <c r="CR259" i="8"/>
  <c r="CQ259" i="8"/>
  <c r="CN259" i="8"/>
  <c r="CM259" i="8"/>
  <c r="CT259" i="8" s="1"/>
  <c r="CV259" i="8" s="1"/>
  <c r="CK259" i="8"/>
  <c r="CI259" i="8"/>
  <c r="CH259" i="8"/>
  <c r="CZ259" i="8" s="1"/>
  <c r="BV259" i="8"/>
  <c r="BK259" i="8"/>
  <c r="BJ259" i="8"/>
  <c r="BG259" i="8"/>
  <c r="BF259" i="8"/>
  <c r="BM259" i="8" s="1"/>
  <c r="BD259" i="8"/>
  <c r="BB259" i="8"/>
  <c r="BA259" i="8"/>
  <c r="BX259" i="8" s="1"/>
  <c r="X259" i="8"/>
  <c r="W259" i="8"/>
  <c r="V259" i="8"/>
  <c r="C259" i="8"/>
  <c r="DC258" i="8"/>
  <c r="CU258" i="8"/>
  <c r="CR258" i="8"/>
  <c r="CQ258" i="8"/>
  <c r="CN258" i="8"/>
  <c r="CM258" i="8"/>
  <c r="CT258" i="8" s="1"/>
  <c r="CV258" i="8" s="1"/>
  <c r="CK258" i="8"/>
  <c r="CI258" i="8"/>
  <c r="CH258" i="8"/>
  <c r="CZ258" i="8" s="1"/>
  <c r="BV258" i="8"/>
  <c r="BK258" i="8"/>
  <c r="BJ258" i="8"/>
  <c r="BG258" i="8"/>
  <c r="BF258" i="8"/>
  <c r="BM258" i="8" s="1"/>
  <c r="BD258" i="8"/>
  <c r="BB258" i="8"/>
  <c r="BA258" i="8"/>
  <c r="X258" i="8"/>
  <c r="W258" i="8"/>
  <c r="V258" i="8"/>
  <c r="C258" i="8"/>
  <c r="DC257" i="8"/>
  <c r="CU257" i="8"/>
  <c r="CR257" i="8"/>
  <c r="CQ257" i="8"/>
  <c r="CN257" i="8"/>
  <c r="CM257" i="8"/>
  <c r="CT257" i="8" s="1"/>
  <c r="CK257" i="8"/>
  <c r="CI257" i="8"/>
  <c r="CH257" i="8"/>
  <c r="BV257" i="8"/>
  <c r="BK257" i="8"/>
  <c r="BJ257" i="8"/>
  <c r="BG257" i="8"/>
  <c r="BF257" i="8"/>
  <c r="BM257" i="8" s="1"/>
  <c r="BC257" i="8"/>
  <c r="BB257" i="8"/>
  <c r="BA257" i="8"/>
  <c r="X257" i="8"/>
  <c r="BW257" i="8" s="1"/>
  <c r="W257" i="8"/>
  <c r="V257" i="8"/>
  <c r="C257" i="8"/>
  <c r="DC256" i="8"/>
  <c r="CU256" i="8"/>
  <c r="CR256" i="8"/>
  <c r="CQ256" i="8"/>
  <c r="CS256" i="8" s="1"/>
  <c r="CN256" i="8"/>
  <c r="CM256" i="8"/>
  <c r="CK256" i="8"/>
  <c r="CI256" i="8"/>
  <c r="CX256" i="8" s="1"/>
  <c r="CH256" i="8"/>
  <c r="CZ256" i="8" s="1"/>
  <c r="BV256" i="8"/>
  <c r="BK256" i="8"/>
  <c r="BJ256" i="8"/>
  <c r="BL256" i="8" s="1"/>
  <c r="BG256" i="8"/>
  <c r="BN256" i="8" s="1"/>
  <c r="BF256" i="8"/>
  <c r="BD256" i="8"/>
  <c r="BB256" i="8"/>
  <c r="BA256" i="8"/>
  <c r="BR256" i="8" s="1"/>
  <c r="X256" i="8"/>
  <c r="W256" i="8"/>
  <c r="V256" i="8"/>
  <c r="C256" i="8"/>
  <c r="DC255" i="8"/>
  <c r="CU255" i="8"/>
  <c r="CR255" i="8"/>
  <c r="CQ255" i="8"/>
  <c r="CN255" i="8"/>
  <c r="CM255" i="8"/>
  <c r="CT255" i="8" s="1"/>
  <c r="CK255" i="8"/>
  <c r="CJ255" i="8"/>
  <c r="CI255" i="8"/>
  <c r="CH255" i="8"/>
  <c r="CZ255" i="8" s="1"/>
  <c r="BV255" i="8"/>
  <c r="BK255" i="8"/>
  <c r="BJ255" i="8"/>
  <c r="BG255" i="8"/>
  <c r="BF255" i="8"/>
  <c r="BD255" i="8"/>
  <c r="BB255" i="8"/>
  <c r="BA255" i="8"/>
  <c r="BX255" i="8" s="1"/>
  <c r="X255" i="8"/>
  <c r="Y255" i="8" s="1"/>
  <c r="Z255" i="8" s="1"/>
  <c r="W255" i="8"/>
  <c r="V255" i="8"/>
  <c r="C255" i="8"/>
  <c r="DC254" i="8"/>
  <c r="CU254" i="8"/>
  <c r="CR254" i="8"/>
  <c r="CQ254" i="8"/>
  <c r="CN254" i="8"/>
  <c r="CM254" i="8"/>
  <c r="CT254" i="8" s="1"/>
  <c r="CK254" i="8"/>
  <c r="CJ254" i="8"/>
  <c r="CI254" i="8"/>
  <c r="CH254" i="8"/>
  <c r="CZ254" i="8" s="1"/>
  <c r="BV254" i="8"/>
  <c r="BK254" i="8"/>
  <c r="BJ254" i="8"/>
  <c r="BG254" i="8"/>
  <c r="BF254" i="8"/>
  <c r="BM254" i="8" s="1"/>
  <c r="BD254" i="8"/>
  <c r="BC254" i="8"/>
  <c r="BB254" i="8"/>
  <c r="BA254" i="8"/>
  <c r="BS254" i="8" s="1"/>
  <c r="X254" i="8"/>
  <c r="DD254" i="8" s="1"/>
  <c r="W254" i="8"/>
  <c r="V254" i="8"/>
  <c r="C254" i="8"/>
  <c r="DC253" i="8"/>
  <c r="CU253" i="8"/>
  <c r="CR253" i="8"/>
  <c r="CQ253" i="8"/>
  <c r="CN253" i="8"/>
  <c r="CM253" i="8"/>
  <c r="CT253" i="8" s="1"/>
  <c r="CK253" i="8"/>
  <c r="CJ253" i="8"/>
  <c r="CI253" i="8"/>
  <c r="CH253" i="8"/>
  <c r="BV253" i="8"/>
  <c r="BK253" i="8"/>
  <c r="BJ253" i="8"/>
  <c r="BG253" i="8"/>
  <c r="BF253" i="8"/>
  <c r="BM253" i="8" s="1"/>
  <c r="BD253" i="8"/>
  <c r="BC253" i="8"/>
  <c r="BB253" i="8"/>
  <c r="BA253" i="8"/>
  <c r="X253" i="8"/>
  <c r="DD253" i="8" s="1"/>
  <c r="W253" i="8"/>
  <c r="V253" i="8"/>
  <c r="C253" i="8"/>
  <c r="DC252" i="8"/>
  <c r="CU252" i="8"/>
  <c r="CR252" i="8"/>
  <c r="CQ252" i="8"/>
  <c r="CN252" i="8"/>
  <c r="CM252" i="8"/>
  <c r="CT252" i="8" s="1"/>
  <c r="CK252" i="8"/>
  <c r="CJ252" i="8"/>
  <c r="CI252" i="8"/>
  <c r="CH252" i="8"/>
  <c r="BV252" i="8"/>
  <c r="BK252" i="8"/>
  <c r="BJ252" i="8"/>
  <c r="BG252" i="8"/>
  <c r="BF252" i="8"/>
  <c r="BM252" i="8" s="1"/>
  <c r="BD252" i="8"/>
  <c r="BC252" i="8"/>
  <c r="BB252" i="8"/>
  <c r="BA252" i="8"/>
  <c r="X252" i="8"/>
  <c r="W252" i="8"/>
  <c r="V252" i="8"/>
  <c r="C252" i="8"/>
  <c r="DC251" i="8"/>
  <c r="CU251" i="8"/>
  <c r="CR251" i="8"/>
  <c r="CQ251" i="8"/>
  <c r="CN251" i="8"/>
  <c r="CM251" i="8"/>
  <c r="CT251" i="8" s="1"/>
  <c r="CK251" i="8"/>
  <c r="CJ251" i="8"/>
  <c r="CI251" i="8"/>
  <c r="CX251" i="8" s="1"/>
  <c r="CH251" i="8"/>
  <c r="BV251" i="8"/>
  <c r="BK251" i="8"/>
  <c r="BJ251" i="8"/>
  <c r="BG251" i="8"/>
  <c r="BF251" i="8"/>
  <c r="BM251" i="8" s="1"/>
  <c r="BC251" i="8"/>
  <c r="BB251" i="8"/>
  <c r="BQ251" i="8" s="1"/>
  <c r="BA251" i="8"/>
  <c r="X251" i="8"/>
  <c r="W251" i="8"/>
  <c r="V251" i="8"/>
  <c r="C251" i="8"/>
  <c r="DC250" i="8"/>
  <c r="CU250" i="8"/>
  <c r="CR250" i="8"/>
  <c r="CQ250" i="8"/>
  <c r="CN250" i="8"/>
  <c r="CM250" i="8"/>
  <c r="CO250" i="8" s="1"/>
  <c r="CK250" i="8"/>
  <c r="CJ250" i="8"/>
  <c r="CI250" i="8"/>
  <c r="CH250" i="8"/>
  <c r="BV250" i="8"/>
  <c r="BM250" i="8"/>
  <c r="BK250" i="8"/>
  <c r="BJ250" i="8"/>
  <c r="BG250" i="8"/>
  <c r="BF250" i="8"/>
  <c r="BH250" i="8" s="1"/>
  <c r="BC250" i="8"/>
  <c r="BB250" i="8"/>
  <c r="BA250" i="8"/>
  <c r="X250" i="8"/>
  <c r="W250" i="8"/>
  <c r="V250" i="8"/>
  <c r="C250" i="8"/>
  <c r="C249" i="8"/>
  <c r="DC245" i="8"/>
  <c r="CU245" i="8"/>
  <c r="CR245" i="8"/>
  <c r="CQ245" i="8"/>
  <c r="CN245" i="8"/>
  <c r="CM245" i="8"/>
  <c r="CK245" i="8"/>
  <c r="CI245" i="8"/>
  <c r="DA245" i="8" s="1"/>
  <c r="CH245" i="8"/>
  <c r="CZ245" i="8" s="1"/>
  <c r="BV245" i="8"/>
  <c r="BK245" i="8"/>
  <c r="BJ245" i="8"/>
  <c r="BG245" i="8"/>
  <c r="BF245" i="8"/>
  <c r="BB245" i="8"/>
  <c r="BT245" i="8" s="1"/>
  <c r="BA245" i="8"/>
  <c r="BS245" i="8" s="1"/>
  <c r="X245" i="8"/>
  <c r="DD245" i="8" s="1"/>
  <c r="W245" i="8"/>
  <c r="V245" i="8"/>
  <c r="C245" i="8"/>
  <c r="DC244" i="8"/>
  <c r="CU244" i="8"/>
  <c r="CR244" i="8"/>
  <c r="CQ244" i="8"/>
  <c r="CN244" i="8"/>
  <c r="CM244" i="8"/>
  <c r="CJ244" i="8" s="1"/>
  <c r="CK244" i="8"/>
  <c r="CL244" i="8" s="1"/>
  <c r="CI244" i="8"/>
  <c r="CH244" i="8"/>
  <c r="CZ244" i="8" s="1"/>
  <c r="BV244" i="8"/>
  <c r="BK244" i="8"/>
  <c r="BJ244" i="8"/>
  <c r="BL244" i="8" s="1"/>
  <c r="BG244" i="8"/>
  <c r="BF244" i="8"/>
  <c r="BC244" i="8" s="1"/>
  <c r="BD244" i="8"/>
  <c r="BE244" i="8" s="1"/>
  <c r="BB244" i="8"/>
  <c r="BA244" i="8"/>
  <c r="BS244" i="8" s="1"/>
  <c r="X244" i="8"/>
  <c r="W244" i="8"/>
  <c r="V244" i="8"/>
  <c r="C244" i="8"/>
  <c r="DC243" i="8"/>
  <c r="CU243" i="8"/>
  <c r="CR243" i="8"/>
  <c r="CQ243" i="8"/>
  <c r="CN243" i="8"/>
  <c r="CM243" i="8"/>
  <c r="CT243" i="8" s="1"/>
  <c r="CK243" i="8"/>
  <c r="CJ243" i="8"/>
  <c r="CL243" i="8" s="1"/>
  <c r="CI243" i="8"/>
  <c r="CH243" i="8"/>
  <c r="BV243" i="8"/>
  <c r="BK243" i="8"/>
  <c r="BJ243" i="8"/>
  <c r="BG243" i="8"/>
  <c r="BF243" i="8"/>
  <c r="BM243" i="8" s="1"/>
  <c r="BC243" i="8"/>
  <c r="BB243" i="8"/>
  <c r="BA243" i="8"/>
  <c r="X243" i="8"/>
  <c r="W243" i="8"/>
  <c r="V243" i="8"/>
  <c r="C243" i="8"/>
  <c r="DC242" i="8"/>
  <c r="CU242" i="8"/>
  <c r="CR242" i="8"/>
  <c r="CQ242" i="8"/>
  <c r="CS242" i="8" s="1"/>
  <c r="CN242" i="8"/>
  <c r="CM242" i="8"/>
  <c r="CT242" i="8" s="1"/>
  <c r="CK242" i="8"/>
  <c r="CI242" i="8"/>
  <c r="CH242" i="8"/>
  <c r="BV242" i="8"/>
  <c r="BK242" i="8"/>
  <c r="BJ242" i="8"/>
  <c r="BL242" i="8" s="1"/>
  <c r="BG242" i="8"/>
  <c r="BF242" i="8"/>
  <c r="BM242" i="8" s="1"/>
  <c r="BB242" i="8"/>
  <c r="BA242" i="8"/>
  <c r="X242" i="8"/>
  <c r="W242" i="8"/>
  <c r="V242" i="8"/>
  <c r="C242" i="8"/>
  <c r="DC241" i="8"/>
  <c r="CU241" i="8"/>
  <c r="CR241" i="8"/>
  <c r="CQ241" i="8"/>
  <c r="CN241" i="8"/>
  <c r="CM241" i="8"/>
  <c r="CK241" i="8"/>
  <c r="CI241" i="8"/>
  <c r="CH241" i="8"/>
  <c r="CZ241" i="8" s="1"/>
  <c r="BV241" i="8"/>
  <c r="BK241" i="8"/>
  <c r="BJ241" i="8"/>
  <c r="BL241" i="8" s="1"/>
  <c r="BG241" i="8"/>
  <c r="BF241" i="8"/>
  <c r="BB241" i="8"/>
  <c r="BA241" i="8"/>
  <c r="BX241" i="8" s="1"/>
  <c r="X241" i="8"/>
  <c r="W241" i="8"/>
  <c r="V241" i="8"/>
  <c r="C241" i="8"/>
  <c r="DC240" i="8"/>
  <c r="CU240" i="8"/>
  <c r="CR240" i="8"/>
  <c r="CQ240" i="8"/>
  <c r="CN240" i="8"/>
  <c r="CM240" i="8"/>
  <c r="CK240" i="8"/>
  <c r="CI240" i="8"/>
  <c r="CH240" i="8"/>
  <c r="BV240" i="8"/>
  <c r="BK240" i="8"/>
  <c r="BJ240" i="8"/>
  <c r="BG240" i="8"/>
  <c r="BD240" i="8" s="1"/>
  <c r="BF240" i="8"/>
  <c r="BB240" i="8"/>
  <c r="BA240" i="8"/>
  <c r="BX240" i="8" s="1"/>
  <c r="X240" i="8"/>
  <c r="Y240" i="8" s="1"/>
  <c r="Z240" i="8" s="1"/>
  <c r="AB240" i="8" s="1"/>
  <c r="W240" i="8"/>
  <c r="V240" i="8"/>
  <c r="C240" i="8"/>
  <c r="DC239" i="8"/>
  <c r="CU239" i="8"/>
  <c r="CR239" i="8"/>
  <c r="CQ239" i="8"/>
  <c r="CN239" i="8"/>
  <c r="CM239" i="8"/>
  <c r="CJ239" i="8" s="1"/>
  <c r="CK239" i="8"/>
  <c r="CI239" i="8"/>
  <c r="CH239" i="8"/>
  <c r="BV239" i="8"/>
  <c r="BK239" i="8"/>
  <c r="BJ239" i="8"/>
  <c r="BG239" i="8"/>
  <c r="BF239" i="8"/>
  <c r="BB239" i="8"/>
  <c r="BA239" i="8"/>
  <c r="X239" i="8"/>
  <c r="W239" i="8"/>
  <c r="V239" i="8"/>
  <c r="C239" i="8"/>
  <c r="DC238" i="8"/>
  <c r="CU238" i="8"/>
  <c r="CR238" i="8"/>
  <c r="CQ238" i="8"/>
  <c r="CN238" i="8"/>
  <c r="CM238" i="8"/>
  <c r="CJ238" i="8" s="1"/>
  <c r="CK238" i="8"/>
  <c r="CL238" i="8" s="1"/>
  <c r="CI238" i="8"/>
  <c r="CH238" i="8"/>
  <c r="CZ238" i="8" s="1"/>
  <c r="BV238" i="8"/>
  <c r="BK238" i="8"/>
  <c r="BJ238" i="8"/>
  <c r="BG238" i="8"/>
  <c r="BD238" i="8" s="1"/>
  <c r="BF238" i="8"/>
  <c r="BB238" i="8"/>
  <c r="BA238" i="8"/>
  <c r="BX238" i="8" s="1"/>
  <c r="X238" i="8"/>
  <c r="W238" i="8"/>
  <c r="V238" i="8"/>
  <c r="C238" i="8"/>
  <c r="DC237" i="8"/>
  <c r="CU237" i="8"/>
  <c r="CR237" i="8"/>
  <c r="CQ237" i="8"/>
  <c r="CN237" i="8"/>
  <c r="CM237" i="8"/>
  <c r="CT237" i="8" s="1"/>
  <c r="CK237" i="8"/>
  <c r="CI237" i="8"/>
  <c r="CH237" i="8"/>
  <c r="BV237" i="8"/>
  <c r="BK237" i="8"/>
  <c r="BJ237" i="8"/>
  <c r="BG237" i="8"/>
  <c r="BN237" i="8" s="1"/>
  <c r="BF237" i="8"/>
  <c r="BH237" i="8" s="1"/>
  <c r="BD237" i="8"/>
  <c r="BB237" i="8"/>
  <c r="BA237" i="8"/>
  <c r="X237" i="8"/>
  <c r="W237" i="8"/>
  <c r="V237" i="8"/>
  <c r="C237" i="8"/>
  <c r="DC236" i="8"/>
  <c r="CU236" i="8"/>
  <c r="CR236" i="8"/>
  <c r="CQ236" i="8"/>
  <c r="CS236" i="8" s="1"/>
  <c r="CN236" i="8"/>
  <c r="CM236" i="8"/>
  <c r="CT236" i="8" s="1"/>
  <c r="CK236" i="8"/>
  <c r="CJ236" i="8"/>
  <c r="CI236" i="8"/>
  <c r="CX236" i="8" s="1"/>
  <c r="CH236" i="8"/>
  <c r="BV236" i="8"/>
  <c r="BK236" i="8"/>
  <c r="BJ236" i="8"/>
  <c r="BG236" i="8"/>
  <c r="BF236" i="8"/>
  <c r="BM236" i="8" s="1"/>
  <c r="BB236" i="8"/>
  <c r="BQ236" i="8" s="1"/>
  <c r="BA236" i="8"/>
  <c r="X236" i="8"/>
  <c r="W236" i="8"/>
  <c r="V236" i="8"/>
  <c r="C236" i="8"/>
  <c r="DC235" i="8"/>
  <c r="CU235" i="8"/>
  <c r="CR235" i="8"/>
  <c r="CQ235" i="8"/>
  <c r="CS235" i="8" s="1"/>
  <c r="CN235" i="8"/>
  <c r="CM235" i="8"/>
  <c r="CT235" i="8" s="1"/>
  <c r="CK235" i="8"/>
  <c r="CJ235" i="8"/>
  <c r="CI235" i="8"/>
  <c r="CH235" i="8"/>
  <c r="DE235" i="8" s="1"/>
  <c r="BV235" i="8"/>
  <c r="BK235" i="8"/>
  <c r="BJ235" i="8"/>
  <c r="BG235" i="8"/>
  <c r="BF235" i="8"/>
  <c r="BM235" i="8" s="1"/>
  <c r="BD235" i="8"/>
  <c r="BC235" i="8"/>
  <c r="BB235" i="8"/>
  <c r="BQ235" i="8" s="1"/>
  <c r="BA235" i="8"/>
  <c r="X235" i="8"/>
  <c r="W235" i="8"/>
  <c r="V235" i="8"/>
  <c r="C235" i="8"/>
  <c r="DC234" i="8"/>
  <c r="CU234" i="8"/>
  <c r="CR234" i="8"/>
  <c r="CQ234" i="8"/>
  <c r="CN234" i="8"/>
  <c r="CM234" i="8"/>
  <c r="CK234" i="8"/>
  <c r="CI234" i="8"/>
  <c r="DB234" i="8" s="1"/>
  <c r="CH234" i="8"/>
  <c r="DE234" i="8" s="1"/>
  <c r="BV234" i="8"/>
  <c r="BK234" i="8"/>
  <c r="BJ234" i="8"/>
  <c r="BG234" i="8"/>
  <c r="BF234" i="8"/>
  <c r="BM234" i="8" s="1"/>
  <c r="BD234" i="8"/>
  <c r="BC234" i="8"/>
  <c r="BB234" i="8"/>
  <c r="BQ234" i="8" s="1"/>
  <c r="BA234" i="8"/>
  <c r="X234" i="8"/>
  <c r="W234" i="8"/>
  <c r="V234" i="8"/>
  <c r="C234" i="8"/>
  <c r="DC233" i="8"/>
  <c r="CU233" i="8"/>
  <c r="CR233" i="8"/>
  <c r="CQ233" i="8"/>
  <c r="CN233" i="8"/>
  <c r="CM233" i="8"/>
  <c r="CT233" i="8" s="1"/>
  <c r="CV233" i="8" s="1"/>
  <c r="CK233" i="8"/>
  <c r="CJ233" i="8"/>
  <c r="CI233" i="8"/>
  <c r="CH233" i="8"/>
  <c r="BV233" i="8"/>
  <c r="BK233" i="8"/>
  <c r="BJ233" i="8"/>
  <c r="BG233" i="8"/>
  <c r="BF233" i="8"/>
  <c r="BM233" i="8" s="1"/>
  <c r="BC233" i="8"/>
  <c r="BB233" i="8"/>
  <c r="BA233" i="8"/>
  <c r="X233" i="8"/>
  <c r="W233" i="8"/>
  <c r="V233" i="8"/>
  <c r="C233" i="8"/>
  <c r="DC232" i="8"/>
  <c r="CU232" i="8"/>
  <c r="CR232" i="8"/>
  <c r="CQ232" i="8"/>
  <c r="CN232" i="8"/>
  <c r="CM232" i="8"/>
  <c r="CT232" i="8" s="1"/>
  <c r="CV232" i="8" s="1"/>
  <c r="CK232" i="8"/>
  <c r="CJ232" i="8"/>
  <c r="CI232" i="8"/>
  <c r="CH232" i="8"/>
  <c r="BV232" i="8"/>
  <c r="BK232" i="8"/>
  <c r="BJ232" i="8"/>
  <c r="BG232" i="8"/>
  <c r="BF232" i="8"/>
  <c r="BM232" i="8" s="1"/>
  <c r="BC232" i="8"/>
  <c r="BB232" i="8"/>
  <c r="BA232" i="8"/>
  <c r="X232" i="8"/>
  <c r="DD232" i="8" s="1"/>
  <c r="W232" i="8"/>
  <c r="V232" i="8"/>
  <c r="C232" i="8"/>
  <c r="DC231" i="8"/>
  <c r="CU231" i="8"/>
  <c r="CR231" i="8"/>
  <c r="CQ231" i="8"/>
  <c r="CN231" i="8"/>
  <c r="CM231" i="8"/>
  <c r="CT231" i="8" s="1"/>
  <c r="CV231" i="8" s="1"/>
  <c r="CK231" i="8"/>
  <c r="CI231" i="8"/>
  <c r="CH231" i="8"/>
  <c r="DE231" i="8" s="1"/>
  <c r="BV231" i="8"/>
  <c r="BK231" i="8"/>
  <c r="BJ231" i="8"/>
  <c r="BG231" i="8"/>
  <c r="BF231" i="8"/>
  <c r="BM231" i="8" s="1"/>
  <c r="BB231" i="8"/>
  <c r="BA231" i="8"/>
  <c r="BX231" i="8" s="1"/>
  <c r="X231" i="8"/>
  <c r="W231" i="8"/>
  <c r="V231" i="8"/>
  <c r="C231" i="8"/>
  <c r="DC230" i="8"/>
  <c r="CU230" i="8"/>
  <c r="CR230" i="8"/>
  <c r="CQ230" i="8"/>
  <c r="CN230" i="8"/>
  <c r="CM230" i="8"/>
  <c r="CT230" i="8" s="1"/>
  <c r="CV230" i="8" s="1"/>
  <c r="CK230" i="8"/>
  <c r="CI230" i="8"/>
  <c r="CH230" i="8"/>
  <c r="DE230" i="8" s="1"/>
  <c r="BV230" i="8"/>
  <c r="BM230" i="8"/>
  <c r="BK230" i="8"/>
  <c r="BJ230" i="8"/>
  <c r="BL230" i="8" s="1"/>
  <c r="BG230" i="8"/>
  <c r="BF230" i="8"/>
  <c r="BC230" i="8"/>
  <c r="BB230" i="8"/>
  <c r="BA230" i="8"/>
  <c r="BX230" i="8" s="1"/>
  <c r="X230" i="8"/>
  <c r="W230" i="8"/>
  <c r="V230" i="8"/>
  <c r="C230" i="8"/>
  <c r="C229" i="8"/>
  <c r="E126" i="7"/>
  <c r="E96" i="7"/>
  <c r="E81" i="7"/>
  <c r="C26" i="8"/>
  <c r="C27" i="8"/>
  <c r="C30" i="8"/>
  <c r="C31" i="8"/>
  <c r="C32" i="8"/>
  <c r="C33" i="8"/>
  <c r="C34" i="8"/>
  <c r="C35" i="8"/>
  <c r="C36" i="8"/>
  <c r="C37" i="8"/>
  <c r="C38" i="8"/>
  <c r="C39" i="8"/>
  <c r="C40" i="8"/>
  <c r="C41" i="8"/>
  <c r="C42" i="8"/>
  <c r="C43" i="8"/>
  <c r="C44" i="8"/>
  <c r="C45" i="8"/>
  <c r="C46" i="8"/>
  <c r="C47" i="8"/>
  <c r="C49" i="8"/>
  <c r="C50" i="8"/>
  <c r="C51" i="8"/>
  <c r="C52" i="8"/>
  <c r="C53" i="8"/>
  <c r="C54" i="8"/>
  <c r="C55" i="8"/>
  <c r="C56" i="8"/>
  <c r="C57" i="8"/>
  <c r="C58" i="8"/>
  <c r="C59" i="8"/>
  <c r="C60" i="8"/>
  <c r="C61" i="8"/>
  <c r="C62" i="8"/>
  <c r="C63" i="8"/>
  <c r="C64" i="8"/>
  <c r="C65" i="8"/>
  <c r="C66" i="8"/>
  <c r="C67" i="8"/>
  <c r="C69" i="8"/>
  <c r="C70" i="8"/>
  <c r="C71" i="8"/>
  <c r="C72" i="8"/>
  <c r="C73" i="8"/>
  <c r="C74" i="8"/>
  <c r="C75" i="8"/>
  <c r="C76" i="8"/>
  <c r="C77" i="8"/>
  <c r="C78" i="8"/>
  <c r="C79" i="8"/>
  <c r="C80" i="8"/>
  <c r="C81" i="8"/>
  <c r="C82" i="8"/>
  <c r="C83" i="8"/>
  <c r="C84" i="8"/>
  <c r="C85" i="8"/>
  <c r="C86" i="8"/>
  <c r="C87" i="8"/>
  <c r="C89" i="8"/>
  <c r="C90" i="8"/>
  <c r="C91" i="8"/>
  <c r="C92" i="8"/>
  <c r="C93" i="8"/>
  <c r="C94" i="8"/>
  <c r="C95" i="8"/>
  <c r="C96" i="8"/>
  <c r="C97" i="8"/>
  <c r="C98" i="8"/>
  <c r="C99" i="8"/>
  <c r="C100" i="8"/>
  <c r="C101" i="8"/>
  <c r="C102" i="8"/>
  <c r="C103" i="8"/>
  <c r="C104" i="8"/>
  <c r="C105" i="8"/>
  <c r="C106" i="8"/>
  <c r="C107" i="8"/>
  <c r="C109" i="8"/>
  <c r="C110" i="8"/>
  <c r="C111" i="8"/>
  <c r="C112" i="8"/>
  <c r="C113" i="8"/>
  <c r="C114" i="8"/>
  <c r="C115" i="8"/>
  <c r="C116" i="8"/>
  <c r="C117" i="8"/>
  <c r="C118" i="8"/>
  <c r="C119" i="8"/>
  <c r="C120" i="8"/>
  <c r="C121" i="8"/>
  <c r="C122" i="8"/>
  <c r="C123" i="8"/>
  <c r="C124" i="8"/>
  <c r="C125" i="8"/>
  <c r="C126" i="8"/>
  <c r="C127" i="8"/>
  <c r="C129" i="8"/>
  <c r="C130" i="8"/>
  <c r="C131" i="8"/>
  <c r="C132" i="8"/>
  <c r="C133" i="8"/>
  <c r="C134" i="8"/>
  <c r="C135" i="8"/>
  <c r="C136" i="8"/>
  <c r="C137" i="8"/>
  <c r="C138" i="8"/>
  <c r="C139" i="8"/>
  <c r="C140" i="8"/>
  <c r="C141" i="8"/>
  <c r="C142" i="8"/>
  <c r="C143" i="8"/>
  <c r="C144" i="8"/>
  <c r="C145" i="8"/>
  <c r="C146" i="8"/>
  <c r="C147" i="8"/>
  <c r="C149" i="8"/>
  <c r="C150" i="8"/>
  <c r="C151" i="8"/>
  <c r="C152" i="8"/>
  <c r="C153" i="8"/>
  <c r="C154" i="8"/>
  <c r="C155" i="8"/>
  <c r="C156" i="8"/>
  <c r="C157" i="8"/>
  <c r="C158" i="8"/>
  <c r="C159" i="8"/>
  <c r="C160" i="8"/>
  <c r="C161" i="8"/>
  <c r="C162" i="8"/>
  <c r="C163" i="8"/>
  <c r="C164" i="8"/>
  <c r="C165" i="8"/>
  <c r="C166" i="8"/>
  <c r="C167" i="8"/>
  <c r="C169" i="8"/>
  <c r="C170" i="8"/>
  <c r="C171" i="8"/>
  <c r="C172" i="8"/>
  <c r="C173" i="8"/>
  <c r="C174" i="8"/>
  <c r="C175" i="8"/>
  <c r="C176" i="8"/>
  <c r="C177" i="8"/>
  <c r="C178" i="8"/>
  <c r="C179" i="8"/>
  <c r="C180" i="8"/>
  <c r="C181" i="8"/>
  <c r="C182" i="8"/>
  <c r="C183" i="8"/>
  <c r="C184" i="8"/>
  <c r="C185" i="8"/>
  <c r="C186" i="8"/>
  <c r="C187" i="8"/>
  <c r="C189" i="8"/>
  <c r="C190" i="8"/>
  <c r="C191" i="8"/>
  <c r="C192" i="8"/>
  <c r="C193" i="8"/>
  <c r="C194" i="8"/>
  <c r="C195" i="8"/>
  <c r="C196" i="8"/>
  <c r="C197" i="8"/>
  <c r="C198" i="8"/>
  <c r="C199" i="8"/>
  <c r="C200" i="8"/>
  <c r="C201" i="8"/>
  <c r="C202" i="8"/>
  <c r="C203" i="8"/>
  <c r="C204" i="8"/>
  <c r="C205" i="8"/>
  <c r="C206" i="8"/>
  <c r="C207" i="8"/>
  <c r="C209" i="8"/>
  <c r="C210" i="8"/>
  <c r="C211" i="8"/>
  <c r="C212" i="8"/>
  <c r="C213" i="8"/>
  <c r="C214" i="8"/>
  <c r="C215" i="8"/>
  <c r="C216" i="8"/>
  <c r="C217" i="8"/>
  <c r="C218" i="8"/>
  <c r="C219" i="8"/>
  <c r="C220" i="8"/>
  <c r="C221" i="8"/>
  <c r="C222" i="8"/>
  <c r="C223" i="8"/>
  <c r="C224" i="8"/>
  <c r="C225" i="8"/>
  <c r="S495" i="7"/>
  <c r="G199" i="7"/>
  <c r="E201" i="7"/>
  <c r="E197" i="7"/>
  <c r="G184" i="7"/>
  <c r="E186" i="7"/>
  <c r="E182" i="7"/>
  <c r="E167" i="7"/>
  <c r="G169" i="7"/>
  <c r="E171" i="7"/>
  <c r="G154" i="7"/>
  <c r="E156" i="7"/>
  <c r="E152" i="7"/>
  <c r="G139" i="7"/>
  <c r="E141" i="7"/>
  <c r="E137" i="7"/>
  <c r="G124" i="7"/>
  <c r="E122" i="7"/>
  <c r="G109" i="7"/>
  <c r="E111" i="7"/>
  <c r="E107" i="7"/>
  <c r="G94" i="7"/>
  <c r="E92" i="7"/>
  <c r="G79" i="7"/>
  <c r="E77" i="7"/>
  <c r="F50" i="11"/>
  <c r="F63" i="11" s="1"/>
  <c r="E6" i="11" s="1"/>
  <c r="E8" i="11" s="1"/>
  <c r="F1019" i="10"/>
  <c r="F1017" i="10"/>
  <c r="F1014" i="10"/>
  <c r="F1013" i="10"/>
  <c r="F1012" i="10"/>
  <c r="F1005" i="10"/>
  <c r="F1004" i="10"/>
  <c r="F1003" i="10"/>
  <c r="F1002" i="10"/>
  <c r="F994" i="10"/>
  <c r="F993" i="10"/>
  <c r="F992" i="10"/>
  <c r="F989" i="10"/>
  <c r="F988" i="10"/>
  <c r="F987" i="10"/>
  <c r="F986" i="10"/>
  <c r="F985" i="10"/>
  <c r="F984" i="10"/>
  <c r="F983" i="10"/>
  <c r="F979" i="10"/>
  <c r="F956" i="10"/>
  <c r="F930" i="10"/>
  <c r="F904" i="10"/>
  <c r="F878" i="10"/>
  <c r="F1021" i="10" s="1"/>
  <c r="E16" i="10" s="1"/>
  <c r="F861" i="10"/>
  <c r="F807" i="10"/>
  <c r="F804" i="10"/>
  <c r="F802" i="10"/>
  <c r="F800" i="10"/>
  <c r="D796" i="10"/>
  <c r="F796" i="10" s="1"/>
  <c r="D795" i="10"/>
  <c r="F795" i="10" s="1"/>
  <c r="D794" i="10"/>
  <c r="F794" i="10" s="1"/>
  <c r="D793" i="10"/>
  <c r="F793" i="10" s="1"/>
  <c r="D792" i="10"/>
  <c r="F792" i="10" s="1"/>
  <c r="D788" i="10"/>
  <c r="F788" i="10" s="1"/>
  <c r="D787" i="10"/>
  <c r="F787" i="10" s="1"/>
  <c r="D786" i="10"/>
  <c r="F786" i="10" s="1"/>
  <c r="D785" i="10"/>
  <c r="F785" i="10" s="1"/>
  <c r="D784" i="10"/>
  <c r="F784" i="10" s="1"/>
  <c r="D783" i="10"/>
  <c r="F783" i="10" s="1"/>
  <c r="D782" i="10"/>
  <c r="F782" i="10" s="1"/>
  <c r="D781" i="10"/>
  <c r="F781" i="10" s="1"/>
  <c r="D780" i="10"/>
  <c r="F780" i="10" s="1"/>
  <c r="D779" i="10"/>
  <c r="F779" i="10" s="1"/>
  <c r="D778" i="10"/>
  <c r="F778" i="10" s="1"/>
  <c r="F772" i="10"/>
  <c r="F771" i="10"/>
  <c r="F768" i="10"/>
  <c r="F760" i="10"/>
  <c r="D758" i="10"/>
  <c r="F758" i="10" s="1"/>
  <c r="D757" i="10"/>
  <c r="F757" i="10" s="1"/>
  <c r="D756" i="10"/>
  <c r="F756" i="10" s="1"/>
  <c r="F752" i="10"/>
  <c r="F750" i="10"/>
  <c r="F748" i="10"/>
  <c r="F747" i="10"/>
  <c r="F746" i="10"/>
  <c r="F742" i="10"/>
  <c r="F736" i="10"/>
  <c r="F735" i="10"/>
  <c r="F729" i="10"/>
  <c r="F723" i="10"/>
  <c r="F717" i="10"/>
  <c r="F715" i="10"/>
  <c r="F713" i="10"/>
  <c r="F709" i="10"/>
  <c r="F707" i="10"/>
  <c r="F705" i="10"/>
  <c r="F703" i="10"/>
  <c r="F701" i="10"/>
  <c r="F699" i="10"/>
  <c r="F696" i="10"/>
  <c r="F692" i="10"/>
  <c r="F691" i="10"/>
  <c r="F685" i="10"/>
  <c r="F684" i="10"/>
  <c r="F683" i="10"/>
  <c r="F682" i="10"/>
  <c r="F681" i="10"/>
  <c r="F680" i="10"/>
  <c r="F762" i="10" s="1"/>
  <c r="E12" i="10" s="1"/>
  <c r="F659" i="10"/>
  <c r="F657" i="10"/>
  <c r="F649" i="10"/>
  <c r="F644" i="10"/>
  <c r="F643" i="10"/>
  <c r="F642" i="10"/>
  <c r="F641" i="10"/>
  <c r="F640" i="10"/>
  <c r="F633" i="10"/>
  <c r="F632" i="10"/>
  <c r="F631" i="10"/>
  <c r="F630" i="10"/>
  <c r="F625" i="10"/>
  <c r="F621" i="10"/>
  <c r="F614" i="10"/>
  <c r="F607" i="10"/>
  <c r="F605" i="10"/>
  <c r="F603" i="10"/>
  <c r="F600" i="10"/>
  <c r="F599" i="10"/>
  <c r="F598" i="10"/>
  <c r="F597" i="10"/>
  <c r="F596" i="10"/>
  <c r="F595" i="10"/>
  <c r="F594" i="10"/>
  <c r="F587" i="10"/>
  <c r="F582" i="10"/>
  <c r="F581" i="10"/>
  <c r="F577" i="10"/>
  <c r="F575" i="10"/>
  <c r="F574" i="10"/>
  <c r="F569" i="10"/>
  <c r="F568" i="10"/>
  <c r="F567" i="10"/>
  <c r="F566" i="10"/>
  <c r="F565" i="10"/>
  <c r="F564" i="10"/>
  <c r="F563" i="10"/>
  <c r="F555" i="10"/>
  <c r="F554" i="10"/>
  <c r="F553" i="10"/>
  <c r="F549" i="10"/>
  <c r="F544" i="10"/>
  <c r="F543" i="10"/>
  <c r="F542" i="10"/>
  <c r="F541" i="10"/>
  <c r="F537" i="10"/>
  <c r="F531" i="10"/>
  <c r="F530" i="10"/>
  <c r="F529" i="10"/>
  <c r="F527" i="10"/>
  <c r="F526" i="10"/>
  <c r="F521" i="10"/>
  <c r="F520" i="10"/>
  <c r="F519" i="10"/>
  <c r="F518" i="10"/>
  <c r="F517" i="10"/>
  <c r="F516" i="10"/>
  <c r="F515" i="10"/>
  <c r="F514" i="10"/>
  <c r="F513" i="10"/>
  <c r="F512" i="10"/>
  <c r="F511" i="10"/>
  <c r="F502" i="10"/>
  <c r="F501" i="10"/>
  <c r="F497" i="10"/>
  <c r="F496" i="10"/>
  <c r="F495" i="10"/>
  <c r="F493" i="10"/>
  <c r="F488" i="10"/>
  <c r="F486" i="10"/>
  <c r="F481" i="10"/>
  <c r="F476" i="10"/>
  <c r="F474" i="10"/>
  <c r="F472" i="10"/>
  <c r="F470" i="10"/>
  <c r="F465" i="10"/>
  <c r="F460" i="10"/>
  <c r="F459" i="10"/>
  <c r="F455" i="10"/>
  <c r="F450" i="10"/>
  <c r="F449" i="10"/>
  <c r="F444" i="10"/>
  <c r="F443" i="10"/>
  <c r="F442" i="10"/>
  <c r="F441" i="10"/>
  <c r="F440" i="10"/>
  <c r="F504" i="10" s="1"/>
  <c r="E8" i="10" s="1"/>
  <c r="F431" i="10"/>
  <c r="F427" i="10"/>
  <c r="F424" i="10"/>
  <c r="F419" i="10"/>
  <c r="F407" i="10"/>
  <c r="F406" i="10"/>
  <c r="F405" i="10"/>
  <c r="F403" i="10"/>
  <c r="F400" i="10"/>
  <c r="F399" i="10"/>
  <c r="F398" i="10"/>
  <c r="F397" i="10"/>
  <c r="F396" i="10"/>
  <c r="F395" i="10"/>
  <c r="F394" i="10"/>
  <c r="F393" i="10"/>
  <c r="F392" i="10"/>
  <c r="F391" i="10"/>
  <c r="F390" i="10"/>
  <c r="F380" i="10"/>
  <c r="F379" i="10"/>
  <c r="F378" i="10"/>
  <c r="F377" i="10"/>
  <c r="F376" i="10"/>
  <c r="F375" i="10"/>
  <c r="F374" i="10"/>
  <c r="F373" i="10"/>
  <c r="F372" i="10"/>
  <c r="F371" i="10"/>
  <c r="F370" i="10"/>
  <c r="F358" i="10"/>
  <c r="F357" i="10"/>
  <c r="F356" i="10"/>
  <c r="F355" i="10"/>
  <c r="F354" i="10"/>
  <c r="F353" i="10"/>
  <c r="F351" i="10"/>
  <c r="F340" i="10"/>
  <c r="F321" i="10"/>
  <c r="F310" i="10"/>
  <c r="F308" i="10"/>
  <c r="F306" i="10"/>
  <c r="F304" i="10"/>
  <c r="F302" i="10"/>
  <c r="F294" i="10"/>
  <c r="F293" i="10"/>
  <c r="F292" i="10"/>
  <c r="F291" i="10"/>
  <c r="F290" i="10"/>
  <c r="F284" i="10"/>
  <c r="F269" i="10"/>
  <c r="F268" i="10"/>
  <c r="F267" i="10"/>
  <c r="F266" i="10"/>
  <c r="F265" i="10"/>
  <c r="F251" i="10"/>
  <c r="F250" i="10"/>
  <c r="F249" i="10"/>
  <c r="F233"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70" i="10"/>
  <c r="F157" i="10"/>
  <c r="F156" i="10"/>
  <c r="F155" i="10"/>
  <c r="F154" i="10"/>
  <c r="F140" i="10"/>
  <c r="F120" i="10"/>
  <c r="F92" i="10"/>
  <c r="F80" i="10"/>
  <c r="F68" i="10"/>
  <c r="F433" i="10" l="1"/>
  <c r="E6" i="10" s="1"/>
  <c r="F670" i="10"/>
  <c r="E10" i="10" s="1"/>
  <c r="X246" i="8"/>
  <c r="BW230" i="8"/>
  <c r="BU230" i="8"/>
  <c r="BQ230" i="8"/>
  <c r="BH230" i="8"/>
  <c r="DB230" i="8"/>
  <c r="CX230" i="8"/>
  <c r="CO230" i="8"/>
  <c r="CS230" i="8"/>
  <c r="Y231" i="8"/>
  <c r="Z231" i="8" s="1"/>
  <c r="AB231" i="8" s="1"/>
  <c r="DD231" i="8"/>
  <c r="BW231" i="8"/>
  <c r="BU231" i="8"/>
  <c r="BQ231" i="8"/>
  <c r="BH231" i="8"/>
  <c r="BL231" i="8"/>
  <c r="DB231" i="8"/>
  <c r="DA231" i="8"/>
  <c r="CX231" i="8"/>
  <c r="CO231" i="8"/>
  <c r="CS231" i="8"/>
  <c r="BX232" i="8"/>
  <c r="BS232" i="8"/>
  <c r="BR232" i="8"/>
  <c r="BQ232" i="8"/>
  <c r="BU232" i="8"/>
  <c r="BN232" i="8"/>
  <c r="BO232" i="8" s="1"/>
  <c r="BH232" i="8"/>
  <c r="BL232" i="8"/>
  <c r="BP232" i="8" s="1"/>
  <c r="DE232" i="8"/>
  <c r="CZ232" i="8"/>
  <c r="CY232" i="8"/>
  <c r="DB232" i="8"/>
  <c r="CL232" i="8"/>
  <c r="CO232" i="8"/>
  <c r="CS232" i="8"/>
  <c r="DD233" i="8"/>
  <c r="BW233" i="8"/>
  <c r="Y233" i="8"/>
  <c r="Z233" i="8" s="1"/>
  <c r="AB233" i="8" s="1"/>
  <c r="BX233" i="8"/>
  <c r="BS233" i="8"/>
  <c r="BR233" i="8"/>
  <c r="BQ233" i="8"/>
  <c r="BU233" i="8"/>
  <c r="BN233" i="8"/>
  <c r="BO233" i="8" s="1"/>
  <c r="BH233" i="8"/>
  <c r="BL233" i="8"/>
  <c r="DE233" i="8"/>
  <c r="CZ233" i="8"/>
  <c r="CY233" i="8"/>
  <c r="DB233" i="8"/>
  <c r="CL233" i="8"/>
  <c r="CO233" i="8"/>
  <c r="CS233" i="8"/>
  <c r="CW233" i="8" s="1"/>
  <c r="DD234" i="8"/>
  <c r="BW234" i="8"/>
  <c r="Y234" i="8"/>
  <c r="Z234" i="8" s="1"/>
  <c r="AB234" i="8" s="1"/>
  <c r="BX234" i="8"/>
  <c r="BR234" i="8"/>
  <c r="BE234" i="8"/>
  <c r="BH234" i="8"/>
  <c r="BN234" i="8"/>
  <c r="BO234" i="8" s="1"/>
  <c r="BL234" i="8"/>
  <c r="BP234" i="8" s="1"/>
  <c r="CJ234" i="8"/>
  <c r="CL234" i="8" s="1"/>
  <c r="CT234" i="8"/>
  <c r="CO234" i="8"/>
  <c r="CS234" i="8"/>
  <c r="CV234" i="8"/>
  <c r="BX235" i="8"/>
  <c r="BS235" i="8"/>
  <c r="BE235" i="8"/>
  <c r="BH235" i="8"/>
  <c r="BN235" i="8"/>
  <c r="BO235" i="8" s="1"/>
  <c r="BL235" i="8"/>
  <c r="BP235" i="8" s="1"/>
  <c r="CX235" i="8"/>
  <c r="DA235" i="8"/>
  <c r="CY235" i="8"/>
  <c r="CL235" i="8"/>
  <c r="CO235" i="8"/>
  <c r="DD236" i="8"/>
  <c r="BW236" i="8"/>
  <c r="Y236" i="8"/>
  <c r="Z236" i="8" s="1"/>
  <c r="AB236" i="8" s="1"/>
  <c r="BX236" i="8"/>
  <c r="BS236" i="8"/>
  <c r="BR236" i="8"/>
  <c r="BH236" i="8"/>
  <c r="BL236" i="8"/>
  <c r="DE236" i="8"/>
  <c r="CZ236" i="8"/>
  <c r="CL236" i="8"/>
  <c r="CO236" i="8"/>
  <c r="CV236" i="8"/>
  <c r="CW236" i="8" s="1"/>
  <c r="DD237" i="8"/>
  <c r="BW237" i="8"/>
  <c r="Y237" i="8"/>
  <c r="Z237" i="8" s="1"/>
  <c r="AB237" i="8" s="1"/>
  <c r="BR237" i="8"/>
  <c r="BX237" i="8"/>
  <c r="BS237" i="8"/>
  <c r="BU237" i="8"/>
  <c r="BT237" i="8"/>
  <c r="BQ237" i="8"/>
  <c r="BL237" i="8"/>
  <c r="DE237" i="8"/>
  <c r="CZ237" i="8"/>
  <c r="CY237" i="8"/>
  <c r="DB237" i="8"/>
  <c r="DA237" i="8"/>
  <c r="CX237" i="8"/>
  <c r="CO237" i="8"/>
  <c r="CS237" i="8"/>
  <c r="DD238" i="8"/>
  <c r="BW238" i="8"/>
  <c r="Y238" i="8"/>
  <c r="Z238" i="8" s="1"/>
  <c r="AB238" i="8" s="1"/>
  <c r="BU238" i="8"/>
  <c r="BT238" i="8"/>
  <c r="BQ238" i="8"/>
  <c r="BC238" i="8"/>
  <c r="BM238" i="8"/>
  <c r="BE238" i="8"/>
  <c r="BL238" i="8"/>
  <c r="CY238" i="8"/>
  <c r="DB238" i="8"/>
  <c r="DA238" i="8"/>
  <c r="CX238" i="8"/>
  <c r="CO238" i="8"/>
  <c r="CP238" i="8" s="1"/>
  <c r="CS238" i="8"/>
  <c r="Y239" i="8"/>
  <c r="Z239" i="8" s="1"/>
  <c r="AB239" i="8" s="1"/>
  <c r="BW239" i="8"/>
  <c r="BS239" i="8"/>
  <c r="BX239" i="8"/>
  <c r="BU239" i="8"/>
  <c r="BT239" i="8"/>
  <c r="BQ239" i="8"/>
  <c r="BC239" i="8"/>
  <c r="BM239" i="8"/>
  <c r="BH239" i="8"/>
  <c r="BL239" i="8"/>
  <c r="CZ239" i="8"/>
  <c r="DE239" i="8"/>
  <c r="CY239" i="8"/>
  <c r="DB239" i="8"/>
  <c r="DA239" i="8"/>
  <c r="CX239" i="8"/>
  <c r="CL239" i="8"/>
  <c r="CO239" i="8"/>
  <c r="CS239" i="8"/>
  <c r="BU240" i="8"/>
  <c r="BT240" i="8"/>
  <c r="BQ240" i="8"/>
  <c r="BC240" i="8"/>
  <c r="BE240" i="8" s="1"/>
  <c r="BM240" i="8"/>
  <c r="BL240" i="8"/>
  <c r="CZ240" i="8"/>
  <c r="DE240" i="8"/>
  <c r="CY240" i="8"/>
  <c r="DB240" i="8"/>
  <c r="DA240" i="8"/>
  <c r="CX240" i="8"/>
  <c r="CJ240" i="8"/>
  <c r="CL240" i="8" s="1"/>
  <c r="CT240" i="8"/>
  <c r="CV240" i="8" s="1"/>
  <c r="CS240" i="8"/>
  <c r="DD241" i="8"/>
  <c r="BW241" i="8"/>
  <c r="Y241" i="8"/>
  <c r="Z241" i="8" s="1"/>
  <c r="AB241" i="8" s="1"/>
  <c r="BT241" i="8"/>
  <c r="BU241" i="8"/>
  <c r="BQ241" i="8"/>
  <c r="BD241" i="8"/>
  <c r="BH241" i="8"/>
  <c r="DA241" i="8"/>
  <c r="DB241" i="8"/>
  <c r="CX241" i="8"/>
  <c r="CS241" i="8"/>
  <c r="DD242" i="8"/>
  <c r="BW242" i="8"/>
  <c r="Y242" i="8"/>
  <c r="Z242" i="8" s="1"/>
  <c r="AB242" i="8" s="1"/>
  <c r="BS242" i="8"/>
  <c r="BX242" i="8"/>
  <c r="BU242" i="8"/>
  <c r="BQ242" i="8"/>
  <c r="CZ242" i="8"/>
  <c r="DE242" i="8"/>
  <c r="DB242" i="8"/>
  <c r="CX242" i="8"/>
  <c r="CO242" i="8"/>
  <c r="CV242" i="8"/>
  <c r="CW242" i="8" s="1"/>
  <c r="Y243" i="8"/>
  <c r="Z243" i="8" s="1"/>
  <c r="AB243" i="8" s="1"/>
  <c r="DD243" i="8"/>
  <c r="BW243" i="8"/>
  <c r="BR243" i="8"/>
  <c r="BX243" i="8"/>
  <c r="BU243" i="8"/>
  <c r="BQ243" i="8"/>
  <c r="BN243" i="8"/>
  <c r="BO243" i="8" s="1"/>
  <c r="BH243" i="8"/>
  <c r="BL243" i="8"/>
  <c r="BP243" i="8" s="1"/>
  <c r="CZ243" i="8"/>
  <c r="DE243" i="8"/>
  <c r="CY243" i="8"/>
  <c r="CX243" i="8"/>
  <c r="CO243" i="8"/>
  <c r="CP243" i="8" s="1"/>
  <c r="CS243" i="8"/>
  <c r="CV243" i="8"/>
  <c r="DD244" i="8"/>
  <c r="BW244" i="8"/>
  <c r="Y244" i="8"/>
  <c r="Z244" i="8" s="1"/>
  <c r="AB244" i="8" s="1"/>
  <c r="BU244" i="8"/>
  <c r="BQ244" i="8"/>
  <c r="BN244" i="8"/>
  <c r="BH244" i="8"/>
  <c r="BI244" i="8" s="1"/>
  <c r="CY244" i="8"/>
  <c r="CX244" i="8"/>
  <c r="CO244" i="8"/>
  <c r="CP244" i="8" s="1"/>
  <c r="CS244" i="8"/>
  <c r="BC245" i="8"/>
  <c r="BM245" i="8"/>
  <c r="BD245" i="8"/>
  <c r="BE245" i="8" s="1"/>
  <c r="BH245" i="8"/>
  <c r="BL245" i="8"/>
  <c r="CJ245" i="8"/>
  <c r="CL245" i="8" s="1"/>
  <c r="CT245" i="8"/>
  <c r="CV245" i="8" s="1"/>
  <c r="CO245" i="8"/>
  <c r="CS245" i="8"/>
  <c r="DD250" i="8"/>
  <c r="BW250" i="8"/>
  <c r="BX250" i="8"/>
  <c r="BS250" i="8"/>
  <c r="BR250" i="8"/>
  <c r="BD250" i="8"/>
  <c r="BE250" i="8" s="1"/>
  <c r="BN250" i="8"/>
  <c r="BO250" i="8" s="1"/>
  <c r="BL250" i="8"/>
  <c r="DE250" i="8"/>
  <c r="CZ250" i="8"/>
  <c r="CL250" i="8"/>
  <c r="CS250" i="8"/>
  <c r="Y251" i="8"/>
  <c r="Z251" i="8" s="1"/>
  <c r="AB251" i="8" s="1"/>
  <c r="DD251" i="8"/>
  <c r="BW251" i="8"/>
  <c r="BX251" i="8"/>
  <c r="BS251" i="8"/>
  <c r="BR251" i="8"/>
  <c r="BD251" i="8"/>
  <c r="BE251" i="8" s="1"/>
  <c r="BN251" i="8"/>
  <c r="BO251" i="8" s="1"/>
  <c r="BH251" i="8"/>
  <c r="BL251" i="8"/>
  <c r="DE251" i="8"/>
  <c r="CZ251" i="8"/>
  <c r="CL251" i="8"/>
  <c r="CO251" i="8"/>
  <c r="CS251" i="8"/>
  <c r="CV251" i="8"/>
  <c r="Y252" i="8"/>
  <c r="Z252" i="8" s="1"/>
  <c r="AB252" i="8" s="1"/>
  <c r="DD252" i="8"/>
  <c r="BW252" i="8"/>
  <c r="BR252" i="8"/>
  <c r="BS252" i="8"/>
  <c r="BQ252" i="8"/>
  <c r="BT252" i="8"/>
  <c r="BE252" i="8"/>
  <c r="BH252" i="8"/>
  <c r="BL252" i="8"/>
  <c r="DE252" i="8"/>
  <c r="CZ252" i="8"/>
  <c r="CY252" i="8"/>
  <c r="DA252" i="8"/>
  <c r="CL252" i="8"/>
  <c r="CO252" i="8"/>
  <c r="CS252" i="8"/>
  <c r="CV252" i="8"/>
  <c r="BR253" i="8"/>
  <c r="BX253" i="8"/>
  <c r="BS253" i="8"/>
  <c r="BQ253" i="8"/>
  <c r="BT253" i="8"/>
  <c r="BE253" i="8"/>
  <c r="BH253" i="8"/>
  <c r="BL253" i="8"/>
  <c r="DE253" i="8"/>
  <c r="CZ253" i="8"/>
  <c r="CY253" i="8"/>
  <c r="DA253" i="8"/>
  <c r="CL253" i="8"/>
  <c r="CO253" i="8"/>
  <c r="CS253" i="8"/>
  <c r="CV253" i="8"/>
  <c r="BU254" i="8"/>
  <c r="BT254" i="8"/>
  <c r="BQ254" i="8"/>
  <c r="BE254" i="8"/>
  <c r="BN254" i="8"/>
  <c r="BO254" i="8" s="1"/>
  <c r="BH254" i="8"/>
  <c r="BL254" i="8"/>
  <c r="CY254" i="8"/>
  <c r="DB254" i="8"/>
  <c r="DA254" i="8"/>
  <c r="CX254" i="8"/>
  <c r="CL254" i="8"/>
  <c r="CO254" i="8"/>
  <c r="CS254" i="8"/>
  <c r="CV254" i="8"/>
  <c r="AA255" i="8"/>
  <c r="AB255" i="8"/>
  <c r="BT255" i="8"/>
  <c r="BU255" i="8"/>
  <c r="BQ255" i="8"/>
  <c r="BC255" i="8"/>
  <c r="BM255" i="8"/>
  <c r="BN255" i="8"/>
  <c r="BH255" i="8"/>
  <c r="BL255" i="8"/>
  <c r="CY255" i="8"/>
  <c r="DB255" i="8"/>
  <c r="DA255" i="8"/>
  <c r="CL255" i="8"/>
  <c r="CO255" i="8"/>
  <c r="CS255" i="8"/>
  <c r="DD256" i="8"/>
  <c r="BW256" i="8"/>
  <c r="BU256" i="8"/>
  <c r="BT256" i="8"/>
  <c r="BC256" i="8"/>
  <c r="BE256" i="8" s="1"/>
  <c r="BM256" i="8"/>
  <c r="BO256" i="8"/>
  <c r="BP256" i="8"/>
  <c r="CJ256" i="8"/>
  <c r="CL256" i="8" s="1"/>
  <c r="CT256" i="8"/>
  <c r="CO256" i="8"/>
  <c r="CV256" i="8"/>
  <c r="BR257" i="8"/>
  <c r="BX257" i="8"/>
  <c r="BS257" i="8"/>
  <c r="BQ257" i="8"/>
  <c r="BU257" i="8"/>
  <c r="BT257" i="8"/>
  <c r="BD257" i="8"/>
  <c r="BE257" i="8" s="1"/>
  <c r="BN257" i="8"/>
  <c r="BO257" i="8" s="1"/>
  <c r="BL257" i="8"/>
  <c r="DE257" i="8"/>
  <c r="CZ257" i="8"/>
  <c r="CY257" i="8"/>
  <c r="DB257" i="8"/>
  <c r="DA257" i="8"/>
  <c r="CO257" i="8"/>
  <c r="CS257" i="8"/>
  <c r="CV257" i="8"/>
  <c r="CW257" i="8" s="1"/>
  <c r="DD258" i="8"/>
  <c r="BW258" i="8"/>
  <c r="Y258" i="8"/>
  <c r="Z258" i="8" s="1"/>
  <c r="BU258" i="8"/>
  <c r="BT258" i="8"/>
  <c r="BQ258" i="8"/>
  <c r="BN258" i="8"/>
  <c r="BO258" i="8" s="1"/>
  <c r="BH258" i="8"/>
  <c r="BL258" i="8"/>
  <c r="BP258" i="8" s="1"/>
  <c r="CY258" i="8"/>
  <c r="DB258" i="8"/>
  <c r="DA258" i="8"/>
  <c r="CX258" i="8"/>
  <c r="CO258" i="8"/>
  <c r="CS258" i="8"/>
  <c r="CW258" i="8" s="1"/>
  <c r="BU259" i="8"/>
  <c r="BT259" i="8"/>
  <c r="BQ259" i="8"/>
  <c r="BN259" i="8"/>
  <c r="BH259" i="8"/>
  <c r="BL259" i="8"/>
  <c r="CY259" i="8"/>
  <c r="DB259" i="8"/>
  <c r="DA259" i="8"/>
  <c r="CX259" i="8"/>
  <c r="CO259" i="8"/>
  <c r="CS259" i="8"/>
  <c r="CW259" i="8" s="1"/>
  <c r="BU260" i="8"/>
  <c r="BQ260" i="8"/>
  <c r="BC260" i="8"/>
  <c r="BM260" i="8"/>
  <c r="BN260" i="8"/>
  <c r="BO260" i="8" s="1"/>
  <c r="BH260" i="8"/>
  <c r="BP260" i="8"/>
  <c r="DB260" i="8"/>
  <c r="CX260" i="8"/>
  <c r="CJ260" i="8"/>
  <c r="CL260" i="8" s="1"/>
  <c r="CT260" i="8"/>
  <c r="CV260" i="8" s="1"/>
  <c r="CO260" i="8"/>
  <c r="DD261" i="8"/>
  <c r="BW261" i="8"/>
  <c r="Y261" i="8"/>
  <c r="Z261" i="8" s="1"/>
  <c r="AB261" i="8" s="1"/>
  <c r="BX261" i="8"/>
  <c r="BS261" i="8"/>
  <c r="BR261" i="8"/>
  <c r="BD261" i="8"/>
  <c r="BN261" i="8"/>
  <c r="BL261" i="8"/>
  <c r="DE261" i="8"/>
  <c r="CZ261" i="8"/>
  <c r="DD262" i="8"/>
  <c r="BW262" i="8"/>
  <c r="Y262" i="8"/>
  <c r="Z262" i="8" s="1"/>
  <c r="AB262" i="8" s="1"/>
  <c r="BX262" i="8"/>
  <c r="BS262" i="8"/>
  <c r="BU262" i="8"/>
  <c r="BT262" i="8"/>
  <c r="BQ262" i="8"/>
  <c r="BH262" i="8"/>
  <c r="BL262" i="8"/>
  <c r="DE262" i="8"/>
  <c r="CZ262" i="8"/>
  <c r="DB262" i="8"/>
  <c r="DA262" i="8"/>
  <c r="CX262" i="8"/>
  <c r="CL262" i="8"/>
  <c r="CO262" i="8"/>
  <c r="CS262" i="8"/>
  <c r="CW262" i="8" s="1"/>
  <c r="DH262" i="8" s="1"/>
  <c r="BR263" i="8"/>
  <c r="BX263" i="8"/>
  <c r="BU263" i="8"/>
  <c r="BT263" i="8"/>
  <c r="BQ263" i="8"/>
  <c r="BE263" i="8"/>
  <c r="BN263" i="8"/>
  <c r="BO263" i="8" s="1"/>
  <c r="BH263" i="8"/>
  <c r="BL263" i="8"/>
  <c r="BP263" i="8" s="1"/>
  <c r="CZ263" i="8"/>
  <c r="DE263" i="8"/>
  <c r="CY263" i="8"/>
  <c r="DB263" i="8"/>
  <c r="DA263" i="8"/>
  <c r="CX263" i="8"/>
  <c r="CL263" i="8"/>
  <c r="CO263" i="8"/>
  <c r="CS263" i="8"/>
  <c r="BT264" i="8"/>
  <c r="BU264" i="8"/>
  <c r="BQ264" i="8"/>
  <c r="BC264" i="8"/>
  <c r="BE264" i="8" s="1"/>
  <c r="BM264" i="8"/>
  <c r="BO264" i="8"/>
  <c r="BL264" i="8"/>
  <c r="CY264" i="8"/>
  <c r="DB264" i="8"/>
  <c r="CX264" i="8"/>
  <c r="CJ264" i="8"/>
  <c r="CL264" i="8" s="1"/>
  <c r="CT264" i="8"/>
  <c r="CS264" i="8"/>
  <c r="CV264" i="8"/>
  <c r="CW264" i="8" s="1"/>
  <c r="DD265" i="8"/>
  <c r="BW265" i="8"/>
  <c r="Y265" i="8"/>
  <c r="Z265" i="8" s="1"/>
  <c r="AB265" i="8" s="1"/>
  <c r="BD265" i="8"/>
  <c r="BN265" i="8"/>
  <c r="BL265" i="8"/>
  <c r="CO265" i="8"/>
  <c r="CS265" i="8"/>
  <c r="DD270" i="8"/>
  <c r="BW270" i="8"/>
  <c r="Y270" i="8"/>
  <c r="BR270" i="8"/>
  <c r="BX270" i="8"/>
  <c r="BS270" i="8"/>
  <c r="BU270" i="8"/>
  <c r="BT270" i="8"/>
  <c r="BQ270" i="8"/>
  <c r="BH270" i="8"/>
  <c r="BL270" i="8"/>
  <c r="DE270" i="8"/>
  <c r="CZ270" i="8"/>
  <c r="CY270" i="8"/>
  <c r="DB270" i="8"/>
  <c r="DA270" i="8"/>
  <c r="CX270" i="8"/>
  <c r="CL270" i="8"/>
  <c r="CO270" i="8"/>
  <c r="CS270" i="8"/>
  <c r="CV270" i="8"/>
  <c r="CW270" i="8" s="1"/>
  <c r="DD271" i="8"/>
  <c r="BW271" i="8"/>
  <c r="Y271" i="8"/>
  <c r="Z271" i="8" s="1"/>
  <c r="AB271" i="8" s="1"/>
  <c r="BR271" i="8"/>
  <c r="BX271" i="8"/>
  <c r="BS271" i="8"/>
  <c r="BU271" i="8"/>
  <c r="BT271" i="8"/>
  <c r="BQ271" i="8"/>
  <c r="BL271" i="8"/>
  <c r="DE271" i="8"/>
  <c r="CZ271" i="8"/>
  <c r="CY271" i="8"/>
  <c r="DB271" i="8"/>
  <c r="DA271" i="8"/>
  <c r="CX271" i="8"/>
  <c r="CL271" i="8"/>
  <c r="CO271" i="8"/>
  <c r="CS271" i="8"/>
  <c r="CV271" i="8"/>
  <c r="CW271" i="8" s="1"/>
  <c r="DD272" i="8"/>
  <c r="Y272" i="8"/>
  <c r="Z272" i="8" s="1"/>
  <c r="BU272" i="8"/>
  <c r="BT272" i="8"/>
  <c r="BQ272" i="8"/>
  <c r="BN272" i="8"/>
  <c r="BH272" i="8"/>
  <c r="BL272" i="8"/>
  <c r="CY272" i="8"/>
  <c r="DB272" i="8"/>
  <c r="DA272" i="8"/>
  <c r="CX272" i="8"/>
  <c r="CO272" i="8"/>
  <c r="CS272" i="8"/>
  <c r="BU273" i="8"/>
  <c r="BT273" i="8"/>
  <c r="BQ273" i="8"/>
  <c r="BL273" i="8"/>
  <c r="CY273" i="8"/>
  <c r="DB273" i="8"/>
  <c r="DA273" i="8"/>
  <c r="CX273" i="8"/>
  <c r="CO273" i="8"/>
  <c r="CS273" i="8"/>
  <c r="BT274" i="8"/>
  <c r="BU274" i="8"/>
  <c r="BC274" i="8"/>
  <c r="BM274" i="8"/>
  <c r="BL274" i="8"/>
  <c r="CZ274" i="8"/>
  <c r="DE274" i="8"/>
  <c r="CJ274" i="8"/>
  <c r="CL274" i="8" s="1"/>
  <c r="CT274" i="8"/>
  <c r="CO274" i="8"/>
  <c r="CP274" i="8" s="1"/>
  <c r="CS274" i="8"/>
  <c r="CV274" i="8"/>
  <c r="DD275" i="8"/>
  <c r="Y275" i="8"/>
  <c r="Z275" i="8" s="1"/>
  <c r="AB275" i="8" s="1"/>
  <c r="BS275" i="8"/>
  <c r="BX275" i="8"/>
  <c r="BC275" i="8"/>
  <c r="BM275" i="8"/>
  <c r="BL275" i="8"/>
  <c r="CZ275" i="8"/>
  <c r="DE275" i="8"/>
  <c r="CJ275" i="8"/>
  <c r="CL275" i="8" s="1"/>
  <c r="CT275" i="8"/>
  <c r="CO275" i="8"/>
  <c r="CS275" i="8"/>
  <c r="BC276" i="8"/>
  <c r="BM276" i="8"/>
  <c r="BO276" i="8"/>
  <c r="DE276" i="8"/>
  <c r="CZ276" i="8"/>
  <c r="CS276" i="8"/>
  <c r="DD277" i="8"/>
  <c r="BW277" i="8"/>
  <c r="Y277" i="8"/>
  <c r="Z277" i="8" s="1"/>
  <c r="AB277" i="8" s="1"/>
  <c r="BX277" i="8"/>
  <c r="BS277" i="8"/>
  <c r="BR277" i="8"/>
  <c r="BE277" i="8"/>
  <c r="BO277" i="8"/>
  <c r="BL277" i="8"/>
  <c r="DE277" i="8"/>
  <c r="CZ277" i="8"/>
  <c r="DA277" i="8"/>
  <c r="CY277" i="8"/>
  <c r="CS277" i="8"/>
  <c r="BU278" i="8"/>
  <c r="BT278" i="8"/>
  <c r="BQ278" i="8"/>
  <c r="BE278" i="8"/>
  <c r="BN278" i="8"/>
  <c r="BO278" i="8" s="1"/>
  <c r="BH278" i="8"/>
  <c r="BL278" i="8"/>
  <c r="BP278" i="8" s="1"/>
  <c r="CA278" i="8" s="1"/>
  <c r="DE278" i="8"/>
  <c r="CZ278" i="8"/>
  <c r="CY278" i="8"/>
  <c r="DB278" i="8"/>
  <c r="DA278" i="8"/>
  <c r="CX278" i="8"/>
  <c r="CL278" i="8"/>
  <c r="CO278" i="8"/>
  <c r="CS278" i="8"/>
  <c r="CW278" i="8" s="1"/>
  <c r="BW279" i="8"/>
  <c r="DD279" i="8"/>
  <c r="Y279" i="8"/>
  <c r="Z279" i="8" s="1"/>
  <c r="AB279" i="8" s="1"/>
  <c r="BR279" i="8"/>
  <c r="BX279" i="8"/>
  <c r="BU279" i="8"/>
  <c r="BT279" i="8"/>
  <c r="BQ279" i="8"/>
  <c r="BN279" i="8"/>
  <c r="BO279" i="8" s="1"/>
  <c r="BH279" i="8"/>
  <c r="BL279" i="8"/>
  <c r="BP279" i="8" s="1"/>
  <c r="DE279" i="8"/>
  <c r="CZ279" i="8"/>
  <c r="CY279" i="8"/>
  <c r="DB279" i="8"/>
  <c r="DA279" i="8"/>
  <c r="CX279" i="8"/>
  <c r="CL279" i="8"/>
  <c r="CO279" i="8"/>
  <c r="CS279" i="8"/>
  <c r="CV279" i="8"/>
  <c r="AA280" i="8"/>
  <c r="AB280" i="8"/>
  <c r="BU280" i="8"/>
  <c r="BT280" i="8"/>
  <c r="BL280" i="8"/>
  <c r="CZ280" i="8"/>
  <c r="DE280" i="8"/>
  <c r="CJ280" i="8"/>
  <c r="CL280" i="8" s="1"/>
  <c r="CT280" i="8"/>
  <c r="CO280" i="8"/>
  <c r="CV280" i="8"/>
  <c r="CW280" i="8" s="1"/>
  <c r="DD281" i="8"/>
  <c r="BW281" i="8"/>
  <c r="Y281" i="8"/>
  <c r="Z281" i="8" s="1"/>
  <c r="AB281" i="8" s="1"/>
  <c r="BH281" i="8"/>
  <c r="BN281" i="8"/>
  <c r="BO281" i="8" s="1"/>
  <c r="CY281" i="8"/>
  <c r="CX281" i="8"/>
  <c r="CS281" i="8"/>
  <c r="DD282" i="8"/>
  <c r="BW282" i="8"/>
  <c r="Y282" i="8"/>
  <c r="Z282" i="8" s="1"/>
  <c r="AB282" i="8" s="1"/>
  <c r="BX282" i="8"/>
  <c r="BS282" i="8"/>
  <c r="BR282" i="8"/>
  <c r="BE282" i="8"/>
  <c r="BH282" i="8"/>
  <c r="DE282" i="8"/>
  <c r="CZ282" i="8"/>
  <c r="CL282" i="8"/>
  <c r="CO282" i="8"/>
  <c r="BR283" i="8"/>
  <c r="BX283" i="8"/>
  <c r="BS283" i="8"/>
  <c r="BU283" i="8"/>
  <c r="BT283" i="8"/>
  <c r="BQ283" i="8"/>
  <c r="BE283" i="8"/>
  <c r="BN283" i="8"/>
  <c r="BO283" i="8" s="1"/>
  <c r="BH283" i="8"/>
  <c r="BL283" i="8"/>
  <c r="BP283" i="8" s="1"/>
  <c r="DE283" i="8"/>
  <c r="CZ283" i="8"/>
  <c r="CY283" i="8"/>
  <c r="DB283" i="8"/>
  <c r="DA283" i="8"/>
  <c r="CX283" i="8"/>
  <c r="CL283" i="8"/>
  <c r="CO283" i="8"/>
  <c r="CS283" i="8"/>
  <c r="BU284" i="8"/>
  <c r="BT284" i="8"/>
  <c r="BQ284" i="8"/>
  <c r="BC284" i="8"/>
  <c r="BE284" i="8" s="1"/>
  <c r="BM284" i="8"/>
  <c r="BO284" i="8"/>
  <c r="BL284" i="8"/>
  <c r="BP284" i="8" s="1"/>
  <c r="CY284" i="8"/>
  <c r="DB284" i="8"/>
  <c r="DA284" i="8"/>
  <c r="CX284" i="8"/>
  <c r="CJ284" i="8"/>
  <c r="CT284" i="8"/>
  <c r="CS284" i="8"/>
  <c r="CV284" i="8"/>
  <c r="BT285" i="8"/>
  <c r="BU285" i="8"/>
  <c r="BC285" i="8"/>
  <c r="BM285" i="8"/>
  <c r="BD285" i="8"/>
  <c r="BN285" i="8"/>
  <c r="BL285" i="8"/>
  <c r="DA285" i="8"/>
  <c r="DB285" i="8"/>
  <c r="CJ285" i="8"/>
  <c r="CL285" i="8" s="1"/>
  <c r="CT285" i="8"/>
  <c r="CO285" i="8"/>
  <c r="CS285" i="8"/>
  <c r="DD290" i="8"/>
  <c r="BW290" i="8"/>
  <c r="Y290" i="8"/>
  <c r="BR290" i="8"/>
  <c r="BS290" i="8"/>
  <c r="BT290" i="8"/>
  <c r="BU290" i="8"/>
  <c r="BQ290" i="8"/>
  <c r="BN290" i="8"/>
  <c r="BO290" i="8" s="1"/>
  <c r="BH290" i="8"/>
  <c r="BL290" i="8"/>
  <c r="BP290" i="8" s="1"/>
  <c r="DE290" i="8"/>
  <c r="CZ290" i="8"/>
  <c r="CY290" i="8"/>
  <c r="DB290" i="8"/>
  <c r="DA290" i="8"/>
  <c r="CX290" i="8"/>
  <c r="CO290" i="8"/>
  <c r="CP290" i="8" s="1"/>
  <c r="CS290" i="8"/>
  <c r="DD291" i="8"/>
  <c r="BW291" i="8"/>
  <c r="Y291" i="8"/>
  <c r="Z291" i="8" s="1"/>
  <c r="AB291" i="8" s="1"/>
  <c r="BR291" i="8"/>
  <c r="BS291" i="8"/>
  <c r="BU291" i="8"/>
  <c r="BT291" i="8"/>
  <c r="BQ291" i="8"/>
  <c r="BN291" i="8"/>
  <c r="BO291" i="8" s="1"/>
  <c r="BH291" i="8"/>
  <c r="BL291" i="8"/>
  <c r="BP291" i="8" s="1"/>
  <c r="DE291" i="8"/>
  <c r="CZ291" i="8"/>
  <c r="CY291" i="8"/>
  <c r="DB291" i="8"/>
  <c r="DA291" i="8"/>
  <c r="CX291" i="8"/>
  <c r="CO291" i="8"/>
  <c r="CP291" i="8" s="1"/>
  <c r="CS291" i="8"/>
  <c r="CW291" i="8" s="1"/>
  <c r="DD292" i="8"/>
  <c r="Y292" i="8"/>
  <c r="Z292" i="8" s="1"/>
  <c r="AB292" i="8" s="1"/>
  <c r="BS292" i="8"/>
  <c r="BR292" i="8"/>
  <c r="BQ292" i="8"/>
  <c r="BT292" i="8"/>
  <c r="BL292" i="8"/>
  <c r="CY292" i="8"/>
  <c r="DA292" i="8"/>
  <c r="CS292" i="8"/>
  <c r="BS293" i="8"/>
  <c r="BR293" i="8"/>
  <c r="BQ293" i="8"/>
  <c r="BT293" i="8"/>
  <c r="BL293" i="8"/>
  <c r="CY293" i="8"/>
  <c r="DA293" i="8"/>
  <c r="CS293" i="8"/>
  <c r="BX294" i="8"/>
  <c r="BS294" i="8"/>
  <c r="BR294" i="8"/>
  <c r="BT294" i="8"/>
  <c r="BU294" i="8"/>
  <c r="BE294" i="8"/>
  <c r="BL294" i="8"/>
  <c r="DE294" i="8"/>
  <c r="CZ294" i="8"/>
  <c r="DA294" i="8"/>
  <c r="DB294" i="8"/>
  <c r="CL294" i="8"/>
  <c r="CO294" i="8"/>
  <c r="CS294" i="8"/>
  <c r="CW294" i="8" s="1"/>
  <c r="BQ295" i="8"/>
  <c r="BT295" i="8"/>
  <c r="BL295" i="8"/>
  <c r="DE295" i="8"/>
  <c r="CZ295" i="8"/>
  <c r="DA295" i="8"/>
  <c r="DB295" i="8"/>
  <c r="CS295" i="8"/>
  <c r="DD296" i="8"/>
  <c r="BW296" i="8"/>
  <c r="Y296" i="8"/>
  <c r="Z296" i="8" s="1"/>
  <c r="AB296" i="8" s="1"/>
  <c r="BU296" i="8"/>
  <c r="BT296" i="8"/>
  <c r="BQ296" i="8"/>
  <c r="BD296" i="8"/>
  <c r="BE296" i="8" s="1"/>
  <c r="BN296" i="8"/>
  <c r="BO296" i="8" s="1"/>
  <c r="BL296" i="8"/>
  <c r="BP296" i="8" s="1"/>
  <c r="DB296" i="8"/>
  <c r="DA296" i="8"/>
  <c r="CY296" i="8"/>
  <c r="CX296" i="8"/>
  <c r="CS296" i="8"/>
  <c r="CV296" i="8"/>
  <c r="Y297" i="8"/>
  <c r="Z297" i="8" s="1"/>
  <c r="AB297" i="8" s="1"/>
  <c r="BW297" i="8"/>
  <c r="BX297" i="8"/>
  <c r="BS297" i="8"/>
  <c r="BR297" i="8"/>
  <c r="BQ297" i="8"/>
  <c r="BT297" i="8"/>
  <c r="BO297" i="8"/>
  <c r="BL297" i="8"/>
  <c r="BP297" i="8" s="1"/>
  <c r="DE297" i="8"/>
  <c r="CZ297" i="8"/>
  <c r="CL297" i="8"/>
  <c r="CO297" i="8"/>
  <c r="CS297" i="8"/>
  <c r="AB298" i="8"/>
  <c r="AA298" i="8"/>
  <c r="BR298" i="8"/>
  <c r="BX298" i="8"/>
  <c r="BS298" i="8"/>
  <c r="BU298" i="8"/>
  <c r="BT298" i="8"/>
  <c r="BQ298" i="8"/>
  <c r="BE298" i="8"/>
  <c r="BN298" i="8"/>
  <c r="BO298" i="8" s="1"/>
  <c r="BH298" i="8"/>
  <c r="BL298" i="8"/>
  <c r="BP298" i="8" s="1"/>
  <c r="DE298" i="8"/>
  <c r="CZ298" i="8"/>
  <c r="CY298" i="8"/>
  <c r="DB298" i="8"/>
  <c r="DA298" i="8"/>
  <c r="CX298" i="8"/>
  <c r="CL298" i="8"/>
  <c r="CO298" i="8"/>
  <c r="CS298" i="8"/>
  <c r="CV298" i="8"/>
  <c r="AA299" i="8"/>
  <c r="AB299" i="8"/>
  <c r="BR299" i="8"/>
  <c r="BX299" i="8"/>
  <c r="BS299" i="8"/>
  <c r="BU299" i="8"/>
  <c r="BT299" i="8"/>
  <c r="BQ299" i="8"/>
  <c r="BN299" i="8"/>
  <c r="BO299" i="8" s="1"/>
  <c r="BH299" i="8"/>
  <c r="BI299" i="8" s="1"/>
  <c r="BL299" i="8"/>
  <c r="BP299" i="8" s="1"/>
  <c r="DE299" i="8"/>
  <c r="CZ299" i="8"/>
  <c r="CY299" i="8"/>
  <c r="DB299" i="8"/>
  <c r="DA299" i="8"/>
  <c r="CX299" i="8"/>
  <c r="CO299" i="8"/>
  <c r="CP299" i="8" s="1"/>
  <c r="CS299" i="8"/>
  <c r="CV299" i="8"/>
  <c r="AA300" i="8"/>
  <c r="AB300" i="8"/>
  <c r="BU300" i="8"/>
  <c r="BT300" i="8"/>
  <c r="BQ300" i="8"/>
  <c r="BC300" i="8"/>
  <c r="BE300" i="8" s="1"/>
  <c r="BM300" i="8"/>
  <c r="BO300" i="8"/>
  <c r="BL300" i="8"/>
  <c r="BP300" i="8" s="1"/>
  <c r="CY300" i="8"/>
  <c r="DB300" i="8"/>
  <c r="DA300" i="8"/>
  <c r="CX300" i="8"/>
  <c r="CJ300" i="8"/>
  <c r="CL300" i="8" s="1"/>
  <c r="CT300" i="8"/>
  <c r="CO300" i="8"/>
  <c r="CS300" i="8"/>
  <c r="CV300" i="8"/>
  <c r="BS301" i="8"/>
  <c r="BX301" i="8"/>
  <c r="BR301" i="8"/>
  <c r="BC301" i="8"/>
  <c r="BM301" i="8"/>
  <c r="BO301" i="8"/>
  <c r="CZ301" i="8"/>
  <c r="DE301" i="8"/>
  <c r="CO301" i="8"/>
  <c r="CS301" i="8"/>
  <c r="DD302" i="8"/>
  <c r="BW302" i="8"/>
  <c r="Y302" i="8"/>
  <c r="Z302" i="8" s="1"/>
  <c r="AB302" i="8" s="1"/>
  <c r="BR302" i="8"/>
  <c r="BX302" i="8"/>
  <c r="BS302" i="8"/>
  <c r="BU302" i="8"/>
  <c r="BQ302" i="8"/>
  <c r="BL302" i="8"/>
  <c r="DE302" i="8"/>
  <c r="CZ302" i="8"/>
  <c r="DB302" i="8"/>
  <c r="CX302" i="8"/>
  <c r="CO302" i="8"/>
  <c r="CS302" i="8"/>
  <c r="Y303" i="8"/>
  <c r="Z303" i="8" s="1"/>
  <c r="AB303" i="8" s="1"/>
  <c r="DD303" i="8"/>
  <c r="BW303" i="8"/>
  <c r="BR303" i="8"/>
  <c r="BX303" i="8"/>
  <c r="BU303" i="8"/>
  <c r="BT303" i="8"/>
  <c r="BQ303" i="8"/>
  <c r="BE303" i="8"/>
  <c r="BN303" i="8"/>
  <c r="BO303" i="8" s="1"/>
  <c r="BH303" i="8"/>
  <c r="BL303" i="8"/>
  <c r="CZ303" i="8"/>
  <c r="DE303" i="8"/>
  <c r="CY303" i="8"/>
  <c r="DA303" i="8"/>
  <c r="CX303" i="8"/>
  <c r="CL303" i="8"/>
  <c r="CO303" i="8"/>
  <c r="CS303" i="8"/>
  <c r="CV303" i="8"/>
  <c r="BT304" i="8"/>
  <c r="BU304" i="8"/>
  <c r="BQ304" i="8"/>
  <c r="BC304" i="8"/>
  <c r="BE304" i="8" s="1"/>
  <c r="BM304" i="8"/>
  <c r="BN304" i="8"/>
  <c r="BH304" i="8"/>
  <c r="CY304" i="8"/>
  <c r="DB304" i="8"/>
  <c r="CX304" i="8"/>
  <c r="CJ304" i="8"/>
  <c r="CL304" i="8" s="1"/>
  <c r="CT304" i="8"/>
  <c r="CO304" i="8"/>
  <c r="CS304" i="8"/>
  <c r="DD305" i="8"/>
  <c r="Y305" i="8"/>
  <c r="Z305" i="8" s="1"/>
  <c r="AB305" i="8" s="1"/>
  <c r="BD305" i="8"/>
  <c r="BN305" i="8"/>
  <c r="BL305" i="8"/>
  <c r="CS305" i="8"/>
  <c r="X326" i="8"/>
  <c r="BW310" i="8"/>
  <c r="BD310" i="8"/>
  <c r="BN310" i="8"/>
  <c r="Y311" i="8"/>
  <c r="Z311" i="8" s="1"/>
  <c r="AB311" i="8" s="1"/>
  <c r="DD311" i="8"/>
  <c r="BW311" i="8"/>
  <c r="BU311" i="8"/>
  <c r="BQ311" i="8"/>
  <c r="BD311" i="8"/>
  <c r="BN311" i="8"/>
  <c r="CS311" i="8"/>
  <c r="CV311" i="8"/>
  <c r="CW311" i="8" s="1"/>
  <c r="Y312" i="8"/>
  <c r="Z312" i="8" s="1"/>
  <c r="AB312" i="8" s="1"/>
  <c r="DD312" i="8"/>
  <c r="BW312" i="8"/>
  <c r="BC312" i="8"/>
  <c r="BM312" i="8"/>
  <c r="BO312" i="8"/>
  <c r="BL312" i="8"/>
  <c r="CL312" i="8"/>
  <c r="CO312" i="8"/>
  <c r="CS312" i="8"/>
  <c r="DD313" i="8"/>
  <c r="BW313" i="8"/>
  <c r="Y313" i="8"/>
  <c r="Z313" i="8" s="1"/>
  <c r="AB313" i="8" s="1"/>
  <c r="BL313" i="8"/>
  <c r="CO313" i="8"/>
  <c r="CP313" i="8" s="1"/>
  <c r="CS313" i="8"/>
  <c r="CV313" i="8"/>
  <c r="BW314" i="8"/>
  <c r="DD314" i="8"/>
  <c r="Y314" i="8"/>
  <c r="Z314" i="8" s="1"/>
  <c r="AB314" i="8" s="1"/>
  <c r="BS314" i="8"/>
  <c r="BX314" i="8"/>
  <c r="BR314" i="8"/>
  <c r="BL314" i="8"/>
  <c r="DA314" i="8"/>
  <c r="CY314" i="8"/>
  <c r="CO314" i="8"/>
  <c r="CP314" i="8" s="1"/>
  <c r="CS314" i="8"/>
  <c r="CV314" i="8"/>
  <c r="DD315" i="8"/>
  <c r="BW315" i="8"/>
  <c r="Y315" i="8"/>
  <c r="Z315" i="8" s="1"/>
  <c r="AB315" i="8" s="1"/>
  <c r="BS315" i="8"/>
  <c r="BX315" i="8"/>
  <c r="BR315" i="8"/>
  <c r="BT315" i="8"/>
  <c r="BQ315" i="8"/>
  <c r="DA315" i="8"/>
  <c r="DB315" i="8"/>
  <c r="CY315" i="8"/>
  <c r="CS315" i="8"/>
  <c r="DD316" i="8"/>
  <c r="BW316" i="8"/>
  <c r="Y316" i="8"/>
  <c r="Z316" i="8" s="1"/>
  <c r="AB316" i="8" s="1"/>
  <c r="BX316" i="8"/>
  <c r="BR316" i="8"/>
  <c r="BU316" i="8"/>
  <c r="BQ316" i="8"/>
  <c r="BO316" i="8"/>
  <c r="BL316" i="8"/>
  <c r="CO316" i="8"/>
  <c r="CS316" i="8"/>
  <c r="CV316" i="8"/>
  <c r="Y317" i="8"/>
  <c r="Z317" i="8" s="1"/>
  <c r="AB317" i="8" s="1"/>
  <c r="DD317" i="8"/>
  <c r="BW317" i="8"/>
  <c r="BH317" i="8"/>
  <c r="BM317" i="8"/>
  <c r="BO317" i="8" s="1"/>
  <c r="CO317" i="8"/>
  <c r="BR318" i="8"/>
  <c r="BS318" i="8"/>
  <c r="BH318" i="8"/>
  <c r="BM318" i="8"/>
  <c r="BL318" i="8"/>
  <c r="CO318" i="8"/>
  <c r="CT318" i="8"/>
  <c r="CS318" i="8"/>
  <c r="DD319" i="8"/>
  <c r="Y319" i="8"/>
  <c r="Z319" i="8" s="1"/>
  <c r="AB319" i="8" s="1"/>
  <c r="BU319" i="8"/>
  <c r="BT319" i="8"/>
  <c r="BQ319" i="8"/>
  <c r="BL319" i="8"/>
  <c r="CY319" i="8"/>
  <c r="DB319" i="8"/>
  <c r="DA319" i="8"/>
  <c r="CX319" i="8"/>
  <c r="CS319" i="8"/>
  <c r="DD320" i="8"/>
  <c r="Y320" i="8"/>
  <c r="Z320" i="8" s="1"/>
  <c r="AB320" i="8" s="1"/>
  <c r="BU320" i="8"/>
  <c r="BT320" i="8"/>
  <c r="BO320" i="8"/>
  <c r="BL320" i="8"/>
  <c r="CY320" i="8"/>
  <c r="DB320" i="8"/>
  <c r="DA320" i="8"/>
  <c r="CS320" i="8"/>
  <c r="Y321" i="8"/>
  <c r="Z321" i="8" s="1"/>
  <c r="AB321" i="8" s="1"/>
  <c r="DD321" i="8"/>
  <c r="BW321" i="8"/>
  <c r="BS321" i="8"/>
  <c r="BX321" i="8"/>
  <c r="BR321" i="8"/>
  <c r="DD322" i="8"/>
  <c r="BW322" i="8"/>
  <c r="Y322" i="8"/>
  <c r="Z322" i="8" s="1"/>
  <c r="BR322" i="8"/>
  <c r="BS322" i="8"/>
  <c r="BN322" i="8"/>
  <c r="BH322" i="8"/>
  <c r="BL322" i="8"/>
  <c r="CS322" i="8"/>
  <c r="CW322" i="8" s="1"/>
  <c r="DH322" i="8" s="1"/>
  <c r="Y323" i="8"/>
  <c r="Z323" i="8" s="1"/>
  <c r="AB323" i="8" s="1"/>
  <c r="DD323" i="8"/>
  <c r="BW323" i="8"/>
  <c r="BN323" i="8"/>
  <c r="BO323" i="8" s="1"/>
  <c r="BH323" i="8"/>
  <c r="BL323" i="8"/>
  <c r="CY323" i="8"/>
  <c r="DA323" i="8"/>
  <c r="CX323" i="8"/>
  <c r="CO323" i="8"/>
  <c r="CS323" i="8"/>
  <c r="BT324" i="8"/>
  <c r="BQ324" i="8"/>
  <c r="BE324" i="8"/>
  <c r="BN324" i="8"/>
  <c r="BH324" i="8"/>
  <c r="CY324" i="8"/>
  <c r="DB324" i="8"/>
  <c r="CX324" i="8"/>
  <c r="CL324" i="8"/>
  <c r="CS324" i="8"/>
  <c r="DD325" i="8"/>
  <c r="Y325" i="8"/>
  <c r="Z325" i="8" s="1"/>
  <c r="AB325" i="8" s="1"/>
  <c r="BD325" i="8"/>
  <c r="BN325" i="8"/>
  <c r="BL325" i="8"/>
  <c r="CS325" i="8"/>
  <c r="X346" i="8"/>
  <c r="Y330" i="8"/>
  <c r="Z330" i="8" s="1"/>
  <c r="AB330" i="8" s="1"/>
  <c r="BU330" i="8"/>
  <c r="BT330" i="8"/>
  <c r="BQ330" i="8"/>
  <c r="BE330" i="8"/>
  <c r="BH330" i="8"/>
  <c r="BL330" i="8"/>
  <c r="CY330" i="8"/>
  <c r="DB330" i="8"/>
  <c r="DA330" i="8"/>
  <c r="CX330" i="8"/>
  <c r="CL330" i="8"/>
  <c r="CO330" i="8"/>
  <c r="CS330" i="8"/>
  <c r="CW330" i="8" s="1"/>
  <c r="DD331" i="8"/>
  <c r="Y331" i="8"/>
  <c r="Z331" i="8" s="1"/>
  <c r="AB331" i="8" s="1"/>
  <c r="BR331" i="8"/>
  <c r="BS331" i="8"/>
  <c r="BU331" i="8"/>
  <c r="BT331" i="8"/>
  <c r="BQ331" i="8"/>
  <c r="BE331" i="8"/>
  <c r="BH331" i="8"/>
  <c r="BL331" i="8"/>
  <c r="DE331" i="8"/>
  <c r="CZ331" i="8"/>
  <c r="CY331" i="8"/>
  <c r="DB331" i="8"/>
  <c r="DA331" i="8"/>
  <c r="CX331" i="8"/>
  <c r="CL331" i="8"/>
  <c r="CO331" i="8"/>
  <c r="CS331" i="8"/>
  <c r="CW331" i="8" s="1"/>
  <c r="DD332" i="8"/>
  <c r="Y332" i="8"/>
  <c r="Z332" i="8" s="1"/>
  <c r="AB332" i="8" s="1"/>
  <c r="BS332" i="8"/>
  <c r="BX332" i="8"/>
  <c r="BU332" i="8"/>
  <c r="BT332" i="8"/>
  <c r="BQ332" i="8"/>
  <c r="BL332" i="8"/>
  <c r="CZ332" i="8"/>
  <c r="DE332" i="8"/>
  <c r="CY332" i="8"/>
  <c r="DB332" i="8"/>
  <c r="DA332" i="8"/>
  <c r="CX332" i="8"/>
  <c r="CS332" i="8"/>
  <c r="DD333" i="8"/>
  <c r="Y333" i="8"/>
  <c r="Z333" i="8" s="1"/>
  <c r="AB333" i="8" s="1"/>
  <c r="BS333" i="8"/>
  <c r="BX333" i="8"/>
  <c r="BU333" i="8"/>
  <c r="BT333" i="8"/>
  <c r="BQ333" i="8"/>
  <c r="BO333" i="8"/>
  <c r="BL333" i="8"/>
  <c r="CZ333" i="8"/>
  <c r="DE333" i="8"/>
  <c r="CY333" i="8"/>
  <c r="DB333" i="8"/>
  <c r="DA333" i="8"/>
  <c r="CX333" i="8"/>
  <c r="CS333" i="8"/>
  <c r="DD334" i="8"/>
  <c r="BW334" i="8"/>
  <c r="Y334" i="8"/>
  <c r="Z334" i="8" s="1"/>
  <c r="AB334" i="8" s="1"/>
  <c r="BT334" i="8"/>
  <c r="BU334" i="8"/>
  <c r="BQ334" i="8"/>
  <c r="BL334" i="8"/>
  <c r="CZ334" i="8"/>
  <c r="DE334" i="8"/>
  <c r="DA334" i="8"/>
  <c r="CY334" i="8"/>
  <c r="CX334" i="8"/>
  <c r="CO334" i="8"/>
  <c r="DD335" i="8"/>
  <c r="BW335" i="8"/>
  <c r="Y335" i="8"/>
  <c r="Z335" i="8" s="1"/>
  <c r="AB335" i="8" s="1"/>
  <c r="BS335" i="8"/>
  <c r="BX335" i="8"/>
  <c r="BD335" i="8"/>
  <c r="BE335" i="8" s="1"/>
  <c r="BN335" i="8"/>
  <c r="BO335" i="8" s="1"/>
  <c r="BL335" i="8"/>
  <c r="BP335" i="8" s="1"/>
  <c r="CZ335" i="8"/>
  <c r="DE335" i="8"/>
  <c r="DA335" i="8"/>
  <c r="CY335" i="8"/>
  <c r="CX335" i="8"/>
  <c r="CO335" i="8"/>
  <c r="DD336" i="8"/>
  <c r="BW336" i="8"/>
  <c r="Y336" i="8"/>
  <c r="Z336" i="8" s="1"/>
  <c r="AB336" i="8" s="1"/>
  <c r="BS336" i="8"/>
  <c r="BX336" i="8"/>
  <c r="BE336" i="8"/>
  <c r="BH336" i="8"/>
  <c r="BN336" i="8"/>
  <c r="BO336" i="8" s="1"/>
  <c r="BL336" i="8"/>
  <c r="BP336" i="8" s="1"/>
  <c r="DE336" i="8"/>
  <c r="CZ336" i="8"/>
  <c r="CO336" i="8"/>
  <c r="CV336" i="8"/>
  <c r="Y337" i="8"/>
  <c r="Z337" i="8" s="1"/>
  <c r="BW337" i="8"/>
  <c r="BU337" i="8"/>
  <c r="BT337" i="8"/>
  <c r="BQ337" i="8"/>
  <c r="BL337" i="8"/>
  <c r="CY337" i="8"/>
  <c r="DB337" i="8"/>
  <c r="DA337" i="8"/>
  <c r="CX337" i="8"/>
  <c r="CO337" i="8"/>
  <c r="CS337" i="8"/>
  <c r="CV337" i="8"/>
  <c r="BU338" i="8"/>
  <c r="BT338" i="8"/>
  <c r="BQ338" i="8"/>
  <c r="BC338" i="8"/>
  <c r="BE338" i="8" s="1"/>
  <c r="BM338" i="8"/>
  <c r="BN338" i="8"/>
  <c r="BO338" i="8" s="1"/>
  <c r="BH338" i="8"/>
  <c r="BL338" i="8"/>
  <c r="CY338" i="8"/>
  <c r="DB338" i="8"/>
  <c r="DA338" i="8"/>
  <c r="CX338" i="8"/>
  <c r="CJ338" i="8"/>
  <c r="CL338" i="8" s="1"/>
  <c r="CT338" i="8"/>
  <c r="CO338" i="8"/>
  <c r="CS338" i="8"/>
  <c r="CV338" i="8"/>
  <c r="BU339" i="8"/>
  <c r="BT339" i="8"/>
  <c r="BQ339" i="8"/>
  <c r="BC339" i="8"/>
  <c r="BE339" i="8" s="1"/>
  <c r="BM339" i="8"/>
  <c r="BN339" i="8"/>
  <c r="BO339" i="8" s="1"/>
  <c r="BH339" i="8"/>
  <c r="BL339" i="8"/>
  <c r="CY339" i="8"/>
  <c r="DB339" i="8"/>
  <c r="DA339" i="8"/>
  <c r="CX339" i="8"/>
  <c r="CJ339" i="8"/>
  <c r="CL339" i="8" s="1"/>
  <c r="CT339" i="8"/>
  <c r="CO339" i="8"/>
  <c r="CS339" i="8"/>
  <c r="CV339" i="8"/>
  <c r="BD340" i="8"/>
  <c r="BN340" i="8"/>
  <c r="CO340" i="8"/>
  <c r="DD341" i="8"/>
  <c r="BW341" i="8"/>
  <c r="Y341" i="8"/>
  <c r="Z341" i="8" s="1"/>
  <c r="AB341" i="8" s="1"/>
  <c r="BX341" i="8"/>
  <c r="BS341" i="8"/>
  <c r="BR341" i="8"/>
  <c r="BL341" i="8"/>
  <c r="DE341" i="8"/>
  <c r="CZ341" i="8"/>
  <c r="CO341" i="8"/>
  <c r="CS341" i="8"/>
  <c r="CV341" i="8"/>
  <c r="Y342" i="8"/>
  <c r="Z342" i="8" s="1"/>
  <c r="DD342" i="8"/>
  <c r="BW342" i="8"/>
  <c r="BR342" i="8"/>
  <c r="BX342" i="8"/>
  <c r="BS342" i="8"/>
  <c r="BU342" i="8"/>
  <c r="BT342" i="8"/>
  <c r="BQ342" i="8"/>
  <c r="BN342" i="8"/>
  <c r="BO342" i="8" s="1"/>
  <c r="BH342" i="8"/>
  <c r="BL342" i="8"/>
  <c r="BP342" i="8" s="1"/>
  <c r="DE342" i="8"/>
  <c r="CZ342" i="8"/>
  <c r="DB342" i="8"/>
  <c r="DA342" i="8"/>
  <c r="CX342" i="8"/>
  <c r="CL342" i="8"/>
  <c r="CO342" i="8"/>
  <c r="CS342" i="8"/>
  <c r="CW342" i="8" s="1"/>
  <c r="BU343" i="8"/>
  <c r="BT343" i="8"/>
  <c r="BQ343" i="8"/>
  <c r="BE343" i="8"/>
  <c r="BN343" i="8"/>
  <c r="BH343" i="8"/>
  <c r="BL343" i="8"/>
  <c r="CY343" i="8"/>
  <c r="DB343" i="8"/>
  <c r="DA343" i="8"/>
  <c r="CX343" i="8"/>
  <c r="CL343" i="8"/>
  <c r="CO343" i="8"/>
  <c r="CS343" i="8"/>
  <c r="BQ344" i="8"/>
  <c r="BU344" i="8"/>
  <c r="CY344" i="8"/>
  <c r="DB344" i="8"/>
  <c r="CV344" i="8"/>
  <c r="DD345" i="8"/>
  <c r="BW345" i="8"/>
  <c r="Y345" i="8"/>
  <c r="Z345" i="8" s="1"/>
  <c r="AB345" i="8" s="1"/>
  <c r="CO345" i="8"/>
  <c r="CS345" i="8"/>
  <c r="DD350" i="8"/>
  <c r="BW350" i="8"/>
  <c r="Y350" i="8"/>
  <c r="Z350" i="8" s="1"/>
  <c r="AB350" i="8" s="1"/>
  <c r="BX350" i="8"/>
  <c r="BS350" i="8"/>
  <c r="BR350" i="8"/>
  <c r="BL350" i="8"/>
  <c r="DE350" i="8"/>
  <c r="CZ350" i="8"/>
  <c r="CO350" i="8"/>
  <c r="CS350" i="8"/>
  <c r="CV350" i="8"/>
  <c r="DD351" i="8"/>
  <c r="BW351" i="8"/>
  <c r="Y351" i="8"/>
  <c r="Z351" i="8" s="1"/>
  <c r="BX351" i="8"/>
  <c r="BS351" i="8"/>
  <c r="BR351" i="8"/>
  <c r="BH351" i="8"/>
  <c r="BL351" i="8"/>
  <c r="DE351" i="8"/>
  <c r="CZ351" i="8"/>
  <c r="CO351" i="8"/>
  <c r="CS351" i="8"/>
  <c r="CV351" i="8"/>
  <c r="DD352" i="8"/>
  <c r="Y352" i="8"/>
  <c r="Z352" i="8" s="1"/>
  <c r="BU352" i="8"/>
  <c r="BT352" i="8"/>
  <c r="BQ352" i="8"/>
  <c r="BE352" i="8"/>
  <c r="BN352" i="8"/>
  <c r="BO352" i="8" s="1"/>
  <c r="BH352" i="8"/>
  <c r="BL352" i="8"/>
  <c r="DB352" i="8"/>
  <c r="DA352" i="8"/>
  <c r="CX352" i="8"/>
  <c r="CL352" i="8"/>
  <c r="CO352" i="8"/>
  <c r="CS352" i="8"/>
  <c r="CV352" i="8"/>
  <c r="CW352" i="8" s="1"/>
  <c r="BU353" i="8"/>
  <c r="BT353" i="8"/>
  <c r="BQ353" i="8"/>
  <c r="BE353" i="8"/>
  <c r="BN353" i="8"/>
  <c r="BO353" i="8" s="1"/>
  <c r="BH353" i="8"/>
  <c r="BL353" i="8"/>
  <c r="DB353" i="8"/>
  <c r="DA353" i="8"/>
  <c r="CX353" i="8"/>
  <c r="CL353" i="8"/>
  <c r="CO353" i="8"/>
  <c r="CS353" i="8"/>
  <c r="CV353" i="8"/>
  <c r="CW353" i="8" s="1"/>
  <c r="BU354" i="8"/>
  <c r="BQ354" i="8"/>
  <c r="BE354" i="8"/>
  <c r="BO354" i="8"/>
  <c r="BP354" i="8"/>
  <c r="DB354" i="8"/>
  <c r="CX354" i="8"/>
  <c r="CL354" i="8"/>
  <c r="CO354" i="8"/>
  <c r="BT355" i="8"/>
  <c r="BQ355" i="8"/>
  <c r="CZ355" i="8"/>
  <c r="DE355" i="8"/>
  <c r="DA355" i="8"/>
  <c r="CY355" i="8"/>
  <c r="CX355" i="8"/>
  <c r="CJ355" i="8"/>
  <c r="CL355" i="8" s="1"/>
  <c r="CT355" i="8"/>
  <c r="CO355" i="8"/>
  <c r="DD356" i="8"/>
  <c r="BW356" i="8"/>
  <c r="Y356" i="8"/>
  <c r="Z356" i="8" s="1"/>
  <c r="AB356" i="8" s="1"/>
  <c r="BX356" i="8"/>
  <c r="BS356" i="8"/>
  <c r="BR356" i="8"/>
  <c r="BL356" i="8"/>
  <c r="DE356" i="8"/>
  <c r="CZ356" i="8"/>
  <c r="DB356" i="8"/>
  <c r="CY356" i="8"/>
  <c r="CO356" i="8"/>
  <c r="CS356" i="8"/>
  <c r="CV356" i="8"/>
  <c r="AA357" i="8"/>
  <c r="AB357" i="8"/>
  <c r="BX357" i="8"/>
  <c r="BS357" i="8"/>
  <c r="BR357" i="8"/>
  <c r="BN357" i="8"/>
  <c r="BO357" i="8" s="1"/>
  <c r="BH357" i="8"/>
  <c r="BI357" i="8" s="1"/>
  <c r="BL357" i="8"/>
  <c r="BP357" i="8" s="1"/>
  <c r="DE357" i="8"/>
  <c r="CZ357" i="8"/>
  <c r="CX357" i="8"/>
  <c r="CY357" i="8"/>
  <c r="CO357" i="8"/>
  <c r="CP357" i="8" s="1"/>
  <c r="CS357" i="8"/>
  <c r="CV357" i="8"/>
  <c r="BR358" i="8"/>
  <c r="BX358" i="8"/>
  <c r="BU358" i="8"/>
  <c r="BT358" i="8"/>
  <c r="BQ358" i="8"/>
  <c r="BN358" i="8"/>
  <c r="BH358" i="8"/>
  <c r="BI358" i="8" s="1"/>
  <c r="BL358" i="8"/>
  <c r="CZ358" i="8"/>
  <c r="DE358" i="8"/>
  <c r="CY358" i="8"/>
  <c r="DB358" i="8"/>
  <c r="DA358" i="8"/>
  <c r="CX358" i="8"/>
  <c r="CJ358" i="8"/>
  <c r="CT358" i="8"/>
  <c r="CO358" i="8"/>
  <c r="CS358" i="8"/>
  <c r="BR359" i="8"/>
  <c r="BX359" i="8"/>
  <c r="BU359" i="8"/>
  <c r="BT359" i="8"/>
  <c r="BQ359" i="8"/>
  <c r="BC359" i="8"/>
  <c r="BM359" i="8"/>
  <c r="BN359" i="8"/>
  <c r="BH359" i="8"/>
  <c r="BL359" i="8"/>
  <c r="CY359" i="8"/>
  <c r="DB359" i="8"/>
  <c r="DA359" i="8"/>
  <c r="CX359" i="8"/>
  <c r="CL359" i="8"/>
  <c r="CO359" i="8"/>
  <c r="CS359" i="8"/>
  <c r="DD360" i="8"/>
  <c r="BW360" i="8"/>
  <c r="BC360" i="8"/>
  <c r="BM360" i="8"/>
  <c r="DA360" i="8"/>
  <c r="DB360" i="8"/>
  <c r="CY360" i="8"/>
  <c r="CX360" i="8"/>
  <c r="CJ360" i="8"/>
  <c r="CL360" i="8" s="1"/>
  <c r="CT360" i="8"/>
  <c r="CO360" i="8"/>
  <c r="CV360" i="8"/>
  <c r="DD361" i="8"/>
  <c r="BW361" i="8"/>
  <c r="Y361" i="8"/>
  <c r="Z361" i="8" s="1"/>
  <c r="BX361" i="8"/>
  <c r="BS361" i="8"/>
  <c r="BR361" i="8"/>
  <c r="BD361" i="8"/>
  <c r="BN361" i="8"/>
  <c r="BL361" i="8"/>
  <c r="DE361" i="8"/>
  <c r="CZ361" i="8"/>
  <c r="CS361" i="8"/>
  <c r="CV361" i="8"/>
  <c r="DD362" i="8"/>
  <c r="BW362" i="8"/>
  <c r="Y362" i="8"/>
  <c r="Z362" i="8" s="1"/>
  <c r="AB362" i="8" s="1"/>
  <c r="BX362" i="8"/>
  <c r="BS362" i="8"/>
  <c r="BU362" i="8"/>
  <c r="BT362" i="8"/>
  <c r="BQ362" i="8"/>
  <c r="BE362" i="8"/>
  <c r="BL362" i="8"/>
  <c r="DE362" i="8"/>
  <c r="CZ362" i="8"/>
  <c r="DB362" i="8"/>
  <c r="DA362" i="8"/>
  <c r="CX362" i="8"/>
  <c r="CO362" i="8"/>
  <c r="CS362" i="8"/>
  <c r="CV362" i="8"/>
  <c r="BR363" i="8"/>
  <c r="BX363" i="8"/>
  <c r="BU363" i="8"/>
  <c r="BT363" i="8"/>
  <c r="BQ363" i="8"/>
  <c r="BE363" i="8"/>
  <c r="BN363" i="8"/>
  <c r="BO363" i="8" s="1"/>
  <c r="BH363" i="8"/>
  <c r="BL363" i="8"/>
  <c r="BP363" i="8" s="1"/>
  <c r="CZ363" i="8"/>
  <c r="DE363" i="8"/>
  <c r="CY363" i="8"/>
  <c r="DB363" i="8"/>
  <c r="DA363" i="8"/>
  <c r="CX363" i="8"/>
  <c r="CL363" i="8"/>
  <c r="CO363" i="8"/>
  <c r="CS363" i="8"/>
  <c r="CW363" i="8" s="1"/>
  <c r="BT364" i="8"/>
  <c r="BU364" i="8"/>
  <c r="BQ364" i="8"/>
  <c r="CY364" i="8"/>
  <c r="DB364" i="8"/>
  <c r="CX364" i="8"/>
  <c r="CS364" i="8"/>
  <c r="DD365" i="8"/>
  <c r="BW365" i="8"/>
  <c r="Y365" i="8"/>
  <c r="Z365" i="8" s="1"/>
  <c r="AB365" i="8" s="1"/>
  <c r="CO365" i="8"/>
  <c r="CS365" i="8"/>
  <c r="BX370" i="8"/>
  <c r="BS370" i="8"/>
  <c r="BU370" i="8"/>
  <c r="BT370" i="8"/>
  <c r="BQ370" i="8"/>
  <c r="BH370" i="8"/>
  <c r="BL370" i="8"/>
  <c r="DE370" i="8"/>
  <c r="CZ370" i="8"/>
  <c r="DB370" i="8"/>
  <c r="DA370" i="8"/>
  <c r="CX370" i="8"/>
  <c r="CO370" i="8"/>
  <c r="CS370" i="8"/>
  <c r="CW370" i="8" s="1"/>
  <c r="BX371" i="8"/>
  <c r="BS371" i="8"/>
  <c r="BU371" i="8"/>
  <c r="BT371" i="8"/>
  <c r="BQ371" i="8"/>
  <c r="BE371" i="8"/>
  <c r="BH371" i="8"/>
  <c r="BL371" i="8"/>
  <c r="DE371" i="8"/>
  <c r="CZ371" i="8"/>
  <c r="DB371" i="8"/>
  <c r="DA371" i="8"/>
  <c r="CX371" i="8"/>
  <c r="CL371" i="8"/>
  <c r="CO371" i="8"/>
  <c r="CS371" i="8"/>
  <c r="CW371" i="8" s="1"/>
  <c r="DH371" i="8" s="1"/>
  <c r="BS372" i="8"/>
  <c r="BX372" i="8"/>
  <c r="BR372" i="8"/>
  <c r="BQ372" i="8"/>
  <c r="BU372" i="8"/>
  <c r="BT372" i="8"/>
  <c r="BC372" i="8"/>
  <c r="BE372" i="8" s="1"/>
  <c r="BM372" i="8"/>
  <c r="BN372" i="8"/>
  <c r="BH372" i="8"/>
  <c r="BL372" i="8"/>
  <c r="CZ372" i="8"/>
  <c r="DE372" i="8"/>
  <c r="CY372" i="8"/>
  <c r="DB372" i="8"/>
  <c r="DA372" i="8"/>
  <c r="CL372" i="8"/>
  <c r="CO372" i="8"/>
  <c r="CS372" i="8"/>
  <c r="BS373" i="8"/>
  <c r="BX373" i="8"/>
  <c r="BR373" i="8"/>
  <c r="BQ373" i="8"/>
  <c r="BU373" i="8"/>
  <c r="BT373" i="8"/>
  <c r="BE373" i="8"/>
  <c r="BN373" i="8"/>
  <c r="BO373" i="8" s="1"/>
  <c r="BH373" i="8"/>
  <c r="BL373" i="8"/>
  <c r="CZ373" i="8"/>
  <c r="DE373" i="8"/>
  <c r="CY373" i="8"/>
  <c r="DB373" i="8"/>
  <c r="DA373" i="8"/>
  <c r="CL373" i="8"/>
  <c r="CO373" i="8"/>
  <c r="CS373" i="8"/>
  <c r="BT374" i="8"/>
  <c r="BU374" i="8"/>
  <c r="BQ374" i="8"/>
  <c r="BC374" i="8"/>
  <c r="BE374" i="8" s="1"/>
  <c r="BM374" i="8"/>
  <c r="BO374" i="8"/>
  <c r="BL374" i="8"/>
  <c r="BP374" i="8" s="1"/>
  <c r="CZ374" i="8"/>
  <c r="DE374" i="8"/>
  <c r="CY374" i="8"/>
  <c r="DA374" i="8"/>
  <c r="CX374" i="8"/>
  <c r="CJ374" i="8"/>
  <c r="CL374" i="8" s="1"/>
  <c r="CT374" i="8"/>
  <c r="BS375" i="8"/>
  <c r="BX375" i="8"/>
  <c r="BR375" i="8"/>
  <c r="BU375" i="8"/>
  <c r="BQ375" i="8"/>
  <c r="BC375" i="8"/>
  <c r="BE375" i="8" s="1"/>
  <c r="BM375" i="8"/>
  <c r="BL375" i="8"/>
  <c r="CZ375" i="8"/>
  <c r="DE375" i="8"/>
  <c r="CS375" i="8"/>
  <c r="BX376" i="8"/>
  <c r="BS376" i="8"/>
  <c r="BT376" i="8"/>
  <c r="BU376" i="8"/>
  <c r="BQ376" i="8"/>
  <c r="BO376" i="8"/>
  <c r="DE376" i="8"/>
  <c r="CZ376" i="8"/>
  <c r="DA376" i="8"/>
  <c r="CY376" i="8"/>
  <c r="CO376" i="8"/>
  <c r="CS376" i="8"/>
  <c r="CV376" i="8"/>
  <c r="DD377" i="8"/>
  <c r="BW377" i="8"/>
  <c r="Y377" i="8"/>
  <c r="Z377" i="8" s="1"/>
  <c r="BX377" i="8"/>
  <c r="BS377" i="8"/>
  <c r="BR377" i="8"/>
  <c r="BO377" i="8"/>
  <c r="BL377" i="8"/>
  <c r="BP377" i="8" s="1"/>
  <c r="CB377" i="8" s="1"/>
  <c r="DE377" i="8"/>
  <c r="CZ377" i="8"/>
  <c r="CS377" i="8"/>
  <c r="Y378" i="8"/>
  <c r="Z378" i="8" s="1"/>
  <c r="DD378" i="8"/>
  <c r="BW378" i="8"/>
  <c r="BR378" i="8"/>
  <c r="BX378" i="8"/>
  <c r="BS378" i="8"/>
  <c r="BU378" i="8"/>
  <c r="BT378" i="8"/>
  <c r="BQ378" i="8"/>
  <c r="BE378" i="8"/>
  <c r="BO378" i="8"/>
  <c r="BL378" i="8"/>
  <c r="BP378" i="8" s="1"/>
  <c r="DE378" i="8"/>
  <c r="CZ378" i="8"/>
  <c r="CY378" i="8"/>
  <c r="DB378" i="8"/>
  <c r="DA378" i="8"/>
  <c r="CX378" i="8"/>
  <c r="CL378" i="8"/>
  <c r="CO378" i="8"/>
  <c r="CS378" i="8"/>
  <c r="CV378" i="8"/>
  <c r="Y379" i="8"/>
  <c r="Z379" i="8" s="1"/>
  <c r="DD379" i="8"/>
  <c r="BW379" i="8"/>
  <c r="BR379" i="8"/>
  <c r="BX379" i="8"/>
  <c r="BS379" i="8"/>
  <c r="BU379" i="8"/>
  <c r="BT379" i="8"/>
  <c r="BQ379" i="8"/>
  <c r="BO379" i="8"/>
  <c r="BL379" i="8"/>
  <c r="BP379" i="8" s="1"/>
  <c r="DE379" i="8"/>
  <c r="CZ379" i="8"/>
  <c r="CY379" i="8"/>
  <c r="DB379" i="8"/>
  <c r="DA379" i="8"/>
  <c r="CX379" i="8"/>
  <c r="CO379" i="8"/>
  <c r="CS379" i="8"/>
  <c r="CV379" i="8"/>
  <c r="BU380" i="8"/>
  <c r="BT380" i="8"/>
  <c r="BQ380" i="8"/>
  <c r="BC380" i="8"/>
  <c r="BE380" i="8" s="1"/>
  <c r="BM380" i="8"/>
  <c r="BN380" i="8"/>
  <c r="BO380" i="8" s="1"/>
  <c r="BH380" i="8"/>
  <c r="BL380" i="8"/>
  <c r="CZ380" i="8"/>
  <c r="DE380" i="8"/>
  <c r="CY380" i="8"/>
  <c r="DB380" i="8"/>
  <c r="DA380" i="8"/>
  <c r="CX380" i="8"/>
  <c r="CJ380" i="8"/>
  <c r="CL380" i="8" s="1"/>
  <c r="CT380" i="8"/>
  <c r="CO380" i="8"/>
  <c r="CS380" i="8"/>
  <c r="CV380" i="8"/>
  <c r="CW380" i="8" s="1"/>
  <c r="DD381" i="8"/>
  <c r="Y381" i="8"/>
  <c r="Z381" i="8" s="1"/>
  <c r="AB381" i="8" s="1"/>
  <c r="BH381" i="8"/>
  <c r="BN381" i="8"/>
  <c r="BL381" i="8"/>
  <c r="DD382" i="8"/>
  <c r="BW382" i="8"/>
  <c r="Y382" i="8"/>
  <c r="Z382" i="8" s="1"/>
  <c r="AB382" i="8" s="1"/>
  <c r="BX382" i="8"/>
  <c r="BS382" i="8"/>
  <c r="BR382" i="8"/>
  <c r="BH382" i="8"/>
  <c r="BL382" i="8"/>
  <c r="DE382" i="8"/>
  <c r="CZ382" i="8"/>
  <c r="CL382" i="8"/>
  <c r="CO382" i="8"/>
  <c r="Y383" i="8"/>
  <c r="Z383" i="8" s="1"/>
  <c r="AB383" i="8" s="1"/>
  <c r="DD383" i="8"/>
  <c r="BW383" i="8"/>
  <c r="BR383" i="8"/>
  <c r="BX383" i="8"/>
  <c r="BS383" i="8"/>
  <c r="BU383" i="8"/>
  <c r="BT383" i="8"/>
  <c r="BQ383" i="8"/>
  <c r="BN383" i="8"/>
  <c r="BO383" i="8" s="1"/>
  <c r="BH383" i="8"/>
  <c r="BL383" i="8"/>
  <c r="BP383" i="8" s="1"/>
  <c r="DE383" i="8"/>
  <c r="CZ383" i="8"/>
  <c r="CY383" i="8"/>
  <c r="DA383" i="8"/>
  <c r="CX383" i="8"/>
  <c r="CL383" i="8"/>
  <c r="CO383" i="8"/>
  <c r="CS383" i="8"/>
  <c r="CV383" i="8"/>
  <c r="BU384" i="8"/>
  <c r="BT384" i="8"/>
  <c r="BQ384" i="8"/>
  <c r="BC384" i="8"/>
  <c r="BE384" i="8" s="1"/>
  <c r="BM384" i="8"/>
  <c r="BN384" i="8"/>
  <c r="BH384" i="8"/>
  <c r="BL384" i="8"/>
  <c r="CY384" i="8"/>
  <c r="DB384" i="8"/>
  <c r="DA384" i="8"/>
  <c r="CX384" i="8"/>
  <c r="CJ384" i="8"/>
  <c r="CL384" i="8" s="1"/>
  <c r="CT384" i="8"/>
  <c r="CO384" i="8"/>
  <c r="CS384" i="8"/>
  <c r="BT385" i="8"/>
  <c r="BU385" i="8"/>
  <c r="BC385" i="8"/>
  <c r="BM385" i="8"/>
  <c r="BD385" i="8"/>
  <c r="BE385" i="8" s="1"/>
  <c r="BN385" i="8"/>
  <c r="BL385" i="8"/>
  <c r="DA385" i="8"/>
  <c r="DB385" i="8"/>
  <c r="CL385" i="8"/>
  <c r="CS385" i="8"/>
  <c r="BE390" i="8"/>
  <c r="BL390" i="8"/>
  <c r="CJ390" i="8"/>
  <c r="CT390" i="8"/>
  <c r="CV390" i="8" s="1"/>
  <c r="CO390" i="8"/>
  <c r="CS390" i="8"/>
  <c r="BC391" i="8"/>
  <c r="BM391" i="8"/>
  <c r="BL391" i="8"/>
  <c r="CJ391" i="8"/>
  <c r="CL391" i="8" s="1"/>
  <c r="CT391" i="8"/>
  <c r="CV391" i="8" s="1"/>
  <c r="CS391" i="8"/>
  <c r="BU392" i="8"/>
  <c r="BQ392" i="8"/>
  <c r="BD392" i="8"/>
  <c r="BN392" i="8"/>
  <c r="BL392" i="8"/>
  <c r="CZ392" i="8"/>
  <c r="DE392" i="8"/>
  <c r="CY392" i="8"/>
  <c r="DB392" i="8"/>
  <c r="CS392" i="8"/>
  <c r="DD393" i="8"/>
  <c r="BW393" i="8"/>
  <c r="Y393" i="8"/>
  <c r="Z393" i="8" s="1"/>
  <c r="AB393" i="8" s="1"/>
  <c r="BS393" i="8"/>
  <c r="BX393" i="8"/>
  <c r="BD393" i="8"/>
  <c r="BN393" i="8"/>
  <c r="BL393" i="8"/>
  <c r="DE393" i="8"/>
  <c r="CZ393" i="8"/>
  <c r="CY393" i="8"/>
  <c r="DB393" i="8"/>
  <c r="DA393" i="8"/>
  <c r="CS393" i="8"/>
  <c r="DD394" i="8"/>
  <c r="BW394" i="8"/>
  <c r="Y394" i="8"/>
  <c r="Z394" i="8" s="1"/>
  <c r="AB394" i="8" s="1"/>
  <c r="BU394" i="8"/>
  <c r="BQ394" i="8"/>
  <c r="BL394" i="8"/>
  <c r="CZ394" i="8"/>
  <c r="DE394" i="8"/>
  <c r="CS394" i="8"/>
  <c r="DD395" i="8"/>
  <c r="BW395" i="8"/>
  <c r="Y395" i="8"/>
  <c r="Z395" i="8" s="1"/>
  <c r="AB395" i="8" s="1"/>
  <c r="BS395" i="8"/>
  <c r="BX395" i="8"/>
  <c r="BR395" i="8"/>
  <c r="BD395" i="8"/>
  <c r="BE395" i="8" s="1"/>
  <c r="BI395" i="8" s="1"/>
  <c r="BN395" i="8"/>
  <c r="BL395" i="8"/>
  <c r="CZ395" i="8"/>
  <c r="DE395" i="8"/>
  <c r="CS395" i="8"/>
  <c r="DD396" i="8"/>
  <c r="BW396" i="8"/>
  <c r="Y396" i="8"/>
  <c r="Z396" i="8" s="1"/>
  <c r="BH396" i="8"/>
  <c r="BN396" i="8"/>
  <c r="BL396" i="8"/>
  <c r="DB396" i="8"/>
  <c r="CY396" i="8"/>
  <c r="CS396" i="8"/>
  <c r="Y397" i="8"/>
  <c r="Z397" i="8" s="1"/>
  <c r="AB397" i="8" s="1"/>
  <c r="BW397" i="8"/>
  <c r="BU397" i="8"/>
  <c r="BT397" i="8"/>
  <c r="BQ397" i="8"/>
  <c r="BL397" i="8"/>
  <c r="BP397" i="8" s="1"/>
  <c r="CZ397" i="8"/>
  <c r="DE397" i="8"/>
  <c r="DB397" i="8"/>
  <c r="CX397" i="8"/>
  <c r="CO397" i="8"/>
  <c r="CT397" i="8"/>
  <c r="CV397" i="8" s="1"/>
  <c r="CS397" i="8"/>
  <c r="CW397" i="8" s="1"/>
  <c r="BC398" i="8"/>
  <c r="BM398" i="8"/>
  <c r="BL398" i="8"/>
  <c r="DE398" i="8"/>
  <c r="CZ398" i="8"/>
  <c r="DA398" i="8"/>
  <c r="CX398" i="8"/>
  <c r="CS398" i="8"/>
  <c r="DD399" i="8"/>
  <c r="Y399" i="8"/>
  <c r="Z399" i="8" s="1"/>
  <c r="BC399" i="8"/>
  <c r="BE399" i="8" s="1"/>
  <c r="BM399" i="8"/>
  <c r="BL399" i="8"/>
  <c r="CZ399" i="8"/>
  <c r="DE399" i="8"/>
  <c r="CY399" i="8"/>
  <c r="DB399" i="8"/>
  <c r="DA399" i="8"/>
  <c r="CX399" i="8"/>
  <c r="CS399" i="8"/>
  <c r="DD400" i="8"/>
  <c r="BW400" i="8"/>
  <c r="Y400" i="8"/>
  <c r="Z400" i="8" s="1"/>
  <c r="AB400" i="8" s="1"/>
  <c r="BT400" i="8"/>
  <c r="BU400" i="8"/>
  <c r="BQ400" i="8"/>
  <c r="BL400" i="8"/>
  <c r="CY400" i="8"/>
  <c r="DB400" i="8"/>
  <c r="DA400" i="8"/>
  <c r="CS400" i="8"/>
  <c r="Y401" i="8"/>
  <c r="Z401" i="8" s="1"/>
  <c r="AB401" i="8" s="1"/>
  <c r="DD401" i="8"/>
  <c r="BW401" i="8"/>
  <c r="BC401" i="8"/>
  <c r="BM401" i="8"/>
  <c r="BH401" i="8"/>
  <c r="CL401" i="8"/>
  <c r="DD402" i="8"/>
  <c r="BW402" i="8"/>
  <c r="Y402" i="8"/>
  <c r="Z402" i="8" s="1"/>
  <c r="BR402" i="8"/>
  <c r="BX402" i="8"/>
  <c r="BU402" i="8"/>
  <c r="BT402" i="8"/>
  <c r="BQ402" i="8"/>
  <c r="BL402" i="8"/>
  <c r="DE402" i="8"/>
  <c r="CZ402" i="8"/>
  <c r="DB402" i="8"/>
  <c r="DA402" i="8"/>
  <c r="CS402" i="8"/>
  <c r="Y403" i="8"/>
  <c r="Z403" i="8" s="1"/>
  <c r="AB403" i="8" s="1"/>
  <c r="DD403" i="8"/>
  <c r="BW403" i="8"/>
  <c r="BU403" i="8"/>
  <c r="BT403" i="8"/>
  <c r="BQ403" i="8"/>
  <c r="BH403" i="8"/>
  <c r="BM403" i="8"/>
  <c r="BL403" i="8"/>
  <c r="CO403" i="8"/>
  <c r="CS403" i="8"/>
  <c r="BS404" i="8"/>
  <c r="BR404" i="8"/>
  <c r="BQ404" i="8"/>
  <c r="BU404" i="8"/>
  <c r="CY404" i="8"/>
  <c r="DB404" i="8"/>
  <c r="CO404" i="8"/>
  <c r="DD405" i="8"/>
  <c r="Y405" i="8"/>
  <c r="Z405" i="8" s="1"/>
  <c r="AB405" i="8" s="1"/>
  <c r="BD405" i="8"/>
  <c r="BN405" i="8"/>
  <c r="BL405" i="8"/>
  <c r="CO405" i="8"/>
  <c r="CS405" i="8"/>
  <c r="G329" i="15"/>
  <c r="H329" i="15"/>
  <c r="F329" i="15"/>
  <c r="E329" i="15"/>
  <c r="G299" i="15"/>
  <c r="F299" i="15"/>
  <c r="E299" i="15"/>
  <c r="H299" i="15"/>
  <c r="AK287" i="15" s="1"/>
  <c r="F284" i="15"/>
  <c r="H284" i="15"/>
  <c r="G284" i="15"/>
  <c r="E284" i="15"/>
  <c r="F269" i="15"/>
  <c r="H269" i="15"/>
  <c r="G269" i="15"/>
  <c r="E269" i="15"/>
  <c r="E254" i="15"/>
  <c r="F254" i="15"/>
  <c r="G254" i="15"/>
  <c r="H254" i="15"/>
  <c r="AK242" i="15" s="1"/>
  <c r="F239" i="15"/>
  <c r="H239" i="15"/>
  <c r="E239" i="15"/>
  <c r="G239" i="15"/>
  <c r="H224" i="15"/>
  <c r="G224" i="15"/>
  <c r="E224" i="15"/>
  <c r="F224" i="15"/>
  <c r="AK212" i="15" s="1"/>
  <c r="F209" i="15"/>
  <c r="H209" i="15"/>
  <c r="G209" i="15"/>
  <c r="E209" i="15"/>
  <c r="H194" i="15"/>
  <c r="G194" i="15"/>
  <c r="E194" i="15"/>
  <c r="F194" i="15"/>
  <c r="F179" i="15"/>
  <c r="E179" i="15"/>
  <c r="H179" i="15"/>
  <c r="AK167" i="15" s="1"/>
  <c r="G179" i="15"/>
  <c r="H164" i="15"/>
  <c r="F164" i="15"/>
  <c r="E164" i="15"/>
  <c r="G164" i="15"/>
  <c r="F149" i="15"/>
  <c r="E149" i="15"/>
  <c r="G149" i="15"/>
  <c r="H149" i="15"/>
  <c r="AK137" i="15" s="1"/>
  <c r="F134" i="15"/>
  <c r="E134" i="15"/>
  <c r="H134" i="15"/>
  <c r="AK122" i="15" s="1"/>
  <c r="G134" i="15"/>
  <c r="H119" i="15"/>
  <c r="G119" i="15"/>
  <c r="E119" i="15"/>
  <c r="F119" i="15"/>
  <c r="G104" i="15"/>
  <c r="F104" i="15"/>
  <c r="E104" i="15"/>
  <c r="H104" i="15"/>
  <c r="AK92" i="15" s="1"/>
  <c r="D71" i="15"/>
  <c r="G71" i="15" s="1"/>
  <c r="D72" i="15"/>
  <c r="G72" i="15" s="1"/>
  <c r="D74" i="15"/>
  <c r="G66" i="15"/>
  <c r="D73" i="15"/>
  <c r="G73" i="15" s="1"/>
  <c r="DE311" i="8"/>
  <c r="BO313" i="8"/>
  <c r="BH314" i="8"/>
  <c r="BX317" i="8"/>
  <c r="DA318" i="8"/>
  <c r="CO319" i="8"/>
  <c r="BQ320" i="8"/>
  <c r="DE321" i="8"/>
  <c r="BQ322" i="8"/>
  <c r="CZ322" i="8"/>
  <c r="CW323" i="8"/>
  <c r="CP312" i="8"/>
  <c r="CT312" i="8"/>
  <c r="CV312" i="8" s="1"/>
  <c r="CW312" i="8" s="1"/>
  <c r="CT317" i="8"/>
  <c r="CV317" i="8" s="1"/>
  <c r="BT318" i="8"/>
  <c r="DB318" i="8"/>
  <c r="DE319" i="8"/>
  <c r="BP323" i="8"/>
  <c r="CX313" i="8"/>
  <c r="DB314" i="8"/>
  <c r="BU318" i="8"/>
  <c r="BC319" i="8"/>
  <c r="BE319" i="8" s="1"/>
  <c r="BI319" i="8" s="1"/>
  <c r="CO321" i="8"/>
  <c r="CL323" i="8"/>
  <c r="CP323" i="8" s="1"/>
  <c r="CP318" i="8"/>
  <c r="BX311" i="8"/>
  <c r="BO314" i="8"/>
  <c r="BP314" i="8" s="1"/>
  <c r="CB314" i="8" s="1"/>
  <c r="CO315" i="8"/>
  <c r="CP315" i="8" s="1"/>
  <c r="CW316" i="8"/>
  <c r="BP317" i="8"/>
  <c r="BM319" i="8"/>
  <c r="CJ319" i="8"/>
  <c r="CL319" i="8" s="1"/>
  <c r="CP319" i="8" s="1"/>
  <c r="BH320" i="8"/>
  <c r="CO322" i="8"/>
  <c r="BE323" i="8"/>
  <c r="BI323" i="8" s="1"/>
  <c r="BQ323" i="8"/>
  <c r="CT324" i="8"/>
  <c r="CX312" i="8"/>
  <c r="BQ313" i="8"/>
  <c r="BC314" i="8"/>
  <c r="CL317" i="8"/>
  <c r="CV319" i="8"/>
  <c r="CW319" i="8" s="1"/>
  <c r="CX320" i="8"/>
  <c r="BX322" i="8"/>
  <c r="BT323" i="8"/>
  <c r="BM324" i="8"/>
  <c r="CX311" i="8"/>
  <c r="BQ312" i="8"/>
  <c r="BE314" i="8"/>
  <c r="BI314" i="8" s="1"/>
  <c r="BI318" i="8"/>
  <c r="CV315" i="8"/>
  <c r="BP316" i="8"/>
  <c r="CL316" i="8"/>
  <c r="DE316" i="8"/>
  <c r="BE317" i="8"/>
  <c r="BI317" i="8" s="1"/>
  <c r="CW317" i="8"/>
  <c r="DE317" i="8"/>
  <c r="CX318" i="8"/>
  <c r="CO320" i="8"/>
  <c r="BH321" i="8"/>
  <c r="CJ322" i="8"/>
  <c r="CL322" i="8" s="1"/>
  <c r="CP322" i="8" s="1"/>
  <c r="CX322" i="8"/>
  <c r="BI324" i="8"/>
  <c r="BU324" i="8"/>
  <c r="CO324" i="8"/>
  <c r="CP324" i="8" s="1"/>
  <c r="BE310" i="8"/>
  <c r="BX310" i="8"/>
  <c r="CV310" i="8"/>
  <c r="CX310" i="8"/>
  <c r="DE310" i="8"/>
  <c r="BO310" i="8"/>
  <c r="BP310" i="8" s="1"/>
  <c r="BQ310" i="8"/>
  <c r="D329" i="7"/>
  <c r="D327" i="7"/>
  <c r="G327" i="7" s="1"/>
  <c r="D328" i="7"/>
  <c r="G328" i="7" s="1"/>
  <c r="D326" i="7"/>
  <c r="G326" i="7" s="1"/>
  <c r="D311" i="7"/>
  <c r="G311" i="7" s="1"/>
  <c r="D314" i="7"/>
  <c r="G314" i="7" s="1"/>
  <c r="D312" i="7"/>
  <c r="G312" i="7" s="1"/>
  <c r="D313" i="7"/>
  <c r="G313" i="7" s="1"/>
  <c r="D296" i="7"/>
  <c r="G296" i="7" s="1"/>
  <c r="D299" i="7"/>
  <c r="D298" i="7"/>
  <c r="G298" i="7" s="1"/>
  <c r="D297" i="7"/>
  <c r="G297" i="7" s="1"/>
  <c r="D282" i="7"/>
  <c r="G282" i="7" s="1"/>
  <c r="D281" i="7"/>
  <c r="G281" i="7" s="1"/>
  <c r="D284" i="7"/>
  <c r="D283" i="7"/>
  <c r="G283" i="7" s="1"/>
  <c r="D269" i="7"/>
  <c r="D268" i="7"/>
  <c r="G268" i="7" s="1"/>
  <c r="D266" i="7"/>
  <c r="G266" i="7" s="1"/>
  <c r="D267" i="7"/>
  <c r="G267" i="7" s="1"/>
  <c r="D253" i="7"/>
  <c r="G253" i="7" s="1"/>
  <c r="D252" i="7"/>
  <c r="G252" i="7" s="1"/>
  <c r="D251" i="7"/>
  <c r="G251" i="7" s="1"/>
  <c r="D254" i="7"/>
  <c r="D236" i="7"/>
  <c r="G236" i="7" s="1"/>
  <c r="D239" i="7"/>
  <c r="D238" i="7"/>
  <c r="G238" i="7" s="1"/>
  <c r="D237" i="7"/>
  <c r="G237" i="7" s="1"/>
  <c r="D222" i="7"/>
  <c r="G222" i="7" s="1"/>
  <c r="D221" i="7"/>
  <c r="G221" i="7" s="1"/>
  <c r="D224" i="7"/>
  <c r="D223" i="7"/>
  <c r="G223" i="7" s="1"/>
  <c r="D206" i="7"/>
  <c r="G206" i="7" s="1"/>
  <c r="D209" i="7"/>
  <c r="D208" i="7"/>
  <c r="G208" i="7" s="1"/>
  <c r="D207" i="7"/>
  <c r="G207" i="7" s="1"/>
  <c r="D192" i="7"/>
  <c r="G192" i="7" s="1"/>
  <c r="D191" i="7"/>
  <c r="G191" i="7" s="1"/>
  <c r="D194" i="7"/>
  <c r="D193" i="7"/>
  <c r="G193" i="7" s="1"/>
  <c r="D179" i="7"/>
  <c r="D178" i="7"/>
  <c r="G178" i="7" s="1"/>
  <c r="D177" i="7"/>
  <c r="G177" i="7" s="1"/>
  <c r="D176" i="7"/>
  <c r="G176" i="7" s="1"/>
  <c r="D163" i="7"/>
  <c r="G163" i="7" s="1"/>
  <c r="D161" i="7"/>
  <c r="G161" i="7" s="1"/>
  <c r="D164" i="7"/>
  <c r="D162" i="7"/>
  <c r="G162" i="7" s="1"/>
  <c r="D149" i="7"/>
  <c r="D146" i="7"/>
  <c r="G146" i="7" s="1"/>
  <c r="D148" i="7"/>
  <c r="G148" i="7" s="1"/>
  <c r="D147" i="7"/>
  <c r="G147" i="7" s="1"/>
  <c r="D133" i="7"/>
  <c r="G133" i="7" s="1"/>
  <c r="D132" i="7"/>
  <c r="G132" i="7" s="1"/>
  <c r="D131" i="7"/>
  <c r="G131" i="7" s="1"/>
  <c r="D134" i="7"/>
  <c r="D118" i="7"/>
  <c r="G118" i="7" s="1"/>
  <c r="D116" i="7"/>
  <c r="G116" i="7" s="1"/>
  <c r="D119" i="7"/>
  <c r="D117" i="7"/>
  <c r="G117" i="7" s="1"/>
  <c r="D103" i="7"/>
  <c r="G103" i="7" s="1"/>
  <c r="D102" i="7"/>
  <c r="G102" i="7" s="1"/>
  <c r="D101" i="7"/>
  <c r="G101" i="7" s="1"/>
  <c r="D104" i="7"/>
  <c r="D88" i="7"/>
  <c r="G88" i="7" s="1"/>
  <c r="D89" i="7"/>
  <c r="D87" i="7"/>
  <c r="G87" i="7" s="1"/>
  <c r="D86" i="7"/>
  <c r="G86" i="7" s="1"/>
  <c r="G74" i="7"/>
  <c r="F74" i="7"/>
  <c r="E74" i="7"/>
  <c r="G72" i="7"/>
  <c r="CW403" i="8"/>
  <c r="BE391" i="8"/>
  <c r="BR391" i="8"/>
  <c r="DA391" i="8"/>
  <c r="BT392" i="8"/>
  <c r="BT394" i="8"/>
  <c r="BO396" i="8"/>
  <c r="BP396" i="8" s="1"/>
  <c r="CO396" i="8"/>
  <c r="BS398" i="8"/>
  <c r="DB398" i="8"/>
  <c r="BX401" i="8"/>
  <c r="CT401" i="8"/>
  <c r="CV401" i="8" s="1"/>
  <c r="CW401" i="8" s="1"/>
  <c r="BO402" i="8"/>
  <c r="BP402" i="8" s="1"/>
  <c r="CJ403" i="8"/>
  <c r="CL403" i="8" s="1"/>
  <c r="CP403" i="8" s="1"/>
  <c r="BU393" i="8"/>
  <c r="BT391" i="8"/>
  <c r="DB391" i="8"/>
  <c r="BQ399" i="8"/>
  <c r="BH402" i="8"/>
  <c r="BO391" i="8"/>
  <c r="BU391" i="8"/>
  <c r="CO391" i="8"/>
  <c r="CP391" i="8" s="1"/>
  <c r="CX393" i="8"/>
  <c r="CX395" i="8"/>
  <c r="CO398" i="8"/>
  <c r="BU399" i="8"/>
  <c r="BE403" i="8"/>
  <c r="BI403" i="8" s="1"/>
  <c r="CT404" i="8"/>
  <c r="CV404" i="8" s="1"/>
  <c r="CW404" i="8" s="1"/>
  <c r="BQ405" i="8"/>
  <c r="BU398" i="8"/>
  <c r="CO402" i="8"/>
  <c r="BH404" i="8"/>
  <c r="BI404" i="8" s="1"/>
  <c r="BH391" i="8"/>
  <c r="DE391" i="8"/>
  <c r="CX392" i="8"/>
  <c r="CX394" i="8"/>
  <c r="BM395" i="8"/>
  <c r="BO395" i="8" s="1"/>
  <c r="BP395" i="8" s="1"/>
  <c r="CY395" i="8"/>
  <c r="BX397" i="8"/>
  <c r="BX398" i="8"/>
  <c r="CW402" i="8"/>
  <c r="CX403" i="8"/>
  <c r="BS405" i="8"/>
  <c r="BX391" i="8"/>
  <c r="DA392" i="8"/>
  <c r="BQ393" i="8"/>
  <c r="CY394" i="8"/>
  <c r="CX396" i="8"/>
  <c r="BO403" i="8"/>
  <c r="DA403" i="8"/>
  <c r="BM404" i="8"/>
  <c r="BO404" i="8" s="1"/>
  <c r="BP404" i="8" s="1"/>
  <c r="CP404" i="8"/>
  <c r="CP397" i="8"/>
  <c r="CX400" i="8"/>
  <c r="BR401" i="8"/>
  <c r="CO401" i="8"/>
  <c r="DE401" i="8"/>
  <c r="BS402" i="8"/>
  <c r="CJ402" i="8"/>
  <c r="CL402" i="8" s="1"/>
  <c r="CP402" i="8" s="1"/>
  <c r="CX402" i="8"/>
  <c r="CZ405" i="8"/>
  <c r="DB390" i="8"/>
  <c r="BU390" i="8"/>
  <c r="BT390" i="8"/>
  <c r="DE390" i="8"/>
  <c r="BX390" i="8"/>
  <c r="CL390" i="8"/>
  <c r="CP390" i="8" s="1"/>
  <c r="BI390" i="8"/>
  <c r="BR390" i="8"/>
  <c r="DA390" i="8"/>
  <c r="G216" i="7"/>
  <c r="Z390" i="8"/>
  <c r="AB390" i="8" s="1"/>
  <c r="AA393" i="8"/>
  <c r="DI397" i="8"/>
  <c r="DH397" i="8"/>
  <c r="AA392" i="8"/>
  <c r="CW390" i="8"/>
  <c r="CJ393" i="8"/>
  <c r="CL393" i="8" s="1"/>
  <c r="CO393" i="8"/>
  <c r="CO395" i="8"/>
  <c r="AA401" i="8"/>
  <c r="DI402" i="8"/>
  <c r="BP391" i="8"/>
  <c r="BM394" i="8"/>
  <c r="BO394" i="8" s="1"/>
  <c r="BP394" i="8" s="1"/>
  <c r="BC394" i="8"/>
  <c r="CT394" i="8"/>
  <c r="CV394" i="8" s="1"/>
  <c r="CW394" i="8" s="1"/>
  <c r="CJ394" i="8"/>
  <c r="CL394" i="8" s="1"/>
  <c r="AA395" i="8"/>
  <c r="CD395" i="8" s="1"/>
  <c r="CW396" i="8"/>
  <c r="BO390" i="8"/>
  <c r="BD394" i="8"/>
  <c r="BH394" i="8"/>
  <c r="CO394" i="8"/>
  <c r="CB395" i="8"/>
  <c r="CA395" i="8"/>
  <c r="X406" i="8"/>
  <c r="DD390" i="8"/>
  <c r="BW390" i="8"/>
  <c r="BP390" i="8"/>
  <c r="BC392" i="8"/>
  <c r="BE392" i="8" s="1"/>
  <c r="BH392" i="8"/>
  <c r="CJ392" i="8"/>
  <c r="CL392" i="8" s="1"/>
  <c r="CO392" i="8"/>
  <c r="BC393" i="8"/>
  <c r="BE393" i="8" s="1"/>
  <c r="BH393" i="8"/>
  <c r="DD392" i="8"/>
  <c r="BW392" i="8"/>
  <c r="CT395" i="8"/>
  <c r="CV395" i="8" s="1"/>
  <c r="CW395" i="8" s="1"/>
  <c r="CJ395" i="8"/>
  <c r="CL395" i="8" s="1"/>
  <c r="CP395" i="8" s="1"/>
  <c r="DK395" i="8" s="1"/>
  <c r="AA400" i="8"/>
  <c r="CW391" i="8"/>
  <c r="BO392" i="8"/>
  <c r="BP392" i="8" s="1"/>
  <c r="CV392" i="8"/>
  <c r="CW392" i="8" s="1"/>
  <c r="BO393" i="8"/>
  <c r="BP393" i="8" s="1"/>
  <c r="AA397" i="8"/>
  <c r="CD397" i="8" s="1"/>
  <c r="CP398" i="8"/>
  <c r="CV399" i="8"/>
  <c r="CW399" i="8" s="1"/>
  <c r="AA403" i="8"/>
  <c r="CB397" i="8"/>
  <c r="CA397" i="8"/>
  <c r="DD391" i="8"/>
  <c r="BW391" i="8"/>
  <c r="CT393" i="8"/>
  <c r="CV393" i="8" s="1"/>
  <c r="CW393" i="8" s="1"/>
  <c r="AA394" i="8"/>
  <c r="BE398" i="8"/>
  <c r="AA391" i="8"/>
  <c r="BT395" i="8"/>
  <c r="BQ395" i="8"/>
  <c r="DB401" i="8"/>
  <c r="DA401" i="8"/>
  <c r="CX401" i="8"/>
  <c r="CY401" i="8"/>
  <c r="BX394" i="8"/>
  <c r="BX396" i="8"/>
  <c r="CZ396" i="8"/>
  <c r="BH397" i="8"/>
  <c r="CY397" i="8"/>
  <c r="BO398" i="8"/>
  <c r="BP398" i="8" s="1"/>
  <c r="BH400" i="8"/>
  <c r="CZ400" i="8"/>
  <c r="DE400" i="8"/>
  <c r="CP401" i="8"/>
  <c r="BX392" i="8"/>
  <c r="DA396" i="8"/>
  <c r="BR397" i="8"/>
  <c r="DD398" i="8"/>
  <c r="BW398" i="8"/>
  <c r="BR403" i="8"/>
  <c r="BX403" i="8"/>
  <c r="BS403" i="8"/>
  <c r="BC405" i="8"/>
  <c r="BE405" i="8" s="1"/>
  <c r="BM405" i="8"/>
  <c r="BO405" i="8" s="1"/>
  <c r="BP405" i="8" s="1"/>
  <c r="BR394" i="8"/>
  <c r="BQ396" i="8"/>
  <c r="CJ396" i="8"/>
  <c r="DA397" i="8"/>
  <c r="Y398" i="8"/>
  <c r="Z398" i="8" s="1"/>
  <c r="AB398" i="8" s="1"/>
  <c r="BH398" i="8"/>
  <c r="BQ398" i="8"/>
  <c r="BH399" i="8"/>
  <c r="BI399" i="8" s="1"/>
  <c r="BS399" i="8"/>
  <c r="CO399" i="8"/>
  <c r="DD404" i="8"/>
  <c r="BW404" i="8"/>
  <c r="Y404" i="8"/>
  <c r="Z404" i="8" s="1"/>
  <c r="AB404" i="8" s="1"/>
  <c r="BO399" i="8"/>
  <c r="BP399" i="8" s="1"/>
  <c r="BM400" i="8"/>
  <c r="BC400" i="8"/>
  <c r="BE400" i="8" s="1"/>
  <c r="BI400" i="8" s="1"/>
  <c r="BN401" i="8"/>
  <c r="BO401" i="8" s="1"/>
  <c r="BP401" i="8" s="1"/>
  <c r="CD401" i="8" s="1"/>
  <c r="BD401" i="8"/>
  <c r="BE401" i="8" s="1"/>
  <c r="BI401" i="8" s="1"/>
  <c r="CX390" i="8"/>
  <c r="CX391" i="8"/>
  <c r="BR392" i="8"/>
  <c r="BR393" i="8"/>
  <c r="DB394" i="8"/>
  <c r="DB395" i="8"/>
  <c r="BR396" i="8"/>
  <c r="CL396" i="8"/>
  <c r="CP396" i="8" s="1"/>
  <c r="CV398" i="8"/>
  <c r="CW398" i="8" s="1"/>
  <c r="CT400" i="8"/>
  <c r="CV400" i="8" s="1"/>
  <c r="CW400" i="8" s="1"/>
  <c r="CJ400" i="8"/>
  <c r="CL400" i="8" s="1"/>
  <c r="BP403" i="8"/>
  <c r="CD403" i="8" s="1"/>
  <c r="DE403" i="8"/>
  <c r="CZ403" i="8"/>
  <c r="BD397" i="8"/>
  <c r="BE397" i="8" s="1"/>
  <c r="BS400" i="8"/>
  <c r="BR400" i="8"/>
  <c r="BX400" i="8"/>
  <c r="CO400" i="8"/>
  <c r="BE396" i="8"/>
  <c r="BI396" i="8" s="1"/>
  <c r="BT396" i="8"/>
  <c r="DD397" i="8"/>
  <c r="BX399" i="8"/>
  <c r="CJ399" i="8"/>
  <c r="CL399" i="8" s="1"/>
  <c r="CP399" i="8" s="1"/>
  <c r="BN400" i="8"/>
  <c r="BO400" i="8" s="1"/>
  <c r="BP400" i="8" s="1"/>
  <c r="BU401" i="8"/>
  <c r="BT401" i="8"/>
  <c r="BQ401" i="8"/>
  <c r="DH403" i="8"/>
  <c r="DI403" i="8"/>
  <c r="AA405" i="8"/>
  <c r="CJ405" i="8"/>
  <c r="CL405" i="8" s="1"/>
  <c r="CP405" i="8" s="1"/>
  <c r="CT405" i="8"/>
  <c r="CV405" i="8" s="1"/>
  <c r="CW405" i="8" s="1"/>
  <c r="BW399" i="8"/>
  <c r="CY402" i="8"/>
  <c r="BT404" i="8"/>
  <c r="DA404" i="8"/>
  <c r="BU405" i="8"/>
  <c r="DB405" i="8"/>
  <c r="BD402" i="8"/>
  <c r="BE402" i="8" s="1"/>
  <c r="BI402" i="8" s="1"/>
  <c r="DB403" i="8"/>
  <c r="BW405" i="8"/>
  <c r="CY398" i="8"/>
  <c r="BH405" i="8"/>
  <c r="BX405" i="8"/>
  <c r="BX404" i="8"/>
  <c r="DE404" i="8"/>
  <c r="CX405" i="8"/>
  <c r="CX404" i="8"/>
  <c r="CY405" i="8"/>
  <c r="CA379" i="8"/>
  <c r="CB379" i="8"/>
  <c r="BX381" i="8"/>
  <c r="BS381" i="8"/>
  <c r="BR381" i="8"/>
  <c r="CB374" i="8"/>
  <c r="CA374" i="8"/>
  <c r="CV374" i="8"/>
  <c r="CW372" i="8"/>
  <c r="CA377" i="8"/>
  <c r="DD372" i="8"/>
  <c r="BW372" i="8"/>
  <c r="Y372" i="8"/>
  <c r="Z372" i="8" s="1"/>
  <c r="AB372" i="8" s="1"/>
  <c r="BO372" i="8"/>
  <c r="CY375" i="8"/>
  <c r="CX375" i="8"/>
  <c r="DA375" i="8"/>
  <c r="DB375" i="8"/>
  <c r="BP373" i="8"/>
  <c r="X386" i="8"/>
  <c r="DD370" i="8"/>
  <c r="BW370" i="8"/>
  <c r="Y370" i="8"/>
  <c r="CW373" i="8"/>
  <c r="DI380" i="8"/>
  <c r="DH380" i="8"/>
  <c r="DD374" i="8"/>
  <c r="Y374" i="8"/>
  <c r="Z374" i="8" s="1"/>
  <c r="AB374" i="8" s="1"/>
  <c r="BW374" i="8"/>
  <c r="BE370" i="8"/>
  <c r="BI370" i="8" s="1"/>
  <c r="CL370" i="8"/>
  <c r="CP370" i="8" s="1"/>
  <c r="DD371" i="8"/>
  <c r="BW371" i="8"/>
  <c r="Y371" i="8"/>
  <c r="Z371" i="8" s="1"/>
  <c r="AB371" i="8" s="1"/>
  <c r="DI371" i="8"/>
  <c r="DD373" i="8"/>
  <c r="BW373" i="8"/>
  <c r="CW374" i="8"/>
  <c r="CT377" i="8"/>
  <c r="CV377" i="8" s="1"/>
  <c r="CW377" i="8" s="1"/>
  <c r="CJ377" i="8"/>
  <c r="CA378" i="8"/>
  <c r="CB378" i="8"/>
  <c r="CP380" i="8"/>
  <c r="BP372" i="8"/>
  <c r="Y373" i="8"/>
  <c r="Z373" i="8" s="1"/>
  <c r="AB373" i="8" s="1"/>
  <c r="CA383" i="8"/>
  <c r="CB383" i="8"/>
  <c r="BR370" i="8"/>
  <c r="CY370" i="8"/>
  <c r="BR371" i="8"/>
  <c r="CY371" i="8"/>
  <c r="DB374" i="8"/>
  <c r="BC376" i="8"/>
  <c r="CJ376" i="8"/>
  <c r="CL376" i="8" s="1"/>
  <c r="CP376" i="8" s="1"/>
  <c r="DD376" i="8"/>
  <c r="CL377" i="8"/>
  <c r="BH378" i="8"/>
  <c r="BD379" i="8"/>
  <c r="BE379" i="8" s="1"/>
  <c r="CL379" i="8"/>
  <c r="CP379" i="8" s="1"/>
  <c r="DD380" i="8"/>
  <c r="BW380" i="8"/>
  <c r="Y380" i="8"/>
  <c r="Z380" i="8" s="1"/>
  <c r="AB380" i="8" s="1"/>
  <c r="DB381" i="8"/>
  <c r="DA381" i="8"/>
  <c r="CX381" i="8"/>
  <c r="AA385" i="8"/>
  <c r="CT385" i="8"/>
  <c r="CV385" i="8" s="1"/>
  <c r="CW385" i="8" s="1"/>
  <c r="BU381" i="8"/>
  <c r="BT381" i="8"/>
  <c r="CT381" i="8"/>
  <c r="CV381" i="8" s="1"/>
  <c r="CJ381" i="8"/>
  <c r="CL381" i="8" s="1"/>
  <c r="CT375" i="8"/>
  <c r="CV375" i="8" s="1"/>
  <c r="CW375" i="8" s="1"/>
  <c r="BD376" i="8"/>
  <c r="BE376" i="8" s="1"/>
  <c r="BH376" i="8"/>
  <c r="BR376" i="8"/>
  <c r="CX376" i="8"/>
  <c r="BH379" i="8"/>
  <c r="BM381" i="8"/>
  <c r="BO381" i="8" s="1"/>
  <c r="BC381" i="8"/>
  <c r="CO381" i="8"/>
  <c r="AA382" i="8"/>
  <c r="CS382" i="8"/>
  <c r="CW382" i="8" s="1"/>
  <c r="BO384" i="8"/>
  <c r="BP384" i="8" s="1"/>
  <c r="BO385" i="8"/>
  <c r="BP385" i="8" s="1"/>
  <c r="BN370" i="8"/>
  <c r="BO370" i="8" s="1"/>
  <c r="BP370" i="8" s="1"/>
  <c r="BN371" i="8"/>
  <c r="BO371" i="8" s="1"/>
  <c r="BP371" i="8" s="1"/>
  <c r="BH374" i="8"/>
  <c r="BI374" i="8" s="1"/>
  <c r="BX374" i="8"/>
  <c r="CO374" i="8"/>
  <c r="CP374" i="8" s="1"/>
  <c r="DD375" i="8"/>
  <c r="BW375" i="8"/>
  <c r="BH375" i="8"/>
  <c r="BI375" i="8" s="1"/>
  <c r="BU377" i="8"/>
  <c r="BT377" i="8"/>
  <c r="BQ377" i="8"/>
  <c r="Y375" i="8"/>
  <c r="Z375" i="8" s="1"/>
  <c r="AB375" i="8" s="1"/>
  <c r="BI378" i="8"/>
  <c r="CP378" i="8"/>
  <c r="BS380" i="8"/>
  <c r="BR380" i="8"/>
  <c r="AA381" i="8"/>
  <c r="CX382" i="8"/>
  <c r="DB382" i="8"/>
  <c r="DA382" i="8"/>
  <c r="CY382" i="8"/>
  <c r="BE383" i="8"/>
  <c r="BI383" i="8" s="1"/>
  <c r="DD384" i="8"/>
  <c r="BW384" i="8"/>
  <c r="Y384" i="8"/>
  <c r="Z384" i="8" s="1"/>
  <c r="AB384" i="8" s="1"/>
  <c r="CV384" i="8"/>
  <c r="CW384" i="8" s="1"/>
  <c r="CO385" i="8"/>
  <c r="CP385" i="8" s="1"/>
  <c r="DK385" i="8" s="1"/>
  <c r="BO375" i="8"/>
  <c r="BP375" i="8" s="1"/>
  <c r="CO377" i="8"/>
  <c r="CX372" i="8"/>
  <c r="CX373" i="8"/>
  <c r="BR374" i="8"/>
  <c r="BT375" i="8"/>
  <c r="CO375" i="8"/>
  <c r="CP375" i="8" s="1"/>
  <c r="Y376" i="8"/>
  <c r="Z376" i="8" s="1"/>
  <c r="AB376" i="8" s="1"/>
  <c r="BL376" i="8"/>
  <c r="BP376" i="8" s="1"/>
  <c r="DB376" i="8"/>
  <c r="DB377" i="8"/>
  <c r="DA377" i="8"/>
  <c r="CX377" i="8"/>
  <c r="CS381" i="8"/>
  <c r="CW376" i="8"/>
  <c r="BD377" i="8"/>
  <c r="BE377" i="8" s="1"/>
  <c r="BH377" i="8"/>
  <c r="BX380" i="8"/>
  <c r="BP381" i="8"/>
  <c r="DE381" i="8"/>
  <c r="CZ381" i="8"/>
  <c r="BQ382" i="8"/>
  <c r="BU382" i="8"/>
  <c r="BT382" i="8"/>
  <c r="CP382" i="8"/>
  <c r="DK382" i="8" s="1"/>
  <c r="AA383" i="8"/>
  <c r="CD383" i="8"/>
  <c r="DD385" i="8"/>
  <c r="BW385" i="8"/>
  <c r="BD382" i="8"/>
  <c r="BE382" i="8" s="1"/>
  <c r="BI382" i="8" s="1"/>
  <c r="DB383" i="8"/>
  <c r="BD381" i="8"/>
  <c r="BE381" i="8" s="1"/>
  <c r="BI381" i="8" s="1"/>
  <c r="BH385" i="8"/>
  <c r="BI385" i="8" s="1"/>
  <c r="BX385" i="8"/>
  <c r="DE385" i="8"/>
  <c r="BN382" i="8"/>
  <c r="BO382" i="8" s="1"/>
  <c r="BP382" i="8" s="1"/>
  <c r="BX384" i="8"/>
  <c r="DE384" i="8"/>
  <c r="BQ385" i="8"/>
  <c r="CX385" i="8"/>
  <c r="BR385" i="8"/>
  <c r="CY385" i="8"/>
  <c r="BW381" i="8"/>
  <c r="BR384" i="8"/>
  <c r="AC357" i="8"/>
  <c r="DI352" i="8"/>
  <c r="DH352" i="8"/>
  <c r="DI353" i="8"/>
  <c r="DH353" i="8"/>
  <c r="CZ359" i="8"/>
  <c r="DE359" i="8"/>
  <c r="AA350" i="8"/>
  <c r="DE354" i="8"/>
  <c r="CZ354" i="8"/>
  <c r="CB354" i="8"/>
  <c r="CA354" i="8"/>
  <c r="BQ357" i="8"/>
  <c r="BT357" i="8"/>
  <c r="BM361" i="8"/>
  <c r="BH361" i="8"/>
  <c r="BC361" i="8"/>
  <c r="BE361" i="8" s="1"/>
  <c r="BI361" i="8" s="1"/>
  <c r="CA363" i="8"/>
  <c r="CB363" i="8"/>
  <c r="BD351" i="8"/>
  <c r="BE351" i="8" s="1"/>
  <c r="BI351" i="8" s="1"/>
  <c r="BN351" i="8"/>
  <c r="BO351" i="8" s="1"/>
  <c r="BP351" i="8" s="1"/>
  <c r="CP351" i="8"/>
  <c r="BS354" i="8"/>
  <c r="BX354" i="8"/>
  <c r="BR354" i="8"/>
  <c r="BE359" i="8"/>
  <c r="BI359" i="8" s="1"/>
  <c r="DH363" i="8"/>
  <c r="DI363" i="8"/>
  <c r="AA365" i="8"/>
  <c r="BS352" i="8"/>
  <c r="BR352" i="8"/>
  <c r="BX352" i="8"/>
  <c r="DE353" i="8"/>
  <c r="BD350" i="8"/>
  <c r="BE350" i="8" s="1"/>
  <c r="BN350" i="8"/>
  <c r="BO350" i="8" s="1"/>
  <c r="BP350" i="8" s="1"/>
  <c r="CP350" i="8"/>
  <c r="AA353" i="8"/>
  <c r="AA362" i="8"/>
  <c r="BS353" i="8"/>
  <c r="BR353" i="8"/>
  <c r="AA356" i="8"/>
  <c r="CB357" i="8"/>
  <c r="CA357" i="8"/>
  <c r="BH350" i="8"/>
  <c r="BM355" i="8"/>
  <c r="BO355" i="8" s="1"/>
  <c r="BC355" i="8"/>
  <c r="BE355" i="8" s="1"/>
  <c r="BH355" i="8"/>
  <c r="BH356" i="8"/>
  <c r="BD356" i="8"/>
  <c r="BN356" i="8"/>
  <c r="BO356" i="8" s="1"/>
  <c r="BP356" i="8" s="1"/>
  <c r="BU357" i="8"/>
  <c r="CL358" i="8"/>
  <c r="CP358" i="8" s="1"/>
  <c r="DD364" i="8"/>
  <c r="BW364" i="8"/>
  <c r="Y364" i="8"/>
  <c r="Z364" i="8" s="1"/>
  <c r="AB364" i="8" s="1"/>
  <c r="CJ364" i="8"/>
  <c r="CL364" i="8" s="1"/>
  <c r="CO364" i="8"/>
  <c r="CT364" i="8"/>
  <c r="CV364" i="8" s="1"/>
  <c r="CW364" i="8" s="1"/>
  <c r="DE352" i="8"/>
  <c r="CW354" i="8"/>
  <c r="DF357" i="8"/>
  <c r="DK357" i="8"/>
  <c r="CD357" i="8"/>
  <c r="DD355" i="8"/>
  <c r="BW355" i="8"/>
  <c r="BW352" i="8"/>
  <c r="BW353" i="8"/>
  <c r="DD353" i="8"/>
  <c r="BH354" i="8"/>
  <c r="BI354" i="8" s="1"/>
  <c r="CS355" i="8"/>
  <c r="BQ356" i="8"/>
  <c r="CX356" i="8"/>
  <c r="BO358" i="8"/>
  <c r="BP358" i="8" s="1"/>
  <c r="BN360" i="8"/>
  <c r="BO360" i="8" s="1"/>
  <c r="BD360" i="8"/>
  <c r="BE360" i="8" s="1"/>
  <c r="BH360" i="8"/>
  <c r="BU360" i="8"/>
  <c r="BD365" i="8"/>
  <c r="BH365" i="8"/>
  <c r="CY354" i="8"/>
  <c r="DD358" i="8"/>
  <c r="BW358" i="8"/>
  <c r="BP360" i="8"/>
  <c r="DB361" i="8"/>
  <c r="DA361" i="8"/>
  <c r="CX361" i="8"/>
  <c r="BC364" i="8"/>
  <c r="BE364" i="8" s="1"/>
  <c r="BH364" i="8"/>
  <c r="BQ350" i="8"/>
  <c r="CX350" i="8"/>
  <c r="BQ351" i="8"/>
  <c r="CX351" i="8"/>
  <c r="CY352" i="8"/>
  <c r="CY353" i="8"/>
  <c r="Y355" i="8"/>
  <c r="Z355" i="8" s="1"/>
  <c r="AB355" i="8" s="1"/>
  <c r="BR355" i="8"/>
  <c r="BT356" i="8"/>
  <c r="DA356" i="8"/>
  <c r="BW357" i="8"/>
  <c r="Y358" i="8"/>
  <c r="Z358" i="8" s="1"/>
  <c r="AB358" i="8" s="1"/>
  <c r="BS358" i="8"/>
  <c r="CV358" i="8"/>
  <c r="CW358" i="8" s="1"/>
  <c r="BO359" i="8"/>
  <c r="BP359" i="8" s="1"/>
  <c r="CJ361" i="8"/>
  <c r="CL361" i="8" s="1"/>
  <c r="BH362" i="8"/>
  <c r="BI362" i="8" s="1"/>
  <c r="BN362" i="8"/>
  <c r="BO362" i="8" s="1"/>
  <c r="BP362" i="8" s="1"/>
  <c r="CL362" i="8"/>
  <c r="CP362" i="8" s="1"/>
  <c r="CY350" i="8"/>
  <c r="CY351" i="8"/>
  <c r="BT354" i="8"/>
  <c r="DA354" i="8"/>
  <c r="BS355" i="8"/>
  <c r="DA357" i="8"/>
  <c r="DD359" i="8"/>
  <c r="BW359" i="8"/>
  <c r="BS360" i="8"/>
  <c r="BX360" i="8"/>
  <c r="CY361" i="8"/>
  <c r="CJ365" i="8"/>
  <c r="CL365" i="8" s="1"/>
  <c r="CP365" i="8" s="1"/>
  <c r="DK365" i="8" s="1"/>
  <c r="CT365" i="8"/>
  <c r="CV365" i="8" s="1"/>
  <c r="CW365" i="8" s="1"/>
  <c r="BU355" i="8"/>
  <c r="DB357" i="8"/>
  <c r="Y359" i="8"/>
  <c r="Z359" i="8" s="1"/>
  <c r="AB359" i="8" s="1"/>
  <c r="CV355" i="8"/>
  <c r="X366" i="8"/>
  <c r="BT350" i="8"/>
  <c r="DA350" i="8"/>
  <c r="BT351" i="8"/>
  <c r="DA351" i="8"/>
  <c r="Y354" i="8"/>
  <c r="Z354" i="8" s="1"/>
  <c r="BL355" i="8"/>
  <c r="BC356" i="8"/>
  <c r="CJ356" i="8"/>
  <c r="BS359" i="8"/>
  <c r="CV359" i="8"/>
  <c r="CW359" i="8" s="1"/>
  <c r="Y360" i="8"/>
  <c r="Z360" i="8" s="1"/>
  <c r="AB360" i="8" s="1"/>
  <c r="BQ360" i="8"/>
  <c r="CW360" i="8"/>
  <c r="BO361" i="8"/>
  <c r="BP361" i="8" s="1"/>
  <c r="DD363" i="8"/>
  <c r="BW363" i="8"/>
  <c r="Y363" i="8"/>
  <c r="Z363" i="8" s="1"/>
  <c r="AB363" i="8" s="1"/>
  <c r="BM364" i="8"/>
  <c r="BO364" i="8" s="1"/>
  <c r="BP364" i="8" s="1"/>
  <c r="BW354" i="8"/>
  <c r="DB355" i="8"/>
  <c r="CL356" i="8"/>
  <c r="CP356" i="8" s="1"/>
  <c r="DD357" i="8"/>
  <c r="BR360" i="8"/>
  <c r="CZ360" i="8"/>
  <c r="DE360" i="8"/>
  <c r="BU361" i="8"/>
  <c r="BT361" i="8"/>
  <c r="BQ361" i="8"/>
  <c r="CO361" i="8"/>
  <c r="BI363" i="8"/>
  <c r="BC365" i="8"/>
  <c r="BM365" i="8"/>
  <c r="BO365" i="8" s="1"/>
  <c r="BP365" i="8" s="1"/>
  <c r="BR362" i="8"/>
  <c r="CY362" i="8"/>
  <c r="BS363" i="8"/>
  <c r="DA364" i="8"/>
  <c r="BU365" i="8"/>
  <c r="DB365" i="8"/>
  <c r="BX365" i="8"/>
  <c r="DE365" i="8"/>
  <c r="BX364" i="8"/>
  <c r="DE364" i="8"/>
  <c r="BQ365" i="8"/>
  <c r="CX365" i="8"/>
  <c r="BR365" i="8"/>
  <c r="CY365" i="8"/>
  <c r="BR364" i="8"/>
  <c r="DI331" i="8"/>
  <c r="DH331" i="8"/>
  <c r="AA330" i="8"/>
  <c r="AA336" i="8"/>
  <c r="CD336" i="8" s="1"/>
  <c r="CB335" i="8"/>
  <c r="CA335" i="8"/>
  <c r="CB336" i="8"/>
  <c r="CA336" i="8"/>
  <c r="DI330" i="8"/>
  <c r="DH330" i="8"/>
  <c r="CV332" i="8"/>
  <c r="CW332" i="8" s="1"/>
  <c r="AA335" i="8"/>
  <c r="CA342" i="8"/>
  <c r="CB342" i="8"/>
  <c r="DH342" i="8"/>
  <c r="DI342" i="8"/>
  <c r="AA332" i="8"/>
  <c r="BO334" i="8"/>
  <c r="BP334" i="8" s="1"/>
  <c r="BP337" i="8"/>
  <c r="BO332" i="8"/>
  <c r="BP332" i="8" s="1"/>
  <c r="CV333" i="8"/>
  <c r="CW333" i="8" s="1"/>
  <c r="BI336" i="8"/>
  <c r="CP330" i="8"/>
  <c r="DK330" i="8" s="1"/>
  <c r="AA331" i="8"/>
  <c r="CW336" i="8"/>
  <c r="BN330" i="8"/>
  <c r="BO330" i="8" s="1"/>
  <c r="BP330" i="8" s="1"/>
  <c r="BN331" i="8"/>
  <c r="BO331" i="8" s="1"/>
  <c r="BP331" i="8" s="1"/>
  <c r="BW332" i="8"/>
  <c r="AA333" i="8"/>
  <c r="BW333" i="8"/>
  <c r="AA334" i="8"/>
  <c r="BH334" i="8"/>
  <c r="BX334" i="8"/>
  <c r="CZ337" i="8"/>
  <c r="CZ340" i="8"/>
  <c r="DE340" i="8"/>
  <c r="BO343" i="8"/>
  <c r="CW343" i="8"/>
  <c r="BW330" i="8"/>
  <c r="DD330" i="8"/>
  <c r="BW331" i="8"/>
  <c r="BH332" i="8"/>
  <c r="CO332" i="8"/>
  <c r="BH333" i="8"/>
  <c r="CO333" i="8"/>
  <c r="CX336" i="8"/>
  <c r="DB336" i="8"/>
  <c r="DB340" i="8"/>
  <c r="DA340" i="8"/>
  <c r="CX340" i="8"/>
  <c r="BU341" i="8"/>
  <c r="BT341" i="8"/>
  <c r="BQ341" i="8"/>
  <c r="DB341" i="8"/>
  <c r="DA341" i="8"/>
  <c r="CX341" i="8"/>
  <c r="BO344" i="8"/>
  <c r="AA345" i="8"/>
  <c r="BX330" i="8"/>
  <c r="DE330" i="8"/>
  <c r="BX331" i="8"/>
  <c r="BR334" i="8"/>
  <c r="BQ336" i="8"/>
  <c r="BX337" i="8"/>
  <c r="BS340" i="8"/>
  <c r="BX340" i="8"/>
  <c r="CY340" i="8"/>
  <c r="CY341" i="8"/>
  <c r="BR343" i="8"/>
  <c r="BX343" i="8"/>
  <c r="BS343" i="8"/>
  <c r="CJ344" i="8"/>
  <c r="CL344" i="8" s="1"/>
  <c r="CO344" i="8"/>
  <c r="BR332" i="8"/>
  <c r="BR333" i="8"/>
  <c r="BC334" i="8"/>
  <c r="CJ334" i="8"/>
  <c r="CL334" i="8" s="1"/>
  <c r="CP334" i="8" s="1"/>
  <c r="CS334" i="8"/>
  <c r="CW334" i="8" s="1"/>
  <c r="DB334" i="8"/>
  <c r="BH335" i="8"/>
  <c r="BI335" i="8" s="1"/>
  <c r="BQ335" i="8"/>
  <c r="CJ335" i="8"/>
  <c r="CL335" i="8" s="1"/>
  <c r="CP335" i="8" s="1"/>
  <c r="CS335" i="8"/>
  <c r="CW335" i="8" s="1"/>
  <c r="DB335" i="8"/>
  <c r="BR336" i="8"/>
  <c r="CL336" i="8"/>
  <c r="CP336" i="8" s="1"/>
  <c r="CL337" i="8"/>
  <c r="CP337" i="8" s="1"/>
  <c r="BS338" i="8"/>
  <c r="BR338" i="8"/>
  <c r="BS339" i="8"/>
  <c r="BR339" i="8"/>
  <c r="BU340" i="8"/>
  <c r="BT340" i="8"/>
  <c r="BR340" i="8"/>
  <c r="CT340" i="8"/>
  <c r="CV340" i="8" s="1"/>
  <c r="CW340" i="8" s="1"/>
  <c r="CJ340" i="8"/>
  <c r="CL340" i="8" s="1"/>
  <c r="CP340" i="8" s="1"/>
  <c r="CL341" i="8"/>
  <c r="CP341" i="8" s="1"/>
  <c r="CJ345" i="8"/>
  <c r="CL345" i="8" s="1"/>
  <c r="CP345" i="8" s="1"/>
  <c r="DK345" i="8" s="1"/>
  <c r="CT345" i="8"/>
  <c r="CV345" i="8" s="1"/>
  <c r="CW345" i="8" s="1"/>
  <c r="BR330" i="8"/>
  <c r="BC332" i="8"/>
  <c r="BE332" i="8" s="1"/>
  <c r="BI332" i="8" s="1"/>
  <c r="CJ332" i="8"/>
  <c r="CL332" i="8" s="1"/>
  <c r="CP332" i="8" s="1"/>
  <c r="BC333" i="8"/>
  <c r="BE333" i="8" s="1"/>
  <c r="BI333" i="8" s="1"/>
  <c r="CJ333" i="8"/>
  <c r="CL333" i="8" s="1"/>
  <c r="CP333" i="8" s="1"/>
  <c r="DK333" i="8" s="1"/>
  <c r="BD334" i="8"/>
  <c r="BE334" i="8" s="1"/>
  <c r="BI334" i="8" s="1"/>
  <c r="BR335" i="8"/>
  <c r="BH337" i="8"/>
  <c r="BI337" i="8" s="1"/>
  <c r="DD337" i="8"/>
  <c r="DE338" i="8"/>
  <c r="DD339" i="8"/>
  <c r="BW339" i="8"/>
  <c r="DE339" i="8"/>
  <c r="DD340" i="8"/>
  <c r="BW340" i="8"/>
  <c r="BM340" i="8"/>
  <c r="BO340" i="8" s="1"/>
  <c r="BP340" i="8" s="1"/>
  <c r="BC340" i="8"/>
  <c r="AA341" i="8"/>
  <c r="DK341" i="8" s="1"/>
  <c r="BH341" i="8"/>
  <c r="BN341" i="8"/>
  <c r="BO341" i="8" s="1"/>
  <c r="BD341" i="8"/>
  <c r="BE341" i="8" s="1"/>
  <c r="BI341" i="8" s="1"/>
  <c r="DD344" i="8"/>
  <c r="BW344" i="8"/>
  <c r="BC344" i="8"/>
  <c r="BE344" i="8" s="1"/>
  <c r="BH344" i="8"/>
  <c r="CW344" i="8"/>
  <c r="BD345" i="8"/>
  <c r="BH345" i="8"/>
  <c r="BT336" i="8"/>
  <c r="CY336" i="8"/>
  <c r="BS337" i="8"/>
  <c r="Y338" i="8"/>
  <c r="Z338" i="8" s="1"/>
  <c r="AB338" i="8" s="1"/>
  <c r="DD338" i="8"/>
  <c r="BW338" i="8"/>
  <c r="BX338" i="8"/>
  <c r="Y339" i="8"/>
  <c r="Z339" i="8" s="1"/>
  <c r="AB339" i="8" s="1"/>
  <c r="BX339" i="8"/>
  <c r="Y340" i="8"/>
  <c r="Z340" i="8" s="1"/>
  <c r="AB340" i="8" s="1"/>
  <c r="BE340" i="8"/>
  <c r="BE342" i="8"/>
  <c r="BI342" i="8" s="1"/>
  <c r="BP343" i="8"/>
  <c r="Y344" i="8"/>
  <c r="Z344" i="8" s="1"/>
  <c r="AB344" i="8" s="1"/>
  <c r="BU335" i="8"/>
  <c r="BP341" i="8"/>
  <c r="DD343" i="8"/>
  <c r="BW343" i="8"/>
  <c r="Y343" i="8"/>
  <c r="Z343" i="8" s="1"/>
  <c r="AB343" i="8" s="1"/>
  <c r="BP344" i="8"/>
  <c r="BC345" i="8"/>
  <c r="BM345" i="8"/>
  <c r="BO345" i="8" s="1"/>
  <c r="BP345" i="8" s="1"/>
  <c r="BH340" i="8"/>
  <c r="CY342" i="8"/>
  <c r="CZ343" i="8"/>
  <c r="BT344" i="8"/>
  <c r="DA344" i="8"/>
  <c r="BU345" i="8"/>
  <c r="DB345" i="8"/>
  <c r="BX345" i="8"/>
  <c r="DE345" i="8"/>
  <c r="BX344" i="8"/>
  <c r="DE344" i="8"/>
  <c r="BQ345" i="8"/>
  <c r="CX345" i="8"/>
  <c r="CX344" i="8"/>
  <c r="BR345" i="8"/>
  <c r="CY345" i="8"/>
  <c r="BR344" i="8"/>
  <c r="BI310" i="8"/>
  <c r="AA314" i="8"/>
  <c r="DK314" i="8" s="1"/>
  <c r="BP313" i="8"/>
  <c r="BP312" i="8"/>
  <c r="AA313" i="8"/>
  <c r="DK313" i="8" s="1"/>
  <c r="DI316" i="8"/>
  <c r="DH316" i="8"/>
  <c r="AA317" i="8"/>
  <c r="CD317" i="8" s="1"/>
  <c r="CB317" i="8"/>
  <c r="CA317" i="8"/>
  <c r="DI311" i="8"/>
  <c r="DH311" i="8"/>
  <c r="AA312" i="8"/>
  <c r="CW315" i="8"/>
  <c r="CW314" i="8"/>
  <c r="AA311" i="8"/>
  <c r="CW310" i="8"/>
  <c r="BO311" i="8"/>
  <c r="BP311" i="8" s="1"/>
  <c r="CB316" i="8"/>
  <c r="CA316" i="8"/>
  <c r="CP316" i="8"/>
  <c r="DI317" i="8"/>
  <c r="DH317" i="8"/>
  <c r="BS319" i="8"/>
  <c r="BR319" i="8"/>
  <c r="CZ320" i="8"/>
  <c r="DE320" i="8"/>
  <c r="DB321" i="8"/>
  <c r="DA321" i="8"/>
  <c r="CX321" i="8"/>
  <c r="CJ325" i="8"/>
  <c r="CL325" i="8" s="1"/>
  <c r="CT325" i="8"/>
  <c r="DD310" i="8"/>
  <c r="BH312" i="8"/>
  <c r="BX312" i="8"/>
  <c r="DE312" i="8"/>
  <c r="BH313" i="8"/>
  <c r="BX313" i="8"/>
  <c r="DE313" i="8"/>
  <c r="BQ314" i="8"/>
  <c r="CZ314" i="8"/>
  <c r="CZ315" i="8"/>
  <c r="BH316" i="8"/>
  <c r="CV320" i="8"/>
  <c r="CW320" i="8" s="1"/>
  <c r="BL321" i="8"/>
  <c r="BO322" i="8"/>
  <c r="BP322" i="8" s="1"/>
  <c r="CA323" i="8"/>
  <c r="CB323" i="8"/>
  <c r="DH323" i="8"/>
  <c r="DI323" i="8"/>
  <c r="BO324" i="8"/>
  <c r="CV324" i="8"/>
  <c r="CW324" i="8" s="1"/>
  <c r="CO325" i="8"/>
  <c r="CO310" i="8"/>
  <c r="BH311" i="8"/>
  <c r="CO311" i="8"/>
  <c r="BH315" i="8"/>
  <c r="DB317" i="8"/>
  <c r="CX317" i="8"/>
  <c r="BX319" i="8"/>
  <c r="BS320" i="8"/>
  <c r="BR320" i="8"/>
  <c r="BX320" i="8"/>
  <c r="BP320" i="8"/>
  <c r="AA321" i="8"/>
  <c r="DI322" i="8"/>
  <c r="AA325" i="8"/>
  <c r="BR312" i="8"/>
  <c r="CY312" i="8"/>
  <c r="BR313" i="8"/>
  <c r="CY313" i="8"/>
  <c r="AA315" i="8"/>
  <c r="AA316" i="8"/>
  <c r="DK316" i="8" s="1"/>
  <c r="BS316" i="8"/>
  <c r="Y318" i="8"/>
  <c r="Z318" i="8" s="1"/>
  <c r="AB318" i="8" s="1"/>
  <c r="DD318" i="8"/>
  <c r="BW318" i="8"/>
  <c r="DE318" i="8"/>
  <c r="AA319" i="8"/>
  <c r="DK319" i="8" s="1"/>
  <c r="BR310" i="8"/>
  <c r="CY310" i="8"/>
  <c r="BR311" i="8"/>
  <c r="CY311" i="8"/>
  <c r="BT314" i="8"/>
  <c r="BT316" i="8"/>
  <c r="CP317" i="8"/>
  <c r="DK317" i="8" s="1"/>
  <c r="BX318" i="8"/>
  <c r="BO319" i="8"/>
  <c r="BP319" i="8" s="1"/>
  <c r="CV325" i="8"/>
  <c r="CW325" i="8" s="1"/>
  <c r="CJ310" i="8"/>
  <c r="CL310" i="8" s="1"/>
  <c r="BC311" i="8"/>
  <c r="BE311" i="8" s="1"/>
  <c r="BI311" i="8" s="1"/>
  <c r="CJ311" i="8"/>
  <c r="CL311" i="8" s="1"/>
  <c r="CP311" i="8" s="1"/>
  <c r="BD312" i="8"/>
  <c r="BE312" i="8" s="1"/>
  <c r="BI312" i="8" s="1"/>
  <c r="BT312" i="8"/>
  <c r="DA312" i="8"/>
  <c r="BD313" i="8"/>
  <c r="BE313" i="8" s="1"/>
  <c r="BI313" i="8" s="1"/>
  <c r="BT313" i="8"/>
  <c r="DA313" i="8"/>
  <c r="BL315" i="8"/>
  <c r="BU315" i="8"/>
  <c r="BC316" i="8"/>
  <c r="CX316" i="8"/>
  <c r="BO318" i="8"/>
  <c r="BP318" i="8" s="1"/>
  <c r="CV318" i="8"/>
  <c r="CW318" i="8" s="1"/>
  <c r="BU321" i="8"/>
  <c r="BT321" i="8"/>
  <c r="BQ321" i="8"/>
  <c r="CS321" i="8"/>
  <c r="CW321" i="8" s="1"/>
  <c r="DD324" i="8"/>
  <c r="BW324" i="8"/>
  <c r="Y324" i="8"/>
  <c r="Z324" i="8" s="1"/>
  <c r="AB324" i="8" s="1"/>
  <c r="BT310" i="8"/>
  <c r="DA310" i="8"/>
  <c r="BT311" i="8"/>
  <c r="DA311" i="8"/>
  <c r="BC315" i="8"/>
  <c r="BE315" i="8" s="1"/>
  <c r="BI315" i="8" s="1"/>
  <c r="BD316" i="8"/>
  <c r="BE316" i="8" s="1"/>
  <c r="BI316" i="8" s="1"/>
  <c r="CY316" i="8"/>
  <c r="BQ317" i="8"/>
  <c r="AA323" i="8"/>
  <c r="DK323" i="8" s="1"/>
  <c r="BP324" i="8"/>
  <c r="BC325" i="8"/>
  <c r="BE325" i="8" s="1"/>
  <c r="BM325" i="8"/>
  <c r="BO325" i="8" s="1"/>
  <c r="BP325" i="8" s="1"/>
  <c r="DA316" i="8"/>
  <c r="BT317" i="8"/>
  <c r="Y310" i="8"/>
  <c r="CX314" i="8"/>
  <c r="BN315" i="8"/>
  <c r="BO315" i="8" s="1"/>
  <c r="CX315" i="8"/>
  <c r="BR317" i="8"/>
  <c r="CY317" i="8"/>
  <c r="AA320" i="8"/>
  <c r="CY321" i="8"/>
  <c r="BW319" i="8"/>
  <c r="CY322" i="8"/>
  <c r="BS323" i="8"/>
  <c r="CZ323" i="8"/>
  <c r="DA324" i="8"/>
  <c r="BU325" i="8"/>
  <c r="DB325" i="8"/>
  <c r="BC321" i="8"/>
  <c r="CJ321" i="8"/>
  <c r="CL321" i="8" s="1"/>
  <c r="CP321" i="8" s="1"/>
  <c r="BD322" i="8"/>
  <c r="BE322" i="8" s="1"/>
  <c r="BI322" i="8" s="1"/>
  <c r="BT322" i="8"/>
  <c r="DA322" i="8"/>
  <c r="DB323" i="8"/>
  <c r="BW325" i="8"/>
  <c r="BC320" i="8"/>
  <c r="BE320" i="8" s="1"/>
  <c r="BI320" i="8" s="1"/>
  <c r="CJ320" i="8"/>
  <c r="CL320" i="8" s="1"/>
  <c r="CP320" i="8" s="1"/>
  <c r="BD321" i="8"/>
  <c r="BH325" i="8"/>
  <c r="BX325" i="8"/>
  <c r="DE325" i="8"/>
  <c r="BX324" i="8"/>
  <c r="DE324" i="8"/>
  <c r="BQ325" i="8"/>
  <c r="CX325" i="8"/>
  <c r="BN321" i="8"/>
  <c r="BO321" i="8" s="1"/>
  <c r="BX323" i="8"/>
  <c r="BR325" i="8"/>
  <c r="CY325" i="8"/>
  <c r="BR324" i="8"/>
  <c r="BW320" i="8"/>
  <c r="AA291" i="8"/>
  <c r="DK291" i="8"/>
  <c r="CA291" i="8"/>
  <c r="CB291" i="8"/>
  <c r="DH291" i="8"/>
  <c r="DI291" i="8"/>
  <c r="DI294" i="8"/>
  <c r="DH294" i="8"/>
  <c r="CA298" i="8"/>
  <c r="CB298" i="8"/>
  <c r="CW296" i="8"/>
  <c r="CW290" i="8"/>
  <c r="BE293" i="8"/>
  <c r="AA295" i="8"/>
  <c r="CW297" i="8"/>
  <c r="CA299" i="8"/>
  <c r="CB299" i="8"/>
  <c r="CA290" i="8"/>
  <c r="CB290" i="8"/>
  <c r="CA297" i="8"/>
  <c r="CB297" i="8"/>
  <c r="AA292" i="8"/>
  <c r="CB296" i="8"/>
  <c r="CA296" i="8"/>
  <c r="AA296" i="8"/>
  <c r="AC299" i="8"/>
  <c r="CJ305" i="8"/>
  <c r="CT305" i="8"/>
  <c r="X306" i="8"/>
  <c r="BD290" i="8"/>
  <c r="BE290" i="8" s="1"/>
  <c r="BI290" i="8" s="1"/>
  <c r="BD291" i="8"/>
  <c r="BE291" i="8" s="1"/>
  <c r="BI291" i="8" s="1"/>
  <c r="BM292" i="8"/>
  <c r="BO292" i="8" s="1"/>
  <c r="BP292" i="8" s="1"/>
  <c r="BU292" i="8"/>
  <c r="CT292" i="8"/>
  <c r="CV292" i="8" s="1"/>
  <c r="CW292" i="8" s="1"/>
  <c r="DB292" i="8"/>
  <c r="Y293" i="8"/>
  <c r="Z293" i="8" s="1"/>
  <c r="AB293" i="8" s="1"/>
  <c r="BM293" i="8"/>
  <c r="BO293" i="8" s="1"/>
  <c r="BP293" i="8" s="1"/>
  <c r="BU293" i="8"/>
  <c r="CT293" i="8"/>
  <c r="CV293" i="8" s="1"/>
  <c r="CW293" i="8" s="1"/>
  <c r="DB293" i="8"/>
  <c r="Y294" i="8"/>
  <c r="Z294" i="8" s="1"/>
  <c r="AB294" i="8" s="1"/>
  <c r="BN294" i="8"/>
  <c r="BO294" i="8" s="1"/>
  <c r="BP294" i="8" s="1"/>
  <c r="BS295" i="8"/>
  <c r="CT295" i="8"/>
  <c r="CL296" i="8"/>
  <c r="BH297" i="8"/>
  <c r="DD297" i="8"/>
  <c r="CC298" i="8"/>
  <c r="CC299" i="8"/>
  <c r="DD300" i="8"/>
  <c r="BW300" i="8"/>
  <c r="CD300" i="8"/>
  <c r="CL302" i="8"/>
  <c r="CP302" i="8" s="1"/>
  <c r="BO304" i="8"/>
  <c r="CV304" i="8"/>
  <c r="CW304" i="8" s="1"/>
  <c r="CO305" i="8"/>
  <c r="BR295" i="8"/>
  <c r="CB300" i="8"/>
  <c r="CA300" i="8"/>
  <c r="BW294" i="8"/>
  <c r="BC295" i="8"/>
  <c r="BE295" i="8" s="1"/>
  <c r="BI295" i="8" s="1"/>
  <c r="CV295" i="8"/>
  <c r="CW295" i="8" s="1"/>
  <c r="CD298" i="8"/>
  <c r="AC300" i="8"/>
  <c r="BU301" i="8"/>
  <c r="BT301" i="8"/>
  <c r="BQ301" i="8"/>
  <c r="AA305" i="8"/>
  <c r="Z290" i="8"/>
  <c r="AB290" i="8" s="1"/>
  <c r="BW292" i="8"/>
  <c r="BW293" i="8"/>
  <c r="BH294" i="8"/>
  <c r="BI294" i="8" s="1"/>
  <c r="BU295" i="8"/>
  <c r="BH296" i="8"/>
  <c r="BI296" i="8" s="1"/>
  <c r="BR296" i="8"/>
  <c r="CO296" i="8"/>
  <c r="AA297" i="8"/>
  <c r="CD297" i="8" s="1"/>
  <c r="BU297" i="8"/>
  <c r="CC300" i="8"/>
  <c r="CZ300" i="8"/>
  <c r="DE300" i="8"/>
  <c r="DF300" i="8"/>
  <c r="Y301" i="8"/>
  <c r="Z301" i="8" s="1"/>
  <c r="AB301" i="8" s="1"/>
  <c r="DB301" i="8"/>
  <c r="DA301" i="8"/>
  <c r="CX301" i="8"/>
  <c r="BH302" i="8"/>
  <c r="BN302" i="8"/>
  <c r="BO302" i="8" s="1"/>
  <c r="BD302" i="8"/>
  <c r="BE302" i="8" s="1"/>
  <c r="BI302" i="8" s="1"/>
  <c r="AA303" i="8"/>
  <c r="BH292" i="8"/>
  <c r="BI292" i="8" s="1"/>
  <c r="BX292" i="8"/>
  <c r="CO292" i="8"/>
  <c r="CP292" i="8" s="1"/>
  <c r="DE292" i="8"/>
  <c r="BH293" i="8"/>
  <c r="BX293" i="8"/>
  <c r="CO293" i="8"/>
  <c r="CP293" i="8" s="1"/>
  <c r="DE293" i="8"/>
  <c r="BQ294" i="8"/>
  <c r="CX294" i="8"/>
  <c r="BM295" i="8"/>
  <c r="CO295" i="8"/>
  <c r="CP295" i="8" s="1"/>
  <c r="DK295" i="8" s="1"/>
  <c r="CX295" i="8"/>
  <c r="BS296" i="8"/>
  <c r="CZ296" i="8"/>
  <c r="CY297" i="8"/>
  <c r="DD298" i="8"/>
  <c r="BW298" i="8"/>
  <c r="CD299" i="8"/>
  <c r="DK299" i="8"/>
  <c r="BH300" i="8"/>
  <c r="BI300" i="8" s="1"/>
  <c r="CW300" i="8"/>
  <c r="DJ300" i="8"/>
  <c r="AA302" i="8"/>
  <c r="DK302" i="8" s="1"/>
  <c r="CV305" i="8"/>
  <c r="CW305" i="8" s="1"/>
  <c r="BX290" i="8"/>
  <c r="BX291" i="8"/>
  <c r="CX292" i="8"/>
  <c r="CX293" i="8"/>
  <c r="CY294" i="8"/>
  <c r="DD295" i="8"/>
  <c r="BW295" i="8"/>
  <c r="BO295" i="8"/>
  <c r="BP295" i="8" s="1"/>
  <c r="CY295" i="8"/>
  <c r="BD297" i="8"/>
  <c r="BE297" i="8" s="1"/>
  <c r="BI297" i="8" s="1"/>
  <c r="BH301" i="8"/>
  <c r="BD301" i="8"/>
  <c r="BE301" i="8" s="1"/>
  <c r="BI301" i="8" s="1"/>
  <c r="BW301" i="8"/>
  <c r="CT301" i="8"/>
  <c r="CV301" i="8" s="1"/>
  <c r="CW301" i="8" s="1"/>
  <c r="CJ301" i="8"/>
  <c r="CL301" i="8" s="1"/>
  <c r="CP301" i="8" s="1"/>
  <c r="BP302" i="8"/>
  <c r="CW302" i="8"/>
  <c r="DD304" i="8"/>
  <c r="BW304" i="8"/>
  <c r="Y304" i="8"/>
  <c r="Z304" i="8" s="1"/>
  <c r="AB304" i="8" s="1"/>
  <c r="DA297" i="8"/>
  <c r="AC298" i="8"/>
  <c r="DF298" i="8"/>
  <c r="BY298" i="8"/>
  <c r="BP304" i="8"/>
  <c r="BC305" i="8"/>
  <c r="BE305" i="8" s="1"/>
  <c r="BM305" i="8"/>
  <c r="BO305" i="8" s="1"/>
  <c r="BP305" i="8" s="1"/>
  <c r="DB297" i="8"/>
  <c r="DD299" i="8"/>
  <c r="BW299" i="8"/>
  <c r="BS300" i="8"/>
  <c r="BR300" i="8"/>
  <c r="BX300" i="8"/>
  <c r="BY300" i="8"/>
  <c r="BL301" i="8"/>
  <c r="BP301" i="8" s="1"/>
  <c r="BP303" i="8"/>
  <c r="CL305" i="8"/>
  <c r="CP305" i="8" s="1"/>
  <c r="CY302" i="8"/>
  <c r="BS303" i="8"/>
  <c r="DA304" i="8"/>
  <c r="BU305" i="8"/>
  <c r="DB305" i="8"/>
  <c r="BT302" i="8"/>
  <c r="DA302" i="8"/>
  <c r="DB303" i="8"/>
  <c r="BW305" i="8"/>
  <c r="BH305" i="8"/>
  <c r="BX305" i="8"/>
  <c r="DE305" i="8"/>
  <c r="BX304" i="8"/>
  <c r="DE304" i="8"/>
  <c r="BQ305" i="8"/>
  <c r="CX305" i="8"/>
  <c r="BR305" i="8"/>
  <c r="CY305" i="8"/>
  <c r="BR304" i="8"/>
  <c r="DI280" i="8"/>
  <c r="DH280" i="8"/>
  <c r="DH270" i="8"/>
  <c r="DI270" i="8"/>
  <c r="DH271" i="8"/>
  <c r="DI271" i="8"/>
  <c r="AA275" i="8"/>
  <c r="CP271" i="8"/>
  <c r="Z270" i="8"/>
  <c r="AB270" i="8" s="1"/>
  <c r="BD270" i="8"/>
  <c r="BE270" i="8" s="1"/>
  <c r="BI270" i="8" s="1"/>
  <c r="BN270" i="8"/>
  <c r="BO270" i="8" s="1"/>
  <c r="BP270" i="8" s="1"/>
  <c r="AA271" i="8"/>
  <c r="DK271" i="8" s="1"/>
  <c r="BS272" i="8"/>
  <c r="BR272" i="8"/>
  <c r="DE273" i="8"/>
  <c r="Y274" i="8"/>
  <c r="Z274" i="8" s="1"/>
  <c r="AB274" i="8" s="1"/>
  <c r="DD274" i="8"/>
  <c r="BQ274" i="8"/>
  <c r="BU275" i="8"/>
  <c r="BQ275" i="8"/>
  <c r="Y276" i="8"/>
  <c r="Z276" i="8" s="1"/>
  <c r="AB276" i="8" s="1"/>
  <c r="DD276" i="8"/>
  <c r="BR278" i="8"/>
  <c r="BX278" i="8"/>
  <c r="BL282" i="8"/>
  <c r="BD271" i="8"/>
  <c r="BE271" i="8" s="1"/>
  <c r="BN271" i="8"/>
  <c r="BO271" i="8" s="1"/>
  <c r="BP271" i="8" s="1"/>
  <c r="BM272" i="8"/>
  <c r="BO272" i="8" s="1"/>
  <c r="BP272" i="8" s="1"/>
  <c r="BC272" i="8"/>
  <c r="BS273" i="8"/>
  <c r="BR273" i="8"/>
  <c r="BX273" i="8"/>
  <c r="CT273" i="8"/>
  <c r="CV273" i="8" s="1"/>
  <c r="CW273" i="8" s="1"/>
  <c r="CJ273" i="8"/>
  <c r="CL273" i="8" s="1"/>
  <c r="CP273" i="8" s="1"/>
  <c r="BD275" i="8"/>
  <c r="BE275" i="8" s="1"/>
  <c r="BN275" i="8"/>
  <c r="BO275" i="8" s="1"/>
  <c r="BP275" i="8" s="1"/>
  <c r="CT277" i="8"/>
  <c r="CV277" i="8" s="1"/>
  <c r="CW277" i="8" s="1"/>
  <c r="CJ277" i="8"/>
  <c r="BE272" i="8"/>
  <c r="BI272" i="8" s="1"/>
  <c r="BN274" i="8"/>
  <c r="BO274" i="8" s="1"/>
  <c r="BD274" i="8"/>
  <c r="BE274" i="8" s="1"/>
  <c r="BH274" i="8"/>
  <c r="CX275" i="8"/>
  <c r="DA275" i="8"/>
  <c r="AA277" i="8"/>
  <c r="CB278" i="8"/>
  <c r="CA283" i="8"/>
  <c r="CB283" i="8"/>
  <c r="BH271" i="8"/>
  <c r="DE272" i="8"/>
  <c r="Y273" i="8"/>
  <c r="Z273" i="8" s="1"/>
  <c r="AB273" i="8" s="1"/>
  <c r="DD273" i="8"/>
  <c r="BW273" i="8"/>
  <c r="BH275" i="8"/>
  <c r="BH277" i="8"/>
  <c r="BI277" i="8" s="1"/>
  <c r="CO277" i="8"/>
  <c r="Y278" i="8"/>
  <c r="Z278" i="8" s="1"/>
  <c r="AB278" i="8" s="1"/>
  <c r="BW278" i="8"/>
  <c r="DD278" i="8"/>
  <c r="CP279" i="8"/>
  <c r="BE285" i="8"/>
  <c r="BP274" i="8"/>
  <c r="CX274" i="8"/>
  <c r="CW276" i="8"/>
  <c r="CP270" i="8"/>
  <c r="BM273" i="8"/>
  <c r="BO273" i="8" s="1"/>
  <c r="BP273" i="8" s="1"/>
  <c r="BC273" i="8"/>
  <c r="BE273" i="8" s="1"/>
  <c r="BI273" i="8" s="1"/>
  <c r="BS274" i="8"/>
  <c r="BX274" i="8"/>
  <c r="DA274" i="8"/>
  <c r="CY275" i="8"/>
  <c r="BQ276" i="8"/>
  <c r="DA276" i="8"/>
  <c r="DB276" i="8"/>
  <c r="CY276" i="8"/>
  <c r="CX276" i="8"/>
  <c r="BC280" i="8"/>
  <c r="BE280" i="8" s="1"/>
  <c r="BH280" i="8"/>
  <c r="BM280" i="8"/>
  <c r="BO280" i="8" s="1"/>
  <c r="BP280" i="8" s="1"/>
  <c r="CT272" i="8"/>
  <c r="CV272" i="8" s="1"/>
  <c r="CW272" i="8" s="1"/>
  <c r="CJ272" i="8"/>
  <c r="CL272" i="8" s="1"/>
  <c r="CP272" i="8" s="1"/>
  <c r="DB274" i="8"/>
  <c r="DB275" i="8"/>
  <c r="BU276" i="8"/>
  <c r="BU277" i="8"/>
  <c r="BQ277" i="8"/>
  <c r="BT277" i="8"/>
  <c r="BP277" i="8"/>
  <c r="DH278" i="8"/>
  <c r="DI278" i="8"/>
  <c r="CA279" i="8"/>
  <c r="CB279" i="8"/>
  <c r="CB284" i="8"/>
  <c r="CA284" i="8"/>
  <c r="BY280" i="8"/>
  <c r="BW272" i="8"/>
  <c r="BW275" i="8"/>
  <c r="CJ276" i="8"/>
  <c r="CL276" i="8" s="1"/>
  <c r="CL277" i="8"/>
  <c r="CP277" i="8" s="1"/>
  <c r="AA279" i="8"/>
  <c r="BS279" i="8"/>
  <c r="BX280" i="8"/>
  <c r="AA281" i="8"/>
  <c r="BS281" i="8"/>
  <c r="DB281" i="8"/>
  <c r="DA281" i="8"/>
  <c r="CV281" i="8"/>
  <c r="BD276" i="8"/>
  <c r="BE276" i="8" s="1"/>
  <c r="BH276" i="8"/>
  <c r="BR276" i="8"/>
  <c r="BD279" i="8"/>
  <c r="BE279" i="8" s="1"/>
  <c r="BI279" i="8" s="1"/>
  <c r="BQ280" i="8"/>
  <c r="CX280" i="8"/>
  <c r="CZ281" i="8"/>
  <c r="CS282" i="8"/>
  <c r="CW282" i="8" s="1"/>
  <c r="CV285" i="8"/>
  <c r="CW285" i="8" s="1"/>
  <c r="BR275" i="8"/>
  <c r="CV275" i="8"/>
  <c r="CW275" i="8" s="1"/>
  <c r="BS276" i="8"/>
  <c r="CO276" i="8"/>
  <c r="DD280" i="8"/>
  <c r="BW280" i="8"/>
  <c r="BR280" i="8"/>
  <c r="CY280" i="8"/>
  <c r="BL281" i="8"/>
  <c r="BP281" i="8" s="1"/>
  <c r="CO281" i="8"/>
  <c r="CP281" i="8" s="1"/>
  <c r="CW283" i="8"/>
  <c r="CL284" i="8"/>
  <c r="DD285" i="8"/>
  <c r="BW285" i="8"/>
  <c r="Y285" i="8"/>
  <c r="Z285" i="8" s="1"/>
  <c r="AB285" i="8" s="1"/>
  <c r="DB280" i="8"/>
  <c r="BQ282" i="8"/>
  <c r="BU282" i="8"/>
  <c r="BT282" i="8"/>
  <c r="CX282" i="8"/>
  <c r="DB282" i="8"/>
  <c r="DA282" i="8"/>
  <c r="CY282" i="8"/>
  <c r="CP285" i="8"/>
  <c r="X286" i="8"/>
  <c r="BL276" i="8"/>
  <c r="BP276" i="8" s="1"/>
  <c r="DB277" i="8"/>
  <c r="CX277" i="8"/>
  <c r="BU281" i="8"/>
  <c r="BT281" i="8"/>
  <c r="BQ281" i="8"/>
  <c r="BO285" i="8"/>
  <c r="BP285" i="8" s="1"/>
  <c r="BR281" i="8"/>
  <c r="CW281" i="8"/>
  <c r="AA282" i="8"/>
  <c r="BI282" i="8"/>
  <c r="CP282" i="8"/>
  <c r="Y284" i="8"/>
  <c r="Z284" i="8" s="1"/>
  <c r="AB284" i="8" s="1"/>
  <c r="BD281" i="8"/>
  <c r="BE281" i="8" s="1"/>
  <c r="BI281" i="8" s="1"/>
  <c r="Y283" i="8"/>
  <c r="Z283" i="8" s="1"/>
  <c r="AB283" i="8" s="1"/>
  <c r="BW284" i="8"/>
  <c r="BH285" i="8"/>
  <c r="BX285" i="8"/>
  <c r="DE285" i="8"/>
  <c r="BN282" i="8"/>
  <c r="BO282" i="8" s="1"/>
  <c r="BW283" i="8"/>
  <c r="BH284" i="8"/>
  <c r="BI284" i="8" s="1"/>
  <c r="BX284" i="8"/>
  <c r="CO284" i="8"/>
  <c r="DE284" i="8"/>
  <c r="BQ285" i="8"/>
  <c r="CX285" i="8"/>
  <c r="BR285" i="8"/>
  <c r="CY285" i="8"/>
  <c r="BR284" i="8"/>
  <c r="CB256" i="8"/>
  <c r="CA256" i="8"/>
  <c r="CB258" i="8"/>
  <c r="CA258" i="8"/>
  <c r="BQ250" i="8"/>
  <c r="BU250" i="8"/>
  <c r="BT250" i="8"/>
  <c r="CP250" i="8"/>
  <c r="DI258" i="8"/>
  <c r="DH258" i="8"/>
  <c r="DI259" i="8"/>
  <c r="DH259" i="8"/>
  <c r="AA252" i="8"/>
  <c r="DH257" i="8"/>
  <c r="DI257" i="8"/>
  <c r="BI250" i="8"/>
  <c r="AA251" i="8"/>
  <c r="BP251" i="8"/>
  <c r="CD251" i="8" s="1"/>
  <c r="BE255" i="8"/>
  <c r="BI255" i="8" s="1"/>
  <c r="CW256" i="8"/>
  <c r="BP250" i="8"/>
  <c r="BP254" i="8"/>
  <c r="CW254" i="8"/>
  <c r="CX250" i="8"/>
  <c r="CY250" i="8"/>
  <c r="DB250" i="8"/>
  <c r="DA250" i="8"/>
  <c r="BI252" i="8"/>
  <c r="DD260" i="8"/>
  <c r="BW260" i="8"/>
  <c r="Y260" i="8"/>
  <c r="Z260" i="8" s="1"/>
  <c r="AB260" i="8" s="1"/>
  <c r="DB261" i="8"/>
  <c r="DA261" i="8"/>
  <c r="CX261" i="8"/>
  <c r="DI262" i="8"/>
  <c r="CW263" i="8"/>
  <c r="AA265" i="8"/>
  <c r="Y259" i="8"/>
  <c r="Z259" i="8" s="1"/>
  <c r="AB259" i="8" s="1"/>
  <c r="DD259" i="8"/>
  <c r="BW259" i="8"/>
  <c r="DE259" i="8"/>
  <c r="X266" i="8"/>
  <c r="BT251" i="8"/>
  <c r="DA251" i="8"/>
  <c r="BU252" i="8"/>
  <c r="DB252" i="8"/>
  <c r="Y253" i="8"/>
  <c r="Z253" i="8" s="1"/>
  <c r="AB253" i="8" s="1"/>
  <c r="BU253" i="8"/>
  <c r="DB253" i="8"/>
  <c r="Y254" i="8"/>
  <c r="Z254" i="8" s="1"/>
  <c r="AB254" i="8" s="1"/>
  <c r="BS255" i="8"/>
  <c r="DE258" i="8"/>
  <c r="BO259" i="8"/>
  <c r="BP259" i="8" s="1"/>
  <c r="CY251" i="8"/>
  <c r="BY255" i="8"/>
  <c r="BR255" i="8"/>
  <c r="Y257" i="8"/>
  <c r="Z257" i="8" s="1"/>
  <c r="AB257" i="8" s="1"/>
  <c r="CB260" i="8"/>
  <c r="CA260" i="8"/>
  <c r="AA261" i="8"/>
  <c r="Y250" i="8"/>
  <c r="CT250" i="8"/>
  <c r="CV250" i="8" s="1"/>
  <c r="CW250" i="8" s="1"/>
  <c r="BU251" i="8"/>
  <c r="DB251" i="8"/>
  <c r="BN252" i="8"/>
  <c r="BO252" i="8" s="1"/>
  <c r="BP252" i="8" s="1"/>
  <c r="BN253" i="8"/>
  <c r="BO253" i="8" s="1"/>
  <c r="BP253" i="8" s="1"/>
  <c r="BW254" i="8"/>
  <c r="DE254" i="8"/>
  <c r="CV255" i="8"/>
  <c r="CW255" i="8" s="1"/>
  <c r="DE255" i="8"/>
  <c r="BH256" i="8"/>
  <c r="BI256" i="8" s="1"/>
  <c r="BQ256" i="8"/>
  <c r="CY256" i="8"/>
  <c r="BS260" i="8"/>
  <c r="BR260" i="8"/>
  <c r="BX260" i="8"/>
  <c r="BW253" i="8"/>
  <c r="BX254" i="8"/>
  <c r="DA256" i="8"/>
  <c r="BU261" i="8"/>
  <c r="BT261" i="8"/>
  <c r="BQ261" i="8"/>
  <c r="DD264" i="8"/>
  <c r="BW264" i="8"/>
  <c r="Y264" i="8"/>
  <c r="Z264" i="8" s="1"/>
  <c r="AB264" i="8" s="1"/>
  <c r="BC265" i="8"/>
  <c r="BE265" i="8" s="1"/>
  <c r="BM265" i="8"/>
  <c r="BO265" i="8" s="1"/>
  <c r="BP265" i="8" s="1"/>
  <c r="BX252" i="8"/>
  <c r="CX255" i="8"/>
  <c r="DB256" i="8"/>
  <c r="BH257" i="8"/>
  <c r="BI257" i="8" s="1"/>
  <c r="DD257" i="8"/>
  <c r="BS258" i="8"/>
  <c r="BR258" i="8"/>
  <c r="BX258" i="8"/>
  <c r="CS261" i="8"/>
  <c r="CX252" i="8"/>
  <c r="CX253" i="8"/>
  <c r="BR254" i="8"/>
  <c r="DD255" i="8"/>
  <c r="BW255" i="8"/>
  <c r="BO255" i="8"/>
  <c r="BP255" i="8" s="1"/>
  <c r="Y256" i="8"/>
  <c r="Z256" i="8" s="1"/>
  <c r="AB256" i="8" s="1"/>
  <c r="BS256" i="8"/>
  <c r="BX256" i="8"/>
  <c r="BS259" i="8"/>
  <c r="BR259" i="8"/>
  <c r="CW260" i="8"/>
  <c r="CJ257" i="8"/>
  <c r="CL257" i="8" s="1"/>
  <c r="CP257" i="8" s="1"/>
  <c r="CZ260" i="8"/>
  <c r="DE260" i="8"/>
  <c r="CY261" i="8"/>
  <c r="CA263" i="8"/>
  <c r="CB263" i="8"/>
  <c r="DI264" i="8"/>
  <c r="DH264" i="8"/>
  <c r="CJ265" i="8"/>
  <c r="CL265" i="8" s="1"/>
  <c r="CP265" i="8" s="1"/>
  <c r="CT265" i="8"/>
  <c r="CV265" i="8" s="1"/>
  <c r="CW265" i="8" s="1"/>
  <c r="BR262" i="8"/>
  <c r="CY262" i="8"/>
  <c r="BS263" i="8"/>
  <c r="DA264" i="8"/>
  <c r="BU265" i="8"/>
  <c r="DB265" i="8"/>
  <c r="CY260" i="8"/>
  <c r="BC261" i="8"/>
  <c r="BE261" i="8" s="1"/>
  <c r="BI261" i="8" s="1"/>
  <c r="CJ261" i="8"/>
  <c r="CL261" i="8" s="1"/>
  <c r="CP261" i="8" s="1"/>
  <c r="DK261" i="8" s="1"/>
  <c r="BD262" i="8"/>
  <c r="BE262" i="8" s="1"/>
  <c r="BI262" i="8" s="1"/>
  <c r="DE256" i="8"/>
  <c r="CX257" i="8"/>
  <c r="Y263" i="8"/>
  <c r="Z263" i="8" s="1"/>
  <c r="AB263" i="8" s="1"/>
  <c r="BH265" i="8"/>
  <c r="BX265" i="8"/>
  <c r="DE265" i="8"/>
  <c r="BC258" i="8"/>
  <c r="BE258" i="8" s="1"/>
  <c r="BI258" i="8" s="1"/>
  <c r="CJ258" i="8"/>
  <c r="CL258" i="8" s="1"/>
  <c r="CP258" i="8" s="1"/>
  <c r="BC259" i="8"/>
  <c r="BE259" i="8" s="1"/>
  <c r="BI259" i="8" s="1"/>
  <c r="CJ259" i="8"/>
  <c r="CL259" i="8" s="1"/>
  <c r="CP259" i="8" s="1"/>
  <c r="BD260" i="8"/>
  <c r="BE260" i="8" s="1"/>
  <c r="BI260" i="8" s="1"/>
  <c r="BT260" i="8"/>
  <c r="DA260" i="8"/>
  <c r="BM261" i="8"/>
  <c r="BO261" i="8" s="1"/>
  <c r="BP261" i="8" s="1"/>
  <c r="CT261" i="8"/>
  <c r="CV261" i="8" s="1"/>
  <c r="BN262" i="8"/>
  <c r="BO262" i="8" s="1"/>
  <c r="BP262" i="8" s="1"/>
  <c r="BW263" i="8"/>
  <c r="BH264" i="8"/>
  <c r="BI264" i="8" s="1"/>
  <c r="BX264" i="8"/>
  <c r="CO264" i="8"/>
  <c r="CP264" i="8" s="1"/>
  <c r="DE264" i="8"/>
  <c r="BQ265" i="8"/>
  <c r="CX265" i="8"/>
  <c r="BR265" i="8"/>
  <c r="CY265" i="8"/>
  <c r="AA262" i="8"/>
  <c r="BR264" i="8"/>
  <c r="CW231" i="8"/>
  <c r="AA234" i="8"/>
  <c r="CD234" i="8" s="1"/>
  <c r="DI236" i="8"/>
  <c r="DH236" i="8"/>
  <c r="AA239" i="8"/>
  <c r="AA240" i="8"/>
  <c r="CA232" i="8"/>
  <c r="CB232" i="8"/>
  <c r="CW232" i="8"/>
  <c r="CA234" i="8"/>
  <c r="CB234" i="8"/>
  <c r="DI242" i="8"/>
  <c r="DH242" i="8"/>
  <c r="AA241" i="8"/>
  <c r="AA233" i="8"/>
  <c r="BP233" i="8"/>
  <c r="CD233" i="8" s="1"/>
  <c r="DI233" i="8"/>
  <c r="DH233" i="8"/>
  <c r="CB235" i="8"/>
  <c r="CA235" i="8"/>
  <c r="CV237" i="8"/>
  <c r="CW237" i="8" s="1"/>
  <c r="AA231" i="8"/>
  <c r="CW230" i="8"/>
  <c r="BR230" i="8"/>
  <c r="CY230" i="8"/>
  <c r="BR231" i="8"/>
  <c r="CY231" i="8"/>
  <c r="DD235" i="8"/>
  <c r="BW235" i="8"/>
  <c r="AA236" i="8"/>
  <c r="DA236" i="8"/>
  <c r="BW240" i="8"/>
  <c r="DD240" i="8"/>
  <c r="CT241" i="8"/>
  <c r="CV241" i="8" s="1"/>
  <c r="CW241" i="8" s="1"/>
  <c r="CJ241" i="8"/>
  <c r="CL241" i="8" s="1"/>
  <c r="BN242" i="8"/>
  <c r="BO242" i="8" s="1"/>
  <c r="BP242" i="8" s="1"/>
  <c r="BD242" i="8"/>
  <c r="BS230" i="8"/>
  <c r="CJ230" i="8"/>
  <c r="CL230" i="8" s="1"/>
  <c r="CP230" i="8" s="1"/>
  <c r="CZ230" i="8"/>
  <c r="BC231" i="8"/>
  <c r="BS231" i="8"/>
  <c r="CJ231" i="8"/>
  <c r="CL231" i="8" s="1"/>
  <c r="CP231" i="8" s="1"/>
  <c r="CZ231" i="8"/>
  <c r="BD232" i="8"/>
  <c r="BE232" i="8" s="1"/>
  <c r="BI232" i="8" s="1"/>
  <c r="BT232" i="8"/>
  <c r="DA232" i="8"/>
  <c r="BD233" i="8"/>
  <c r="BE233" i="8" s="1"/>
  <c r="BI233" i="8" s="1"/>
  <c r="BT233" i="8"/>
  <c r="DA233" i="8"/>
  <c r="BS234" i="8"/>
  <c r="CX234" i="8"/>
  <c r="Y235" i="8"/>
  <c r="Z235" i="8" s="1"/>
  <c r="AB235" i="8" s="1"/>
  <c r="BT235" i="8"/>
  <c r="CZ235" i="8"/>
  <c r="BC236" i="8"/>
  <c r="DB236" i="8"/>
  <c r="AA237" i="8"/>
  <c r="BN238" i="8"/>
  <c r="BO238" i="8" s="1"/>
  <c r="BP238" i="8" s="1"/>
  <c r="BN240" i="8"/>
  <c r="BO240" i="8" s="1"/>
  <c r="BP240" i="8" s="1"/>
  <c r="BS241" i="8"/>
  <c r="BR241" i="8"/>
  <c r="BN241" i="8"/>
  <c r="AA242" i="8"/>
  <c r="BH242" i="8"/>
  <c r="AA243" i="8"/>
  <c r="CD243" i="8" s="1"/>
  <c r="BD230" i="8"/>
  <c r="BE230" i="8" s="1"/>
  <c r="BI230" i="8" s="1"/>
  <c r="BT230" i="8"/>
  <c r="DA230" i="8"/>
  <c r="BD231" i="8"/>
  <c r="BE231" i="8" s="1"/>
  <c r="BI231" i="8" s="1"/>
  <c r="BT231" i="8"/>
  <c r="BT234" i="8"/>
  <c r="CY234" i="8"/>
  <c r="BU235" i="8"/>
  <c r="BD236" i="8"/>
  <c r="BE236" i="8" s="1"/>
  <c r="BI236" i="8" s="1"/>
  <c r="BN236" i="8"/>
  <c r="BO236" i="8" s="1"/>
  <c r="BP236" i="8" s="1"/>
  <c r="BC237" i="8"/>
  <c r="BE237" i="8" s="1"/>
  <c r="BI237" i="8" s="1"/>
  <c r="BD239" i="8"/>
  <c r="BE239" i="8" s="1"/>
  <c r="BI239" i="8" s="1"/>
  <c r="CO241" i="8"/>
  <c r="Y230" i="8"/>
  <c r="Y232" i="8"/>
  <c r="Z232" i="8" s="1"/>
  <c r="AB232" i="8" s="1"/>
  <c r="BU234" i="8"/>
  <c r="CZ234" i="8"/>
  <c r="DB235" i="8"/>
  <c r="BM237" i="8"/>
  <c r="BO237" i="8" s="1"/>
  <c r="BP237" i="8" s="1"/>
  <c r="BH238" i="8"/>
  <c r="BI238" i="8" s="1"/>
  <c r="CT238" i="8"/>
  <c r="CV238" i="8" s="1"/>
  <c r="CW238" i="8" s="1"/>
  <c r="BN239" i="8"/>
  <c r="BO239" i="8" s="1"/>
  <c r="BP239" i="8" s="1"/>
  <c r="CT239" i="8"/>
  <c r="CV239" i="8" s="1"/>
  <c r="CW239" i="8" s="1"/>
  <c r="DD239" i="8"/>
  <c r="BH240" i="8"/>
  <c r="BI240" i="8" s="1"/>
  <c r="BM241" i="8"/>
  <c r="BC241" i="8"/>
  <c r="BE241" i="8" s="1"/>
  <c r="BI241" i="8" s="1"/>
  <c r="BN230" i="8"/>
  <c r="BO230" i="8" s="1"/>
  <c r="BP230" i="8" s="1"/>
  <c r="BN231" i="8"/>
  <c r="BO231" i="8" s="1"/>
  <c r="BP231" i="8" s="1"/>
  <c r="BW232" i="8"/>
  <c r="DA234" i="8"/>
  <c r="DE238" i="8"/>
  <c r="CO240" i="8"/>
  <c r="CP240" i="8" s="1"/>
  <c r="CW245" i="8"/>
  <c r="DD230" i="8"/>
  <c r="BS238" i="8"/>
  <c r="BR238" i="8"/>
  <c r="CA243" i="8"/>
  <c r="CB243" i="8"/>
  <c r="CX232" i="8"/>
  <c r="CX233" i="8"/>
  <c r="CV235" i="8"/>
  <c r="CW235" i="8" s="1"/>
  <c r="BT236" i="8"/>
  <c r="CY236" i="8"/>
  <c r="CJ237" i="8"/>
  <c r="CL237" i="8" s="1"/>
  <c r="CP237" i="8" s="1"/>
  <c r="DK237" i="8" s="1"/>
  <c r="AA238" i="8"/>
  <c r="BS240" i="8"/>
  <c r="BR240" i="8"/>
  <c r="DE241" i="8"/>
  <c r="BR235" i="8"/>
  <c r="BU236" i="8"/>
  <c r="AA244" i="8"/>
  <c r="DK244" i="8" s="1"/>
  <c r="BR242" i="8"/>
  <c r="CY242" i="8"/>
  <c r="BS243" i="8"/>
  <c r="BT244" i="8"/>
  <c r="DA244" i="8"/>
  <c r="BU245" i="8"/>
  <c r="DB245" i="8"/>
  <c r="CY241" i="8"/>
  <c r="BC242" i="8"/>
  <c r="CJ242" i="8"/>
  <c r="CL242" i="8" s="1"/>
  <c r="CP242" i="8" s="1"/>
  <c r="BD243" i="8"/>
  <c r="BE243" i="8" s="1"/>
  <c r="BI243" i="8" s="1"/>
  <c r="BT243" i="8"/>
  <c r="DA243" i="8"/>
  <c r="BM244" i="8"/>
  <c r="BO244" i="8" s="1"/>
  <c r="BP244" i="8" s="1"/>
  <c r="CT244" i="8"/>
  <c r="CV244" i="8" s="1"/>
  <c r="CW244" i="8" s="1"/>
  <c r="DB244" i="8"/>
  <c r="Y245" i="8"/>
  <c r="Z245" i="8" s="1"/>
  <c r="AB245" i="8" s="1"/>
  <c r="BN245" i="8"/>
  <c r="BO245" i="8" s="1"/>
  <c r="BP245" i="8" s="1"/>
  <c r="BT242" i="8"/>
  <c r="DA242" i="8"/>
  <c r="DB243" i="8"/>
  <c r="BW245" i="8"/>
  <c r="BR239" i="8"/>
  <c r="BX245" i="8"/>
  <c r="DE245" i="8"/>
  <c r="BX244" i="8"/>
  <c r="DE244" i="8"/>
  <c r="BQ245" i="8"/>
  <c r="CX245" i="8"/>
  <c r="BR245" i="8"/>
  <c r="CY245" i="8"/>
  <c r="BR244" i="8"/>
  <c r="G321" i="7"/>
  <c r="G306" i="7"/>
  <c r="G291" i="7"/>
  <c r="G276" i="7"/>
  <c r="G261" i="7"/>
  <c r="G246" i="7"/>
  <c r="G231" i="7"/>
  <c r="G201" i="7"/>
  <c r="G186" i="7"/>
  <c r="G171" i="7"/>
  <c r="G156" i="7"/>
  <c r="G141" i="7"/>
  <c r="G126" i="7"/>
  <c r="G111" i="7"/>
  <c r="G96" i="7"/>
  <c r="G81" i="7"/>
  <c r="F809" i="10"/>
  <c r="E14" i="10" s="1"/>
  <c r="E18" i="10" s="1"/>
  <c r="BI265" i="8" l="1"/>
  <c r="DK265" i="8"/>
  <c r="DK282" i="8"/>
  <c r="CP284" i="8"/>
  <c r="BI280" i="8"/>
  <c r="BI285" i="8"/>
  <c r="CD277" i="8"/>
  <c r="BI274" i="8"/>
  <c r="BI305" i="8"/>
  <c r="DK305" i="8"/>
  <c r="CD313" i="8"/>
  <c r="CP344" i="8"/>
  <c r="AB354" i="8"/>
  <c r="Z366" i="8"/>
  <c r="CP364" i="8"/>
  <c r="BI355" i="8"/>
  <c r="BI350" i="8"/>
  <c r="BI377" i="8"/>
  <c r="CD381" i="8"/>
  <c r="BI376" i="8"/>
  <c r="BI405" i="8"/>
  <c r="BI393" i="8"/>
  <c r="CP393" i="8"/>
  <c r="E74" i="15"/>
  <c r="H74" i="15"/>
  <c r="G74" i="15"/>
  <c r="F74" i="15"/>
  <c r="AK107" i="15"/>
  <c r="AK152" i="15"/>
  <c r="AK182" i="15"/>
  <c r="AK197" i="15"/>
  <c r="AK227" i="15"/>
  <c r="AK257" i="15"/>
  <c r="AK272" i="15"/>
  <c r="AK317" i="15"/>
  <c r="AB402" i="8"/>
  <c r="AA402" i="8"/>
  <c r="AA399" i="8"/>
  <c r="AB399" i="8"/>
  <c r="AB396" i="8"/>
  <c r="AA396" i="8"/>
  <c r="CP384" i="8"/>
  <c r="BI384" i="8"/>
  <c r="CW383" i="8"/>
  <c r="CP383" i="8"/>
  <c r="DK383" i="8" s="1"/>
  <c r="BP380" i="8"/>
  <c r="BI380" i="8"/>
  <c r="CW379" i="8"/>
  <c r="AB379" i="8"/>
  <c r="AA379" i="8"/>
  <c r="CW378" i="8"/>
  <c r="AB378" i="8"/>
  <c r="AA378" i="8"/>
  <c r="AB377" i="8"/>
  <c r="AA377" i="8"/>
  <c r="CP373" i="8"/>
  <c r="BI373" i="8"/>
  <c r="CP372" i="8"/>
  <c r="BI372" i="8"/>
  <c r="CP371" i="8"/>
  <c r="BI371" i="8"/>
  <c r="DH370" i="8"/>
  <c r="DI370" i="8"/>
  <c r="CP363" i="8"/>
  <c r="CW362" i="8"/>
  <c r="CW361" i="8"/>
  <c r="AB361" i="8"/>
  <c r="AA361" i="8"/>
  <c r="CP360" i="8"/>
  <c r="CP359" i="8"/>
  <c r="CW357" i="8"/>
  <c r="CW356" i="8"/>
  <c r="CP355" i="8"/>
  <c r="CP354" i="8"/>
  <c r="CP353" i="8"/>
  <c r="BP353" i="8"/>
  <c r="BI353" i="8"/>
  <c r="CP352" i="8"/>
  <c r="BP352" i="8"/>
  <c r="BI352" i="8"/>
  <c r="AB352" i="8"/>
  <c r="AA352" i="8"/>
  <c r="CW351" i="8"/>
  <c r="AA351" i="8"/>
  <c r="AB351" i="8"/>
  <c r="CW350" i="8"/>
  <c r="CP343" i="8"/>
  <c r="BI343" i="8"/>
  <c r="CP342" i="8"/>
  <c r="AB342" i="8"/>
  <c r="AA342" i="8"/>
  <c r="CW341" i="8"/>
  <c r="CW339" i="8"/>
  <c r="CP339" i="8"/>
  <c r="BP339" i="8"/>
  <c r="BI339" i="8"/>
  <c r="CW338" i="8"/>
  <c r="CP338" i="8"/>
  <c r="BP338" i="8"/>
  <c r="BI338" i="8"/>
  <c r="CW337" i="8"/>
  <c r="AB337" i="8"/>
  <c r="AA337" i="8"/>
  <c r="BP333" i="8"/>
  <c r="CP331" i="8"/>
  <c r="BI331" i="8"/>
  <c r="BI330" i="8"/>
  <c r="AB322" i="8"/>
  <c r="AA322" i="8"/>
  <c r="CW313" i="8"/>
  <c r="CP304" i="8"/>
  <c r="BI304" i="8"/>
  <c r="CW303" i="8"/>
  <c r="CP303" i="8"/>
  <c r="DK303" i="8" s="1"/>
  <c r="BI303" i="8"/>
  <c r="CP300" i="8"/>
  <c r="DK300" i="8" s="1"/>
  <c r="CW299" i="8"/>
  <c r="CW298" i="8"/>
  <c r="CP298" i="8"/>
  <c r="DK298" i="8" s="1"/>
  <c r="BI298" i="8"/>
  <c r="CP297" i="8"/>
  <c r="CP294" i="8"/>
  <c r="CW284" i="8"/>
  <c r="CP283" i="8"/>
  <c r="BI283" i="8"/>
  <c r="CP280" i="8"/>
  <c r="DK280" i="8" s="1"/>
  <c r="CW279" i="8"/>
  <c r="CP278" i="8"/>
  <c r="BI278" i="8"/>
  <c r="CP275" i="8"/>
  <c r="DK275" i="8" s="1"/>
  <c r="CW274" i="8"/>
  <c r="AA272" i="8"/>
  <c r="AB272" i="8"/>
  <c r="BP264" i="8"/>
  <c r="CP263" i="8"/>
  <c r="BI263" i="8"/>
  <c r="CP262" i="8"/>
  <c r="CP260" i="8"/>
  <c r="AB258" i="8"/>
  <c r="AA258" i="8"/>
  <c r="BP257" i="8"/>
  <c r="CP256" i="8"/>
  <c r="CP255" i="8"/>
  <c r="DK255" i="8" s="1"/>
  <c r="CP254" i="8"/>
  <c r="BI254" i="8"/>
  <c r="CW253" i="8"/>
  <c r="CP253" i="8"/>
  <c r="BI253" i="8"/>
  <c r="CW252" i="8"/>
  <c r="CP252" i="8"/>
  <c r="DK252" i="8" s="1"/>
  <c r="CW251" i="8"/>
  <c r="CP251" i="8"/>
  <c r="DK251" i="8" s="1"/>
  <c r="BI251" i="8"/>
  <c r="CP245" i="8"/>
  <c r="BI245" i="8"/>
  <c r="CW243" i="8"/>
  <c r="CW240" i="8"/>
  <c r="CP239" i="8"/>
  <c r="DK239" i="8" s="1"/>
  <c r="CP236" i="8"/>
  <c r="CP235" i="8"/>
  <c r="BI235" i="8"/>
  <c r="CW234" i="8"/>
  <c r="CP234" i="8"/>
  <c r="DK234" i="8" s="1"/>
  <c r="BI234" i="8"/>
  <c r="CP233" i="8"/>
  <c r="DK233" i="8" s="1"/>
  <c r="CP232" i="8"/>
  <c r="AK62" i="7"/>
  <c r="DH312" i="8"/>
  <c r="DI312" i="8"/>
  <c r="DH319" i="8"/>
  <c r="DI319" i="8"/>
  <c r="CA314" i="8"/>
  <c r="BI325" i="8"/>
  <c r="DK312" i="8"/>
  <c r="DK321" i="8"/>
  <c r="DK315" i="8"/>
  <c r="BE321" i="8"/>
  <c r="BI321" i="8" s="1"/>
  <c r="CP325" i="8"/>
  <c r="DK325" i="8" s="1"/>
  <c r="CB310" i="8"/>
  <c r="CA310" i="8"/>
  <c r="CP310" i="8"/>
  <c r="H329" i="7"/>
  <c r="G329" i="7"/>
  <c r="E329" i="7"/>
  <c r="F329" i="7"/>
  <c r="H299" i="7"/>
  <c r="E299" i="7"/>
  <c r="F299" i="7"/>
  <c r="G299" i="7"/>
  <c r="H284" i="7"/>
  <c r="F284" i="7"/>
  <c r="E284" i="7"/>
  <c r="G284" i="7"/>
  <c r="H269" i="7"/>
  <c r="G269" i="7"/>
  <c r="F269" i="7"/>
  <c r="E269" i="7"/>
  <c r="H254" i="7"/>
  <c r="E254" i="7"/>
  <c r="F254" i="7"/>
  <c r="G254" i="7"/>
  <c r="H239" i="7"/>
  <c r="G239" i="7"/>
  <c r="E239" i="7"/>
  <c r="F239" i="7"/>
  <c r="H224" i="7"/>
  <c r="E224" i="7"/>
  <c r="F224" i="7"/>
  <c r="G224" i="7"/>
  <c r="H209" i="7"/>
  <c r="F209" i="7"/>
  <c r="G209" i="7"/>
  <c r="E209" i="7"/>
  <c r="H194" i="7"/>
  <c r="E194" i="7"/>
  <c r="F194" i="7"/>
  <c r="G194" i="7"/>
  <c r="H179" i="7"/>
  <c r="G179" i="7"/>
  <c r="F179" i="7"/>
  <c r="E179" i="7"/>
  <c r="H164" i="7"/>
  <c r="E164" i="7"/>
  <c r="F164" i="7"/>
  <c r="G164" i="7"/>
  <c r="H149" i="7"/>
  <c r="G149" i="7"/>
  <c r="E149" i="7"/>
  <c r="F149" i="7"/>
  <c r="G134" i="7"/>
  <c r="H134" i="7"/>
  <c r="E134" i="7"/>
  <c r="F134" i="7"/>
  <c r="H119" i="7"/>
  <c r="G119" i="7"/>
  <c r="E119" i="7"/>
  <c r="F119" i="7"/>
  <c r="H104" i="7"/>
  <c r="E104" i="7"/>
  <c r="F104" i="7"/>
  <c r="G104" i="7"/>
  <c r="G89" i="7"/>
  <c r="DL298" i="8"/>
  <c r="DH401" i="8"/>
  <c r="DI401" i="8"/>
  <c r="CA402" i="8"/>
  <c r="CB402" i="8"/>
  <c r="AC402" i="8"/>
  <c r="CD402" i="8"/>
  <c r="CC396" i="8"/>
  <c r="CD396" i="8"/>
  <c r="CP392" i="8"/>
  <c r="DK392" i="8" s="1"/>
  <c r="CC399" i="8"/>
  <c r="DK391" i="8"/>
  <c r="DH402" i="8"/>
  <c r="BI392" i="8"/>
  <c r="DK401" i="8"/>
  <c r="BI397" i="8"/>
  <c r="CP394" i="8"/>
  <c r="DK394" i="8" s="1"/>
  <c r="DK403" i="8"/>
  <c r="CC402" i="8"/>
  <c r="BI391" i="8"/>
  <c r="DK393" i="8"/>
  <c r="DK397" i="8"/>
  <c r="CC377" i="8"/>
  <c r="BY377" i="8"/>
  <c r="DK350" i="8"/>
  <c r="DJ357" i="8"/>
  <c r="CC357" i="8"/>
  <c r="CF357" i="8" s="1"/>
  <c r="AD357" i="8" s="1"/>
  <c r="AE357" i="8" s="1"/>
  <c r="AF357" i="8" s="1"/>
  <c r="DK332" i="8"/>
  <c r="DK336" i="8"/>
  <c r="DK335" i="8"/>
  <c r="DK334" i="8"/>
  <c r="DL300" i="8"/>
  <c r="CE298" i="8"/>
  <c r="CE300" i="8"/>
  <c r="DK281" i="8"/>
  <c r="DK277" i="8"/>
  <c r="DF280" i="8"/>
  <c r="CE280" i="8"/>
  <c r="DF255" i="8"/>
  <c r="CE255" i="8"/>
  <c r="DK243" i="8"/>
  <c r="CB405" i="8"/>
  <c r="CA405" i="8"/>
  <c r="DI400" i="8"/>
  <c r="DH400" i="8"/>
  <c r="DI393" i="8"/>
  <c r="DH393" i="8"/>
  <c r="CB392" i="8"/>
  <c r="CA392" i="8"/>
  <c r="CD392" i="8"/>
  <c r="DI405" i="8"/>
  <c r="DH405" i="8"/>
  <c r="CB393" i="8"/>
  <c r="CA393" i="8"/>
  <c r="DH398" i="8"/>
  <c r="DI398" i="8"/>
  <c r="DI404" i="8"/>
  <c r="DH404" i="8"/>
  <c r="CB394" i="8"/>
  <c r="CA394" i="8"/>
  <c r="CD394" i="8"/>
  <c r="DI392" i="8"/>
  <c r="DH392" i="8"/>
  <c r="DJ405" i="8"/>
  <c r="CC405" i="8"/>
  <c r="AC405" i="8"/>
  <c r="DF405" i="8"/>
  <c r="DL405" i="8" s="1"/>
  <c r="BY405" i="8"/>
  <c r="DI395" i="8"/>
  <c r="DH395" i="8"/>
  <c r="CB391" i="8"/>
  <c r="CA391" i="8"/>
  <c r="DI390" i="8"/>
  <c r="DH390" i="8"/>
  <c r="CB404" i="8"/>
  <c r="CA404" i="8"/>
  <c r="BI398" i="8"/>
  <c r="AC403" i="8"/>
  <c r="DF403" i="8"/>
  <c r="DL403" i="8" s="1"/>
  <c r="CC403" i="8"/>
  <c r="BY403" i="8"/>
  <c r="CE403" i="8" s="1"/>
  <c r="DJ403" i="8"/>
  <c r="DM403" i="8" s="1"/>
  <c r="AA404" i="8"/>
  <c r="CD404" i="8" s="1"/>
  <c r="CP400" i="8"/>
  <c r="DK400" i="8" s="1"/>
  <c r="CB396" i="8"/>
  <c r="CA396" i="8"/>
  <c r="CF396" i="8" s="1"/>
  <c r="AD396" i="8" s="1"/>
  <c r="AE396" i="8" s="1"/>
  <c r="AF396" i="8" s="1"/>
  <c r="AC396" i="8"/>
  <c r="DH399" i="8"/>
  <c r="DI399" i="8"/>
  <c r="DJ400" i="8"/>
  <c r="AC400" i="8"/>
  <c r="CC400" i="8"/>
  <c r="BY400" i="8"/>
  <c r="CE400" i="8" s="1"/>
  <c r="DF400" i="8"/>
  <c r="DL400" i="8" s="1"/>
  <c r="BE394" i="8"/>
  <c r="BI394" i="8" s="1"/>
  <c r="DJ392" i="8"/>
  <c r="CC392" i="8"/>
  <c r="AC392" i="8"/>
  <c r="DF392" i="8"/>
  <c r="DL392" i="8" s="1"/>
  <c r="BY392" i="8"/>
  <c r="CE392" i="8" s="1"/>
  <c r="CB401" i="8"/>
  <c r="CA401" i="8"/>
  <c r="DI391" i="8"/>
  <c r="DH391" i="8"/>
  <c r="CB398" i="8"/>
  <c r="CA398" i="8"/>
  <c r="DI394" i="8"/>
  <c r="DH394" i="8"/>
  <c r="CB400" i="8"/>
  <c r="CA400" i="8"/>
  <c r="AA398" i="8"/>
  <c r="CB390" i="8"/>
  <c r="CA390" i="8"/>
  <c r="DI396" i="8"/>
  <c r="DH396" i="8"/>
  <c r="DJ394" i="8"/>
  <c r="CC394" i="8"/>
  <c r="AC394" i="8"/>
  <c r="BY394" i="8"/>
  <c r="CE394" i="8" s="1"/>
  <c r="DF394" i="8"/>
  <c r="DL394" i="8" s="1"/>
  <c r="CD400" i="8"/>
  <c r="DJ395" i="8"/>
  <c r="CC395" i="8"/>
  <c r="CF395" i="8" s="1"/>
  <c r="AD395" i="8" s="1"/>
  <c r="AE395" i="8" s="1"/>
  <c r="AF395" i="8" s="1"/>
  <c r="BY395" i="8"/>
  <c r="CE395" i="8" s="1"/>
  <c r="DF395" i="8"/>
  <c r="DL395" i="8" s="1"/>
  <c r="AC395" i="8"/>
  <c r="DJ401" i="8"/>
  <c r="DM401" i="8" s="1"/>
  <c r="CC401" i="8"/>
  <c r="DF401" i="8"/>
  <c r="DL401" i="8" s="1"/>
  <c r="BY401" i="8"/>
  <c r="CE401" i="8" s="1"/>
  <c r="AC401" i="8"/>
  <c r="CD393" i="8"/>
  <c r="CE405" i="8"/>
  <c r="CD405" i="8"/>
  <c r="DF399" i="8"/>
  <c r="DL399" i="8" s="1"/>
  <c r="CA403" i="8"/>
  <c r="CB403" i="8"/>
  <c r="CA399" i="8"/>
  <c r="CB399" i="8"/>
  <c r="AC399" i="8"/>
  <c r="Z406" i="8"/>
  <c r="AA390" i="8"/>
  <c r="CD390" i="8" s="1"/>
  <c r="DK390" i="8"/>
  <c r="DK405" i="8"/>
  <c r="DJ396" i="8"/>
  <c r="DF391" i="8"/>
  <c r="DL391" i="8" s="1"/>
  <c r="BY391" i="8"/>
  <c r="CE391" i="8" s="1"/>
  <c r="AC391" i="8"/>
  <c r="DJ391" i="8"/>
  <c r="CC391" i="8"/>
  <c r="CC397" i="8"/>
  <c r="CF397" i="8" s="1"/>
  <c r="AD397" i="8" s="1"/>
  <c r="AE397" i="8" s="1"/>
  <c r="AF397" i="8" s="1"/>
  <c r="AC397" i="8"/>
  <c r="DJ397" i="8"/>
  <c r="DF397" i="8"/>
  <c r="DL397" i="8" s="1"/>
  <c r="BY397" i="8"/>
  <c r="CE397" i="8" s="1"/>
  <c r="CD391" i="8"/>
  <c r="DJ393" i="8"/>
  <c r="CC393" i="8"/>
  <c r="DF393" i="8"/>
  <c r="DL393" i="8" s="1"/>
  <c r="BY393" i="8"/>
  <c r="CE393" i="8" s="1"/>
  <c r="AC393" i="8"/>
  <c r="Y406" i="8"/>
  <c r="CB384" i="8"/>
  <c r="CA384" i="8"/>
  <c r="DI385" i="8"/>
  <c r="DH385" i="8"/>
  <c r="CB382" i="8"/>
  <c r="CA382" i="8"/>
  <c r="CD382" i="8"/>
  <c r="DI377" i="8"/>
  <c r="DH377" i="8"/>
  <c r="CA371" i="8"/>
  <c r="CB371" i="8"/>
  <c r="DI375" i="8"/>
  <c r="DH375" i="8"/>
  <c r="CA370" i="8"/>
  <c r="CB370" i="8"/>
  <c r="CB375" i="8"/>
  <c r="CA375" i="8"/>
  <c r="CB385" i="8"/>
  <c r="CA385" i="8"/>
  <c r="CD385" i="8"/>
  <c r="AA374" i="8"/>
  <c r="CD374" i="8"/>
  <c r="DI376" i="8"/>
  <c r="DH376" i="8"/>
  <c r="CA372" i="8"/>
  <c r="CB372" i="8"/>
  <c r="DH373" i="8"/>
  <c r="DI373" i="8"/>
  <c r="AA373" i="8"/>
  <c r="AA384" i="8"/>
  <c r="DK384" i="8" s="1"/>
  <c r="CP377" i="8"/>
  <c r="DK377" i="8" s="1"/>
  <c r="AA371" i="8"/>
  <c r="CA373" i="8"/>
  <c r="CB373" i="8"/>
  <c r="DF382" i="8"/>
  <c r="DL382" i="8" s="1"/>
  <c r="BY382" i="8"/>
  <c r="CE382" i="8" s="1"/>
  <c r="DJ382" i="8"/>
  <c r="CC382" i="8"/>
  <c r="AC382" i="8"/>
  <c r="AA380" i="8"/>
  <c r="DK380" i="8" s="1"/>
  <c r="CC378" i="8"/>
  <c r="CW381" i="8"/>
  <c r="AA375" i="8"/>
  <c r="DK375" i="8" s="1"/>
  <c r="CE377" i="8"/>
  <c r="DJ385" i="8"/>
  <c r="CC385" i="8"/>
  <c r="AC385" i="8"/>
  <c r="DF385" i="8"/>
  <c r="DL385" i="8" s="1"/>
  <c r="BY385" i="8"/>
  <c r="CE385" i="8" s="1"/>
  <c r="Y386" i="8"/>
  <c r="Z370" i="8"/>
  <c r="AB370" i="8" s="1"/>
  <c r="CB376" i="8"/>
  <c r="CA376" i="8"/>
  <c r="BY378" i="8"/>
  <c r="CE378" i="8" s="1"/>
  <c r="DI384" i="8"/>
  <c r="DH384" i="8"/>
  <c r="AA372" i="8"/>
  <c r="CD372" i="8"/>
  <c r="DK372" i="8"/>
  <c r="AC383" i="8"/>
  <c r="DF383" i="8"/>
  <c r="DL383" i="8" s="1"/>
  <c r="BY383" i="8"/>
  <c r="CE383" i="8" s="1"/>
  <c r="CC383" i="8"/>
  <c r="DJ383" i="8"/>
  <c r="AA376" i="8"/>
  <c r="DK376" i="8"/>
  <c r="CD376" i="8"/>
  <c r="DJ381" i="8"/>
  <c r="CC381" i="8"/>
  <c r="AC381" i="8"/>
  <c r="BY381" i="8"/>
  <c r="CE381" i="8" s="1"/>
  <c r="DF381" i="8"/>
  <c r="DF378" i="8"/>
  <c r="DL378" i="8" s="1"/>
  <c r="CF383" i="8"/>
  <c r="AD383" i="8" s="1"/>
  <c r="AE383" i="8" s="1"/>
  <c r="AF383" i="8" s="1"/>
  <c r="DI374" i="8"/>
  <c r="DH374" i="8"/>
  <c r="CB381" i="8"/>
  <c r="CA381" i="8"/>
  <c r="DI382" i="8"/>
  <c r="DH382" i="8"/>
  <c r="CP381" i="8"/>
  <c r="DK381" i="8" s="1"/>
  <c r="DL381" i="8"/>
  <c r="BI379" i="8"/>
  <c r="DH372" i="8"/>
  <c r="DI372" i="8"/>
  <c r="DI365" i="8"/>
  <c r="DH365" i="8"/>
  <c r="CB365" i="8"/>
  <c r="CA365" i="8"/>
  <c r="CD365" i="8"/>
  <c r="DH358" i="8"/>
  <c r="DI358" i="8"/>
  <c r="DI364" i="8"/>
  <c r="DH364" i="8"/>
  <c r="CA356" i="8"/>
  <c r="CB356" i="8"/>
  <c r="DI359" i="8"/>
  <c r="DH359" i="8"/>
  <c r="CB364" i="8"/>
  <c r="CA364" i="8"/>
  <c r="DL357" i="8"/>
  <c r="CB360" i="8"/>
  <c r="CA360" i="8"/>
  <c r="DJ361" i="8"/>
  <c r="AC356" i="8"/>
  <c r="DF356" i="8"/>
  <c r="BY356" i="8"/>
  <c r="CE356" i="8" s="1"/>
  <c r="CC356" i="8"/>
  <c r="DJ356" i="8"/>
  <c r="DF362" i="8"/>
  <c r="DL362" i="8" s="1"/>
  <c r="BY362" i="8"/>
  <c r="CE362" i="8" s="1"/>
  <c r="AC362" i="8"/>
  <c r="CC362" i="8"/>
  <c r="DJ362" i="8"/>
  <c r="CP361" i="8"/>
  <c r="DK361" i="8" s="1"/>
  <c r="CA358" i="8"/>
  <c r="CB358" i="8"/>
  <c r="DI360" i="8"/>
  <c r="DH360" i="8"/>
  <c r="AA354" i="8"/>
  <c r="AA355" i="8"/>
  <c r="DK355" i="8" s="1"/>
  <c r="BI364" i="8"/>
  <c r="CW355" i="8"/>
  <c r="CA362" i="8"/>
  <c r="CB362" i="8"/>
  <c r="DF353" i="8"/>
  <c r="DL353" i="8" s="1"/>
  <c r="DJ353" i="8"/>
  <c r="CC353" i="8"/>
  <c r="AC353" i="8"/>
  <c r="BY353" i="8"/>
  <c r="CE353" i="8" s="1"/>
  <c r="BY357" i="8"/>
  <c r="CE357" i="8" s="1"/>
  <c r="CB351" i="8"/>
  <c r="CA351" i="8"/>
  <c r="DJ350" i="8"/>
  <c r="CC350" i="8"/>
  <c r="DF350" i="8"/>
  <c r="DL350" i="8" s="1"/>
  <c r="BY350" i="8"/>
  <c r="AC350" i="8"/>
  <c r="BY351" i="8"/>
  <c r="BY361" i="8"/>
  <c r="CE361" i="8" s="1"/>
  <c r="AA364" i="8"/>
  <c r="DK364" i="8" s="1"/>
  <c r="CD364" i="8"/>
  <c r="BE356" i="8"/>
  <c r="BI356" i="8" s="1"/>
  <c r="DF351" i="8"/>
  <c r="DL351" i="8" s="1"/>
  <c r="CE350" i="8"/>
  <c r="CB361" i="8"/>
  <c r="CA361" i="8"/>
  <c r="BP355" i="8"/>
  <c r="Y366" i="8"/>
  <c r="AA360" i="8"/>
  <c r="DK360" i="8" s="1"/>
  <c r="CD360" i="8"/>
  <c r="AA358" i="8"/>
  <c r="CD358" i="8" s="1"/>
  <c r="BI360" i="8"/>
  <c r="DF361" i="8"/>
  <c r="DL361" i="8" s="1"/>
  <c r="DI354" i="8"/>
  <c r="DH354" i="8"/>
  <c r="CD356" i="8"/>
  <c r="CD362" i="8"/>
  <c r="DK353" i="8"/>
  <c r="CC351" i="8"/>
  <c r="DL356" i="8"/>
  <c r="CB350" i="8"/>
  <c r="CA350" i="8"/>
  <c r="AA359" i="8"/>
  <c r="CD359" i="8" s="1"/>
  <c r="CD361" i="8"/>
  <c r="CA359" i="8"/>
  <c r="CB359" i="8"/>
  <c r="BE365" i="8"/>
  <c r="BI365" i="8" s="1"/>
  <c r="AA363" i="8"/>
  <c r="DK363" i="8" s="1"/>
  <c r="CD363" i="8"/>
  <c r="CE351" i="8"/>
  <c r="CD351" i="8"/>
  <c r="DK356" i="8"/>
  <c r="DK362" i="8"/>
  <c r="DJ365" i="8"/>
  <c r="CC365" i="8"/>
  <c r="AC365" i="8"/>
  <c r="DF365" i="8"/>
  <c r="DL365" i="8" s="1"/>
  <c r="BY365" i="8"/>
  <c r="CE365" i="8" s="1"/>
  <c r="CD350" i="8"/>
  <c r="DI340" i="8"/>
  <c r="DH340" i="8"/>
  <c r="CB331" i="8"/>
  <c r="CA331" i="8"/>
  <c r="CB330" i="8"/>
  <c r="CA330" i="8"/>
  <c r="CB340" i="8"/>
  <c r="CA340" i="8"/>
  <c r="DI345" i="8"/>
  <c r="DH345" i="8"/>
  <c r="CB334" i="8"/>
  <c r="CA334" i="8"/>
  <c r="CD334" i="8"/>
  <c r="CB345" i="8"/>
  <c r="CA345" i="8"/>
  <c r="CD345" i="8"/>
  <c r="AA338" i="8"/>
  <c r="CD338" i="8" s="1"/>
  <c r="Y346" i="8"/>
  <c r="DI332" i="8"/>
  <c r="DH332" i="8"/>
  <c r="BI340" i="8"/>
  <c r="DI344" i="8"/>
  <c r="DH344" i="8"/>
  <c r="DH343" i="8"/>
  <c r="DI343" i="8"/>
  <c r="DJ331" i="8"/>
  <c r="CC331" i="8"/>
  <c r="DF331" i="8"/>
  <c r="DL331" i="8" s="1"/>
  <c r="BY331" i="8"/>
  <c r="CE331" i="8" s="1"/>
  <c r="AC331" i="8"/>
  <c r="CA337" i="8"/>
  <c r="CB337" i="8"/>
  <c r="DI334" i="8"/>
  <c r="DH334" i="8"/>
  <c r="CD331" i="8"/>
  <c r="Z346" i="8"/>
  <c r="AA344" i="8"/>
  <c r="DK344" i="8" s="1"/>
  <c r="CD344" i="8"/>
  <c r="AA340" i="8"/>
  <c r="DF342" i="8"/>
  <c r="DL342" i="8" s="1"/>
  <c r="CA343" i="8"/>
  <c r="CB343" i="8"/>
  <c r="BI344" i="8"/>
  <c r="CD341" i="8"/>
  <c r="DJ345" i="8"/>
  <c r="CC345" i="8"/>
  <c r="AC345" i="8"/>
  <c r="DF345" i="8"/>
  <c r="BY345" i="8"/>
  <c r="DI333" i="8"/>
  <c r="DH333" i="8"/>
  <c r="DJ335" i="8"/>
  <c r="CC335" i="8"/>
  <c r="AC335" i="8"/>
  <c r="DF335" i="8"/>
  <c r="DL335" i="8" s="1"/>
  <c r="BY335" i="8"/>
  <c r="CB341" i="8"/>
  <c r="CA341" i="8"/>
  <c r="AA339" i="8"/>
  <c r="CD339" i="8" s="1"/>
  <c r="AB346" i="8"/>
  <c r="DK331" i="8"/>
  <c r="DJ332" i="8"/>
  <c r="CC332" i="8"/>
  <c r="AC332" i="8"/>
  <c r="DF332" i="8"/>
  <c r="DL332" i="8" s="1"/>
  <c r="BY332" i="8"/>
  <c r="CE332" i="8" s="1"/>
  <c r="DL345" i="8"/>
  <c r="CB344" i="8"/>
  <c r="CA344" i="8"/>
  <c r="DJ341" i="8"/>
  <c r="CC341" i="8"/>
  <c r="DF341" i="8"/>
  <c r="DL341" i="8" s="1"/>
  <c r="BY341" i="8"/>
  <c r="CE341" i="8" s="1"/>
  <c r="AC341" i="8"/>
  <c r="DI335" i="8"/>
  <c r="DH335" i="8"/>
  <c r="DJ334" i="8"/>
  <c r="DF334" i="8"/>
  <c r="DL334" i="8" s="1"/>
  <c r="CC334" i="8"/>
  <c r="AC334" i="8"/>
  <c r="BY334" i="8"/>
  <c r="CE334" i="8" s="1"/>
  <c r="DI336" i="8"/>
  <c r="DH336" i="8"/>
  <c r="CB332" i="8"/>
  <c r="CA332" i="8"/>
  <c r="CD335" i="8"/>
  <c r="CC342" i="8"/>
  <c r="CE345" i="8"/>
  <c r="AA343" i="8"/>
  <c r="CD343" i="8" s="1"/>
  <c r="DK343" i="8"/>
  <c r="DJ330" i="8"/>
  <c r="DM330" i="8" s="1"/>
  <c r="CC330" i="8"/>
  <c r="DF330" i="8"/>
  <c r="DL330" i="8" s="1"/>
  <c r="BY330" i="8"/>
  <c r="CE330" i="8" s="1"/>
  <c r="AC330" i="8"/>
  <c r="BE345" i="8"/>
  <c r="BI345" i="8" s="1"/>
  <c r="CE335" i="8"/>
  <c r="DJ333" i="8"/>
  <c r="CC333" i="8"/>
  <c r="DF333" i="8"/>
  <c r="DL333" i="8" s="1"/>
  <c r="BY333" i="8"/>
  <c r="CE333" i="8" s="1"/>
  <c r="AC333" i="8"/>
  <c r="CD332" i="8"/>
  <c r="DF336" i="8"/>
  <c r="DL336" i="8" s="1"/>
  <c r="AC336" i="8"/>
  <c r="DJ336" i="8"/>
  <c r="CC336" i="8"/>
  <c r="CF336" i="8" s="1"/>
  <c r="AD336" i="8" s="1"/>
  <c r="AE336" i="8" s="1"/>
  <c r="AF336" i="8" s="1"/>
  <c r="BY336" i="8"/>
  <c r="CE336" i="8" s="1"/>
  <c r="CD330" i="8"/>
  <c r="AI322" i="8"/>
  <c r="CB325" i="8"/>
  <c r="CA325" i="8"/>
  <c r="CB311" i="8"/>
  <c r="CA311" i="8"/>
  <c r="DI325" i="8"/>
  <c r="DH325" i="8"/>
  <c r="CA322" i="8"/>
  <c r="CB322" i="8"/>
  <c r="AC322" i="8"/>
  <c r="CC322" i="8"/>
  <c r="CD322" i="8"/>
  <c r="CB319" i="8"/>
  <c r="CA319" i="8"/>
  <c r="CD319" i="8"/>
  <c r="CD325" i="8"/>
  <c r="DI320" i="8"/>
  <c r="DH320" i="8"/>
  <c r="AA324" i="8"/>
  <c r="DK324" i="8" s="1"/>
  <c r="DH314" i="8"/>
  <c r="DI314" i="8"/>
  <c r="DJ313" i="8"/>
  <c r="CC313" i="8"/>
  <c r="DF313" i="8"/>
  <c r="DL313" i="8" s="1"/>
  <c r="BY313" i="8"/>
  <c r="CE313" i="8" s="1"/>
  <c r="AC313" i="8"/>
  <c r="DJ320" i="8"/>
  <c r="CC320" i="8"/>
  <c r="AC320" i="8"/>
  <c r="BY320" i="8"/>
  <c r="CE320" i="8" s="1"/>
  <c r="DF320" i="8"/>
  <c r="DL320" i="8" s="1"/>
  <c r="DI318" i="8"/>
  <c r="DH318" i="8"/>
  <c r="BP321" i="8"/>
  <c r="DJ314" i="8"/>
  <c r="CC314" i="8"/>
  <c r="DF314" i="8"/>
  <c r="DL314" i="8" s="1"/>
  <c r="AC314" i="8"/>
  <c r="BY314" i="8"/>
  <c r="CE314" i="8" s="1"/>
  <c r="CB324" i="8"/>
  <c r="CA324" i="8"/>
  <c r="CD316" i="8"/>
  <c r="DI324" i="8"/>
  <c r="DH324" i="8"/>
  <c r="DJ311" i="8"/>
  <c r="CC311" i="8"/>
  <c r="DF311" i="8"/>
  <c r="DL311" i="8" s="1"/>
  <c r="BY311" i="8"/>
  <c r="CE311" i="8" s="1"/>
  <c r="AC311" i="8"/>
  <c r="CB312" i="8"/>
  <c r="CA312" i="8"/>
  <c r="CB313" i="8"/>
  <c r="CA313" i="8"/>
  <c r="CD320" i="8"/>
  <c r="CD323" i="8"/>
  <c r="AA318" i="8"/>
  <c r="CD318" i="8" s="1"/>
  <c r="CB320" i="8"/>
  <c r="CA320" i="8"/>
  <c r="DJ312" i="8"/>
  <c r="CC312" i="8"/>
  <c r="AC312" i="8"/>
  <c r="DF312" i="8"/>
  <c r="DL312" i="8" s="1"/>
  <c r="BY312" i="8"/>
  <c r="CE312" i="8" s="1"/>
  <c r="CD314" i="8"/>
  <c r="CF314" i="8" s="1"/>
  <c r="AD314" i="8" s="1"/>
  <c r="AE314" i="8" s="1"/>
  <c r="AF314" i="8" s="1"/>
  <c r="DJ321" i="8"/>
  <c r="CC321" i="8"/>
  <c r="DF321" i="8"/>
  <c r="DL321" i="8" s="1"/>
  <c r="BY321" i="8"/>
  <c r="CE321" i="8" s="1"/>
  <c r="AC321" i="8"/>
  <c r="DI310" i="8"/>
  <c r="DH310" i="8"/>
  <c r="DK320" i="8"/>
  <c r="Y326" i="8"/>
  <c r="Z310" i="8"/>
  <c r="AB310" i="8" s="1"/>
  <c r="AC323" i="8"/>
  <c r="DF323" i="8"/>
  <c r="DL323" i="8" s="1"/>
  <c r="BY323" i="8"/>
  <c r="CE323" i="8" s="1"/>
  <c r="CC323" i="8"/>
  <c r="DJ323" i="8"/>
  <c r="DM323" i="8" s="1"/>
  <c r="DI321" i="8"/>
  <c r="DH321" i="8"/>
  <c r="DJ316" i="8"/>
  <c r="DM316" i="8" s="1"/>
  <c r="AC316" i="8"/>
  <c r="DF316" i="8"/>
  <c r="DL316" i="8" s="1"/>
  <c r="CC316" i="8"/>
  <c r="CF316" i="8" s="1"/>
  <c r="AD316" i="8" s="1"/>
  <c r="AE316" i="8" s="1"/>
  <c r="AF316" i="8" s="1"/>
  <c r="BY316" i="8"/>
  <c r="CE316" i="8" s="1"/>
  <c r="CD311" i="8"/>
  <c r="DH315" i="8"/>
  <c r="DI315" i="8"/>
  <c r="CA318" i="8"/>
  <c r="CB318" i="8"/>
  <c r="BP315" i="8"/>
  <c r="CC315" i="8" s="1"/>
  <c r="DJ319" i="8"/>
  <c r="DM319" i="8" s="1"/>
  <c r="CC319" i="8"/>
  <c r="DF319" i="8"/>
  <c r="DL319" i="8" s="1"/>
  <c r="AC319" i="8"/>
  <c r="BY319" i="8"/>
  <c r="CE319" i="8" s="1"/>
  <c r="DJ315" i="8"/>
  <c r="DF315" i="8"/>
  <c r="DL315" i="8" s="1"/>
  <c r="AC315" i="8"/>
  <c r="BY315" i="8"/>
  <c r="CE315" i="8" s="1"/>
  <c r="DJ325" i="8"/>
  <c r="CC325" i="8"/>
  <c r="AC325" i="8"/>
  <c r="DF325" i="8"/>
  <c r="DL325" i="8" s="1"/>
  <c r="BY325" i="8"/>
  <c r="CE325" i="8" s="1"/>
  <c r="CD321" i="8"/>
  <c r="DK311" i="8"/>
  <c r="CD312" i="8"/>
  <c r="DF317" i="8"/>
  <c r="DL317" i="8" s="1"/>
  <c r="CC317" i="8"/>
  <c r="CF317" i="8" s="1"/>
  <c r="AD317" i="8" s="1"/>
  <c r="AE317" i="8" s="1"/>
  <c r="AF317" i="8" s="1"/>
  <c r="DJ317" i="8"/>
  <c r="DM317" i="8" s="1"/>
  <c r="BY317" i="8"/>
  <c r="CE317" i="8" s="1"/>
  <c r="AC317" i="8"/>
  <c r="CA295" i="8"/>
  <c r="CB295" i="8"/>
  <c r="CD295" i="8"/>
  <c r="DI305" i="8"/>
  <c r="DH305" i="8"/>
  <c r="AI298" i="8"/>
  <c r="CB294" i="8"/>
  <c r="CA294" i="8"/>
  <c r="DI292" i="8"/>
  <c r="DH292" i="8"/>
  <c r="AI300" i="8"/>
  <c r="CB305" i="8"/>
  <c r="CA305" i="8"/>
  <c r="DI295" i="8"/>
  <c r="DH295" i="8"/>
  <c r="DI293" i="8"/>
  <c r="DH293" i="8"/>
  <c r="CB293" i="8"/>
  <c r="CA293" i="8"/>
  <c r="CB292" i="8"/>
  <c r="CA292" i="8"/>
  <c r="CD292" i="8"/>
  <c r="CA303" i="8"/>
  <c r="CB303" i="8"/>
  <c r="AC303" i="8"/>
  <c r="DF303" i="8"/>
  <c r="DL303" i="8" s="1"/>
  <c r="BY303" i="8"/>
  <c r="CE303" i="8" s="1"/>
  <c r="CC303" i="8"/>
  <c r="DJ303" i="8"/>
  <c r="DF297" i="8"/>
  <c r="DL297" i="8" s="1"/>
  <c r="BY297" i="8"/>
  <c r="CE297" i="8" s="1"/>
  <c r="DK297" i="8"/>
  <c r="DJ297" i="8"/>
  <c r="AC297" i="8"/>
  <c r="CC297" i="8"/>
  <c r="Z306" i="8"/>
  <c r="AA290" i="8"/>
  <c r="DK290" i="8"/>
  <c r="CF299" i="8"/>
  <c r="AD299" i="8" s="1"/>
  <c r="AE299" i="8" s="1"/>
  <c r="AF299" i="8" s="1"/>
  <c r="BI293" i="8"/>
  <c r="DI304" i="8"/>
  <c r="DH304" i="8"/>
  <c r="DI301" i="8"/>
  <c r="DH301" i="8"/>
  <c r="CB304" i="8"/>
  <c r="CA304" i="8"/>
  <c r="CD302" i="8"/>
  <c r="Y306" i="8"/>
  <c r="AA294" i="8"/>
  <c r="CD294" i="8" s="1"/>
  <c r="CD296" i="8"/>
  <c r="DK292" i="8"/>
  <c r="DH290" i="8"/>
  <c r="DI290" i="8"/>
  <c r="AA304" i="8"/>
  <c r="DK304" i="8" s="1"/>
  <c r="CF297" i="8"/>
  <c r="AD297" i="8" s="1"/>
  <c r="AE297" i="8" s="1"/>
  <c r="AF297" i="8" s="1"/>
  <c r="DI297" i="8"/>
  <c r="DH297" i="8"/>
  <c r="CD303" i="8"/>
  <c r="BY299" i="8"/>
  <c r="CE299" i="8" s="1"/>
  <c r="DI296" i="8"/>
  <c r="DH296" i="8"/>
  <c r="CD291" i="8"/>
  <c r="DH302" i="8"/>
  <c r="DI302" i="8"/>
  <c r="DF302" i="8"/>
  <c r="BY302" i="8"/>
  <c r="CE302" i="8" s="1"/>
  <c r="DJ302" i="8"/>
  <c r="CC302" i="8"/>
  <c r="AC302" i="8"/>
  <c r="DJ299" i="8"/>
  <c r="CD305" i="8"/>
  <c r="CF300" i="8"/>
  <c r="AD300" i="8" s="1"/>
  <c r="AE300" i="8" s="1"/>
  <c r="AF300" i="8" s="1"/>
  <c r="DF299" i="8"/>
  <c r="DL299" i="8" s="1"/>
  <c r="DJ296" i="8"/>
  <c r="CC296" i="8"/>
  <c r="CF296" i="8" s="1"/>
  <c r="AD296" i="8" s="1"/>
  <c r="AE296" i="8" s="1"/>
  <c r="AF296" i="8" s="1"/>
  <c r="DF296" i="8"/>
  <c r="DL296" i="8" s="1"/>
  <c r="BY296" i="8"/>
  <c r="CE296" i="8" s="1"/>
  <c r="AC296" i="8"/>
  <c r="AC292" i="8"/>
  <c r="DF292" i="8"/>
  <c r="DL292" i="8" s="1"/>
  <c r="BY292" i="8"/>
  <c r="CE292" i="8" s="1"/>
  <c r="CC292" i="8"/>
  <c r="DJ292" i="8"/>
  <c r="DL302" i="8"/>
  <c r="CA302" i="8"/>
  <c r="CB302" i="8"/>
  <c r="DJ305" i="8"/>
  <c r="CC305" i="8"/>
  <c r="AC305" i="8"/>
  <c r="DF305" i="8"/>
  <c r="DL305" i="8" s="1"/>
  <c r="BY305" i="8"/>
  <c r="CE305" i="8" s="1"/>
  <c r="CP296" i="8"/>
  <c r="DK296" i="8" s="1"/>
  <c r="CF298" i="8"/>
  <c r="AD298" i="8" s="1"/>
  <c r="AE298" i="8" s="1"/>
  <c r="AF298" i="8" s="1"/>
  <c r="AC291" i="8"/>
  <c r="DF291" i="8"/>
  <c r="DL291" i="8" s="1"/>
  <c r="BY291" i="8"/>
  <c r="CE291" i="8" s="1"/>
  <c r="DJ291" i="8"/>
  <c r="DM291" i="8" s="1"/>
  <c r="CC291" i="8"/>
  <c r="CF291" i="8" s="1"/>
  <c r="AD291" i="8" s="1"/>
  <c r="AE291" i="8" s="1"/>
  <c r="AF291" i="8" s="1"/>
  <c r="CB301" i="8"/>
  <c r="CA301" i="8"/>
  <c r="DI300" i="8"/>
  <c r="DH300" i="8"/>
  <c r="AA301" i="8"/>
  <c r="AA293" i="8"/>
  <c r="DK293" i="8"/>
  <c r="DJ295" i="8"/>
  <c r="BY295" i="8"/>
  <c r="CE295" i="8" s="1"/>
  <c r="DF295" i="8"/>
  <c r="DL295" i="8" s="1"/>
  <c r="CC295" i="8"/>
  <c r="AC295" i="8"/>
  <c r="CB280" i="8"/>
  <c r="CA280" i="8"/>
  <c r="AC280" i="8"/>
  <c r="CD280" i="8"/>
  <c r="CC280" i="8"/>
  <c r="DI285" i="8"/>
  <c r="DH285" i="8"/>
  <c r="CB272" i="8"/>
  <c r="CA272" i="8"/>
  <c r="AC272" i="8"/>
  <c r="CD272" i="8"/>
  <c r="CB285" i="8"/>
  <c r="CA285" i="8"/>
  <c r="DH277" i="8"/>
  <c r="DI277" i="8"/>
  <c r="DI273" i="8"/>
  <c r="DH273" i="8"/>
  <c r="DI272" i="8"/>
  <c r="DH272" i="8"/>
  <c r="DF282" i="8"/>
  <c r="DL282" i="8" s="1"/>
  <c r="BY282" i="8"/>
  <c r="CE282" i="8" s="1"/>
  <c r="DJ282" i="8"/>
  <c r="CB275" i="8"/>
  <c r="CA275" i="8"/>
  <c r="CA270" i="8"/>
  <c r="CB270" i="8"/>
  <c r="DJ272" i="8"/>
  <c r="AI280" i="8"/>
  <c r="CB281" i="8"/>
  <c r="CA281" i="8"/>
  <c r="CB274" i="8"/>
  <c r="CA274" i="8"/>
  <c r="AA284" i="8"/>
  <c r="DK284" i="8" s="1"/>
  <c r="CP276" i="8"/>
  <c r="BI275" i="8"/>
  <c r="DJ280" i="8"/>
  <c r="DM280" i="8" s="1"/>
  <c r="DI275" i="8"/>
  <c r="DH275" i="8"/>
  <c r="DH281" i="8"/>
  <c r="DI281" i="8"/>
  <c r="AA285" i="8"/>
  <c r="CD285" i="8" s="1"/>
  <c r="DK285" i="8"/>
  <c r="CD281" i="8"/>
  <c r="CA271" i="8"/>
  <c r="CB271" i="8"/>
  <c r="AA274" i="8"/>
  <c r="CD274" i="8" s="1"/>
  <c r="DK274" i="8"/>
  <c r="Z286" i="8"/>
  <c r="AA270" i="8"/>
  <c r="DK270" i="8" s="1"/>
  <c r="CD270" i="8"/>
  <c r="Y286" i="8"/>
  <c r="BY279" i="8"/>
  <c r="CE279" i="8" s="1"/>
  <c r="DJ279" i="8"/>
  <c r="DF279" i="8"/>
  <c r="DL279" i="8" s="1"/>
  <c r="CC279" i="8"/>
  <c r="CD279" i="8"/>
  <c r="AC279" i="8"/>
  <c r="DI282" i="8"/>
  <c r="DH282" i="8"/>
  <c r="DM282" i="8" s="1"/>
  <c r="DJ281" i="8"/>
  <c r="CC281" i="8"/>
  <c r="DF281" i="8"/>
  <c r="DL281" i="8" s="1"/>
  <c r="BY281" i="8"/>
  <c r="CE281" i="8" s="1"/>
  <c r="AC281" i="8"/>
  <c r="DK279" i="8"/>
  <c r="BP282" i="8"/>
  <c r="CB273" i="8"/>
  <c r="CA273" i="8"/>
  <c r="CB277" i="8"/>
  <c r="CA277" i="8"/>
  <c r="AA273" i="8"/>
  <c r="CD273" i="8" s="1"/>
  <c r="DF277" i="8"/>
  <c r="DL277" i="8" s="1"/>
  <c r="BY277" i="8"/>
  <c r="CE277" i="8" s="1"/>
  <c r="AC277" i="8"/>
  <c r="DJ277" i="8"/>
  <c r="CC277" i="8"/>
  <c r="AA276" i="8"/>
  <c r="DK276" i="8" s="1"/>
  <c r="CD276" i="8"/>
  <c r="CD275" i="8"/>
  <c r="CC272" i="8"/>
  <c r="AA283" i="8"/>
  <c r="DK283" i="8" s="1"/>
  <c r="AA278" i="8"/>
  <c r="DK278" i="8" s="1"/>
  <c r="BY272" i="8"/>
  <c r="CE272" i="8" s="1"/>
  <c r="CA276" i="8"/>
  <c r="CB276" i="8"/>
  <c r="BI271" i="8"/>
  <c r="BI276" i="8"/>
  <c r="CD282" i="8"/>
  <c r="DH283" i="8"/>
  <c r="DI283" i="8"/>
  <c r="DL280" i="8"/>
  <c r="DI276" i="8"/>
  <c r="DH276" i="8"/>
  <c r="DJ271" i="8"/>
  <c r="DM271" i="8" s="1"/>
  <c r="CC271" i="8"/>
  <c r="AC271" i="8"/>
  <c r="DF271" i="8"/>
  <c r="DL271" i="8" s="1"/>
  <c r="BY271" i="8"/>
  <c r="CE271" i="8" s="1"/>
  <c r="CD271" i="8"/>
  <c r="DJ275" i="8"/>
  <c r="DF275" i="8"/>
  <c r="DL275" i="8" s="1"/>
  <c r="CC275" i="8"/>
  <c r="BY275" i="8"/>
  <c r="CE275" i="8" s="1"/>
  <c r="AC275" i="8"/>
  <c r="AI255" i="8"/>
  <c r="CA252" i="8"/>
  <c r="CB252" i="8"/>
  <c r="CD252" i="8"/>
  <c r="CB265" i="8"/>
  <c r="CA265" i="8"/>
  <c r="CD265" i="8"/>
  <c r="DH250" i="8"/>
  <c r="DI250" i="8"/>
  <c r="CA253" i="8"/>
  <c r="CB253" i="8"/>
  <c r="DI265" i="8"/>
  <c r="DH265" i="8"/>
  <c r="CC255" i="8"/>
  <c r="CB255" i="8"/>
  <c r="CA255" i="8"/>
  <c r="AC255" i="8"/>
  <c r="CD255" i="8"/>
  <c r="CB261" i="8"/>
  <c r="CA261" i="8"/>
  <c r="CD261" i="8"/>
  <c r="DI254" i="8"/>
  <c r="DH254" i="8"/>
  <c r="AA256" i="8"/>
  <c r="CD256" i="8"/>
  <c r="DK256" i="8"/>
  <c r="AA264" i="8"/>
  <c r="CD264" i="8" s="1"/>
  <c r="DK264" i="8"/>
  <c r="AA257" i="8"/>
  <c r="DK257" i="8" s="1"/>
  <c r="CB254" i="8"/>
  <c r="CA254" i="8"/>
  <c r="AA263" i="8"/>
  <c r="DK263" i="8"/>
  <c r="DJ255" i="8"/>
  <c r="CB259" i="8"/>
  <c r="CA259" i="8"/>
  <c r="CB251" i="8"/>
  <c r="CA251" i="8"/>
  <c r="DF262" i="8"/>
  <c r="DL262" i="8" s="1"/>
  <c r="BY262" i="8"/>
  <c r="CE262" i="8" s="1"/>
  <c r="DJ262" i="8"/>
  <c r="CC262" i="8"/>
  <c r="AC262" i="8"/>
  <c r="DK262" i="8"/>
  <c r="DI260" i="8"/>
  <c r="DH260" i="8"/>
  <c r="CW261" i="8"/>
  <c r="DJ261" i="8" s="1"/>
  <c r="AA253" i="8"/>
  <c r="DK253" i="8" s="1"/>
  <c r="CD253" i="8"/>
  <c r="DJ265" i="8"/>
  <c r="CC265" i="8"/>
  <c r="AC265" i="8"/>
  <c r="DF265" i="8"/>
  <c r="BY265" i="8"/>
  <c r="AC252" i="8"/>
  <c r="DF252" i="8"/>
  <c r="DL252" i="8" s="1"/>
  <c r="BY252" i="8"/>
  <c r="CE252" i="8" s="1"/>
  <c r="DJ252" i="8"/>
  <c r="CC252" i="8"/>
  <c r="DH263" i="8"/>
  <c r="DI263" i="8"/>
  <c r="CD262" i="8"/>
  <c r="DL255" i="8"/>
  <c r="CB250" i="8"/>
  <c r="CA250" i="8"/>
  <c r="CA262" i="8"/>
  <c r="CB262" i="8"/>
  <c r="DH255" i="8"/>
  <c r="DI255" i="8"/>
  <c r="DL265" i="8"/>
  <c r="BY258" i="8"/>
  <c r="CE258" i="8" s="1"/>
  <c r="Y266" i="8"/>
  <c r="Z250" i="8"/>
  <c r="AB250" i="8" s="1"/>
  <c r="CC261" i="8"/>
  <c r="DF261" i="8"/>
  <c r="DL261" i="8" s="1"/>
  <c r="BY261" i="8"/>
  <c r="CE261" i="8" s="1"/>
  <c r="AC261" i="8"/>
  <c r="AA259" i="8"/>
  <c r="DK259" i="8" s="1"/>
  <c r="DI256" i="8"/>
  <c r="DH256" i="8"/>
  <c r="DF251" i="8"/>
  <c r="DL251" i="8" s="1"/>
  <c r="BY251" i="8"/>
  <c r="CE251" i="8" s="1"/>
  <c r="AC251" i="8"/>
  <c r="DJ251" i="8"/>
  <c r="CC251" i="8"/>
  <c r="AA254" i="8"/>
  <c r="CD254" i="8" s="1"/>
  <c r="CE265" i="8"/>
  <c r="AA260" i="8"/>
  <c r="DK260" i="8" s="1"/>
  <c r="CB245" i="8"/>
  <c r="CA245" i="8"/>
  <c r="CB231" i="8"/>
  <c r="CA231" i="8"/>
  <c r="CB244" i="8"/>
  <c r="CA244" i="8"/>
  <c r="CB230" i="8"/>
  <c r="CA230" i="8"/>
  <c r="DI239" i="8"/>
  <c r="DH239" i="8"/>
  <c r="DI235" i="8"/>
  <c r="DH235" i="8"/>
  <c r="CB236" i="8"/>
  <c r="CA236" i="8"/>
  <c r="CD236" i="8"/>
  <c r="DI238" i="8"/>
  <c r="DH238" i="8"/>
  <c r="DH237" i="8"/>
  <c r="DI237" i="8"/>
  <c r="CA237" i="8"/>
  <c r="CB237" i="8"/>
  <c r="CD237" i="8"/>
  <c r="CB239" i="8"/>
  <c r="CA239" i="8"/>
  <c r="DF242" i="8"/>
  <c r="DL242" i="8" s="1"/>
  <c r="BY242" i="8"/>
  <c r="CE242" i="8" s="1"/>
  <c r="DJ242" i="8"/>
  <c r="CC242" i="8"/>
  <c r="AC242" i="8"/>
  <c r="CP241" i="8"/>
  <c r="DF231" i="8"/>
  <c r="DL231" i="8" s="1"/>
  <c r="BY231" i="8"/>
  <c r="CE231" i="8" s="1"/>
  <c r="AC231" i="8"/>
  <c r="DJ231" i="8"/>
  <c r="CC231" i="8"/>
  <c r="AC244" i="8"/>
  <c r="DF244" i="8"/>
  <c r="DL244" i="8" s="1"/>
  <c r="BY244" i="8"/>
  <c r="CE244" i="8" s="1"/>
  <c r="DJ244" i="8"/>
  <c r="CC244" i="8"/>
  <c r="AA232" i="8"/>
  <c r="DK232" i="8" s="1"/>
  <c r="BO241" i="8"/>
  <c r="BP241" i="8" s="1"/>
  <c r="CC241" i="8" s="1"/>
  <c r="DI241" i="8"/>
  <c r="DH241" i="8"/>
  <c r="DF236" i="8"/>
  <c r="DL236" i="8" s="1"/>
  <c r="BY236" i="8"/>
  <c r="CE236" i="8" s="1"/>
  <c r="DJ236" i="8"/>
  <c r="CC236" i="8"/>
  <c r="AC236" i="8"/>
  <c r="CD239" i="8"/>
  <c r="CD238" i="8"/>
  <c r="Y246" i="8"/>
  <c r="Z230" i="8"/>
  <c r="AB230" i="8" s="1"/>
  <c r="BY233" i="8"/>
  <c r="CE233" i="8" s="1"/>
  <c r="AC233" i="8"/>
  <c r="DF233" i="8"/>
  <c r="DL233" i="8" s="1"/>
  <c r="CC233" i="8"/>
  <c r="DJ233" i="8"/>
  <c r="DM233" i="8" s="1"/>
  <c r="DJ240" i="8"/>
  <c r="CC240" i="8"/>
  <c r="AC240" i="8"/>
  <c r="DF240" i="8"/>
  <c r="DL240" i="8" s="1"/>
  <c r="BY240" i="8"/>
  <c r="CE240" i="8" s="1"/>
  <c r="AA235" i="8"/>
  <c r="CD235" i="8" s="1"/>
  <c r="BE242" i="8"/>
  <c r="BI242" i="8" s="1"/>
  <c r="DJ241" i="8"/>
  <c r="DF241" i="8"/>
  <c r="DL241" i="8" s="1"/>
  <c r="BY241" i="8"/>
  <c r="CE241" i="8" s="1"/>
  <c r="DK238" i="8"/>
  <c r="CB240" i="8"/>
  <c r="CA240" i="8"/>
  <c r="CB242" i="8"/>
  <c r="CA242" i="8"/>
  <c r="CD240" i="8"/>
  <c r="DF234" i="8"/>
  <c r="DL234" i="8" s="1"/>
  <c r="BY234" i="8"/>
  <c r="CE234" i="8" s="1"/>
  <c r="AC234" i="8"/>
  <c r="DJ234" i="8"/>
  <c r="CC234" i="8"/>
  <c r="CF234" i="8" s="1"/>
  <c r="AD234" i="8" s="1"/>
  <c r="AE234" i="8" s="1"/>
  <c r="AF234" i="8" s="1"/>
  <c r="AA245" i="8"/>
  <c r="DK245" i="8" s="1"/>
  <c r="DI245" i="8"/>
  <c r="DH245" i="8"/>
  <c r="CB238" i="8"/>
  <c r="CA238" i="8"/>
  <c r="DI230" i="8"/>
  <c r="DH230" i="8"/>
  <c r="DK240" i="8"/>
  <c r="DI231" i="8"/>
  <c r="DH231" i="8"/>
  <c r="AC243" i="8"/>
  <c r="DF243" i="8"/>
  <c r="DL243" i="8" s="1"/>
  <c r="BY243" i="8"/>
  <c r="CE243" i="8" s="1"/>
  <c r="DJ243" i="8"/>
  <c r="CC243" i="8"/>
  <c r="CF243" i="8" s="1"/>
  <c r="AD243" i="8" s="1"/>
  <c r="AE243" i="8" s="1"/>
  <c r="AF243" i="8" s="1"/>
  <c r="AC237" i="8"/>
  <c r="DF237" i="8"/>
  <c r="DL237" i="8" s="1"/>
  <c r="BY237" i="8"/>
  <c r="CE237" i="8" s="1"/>
  <c r="CC237" i="8"/>
  <c r="DJ237" i="8"/>
  <c r="CD242" i="8"/>
  <c r="DK236" i="8"/>
  <c r="DM236" i="8" s="1"/>
  <c r="CD231" i="8"/>
  <c r="CA233" i="8"/>
  <c r="CB233" i="8"/>
  <c r="CD241" i="8"/>
  <c r="DH232" i="8"/>
  <c r="DI232" i="8"/>
  <c r="DI244" i="8"/>
  <c r="DH244" i="8"/>
  <c r="DM244" i="8" s="1"/>
  <c r="CD244" i="8"/>
  <c r="AC238" i="8"/>
  <c r="DJ238" i="8"/>
  <c r="DF238" i="8"/>
  <c r="DL238" i="8" s="1"/>
  <c r="CC238" i="8"/>
  <c r="BY238" i="8"/>
  <c r="CE238" i="8" s="1"/>
  <c r="DK242" i="8"/>
  <c r="DK231" i="8"/>
  <c r="DK241" i="8"/>
  <c r="DF239" i="8"/>
  <c r="DL239" i="8" s="1"/>
  <c r="BY239" i="8"/>
  <c r="CE239" i="8" s="1"/>
  <c r="AC239" i="8"/>
  <c r="DJ239" i="8"/>
  <c r="CC239" i="8"/>
  <c r="F307" i="9"/>
  <c r="F301" i="9"/>
  <c r="F297" i="9"/>
  <c r="F296" i="9"/>
  <c r="F309" i="9" s="1"/>
  <c r="F9" i="9" s="1"/>
  <c r="D283" i="9"/>
  <c r="F283" i="9" s="1"/>
  <c r="D282" i="9"/>
  <c r="F282" i="9" s="1"/>
  <c r="D281" i="9"/>
  <c r="F281" i="9" s="1"/>
  <c r="F276" i="9"/>
  <c r="F272" i="9"/>
  <c r="F262" i="9"/>
  <c r="F252" i="9"/>
  <c r="F249" i="9"/>
  <c r="F243" i="9"/>
  <c r="F237" i="9"/>
  <c r="F236" i="9"/>
  <c r="F230" i="9"/>
  <c r="F224" i="9"/>
  <c r="F216" i="9"/>
  <c r="F214" i="9"/>
  <c r="F210" i="9"/>
  <c r="F208" i="9"/>
  <c r="F206" i="9"/>
  <c r="F204" i="9"/>
  <c r="F202" i="9"/>
  <c r="F193" i="9"/>
  <c r="F192" i="9"/>
  <c r="F184" i="9"/>
  <c r="F183" i="9"/>
  <c r="F182" i="9"/>
  <c r="F181" i="9"/>
  <c r="F169" i="9"/>
  <c r="F151" i="9"/>
  <c r="F132" i="9"/>
  <c r="F131" i="9"/>
  <c r="F130" i="9"/>
  <c r="F120" i="9"/>
  <c r="F112" i="9"/>
  <c r="F108" i="9"/>
  <c r="F104" i="9"/>
  <c r="F98" i="9"/>
  <c r="F97" i="9"/>
  <c r="F96" i="9"/>
  <c r="F95" i="9"/>
  <c r="F94" i="9"/>
  <c r="F93" i="9"/>
  <c r="F91" i="9"/>
  <c r="F90" i="9"/>
  <c r="F89" i="9"/>
  <c r="F68" i="9"/>
  <c r="F67" i="9"/>
  <c r="F66" i="9"/>
  <c r="F65" i="9"/>
  <c r="F64" i="9"/>
  <c r="D59" i="9"/>
  <c r="F59" i="9" s="1"/>
  <c r="D58" i="9"/>
  <c r="F58" i="9" s="1"/>
  <c r="D57" i="9"/>
  <c r="F57" i="9" s="1"/>
  <c r="D56" i="9"/>
  <c r="F56" i="9" s="1"/>
  <c r="D55" i="9"/>
  <c r="F55" i="9" s="1"/>
  <c r="D54" i="9"/>
  <c r="F54" i="9" s="1"/>
  <c r="F46" i="9"/>
  <c r="F45" i="9"/>
  <c r="D44" i="9"/>
  <c r="F44" i="9" s="1"/>
  <c r="D43" i="9"/>
  <c r="F43" i="9" s="1"/>
  <c r="F42" i="9"/>
  <c r="F41" i="9"/>
  <c r="D28" i="9"/>
  <c r="F28" i="9" s="1"/>
  <c r="D27" i="9"/>
  <c r="F27" i="9" s="1"/>
  <c r="F26" i="9"/>
  <c r="D25" i="9"/>
  <c r="F25" i="9" s="1"/>
  <c r="D24" i="9"/>
  <c r="F24" i="9" s="1"/>
  <c r="F23" i="9"/>
  <c r="F22" i="9"/>
  <c r="F265" i="9" l="1"/>
  <c r="F7" i="9" s="1"/>
  <c r="DM242" i="8"/>
  <c r="DM262" i="8"/>
  <c r="CF279" i="8"/>
  <c r="AD279" i="8" s="1"/>
  <c r="AE279" i="8" s="1"/>
  <c r="AF279" i="8" s="1"/>
  <c r="DK340" i="8"/>
  <c r="CD340" i="8"/>
  <c r="DM331" i="8"/>
  <c r="DM353" i="8"/>
  <c r="DK398" i="8"/>
  <c r="CD398" i="8"/>
  <c r="CF402" i="8"/>
  <c r="DI234" i="8"/>
  <c r="DH234" i="8"/>
  <c r="DM234" i="8" s="1"/>
  <c r="DI240" i="8"/>
  <c r="DH240" i="8"/>
  <c r="DM240" i="8" s="1"/>
  <c r="DH243" i="8"/>
  <c r="DI243" i="8"/>
  <c r="DI251" i="8"/>
  <c r="DH251" i="8"/>
  <c r="DM251" i="8" s="1"/>
  <c r="DH252" i="8"/>
  <c r="DI252" i="8"/>
  <c r="DH253" i="8"/>
  <c r="DI253" i="8"/>
  <c r="CA257" i="8"/>
  <c r="CB257" i="8"/>
  <c r="CD258" i="8"/>
  <c r="AC258" i="8"/>
  <c r="DF258" i="8"/>
  <c r="DL258" i="8" s="1"/>
  <c r="DJ258" i="8"/>
  <c r="CC258" i="8"/>
  <c r="CF258" i="8" s="1"/>
  <c r="AD258" i="8" s="1"/>
  <c r="AE258" i="8" s="1"/>
  <c r="AF258" i="8" s="1"/>
  <c r="DK258" i="8"/>
  <c r="CB264" i="8"/>
  <c r="CA264" i="8"/>
  <c r="DF272" i="8"/>
  <c r="DL272" i="8" s="1"/>
  <c r="DK272" i="8"/>
  <c r="DI274" i="8"/>
  <c r="DH274" i="8"/>
  <c r="DH279" i="8"/>
  <c r="DI279" i="8"/>
  <c r="DI284" i="8"/>
  <c r="DH284" i="8"/>
  <c r="DH298" i="8"/>
  <c r="DI298" i="8"/>
  <c r="DJ298" i="8"/>
  <c r="DH299" i="8"/>
  <c r="DI299" i="8"/>
  <c r="DH303" i="8"/>
  <c r="DI303" i="8"/>
  <c r="DI313" i="8"/>
  <c r="DH313" i="8"/>
  <c r="DM313" i="8" s="1"/>
  <c r="DF322" i="8"/>
  <c r="DL322" i="8" s="1"/>
  <c r="DJ322" i="8"/>
  <c r="BY322" i="8"/>
  <c r="CE322" i="8" s="1"/>
  <c r="DK322" i="8"/>
  <c r="CB333" i="8"/>
  <c r="CA333" i="8"/>
  <c r="CD333" i="8"/>
  <c r="DJ337" i="8"/>
  <c r="BY337" i="8"/>
  <c r="CE337" i="8" s="1"/>
  <c r="AI337" i="8" s="1"/>
  <c r="DK337" i="8"/>
  <c r="CD337" i="8"/>
  <c r="AC337" i="8"/>
  <c r="DF337" i="8"/>
  <c r="DL337" i="8" s="1"/>
  <c r="CC337" i="8"/>
  <c r="DH337" i="8"/>
  <c r="DI337" i="8"/>
  <c r="CB338" i="8"/>
  <c r="CA338" i="8"/>
  <c r="DI338" i="8"/>
  <c r="DH338" i="8"/>
  <c r="CB339" i="8"/>
  <c r="CA339" i="8"/>
  <c r="DI339" i="8"/>
  <c r="DH339" i="8"/>
  <c r="DH341" i="8"/>
  <c r="DI341" i="8"/>
  <c r="DJ342" i="8"/>
  <c r="DK342" i="8"/>
  <c r="CD342" i="8"/>
  <c r="CF342" i="8" s="1"/>
  <c r="BY342" i="8"/>
  <c r="CE342" i="8" s="1"/>
  <c r="AI342" i="8" s="1"/>
  <c r="AC342" i="8"/>
  <c r="DI350" i="8"/>
  <c r="DH350" i="8"/>
  <c r="DM350" i="8" s="1"/>
  <c r="DK351" i="8"/>
  <c r="DJ351" i="8"/>
  <c r="AC351" i="8"/>
  <c r="DI351" i="8"/>
  <c r="DH351" i="8"/>
  <c r="DM351" i="8" s="1"/>
  <c r="DN351" i="8" s="1"/>
  <c r="DJ352" i="8"/>
  <c r="CC352" i="8"/>
  <c r="AC352" i="8"/>
  <c r="DK352" i="8"/>
  <c r="CD352" i="8"/>
  <c r="DF352" i="8"/>
  <c r="DL352" i="8" s="1"/>
  <c r="BY352" i="8"/>
  <c r="CE352" i="8" s="1"/>
  <c r="CB352" i="8"/>
  <c r="CA352" i="8"/>
  <c r="CF352" i="8" s="1"/>
  <c r="AD352" i="8" s="1"/>
  <c r="AE352" i="8" s="1"/>
  <c r="AF352" i="8" s="1"/>
  <c r="CB353" i="8"/>
  <c r="CA353" i="8"/>
  <c r="CD353" i="8"/>
  <c r="DH356" i="8"/>
  <c r="DI356" i="8"/>
  <c r="DI357" i="8"/>
  <c r="DH357" i="8"/>
  <c r="DM357" i="8" s="1"/>
  <c r="DN357" i="8" s="1"/>
  <c r="CC361" i="8"/>
  <c r="AC361" i="8"/>
  <c r="DH361" i="8"/>
  <c r="DI361" i="8"/>
  <c r="DH362" i="8"/>
  <c r="DI362" i="8"/>
  <c r="CD377" i="8"/>
  <c r="CF377" i="8" s="1"/>
  <c r="AD377" i="8" s="1"/>
  <c r="AE377" i="8" s="1"/>
  <c r="AF377" i="8" s="1"/>
  <c r="DJ377" i="8"/>
  <c r="DF377" i="8"/>
  <c r="DL377" i="8" s="1"/>
  <c r="AC377" i="8"/>
  <c r="DK378" i="8"/>
  <c r="CD378" i="8"/>
  <c r="CF378" i="8" s="1"/>
  <c r="AD378" i="8" s="1"/>
  <c r="AE378" i="8" s="1"/>
  <c r="AF378" i="8" s="1"/>
  <c r="DJ378" i="8"/>
  <c r="AC378" i="8"/>
  <c r="DH378" i="8"/>
  <c r="DI378" i="8"/>
  <c r="CC379" i="8"/>
  <c r="DJ379" i="8"/>
  <c r="DK379" i="8"/>
  <c r="CD379" i="8"/>
  <c r="DF379" i="8"/>
  <c r="DL379" i="8" s="1"/>
  <c r="BY379" i="8"/>
  <c r="CE379" i="8" s="1"/>
  <c r="AI379" i="8" s="1"/>
  <c r="AC379" i="8"/>
  <c r="DI379" i="8"/>
  <c r="DH379" i="8"/>
  <c r="DM379" i="8" s="1"/>
  <c r="DN379" i="8" s="1"/>
  <c r="CB380" i="8"/>
  <c r="CA380" i="8"/>
  <c r="DH383" i="8"/>
  <c r="DI383" i="8"/>
  <c r="DF396" i="8"/>
  <c r="DL396" i="8" s="1"/>
  <c r="BY396" i="8"/>
  <c r="CE396" i="8" s="1"/>
  <c r="DK396" i="8"/>
  <c r="BY399" i="8"/>
  <c r="CE399" i="8" s="1"/>
  <c r="AI399" i="8" s="1"/>
  <c r="DK399" i="8"/>
  <c r="CD399" i="8"/>
  <c r="CF399" i="8" s="1"/>
  <c r="AD399" i="8" s="1"/>
  <c r="AE399" i="8" s="1"/>
  <c r="AF399" i="8" s="1"/>
  <c r="DJ399" i="8"/>
  <c r="DF402" i="8"/>
  <c r="DL402" i="8" s="1"/>
  <c r="BY402" i="8"/>
  <c r="CE402" i="8" s="1"/>
  <c r="AI402" i="8" s="1"/>
  <c r="DK402" i="8"/>
  <c r="DJ402" i="8"/>
  <c r="DM402" i="8" s="1"/>
  <c r="DN402" i="8" s="1"/>
  <c r="AK62" i="15"/>
  <c r="AK182" i="7"/>
  <c r="AK272" i="7"/>
  <c r="DM312" i="8"/>
  <c r="CD315" i="8"/>
  <c r="AK317" i="7"/>
  <c r="AK287" i="7"/>
  <c r="AK257" i="7"/>
  <c r="AK242" i="7"/>
  <c r="AK227" i="7"/>
  <c r="AK212" i="7"/>
  <c r="AK197" i="7"/>
  <c r="AK167" i="7"/>
  <c r="AK152" i="7"/>
  <c r="AK137" i="7"/>
  <c r="AK122" i="7"/>
  <c r="AK107" i="7"/>
  <c r="AK92" i="7"/>
  <c r="DN313" i="8"/>
  <c r="DN323" i="8"/>
  <c r="CF240" i="8"/>
  <c r="AD240" i="8" s="1"/>
  <c r="AE240" i="8" s="1"/>
  <c r="AF240" i="8" s="1"/>
  <c r="AD402" i="8"/>
  <c r="AE402" i="8" s="1"/>
  <c r="AF402" i="8" s="1"/>
  <c r="CG402" i="8"/>
  <c r="DN401" i="8"/>
  <c r="DM397" i="8"/>
  <c r="DM391" i="8"/>
  <c r="DN391" i="8" s="1"/>
  <c r="DK404" i="8"/>
  <c r="DN403" i="8"/>
  <c r="CF394" i="8"/>
  <c r="AD394" i="8" s="1"/>
  <c r="AE394" i="8" s="1"/>
  <c r="AF394" i="8" s="1"/>
  <c r="DN397" i="8"/>
  <c r="DM377" i="8"/>
  <c r="DN377" i="8" s="1"/>
  <c r="DK359" i="8"/>
  <c r="CF362" i="8"/>
  <c r="AD362" i="8" s="1"/>
  <c r="AE362" i="8" s="1"/>
  <c r="AF362" i="8" s="1"/>
  <c r="DM361" i="8"/>
  <c r="DN361" i="8"/>
  <c r="CF361" i="8"/>
  <c r="AD361" i="8" s="1"/>
  <c r="AE361" i="8" s="1"/>
  <c r="AF361" i="8" s="1"/>
  <c r="AB366" i="8"/>
  <c r="DK338" i="8"/>
  <c r="DM335" i="8"/>
  <c r="DN335" i="8" s="1"/>
  <c r="DK339" i="8"/>
  <c r="CF335" i="8"/>
  <c r="AD335" i="8" s="1"/>
  <c r="AE335" i="8" s="1"/>
  <c r="CF325" i="8"/>
  <c r="AD325" i="8" s="1"/>
  <c r="AE325" i="8" s="1"/>
  <c r="AF325" i="8" s="1"/>
  <c r="DM311" i="8"/>
  <c r="CF320" i="8"/>
  <c r="AD320" i="8" s="1"/>
  <c r="AE320" i="8" s="1"/>
  <c r="CF323" i="8"/>
  <c r="AD323" i="8" s="1"/>
  <c r="AE323" i="8" s="1"/>
  <c r="AF323" i="8" s="1"/>
  <c r="CD324" i="8"/>
  <c r="DN312" i="8"/>
  <c r="DM302" i="8"/>
  <c r="DM297" i="8"/>
  <c r="DN297" i="8" s="1"/>
  <c r="CF281" i="8"/>
  <c r="AD281" i="8" s="1"/>
  <c r="AE281" i="8" s="1"/>
  <c r="AF281" i="8" s="1"/>
  <c r="CD257" i="8"/>
  <c r="CD260" i="8"/>
  <c r="CD259" i="8"/>
  <c r="CF255" i="8"/>
  <c r="AD255" i="8" s="1"/>
  <c r="AE255" i="8" s="1"/>
  <c r="AF255" i="8" s="1"/>
  <c r="DM255" i="8"/>
  <c r="DN255" i="8" s="1"/>
  <c r="DN251" i="8"/>
  <c r="CF251" i="8"/>
  <c r="AD251" i="8" s="1"/>
  <c r="AE251" i="8" s="1"/>
  <c r="DN244" i="8"/>
  <c r="CF233" i="8"/>
  <c r="AD233" i="8" s="1"/>
  <c r="AE233" i="8" s="1"/>
  <c r="AF233" i="8" s="1"/>
  <c r="DK235" i="8"/>
  <c r="AI395" i="8"/>
  <c r="CG395" i="8"/>
  <c r="CG394" i="8"/>
  <c r="AI394" i="8"/>
  <c r="AJ397" i="8"/>
  <c r="AJ395" i="8"/>
  <c r="AI401" i="8"/>
  <c r="AJ399" i="8"/>
  <c r="AG399" i="8" s="1"/>
  <c r="DJ398" i="8"/>
  <c r="CC398" i="8"/>
  <c r="CF398" i="8" s="1"/>
  <c r="AD398" i="8" s="1"/>
  <c r="AE398" i="8" s="1"/>
  <c r="AF398" i="8" s="1"/>
  <c r="AC398" i="8"/>
  <c r="DF398" i="8"/>
  <c r="DL398" i="8" s="1"/>
  <c r="BY398" i="8"/>
  <c r="CE398" i="8" s="1"/>
  <c r="AI403" i="8"/>
  <c r="AI400" i="8"/>
  <c r="DM400" i="8"/>
  <c r="DN400" i="8" s="1"/>
  <c r="DM398" i="8"/>
  <c r="CF403" i="8"/>
  <c r="AD403" i="8" s="1"/>
  <c r="AE403" i="8" s="1"/>
  <c r="AF403" i="8" s="1"/>
  <c r="CF392" i="8"/>
  <c r="AD392" i="8" s="1"/>
  <c r="AE392" i="8" s="1"/>
  <c r="AF392" i="8" s="1"/>
  <c r="DM396" i="8"/>
  <c r="DN396" i="8" s="1"/>
  <c r="CF391" i="8"/>
  <c r="AD391" i="8" s="1"/>
  <c r="AE391" i="8" s="1"/>
  <c r="AF391" i="8" s="1"/>
  <c r="CF393" i="8"/>
  <c r="AD393" i="8" s="1"/>
  <c r="AE393" i="8" s="1"/>
  <c r="AF393" i="8" s="1"/>
  <c r="CF405" i="8"/>
  <c r="AD405" i="8" s="1"/>
  <c r="AE405" i="8" s="1"/>
  <c r="AF405" i="8" s="1"/>
  <c r="CF400" i="8"/>
  <c r="AD400" i="8" s="1"/>
  <c r="AE400" i="8" s="1"/>
  <c r="AF400" i="8" s="1"/>
  <c r="CF401" i="8"/>
  <c r="AD401" i="8" s="1"/>
  <c r="AE401" i="8" s="1"/>
  <c r="AF401" i="8" s="1"/>
  <c r="AJ396" i="8"/>
  <c r="AC404" i="8"/>
  <c r="DF404" i="8"/>
  <c r="DL404" i="8" s="1"/>
  <c r="BY404" i="8"/>
  <c r="CE404" i="8" s="1"/>
  <c r="DJ404" i="8"/>
  <c r="DM404" i="8" s="1"/>
  <c r="CC404" i="8"/>
  <c r="CF404" i="8" s="1"/>
  <c r="AD404" i="8" s="1"/>
  <c r="AE404" i="8" s="1"/>
  <c r="AF404" i="8" s="1"/>
  <c r="CG396" i="8"/>
  <c r="AI396" i="8"/>
  <c r="DM399" i="8"/>
  <c r="DN399" i="8" s="1"/>
  <c r="DM405" i="8"/>
  <c r="DN405" i="8" s="1"/>
  <c r="AJ394" i="8"/>
  <c r="CG392" i="8"/>
  <c r="AI392" i="8"/>
  <c r="AA406" i="8"/>
  <c r="DF390" i="8"/>
  <c r="DL390" i="8" s="1"/>
  <c r="BY390" i="8"/>
  <c r="CE390" i="8" s="1"/>
  <c r="AC390" i="8"/>
  <c r="CC390" i="8"/>
  <c r="CF390" i="8" s="1"/>
  <c r="AD390" i="8" s="1"/>
  <c r="DJ390" i="8"/>
  <c r="DM390" i="8" s="1"/>
  <c r="AI405" i="8"/>
  <c r="DM394" i="8"/>
  <c r="DN394" i="8" s="1"/>
  <c r="DM395" i="8"/>
  <c r="DN395" i="8" s="1"/>
  <c r="DM392" i="8"/>
  <c r="DN392" i="8" s="1"/>
  <c r="DM393" i="8"/>
  <c r="DN393" i="8" s="1"/>
  <c r="CG393" i="8"/>
  <c r="AI393" i="8"/>
  <c r="AI397" i="8"/>
  <c r="CG397" i="8"/>
  <c r="CG391" i="8"/>
  <c r="AI391" i="8"/>
  <c r="AB406" i="8"/>
  <c r="CG399" i="8"/>
  <c r="AI385" i="8"/>
  <c r="DF371" i="8"/>
  <c r="DL371" i="8" s="1"/>
  <c r="BY371" i="8"/>
  <c r="CE371" i="8" s="1"/>
  <c r="AC371" i="8"/>
  <c r="DJ371" i="8"/>
  <c r="CC371" i="8"/>
  <c r="AI381" i="8"/>
  <c r="BY375" i="8"/>
  <c r="CE375" i="8" s="1"/>
  <c r="DJ375" i="8"/>
  <c r="DM375" i="8" s="1"/>
  <c r="DF375" i="8"/>
  <c r="DL375" i="8" s="1"/>
  <c r="CC375" i="8"/>
  <c r="AC375" i="8"/>
  <c r="AI382" i="8"/>
  <c r="DM385" i="8"/>
  <c r="DN385" i="8" s="1"/>
  <c r="AJ378" i="8"/>
  <c r="AC374" i="8"/>
  <c r="DJ374" i="8"/>
  <c r="BY374" i="8"/>
  <c r="CE374" i="8" s="1"/>
  <c r="DF374" i="8"/>
  <c r="DL374" i="8" s="1"/>
  <c r="CC374" i="8"/>
  <c r="CF374" i="8" s="1"/>
  <c r="AD374" i="8" s="1"/>
  <c r="AE374" i="8" s="1"/>
  <c r="AF374" i="8" s="1"/>
  <c r="AJ383" i="8"/>
  <c r="CG383" i="8"/>
  <c r="AI383" i="8"/>
  <c r="DM382" i="8"/>
  <c r="DN382" i="8" s="1"/>
  <c r="AC372" i="8"/>
  <c r="DF372" i="8"/>
  <c r="DL372" i="8" s="1"/>
  <c r="BY372" i="8"/>
  <c r="CE372" i="8" s="1"/>
  <c r="CC372" i="8"/>
  <c r="CF372" i="8" s="1"/>
  <c r="AD372" i="8" s="1"/>
  <c r="AE372" i="8" s="1"/>
  <c r="AF372" i="8" s="1"/>
  <c r="DJ372" i="8"/>
  <c r="DM372" i="8" s="1"/>
  <c r="DI381" i="8"/>
  <c r="DH381" i="8"/>
  <c r="DM381" i="8" s="1"/>
  <c r="DN381" i="8" s="1"/>
  <c r="CF385" i="8"/>
  <c r="AD385" i="8" s="1"/>
  <c r="AE385" i="8" s="1"/>
  <c r="AF385" i="8" s="1"/>
  <c r="Z386" i="8"/>
  <c r="AB386" i="8"/>
  <c r="AA370" i="8"/>
  <c r="DK370" i="8" s="1"/>
  <c r="DF373" i="8"/>
  <c r="DL373" i="8" s="1"/>
  <c r="BY373" i="8"/>
  <c r="CE373" i="8" s="1"/>
  <c r="AC373" i="8"/>
  <c r="DJ373" i="8"/>
  <c r="CC373" i="8"/>
  <c r="DK374" i="8"/>
  <c r="AI378" i="8"/>
  <c r="CG378" i="8"/>
  <c r="CF381" i="8"/>
  <c r="AD381" i="8" s="1"/>
  <c r="AE381" i="8" s="1"/>
  <c r="AF381" i="8" s="1"/>
  <c r="DJ376" i="8"/>
  <c r="CC376" i="8"/>
  <c r="CF376" i="8" s="1"/>
  <c r="AD376" i="8" s="1"/>
  <c r="AE376" i="8" s="1"/>
  <c r="AF376" i="8" s="1"/>
  <c r="BY376" i="8"/>
  <c r="CE376" i="8" s="1"/>
  <c r="DF376" i="8"/>
  <c r="DL376" i="8" s="1"/>
  <c r="AC376" i="8"/>
  <c r="CG377" i="8"/>
  <c r="AI377" i="8"/>
  <c r="CD384" i="8"/>
  <c r="DK373" i="8"/>
  <c r="DM373" i="8" s="1"/>
  <c r="CD375" i="8"/>
  <c r="CF375" i="8" s="1"/>
  <c r="AD375" i="8" s="1"/>
  <c r="AE375" i="8" s="1"/>
  <c r="AF375" i="8" s="1"/>
  <c r="DJ380" i="8"/>
  <c r="DM380" i="8" s="1"/>
  <c r="CC380" i="8"/>
  <c r="AC380" i="8"/>
  <c r="DF380" i="8"/>
  <c r="DL380" i="8" s="1"/>
  <c r="DN380" i="8" s="1"/>
  <c r="BY380" i="8"/>
  <c r="CE380" i="8" s="1"/>
  <c r="CD371" i="8"/>
  <c r="DM376" i="8"/>
  <c r="CF371" i="8"/>
  <c r="AD371" i="8" s="1"/>
  <c r="AE371" i="8" s="1"/>
  <c r="AF371" i="8" s="1"/>
  <c r="AC384" i="8"/>
  <c r="DF384" i="8"/>
  <c r="DL384" i="8" s="1"/>
  <c r="BY384" i="8"/>
  <c r="CE384" i="8" s="1"/>
  <c r="CC384" i="8"/>
  <c r="CF384" i="8" s="1"/>
  <c r="AD384" i="8" s="1"/>
  <c r="AE384" i="8" s="1"/>
  <c r="AF384" i="8" s="1"/>
  <c r="DJ384" i="8"/>
  <c r="DM384" i="8" s="1"/>
  <c r="AJ377" i="8"/>
  <c r="CD380" i="8"/>
  <c r="DK371" i="8"/>
  <c r="CD373" i="8"/>
  <c r="CF382" i="8"/>
  <c r="AD382" i="8" s="1"/>
  <c r="AE382" i="8" s="1"/>
  <c r="AF382" i="8" s="1"/>
  <c r="AI365" i="8"/>
  <c r="DN350" i="8"/>
  <c r="AA366" i="8"/>
  <c r="AI362" i="8"/>
  <c r="DJ359" i="8"/>
  <c r="DM359" i="8" s="1"/>
  <c r="DF359" i="8"/>
  <c r="DL359" i="8" s="1"/>
  <c r="CC359" i="8"/>
  <c r="BY359" i="8"/>
  <c r="CE359" i="8" s="1"/>
  <c r="AC359" i="8"/>
  <c r="AI353" i="8"/>
  <c r="DI355" i="8"/>
  <c r="DH355" i="8"/>
  <c r="CC354" i="8"/>
  <c r="DJ354" i="8"/>
  <c r="DF354" i="8"/>
  <c r="DL354" i="8" s="1"/>
  <c r="AC354" i="8"/>
  <c r="BY354" i="8"/>
  <c r="CE354" i="8" s="1"/>
  <c r="AI361" i="8"/>
  <c r="CG361" i="8"/>
  <c r="AJ362" i="8"/>
  <c r="DJ355" i="8"/>
  <c r="CC355" i="8"/>
  <c r="AC355" i="8"/>
  <c r="DF355" i="8"/>
  <c r="DL355" i="8" s="1"/>
  <c r="BY355" i="8"/>
  <c r="CE355" i="8" s="1"/>
  <c r="AI351" i="8"/>
  <c r="AJ357" i="8"/>
  <c r="AI357" i="8"/>
  <c r="CG357" i="8"/>
  <c r="DJ360" i="8"/>
  <c r="DM360" i="8" s="1"/>
  <c r="CC360" i="8"/>
  <c r="CF360" i="8" s="1"/>
  <c r="AD360" i="8" s="1"/>
  <c r="AE360" i="8" s="1"/>
  <c r="AF360" i="8" s="1"/>
  <c r="BY360" i="8"/>
  <c r="CE360" i="8" s="1"/>
  <c r="DF360" i="8"/>
  <c r="DL360" i="8" s="1"/>
  <c r="AC360" i="8"/>
  <c r="CF356" i="8"/>
  <c r="AD356" i="8" s="1"/>
  <c r="AE356" i="8" s="1"/>
  <c r="AF356" i="8" s="1"/>
  <c r="CF365" i="8"/>
  <c r="AD365" i="8" s="1"/>
  <c r="AE365" i="8" s="1"/>
  <c r="AF365" i="8" s="1"/>
  <c r="CF359" i="8"/>
  <c r="AD359" i="8" s="1"/>
  <c r="AE359" i="8" s="1"/>
  <c r="AF359" i="8" s="1"/>
  <c r="CF350" i="8"/>
  <c r="AD350" i="8" s="1"/>
  <c r="AC358" i="8"/>
  <c r="DJ358" i="8"/>
  <c r="DF358" i="8"/>
  <c r="DL358" i="8" s="1"/>
  <c r="CC358" i="8"/>
  <c r="CF358" i="8" s="1"/>
  <c r="AD358" i="8" s="1"/>
  <c r="AE358" i="8" s="1"/>
  <c r="AF358" i="8" s="1"/>
  <c r="BY358" i="8"/>
  <c r="CE358" i="8" s="1"/>
  <c r="AI350" i="8"/>
  <c r="CG350" i="8"/>
  <c r="DK354" i="8"/>
  <c r="AC363" i="8"/>
  <c r="DF363" i="8"/>
  <c r="DL363" i="8" s="1"/>
  <c r="BY363" i="8"/>
  <c r="CE363" i="8" s="1"/>
  <c r="CC363" i="8"/>
  <c r="CF363" i="8" s="1"/>
  <c r="AD363" i="8" s="1"/>
  <c r="AE363" i="8" s="1"/>
  <c r="AF363" i="8" s="1"/>
  <c r="DJ363" i="8"/>
  <c r="DM363" i="8" s="1"/>
  <c r="AC364" i="8"/>
  <c r="DF364" i="8"/>
  <c r="DL364" i="8" s="1"/>
  <c r="BY364" i="8"/>
  <c r="CE364" i="8" s="1"/>
  <c r="DJ364" i="8"/>
  <c r="DM364" i="8" s="1"/>
  <c r="CC364" i="8"/>
  <c r="CF364" i="8" s="1"/>
  <c r="AD364" i="8" s="1"/>
  <c r="AE364" i="8" s="1"/>
  <c r="AF364" i="8" s="1"/>
  <c r="AI356" i="8"/>
  <c r="CD355" i="8"/>
  <c r="CD354" i="8"/>
  <c r="DM365" i="8"/>
  <c r="DN365" i="8" s="1"/>
  <c r="CF351" i="8"/>
  <c r="AD351" i="8" s="1"/>
  <c r="AE351" i="8" s="1"/>
  <c r="AF351" i="8" s="1"/>
  <c r="DK358" i="8"/>
  <c r="CB355" i="8"/>
  <c r="CA355" i="8"/>
  <c r="CF355" i="8" s="1"/>
  <c r="AD355" i="8" s="1"/>
  <c r="AE355" i="8" s="1"/>
  <c r="AF355" i="8" s="1"/>
  <c r="AJ352" i="8"/>
  <c r="DN353" i="8"/>
  <c r="AI331" i="8"/>
  <c r="AI332" i="8"/>
  <c r="AI336" i="8"/>
  <c r="CG336" i="8"/>
  <c r="AI333" i="8"/>
  <c r="AI330" i="8"/>
  <c r="AI334" i="8"/>
  <c r="AI341" i="8"/>
  <c r="DN330" i="8"/>
  <c r="AD342" i="8"/>
  <c r="AE342" i="8" s="1"/>
  <c r="AF342" i="8" s="1"/>
  <c r="CG342" i="8"/>
  <c r="DM345" i="8"/>
  <c r="DN345" i="8" s="1"/>
  <c r="DN331" i="8"/>
  <c r="CF330" i="8"/>
  <c r="AD330" i="8" s="1"/>
  <c r="DJ339" i="8"/>
  <c r="BY339" i="8"/>
  <c r="CE339" i="8" s="1"/>
  <c r="DF339" i="8"/>
  <c r="DL339" i="8" s="1"/>
  <c r="AC339" i="8"/>
  <c r="CC339" i="8"/>
  <c r="CF339" i="8" s="1"/>
  <c r="AD339" i="8" s="1"/>
  <c r="AE339" i="8" s="1"/>
  <c r="AF339" i="8" s="1"/>
  <c r="DM334" i="8"/>
  <c r="DN334" i="8" s="1"/>
  <c r="DM332" i="8"/>
  <c r="DN332" i="8" s="1"/>
  <c r="AC338" i="8"/>
  <c r="DJ338" i="8"/>
  <c r="DM338" i="8" s="1"/>
  <c r="BY338" i="8"/>
  <c r="CE338" i="8" s="1"/>
  <c r="DF338" i="8"/>
  <c r="DL338" i="8" s="1"/>
  <c r="CC338" i="8"/>
  <c r="CF338" i="8" s="1"/>
  <c r="AD338" i="8" s="1"/>
  <c r="AE338" i="8" s="1"/>
  <c r="AF338" i="8" s="1"/>
  <c r="AI335" i="8"/>
  <c r="CG335" i="8"/>
  <c r="CF332" i="8"/>
  <c r="AD332" i="8" s="1"/>
  <c r="AE332" i="8" s="1"/>
  <c r="AF332" i="8" s="1"/>
  <c r="CF334" i="8"/>
  <c r="AD334" i="8" s="1"/>
  <c r="AE334" i="8" s="1"/>
  <c r="AF334" i="8" s="1"/>
  <c r="AA346" i="8"/>
  <c r="CF341" i="8"/>
  <c r="AD341" i="8" s="1"/>
  <c r="AE341" i="8" s="1"/>
  <c r="AF341" i="8" s="1"/>
  <c r="AC344" i="8"/>
  <c r="DF344" i="8"/>
  <c r="DL344" i="8" s="1"/>
  <c r="BY344" i="8"/>
  <c r="CE344" i="8" s="1"/>
  <c r="DJ344" i="8"/>
  <c r="DM344" i="8" s="1"/>
  <c r="CC344" i="8"/>
  <c r="AJ336" i="8"/>
  <c r="AC343" i="8"/>
  <c r="DF343" i="8"/>
  <c r="DL343" i="8" s="1"/>
  <c r="CC343" i="8"/>
  <c r="CF343" i="8" s="1"/>
  <c r="AD343" i="8" s="1"/>
  <c r="AE343" i="8" s="1"/>
  <c r="AF343" i="8" s="1"/>
  <c r="BY343" i="8"/>
  <c r="CE343" i="8" s="1"/>
  <c r="DJ343" i="8"/>
  <c r="DM343" i="8" s="1"/>
  <c r="CF344" i="8"/>
  <c r="AD344" i="8" s="1"/>
  <c r="AE344" i="8" s="1"/>
  <c r="AF344" i="8" s="1"/>
  <c r="DJ340" i="8"/>
  <c r="DM340" i="8" s="1"/>
  <c r="CC340" i="8"/>
  <c r="CF340" i="8" s="1"/>
  <c r="AD340" i="8" s="1"/>
  <c r="AE340" i="8" s="1"/>
  <c r="AF340" i="8" s="1"/>
  <c r="BY340" i="8"/>
  <c r="CE340" i="8" s="1"/>
  <c r="DF340" i="8"/>
  <c r="DL340" i="8" s="1"/>
  <c r="AC340" i="8"/>
  <c r="CF337" i="8"/>
  <c r="AI345" i="8"/>
  <c r="DM336" i="8"/>
  <c r="DN336" i="8" s="1"/>
  <c r="DM333" i="8"/>
  <c r="DN333" i="8" s="1"/>
  <c r="CF345" i="8"/>
  <c r="CF331" i="8"/>
  <c r="AD331" i="8" s="1"/>
  <c r="AE331" i="8" s="1"/>
  <c r="AF331" i="8" s="1"/>
  <c r="AI312" i="8"/>
  <c r="CG323" i="8"/>
  <c r="AI323" i="8"/>
  <c r="AJ314" i="8"/>
  <c r="AJ317" i="8"/>
  <c r="CG314" i="8"/>
  <c r="AI314" i="8"/>
  <c r="AI313" i="8"/>
  <c r="DN317" i="8"/>
  <c r="AI321" i="8"/>
  <c r="AI317" i="8"/>
  <c r="CG317" i="8"/>
  <c r="AI315" i="8"/>
  <c r="AJ323" i="8"/>
  <c r="Z326" i="8"/>
  <c r="AB326" i="8"/>
  <c r="AA310" i="8"/>
  <c r="DK310" i="8" s="1"/>
  <c r="AI320" i="8"/>
  <c r="CG320" i="8"/>
  <c r="AI319" i="8"/>
  <c r="DM315" i="8"/>
  <c r="DN315" i="8" s="1"/>
  <c r="CB321" i="8"/>
  <c r="CA321" i="8"/>
  <c r="AJ316" i="8"/>
  <c r="DM321" i="8"/>
  <c r="DN321" i="8" s="1"/>
  <c r="CG325" i="8"/>
  <c r="AI325" i="8"/>
  <c r="DN316" i="8"/>
  <c r="CF312" i="8"/>
  <c r="AD312" i="8" s="1"/>
  <c r="AE312" i="8" s="1"/>
  <c r="AF312" i="8" s="1"/>
  <c r="DM314" i="8"/>
  <c r="DN314" i="8" s="1"/>
  <c r="DN319" i="8"/>
  <c r="AI311" i="8"/>
  <c r="AJ325" i="8"/>
  <c r="CG316" i="8"/>
  <c r="AI316" i="8"/>
  <c r="DJ318" i="8"/>
  <c r="CC318" i="8"/>
  <c r="CF318" i="8" s="1"/>
  <c r="AD318" i="8" s="1"/>
  <c r="AE318" i="8" s="1"/>
  <c r="AF318" i="8" s="1"/>
  <c r="AC318" i="8"/>
  <c r="BY318" i="8"/>
  <c r="CE318" i="8" s="1"/>
  <c r="DF318" i="8"/>
  <c r="DL318" i="8" s="1"/>
  <c r="CF322" i="8"/>
  <c r="CF319" i="8"/>
  <c r="AD319" i="8" s="1"/>
  <c r="AE319" i="8" s="1"/>
  <c r="AF319" i="8" s="1"/>
  <c r="DM325" i="8"/>
  <c r="DN325" i="8" s="1"/>
  <c r="CF311" i="8"/>
  <c r="AD311" i="8" s="1"/>
  <c r="AE311" i="8" s="1"/>
  <c r="AF311" i="8" s="1"/>
  <c r="DM320" i="8"/>
  <c r="DN320" i="8" s="1"/>
  <c r="CB315" i="8"/>
  <c r="CA315" i="8"/>
  <c r="DN311" i="8"/>
  <c r="DK318" i="8"/>
  <c r="CF313" i="8"/>
  <c r="AD313" i="8" s="1"/>
  <c r="AE313" i="8" s="1"/>
  <c r="AF313" i="8" s="1"/>
  <c r="AC324" i="8"/>
  <c r="DF324" i="8"/>
  <c r="DL324" i="8" s="1"/>
  <c r="BY324" i="8"/>
  <c r="CE324" i="8" s="1"/>
  <c r="DJ324" i="8"/>
  <c r="DM324" i="8" s="1"/>
  <c r="CC324" i="8"/>
  <c r="CF324" i="8" s="1"/>
  <c r="AD324" i="8" s="1"/>
  <c r="AE324" i="8" s="1"/>
  <c r="AF324" i="8" s="1"/>
  <c r="AI295" i="8"/>
  <c r="AJ297" i="8"/>
  <c r="AJ296" i="8"/>
  <c r="AJ291" i="8"/>
  <c r="AI305" i="8"/>
  <c r="AI292" i="8"/>
  <c r="CG291" i="8"/>
  <c r="AI291" i="8"/>
  <c r="AG291" i="8" s="1"/>
  <c r="DM296" i="8"/>
  <c r="DN296" i="8" s="1"/>
  <c r="DF293" i="8"/>
  <c r="DL293" i="8" s="1"/>
  <c r="BY293" i="8"/>
  <c r="CE293" i="8" s="1"/>
  <c r="AC293" i="8"/>
  <c r="DJ293" i="8"/>
  <c r="DM293" i="8" s="1"/>
  <c r="CC293" i="8"/>
  <c r="DM300" i="8"/>
  <c r="DN300" i="8" s="1"/>
  <c r="CD304" i="8"/>
  <c r="DK294" i="8"/>
  <c r="CD290" i="8"/>
  <c r="CF305" i="8"/>
  <c r="AD305" i="8" s="1"/>
  <c r="AE305" i="8" s="1"/>
  <c r="AF305" i="8" s="1"/>
  <c r="DM292" i="8"/>
  <c r="CG298" i="8"/>
  <c r="AI302" i="8"/>
  <c r="DJ301" i="8"/>
  <c r="CC301" i="8"/>
  <c r="DF301" i="8"/>
  <c r="DL301" i="8" s="1"/>
  <c r="BY301" i="8"/>
  <c r="CE301" i="8" s="1"/>
  <c r="AC301" i="8"/>
  <c r="AI303" i="8"/>
  <c r="CG297" i="8"/>
  <c r="AI297" i="8"/>
  <c r="AI299" i="8"/>
  <c r="CG299" i="8"/>
  <c r="AJ298" i="8"/>
  <c r="AG298" i="8" s="1"/>
  <c r="AJ300" i="8"/>
  <c r="AG300" i="8" s="1"/>
  <c r="DM305" i="8"/>
  <c r="DN305" i="8" s="1"/>
  <c r="AC304" i="8"/>
  <c r="DF304" i="8"/>
  <c r="DL304" i="8" s="1"/>
  <c r="BY304" i="8"/>
  <c r="CE304" i="8" s="1"/>
  <c r="DJ304" i="8"/>
  <c r="DM304" i="8" s="1"/>
  <c r="CC304" i="8"/>
  <c r="CF304" i="8" s="1"/>
  <c r="AD304" i="8" s="1"/>
  <c r="AE304" i="8" s="1"/>
  <c r="AF304" i="8" s="1"/>
  <c r="AA306" i="8"/>
  <c r="DF290" i="8"/>
  <c r="DL290" i="8" s="1"/>
  <c r="BY290" i="8"/>
  <c r="CE290" i="8" s="1"/>
  <c r="AC290" i="8"/>
  <c r="DJ290" i="8"/>
  <c r="DM290" i="8" s="1"/>
  <c r="CC290" i="8"/>
  <c r="CF303" i="8"/>
  <c r="AD303" i="8" s="1"/>
  <c r="AE303" i="8" s="1"/>
  <c r="AF303" i="8" s="1"/>
  <c r="DM295" i="8"/>
  <c r="DN295" i="8" s="1"/>
  <c r="DN292" i="8"/>
  <c r="AB306" i="8"/>
  <c r="DN291" i="8"/>
  <c r="CG296" i="8"/>
  <c r="AI296" i="8"/>
  <c r="CC294" i="8"/>
  <c r="CF294" i="8" s="1"/>
  <c r="AD294" i="8" s="1"/>
  <c r="AE294" i="8" s="1"/>
  <c r="AF294" i="8" s="1"/>
  <c r="DJ294" i="8"/>
  <c r="DM294" i="8" s="1"/>
  <c r="AC294" i="8"/>
  <c r="BY294" i="8"/>
  <c r="CE294" i="8" s="1"/>
  <c r="DF294" i="8"/>
  <c r="DL294" i="8" s="1"/>
  <c r="CG300" i="8"/>
  <c r="CD301" i="8"/>
  <c r="CF302" i="8"/>
  <c r="AD302" i="8" s="1"/>
  <c r="AE302" i="8" s="1"/>
  <c r="AF302" i="8" s="1"/>
  <c r="CD293" i="8"/>
  <c r="DK301" i="8"/>
  <c r="DN302" i="8"/>
  <c r="AJ299" i="8"/>
  <c r="CF292" i="8"/>
  <c r="AD292" i="8" s="1"/>
  <c r="AE292" i="8" s="1"/>
  <c r="AF292" i="8" s="1"/>
  <c r="CF295" i="8"/>
  <c r="AD295" i="8" s="1"/>
  <c r="AE295" i="8" s="1"/>
  <c r="AF295" i="8" s="1"/>
  <c r="AI282" i="8"/>
  <c r="AJ279" i="8"/>
  <c r="AI272" i="8"/>
  <c r="CF277" i="8"/>
  <c r="AD277" i="8" s="1"/>
  <c r="AE277" i="8" s="1"/>
  <c r="AF277" i="8" s="1"/>
  <c r="DM275" i="8"/>
  <c r="DN275" i="8" s="1"/>
  <c r="AI277" i="8"/>
  <c r="CG281" i="8"/>
  <c r="AI281" i="8"/>
  <c r="CF275" i="8"/>
  <c r="AD275" i="8" s="1"/>
  <c r="AE275" i="8" s="1"/>
  <c r="AF275" i="8" s="1"/>
  <c r="AI275" i="8"/>
  <c r="CD283" i="8"/>
  <c r="DF274" i="8"/>
  <c r="DL274" i="8" s="1"/>
  <c r="CC274" i="8"/>
  <c r="CF274" i="8" s="1"/>
  <c r="AD274" i="8" s="1"/>
  <c r="AE274" i="8" s="1"/>
  <c r="AF274" i="8" s="1"/>
  <c r="DJ274" i="8"/>
  <c r="DM274" i="8" s="1"/>
  <c r="BY274" i="8"/>
  <c r="CE274" i="8" s="1"/>
  <c r="AC274" i="8"/>
  <c r="DJ285" i="8"/>
  <c r="DM285" i="8" s="1"/>
  <c r="CC285" i="8"/>
  <c r="CF285" i="8" s="1"/>
  <c r="AD285" i="8" s="1"/>
  <c r="AE285" i="8" s="1"/>
  <c r="AF285" i="8" s="1"/>
  <c r="AC285" i="8"/>
  <c r="DF285" i="8"/>
  <c r="DL285" i="8" s="1"/>
  <c r="BY285" i="8"/>
  <c r="CE285" i="8" s="1"/>
  <c r="CD284" i="8"/>
  <c r="DM272" i="8"/>
  <c r="DN272" i="8" s="1"/>
  <c r="DN282" i="8"/>
  <c r="DJ276" i="8"/>
  <c r="DM276" i="8" s="1"/>
  <c r="CC276" i="8"/>
  <c r="CF276" i="8" s="1"/>
  <c r="AD276" i="8" s="1"/>
  <c r="AE276" i="8" s="1"/>
  <c r="AF276" i="8" s="1"/>
  <c r="BY276" i="8"/>
  <c r="CE276" i="8" s="1"/>
  <c r="DF276" i="8"/>
  <c r="DL276" i="8" s="1"/>
  <c r="AC276" i="8"/>
  <c r="AC273" i="8"/>
  <c r="CC273" i="8"/>
  <c r="CF273" i="8" s="1"/>
  <c r="AD273" i="8" s="1"/>
  <c r="AE273" i="8" s="1"/>
  <c r="AF273" i="8" s="1"/>
  <c r="BY273" i="8"/>
  <c r="CE273" i="8" s="1"/>
  <c r="DJ273" i="8"/>
  <c r="DF273" i="8"/>
  <c r="DL273" i="8" s="1"/>
  <c r="CF272" i="8"/>
  <c r="AD272" i="8" s="1"/>
  <c r="AE272" i="8" s="1"/>
  <c r="AF272" i="8" s="1"/>
  <c r="AC278" i="8"/>
  <c r="DF278" i="8"/>
  <c r="DL278" i="8" s="1"/>
  <c r="BY278" i="8"/>
  <c r="CE278" i="8" s="1"/>
  <c r="DJ278" i="8"/>
  <c r="DM278" i="8" s="1"/>
  <c r="CC278" i="8"/>
  <c r="AC283" i="8"/>
  <c r="DF283" i="8"/>
  <c r="DL283" i="8" s="1"/>
  <c r="BY283" i="8"/>
  <c r="CE283" i="8" s="1"/>
  <c r="DJ283" i="8"/>
  <c r="DM283" i="8" s="1"/>
  <c r="CC283" i="8"/>
  <c r="AC284" i="8"/>
  <c r="DF284" i="8"/>
  <c r="DL284" i="8" s="1"/>
  <c r="BY284" i="8"/>
  <c r="CE284" i="8" s="1"/>
  <c r="DJ284" i="8"/>
  <c r="DM284" i="8" s="1"/>
  <c r="CC284" i="8"/>
  <c r="CF284" i="8" s="1"/>
  <c r="AD284" i="8" s="1"/>
  <c r="AE284" i="8" s="1"/>
  <c r="AF284" i="8" s="1"/>
  <c r="AI271" i="8"/>
  <c r="CD278" i="8"/>
  <c r="CB282" i="8"/>
  <c r="CA282" i="8"/>
  <c r="AI279" i="8"/>
  <c r="AG279" i="8" s="1"/>
  <c r="CG279" i="8"/>
  <c r="AB286" i="8"/>
  <c r="AC282" i="8"/>
  <c r="CF280" i="8"/>
  <c r="DN271" i="8"/>
  <c r="DN280" i="8"/>
  <c r="DK273" i="8"/>
  <c r="AA286" i="8"/>
  <c r="DJ270" i="8"/>
  <c r="DM270" i="8" s="1"/>
  <c r="CC270" i="8"/>
  <c r="CF270" i="8" s="1"/>
  <c r="AD270" i="8" s="1"/>
  <c r="BY270" i="8"/>
  <c r="CE270" i="8" s="1"/>
  <c r="AC270" i="8"/>
  <c r="DF270" i="8"/>
  <c r="DL270" i="8" s="1"/>
  <c r="CF271" i="8"/>
  <c r="AD271" i="8" s="1"/>
  <c r="AE271" i="8" s="1"/>
  <c r="AF271" i="8" s="1"/>
  <c r="DM281" i="8"/>
  <c r="DN281" i="8" s="1"/>
  <c r="CC282" i="8"/>
  <c r="DM277" i="8"/>
  <c r="DN277" i="8" s="1"/>
  <c r="AI261" i="8"/>
  <c r="AI252" i="8"/>
  <c r="AC263" i="8"/>
  <c r="DF263" i="8"/>
  <c r="DL263" i="8" s="1"/>
  <c r="BY263" i="8"/>
  <c r="CE263" i="8" s="1"/>
  <c r="CC263" i="8"/>
  <c r="DJ263" i="8"/>
  <c r="DM263" i="8" s="1"/>
  <c r="CF262" i="8"/>
  <c r="AD262" i="8" s="1"/>
  <c r="AE262" i="8" s="1"/>
  <c r="AF262" i="8" s="1"/>
  <c r="CF265" i="8"/>
  <c r="AD265" i="8" s="1"/>
  <c r="AE265" i="8" s="1"/>
  <c r="AF265" i="8" s="1"/>
  <c r="AJ258" i="8"/>
  <c r="CF261" i="8"/>
  <c r="DM265" i="8"/>
  <c r="DN265" i="8" s="1"/>
  <c r="CF252" i="8"/>
  <c r="AD252" i="8" s="1"/>
  <c r="AE252" i="8" s="1"/>
  <c r="AF252" i="8" s="1"/>
  <c r="DJ254" i="8"/>
  <c r="AC254" i="8"/>
  <c r="BY254" i="8"/>
  <c r="CE254" i="8" s="1"/>
  <c r="DF254" i="8"/>
  <c r="DL254" i="8" s="1"/>
  <c r="CC254" i="8"/>
  <c r="CF254" i="8" s="1"/>
  <c r="AD254" i="8" s="1"/>
  <c r="AE254" i="8" s="1"/>
  <c r="AF254" i="8" s="1"/>
  <c r="AI258" i="8"/>
  <c r="CG258" i="8"/>
  <c r="DF256" i="8"/>
  <c r="DL256" i="8" s="1"/>
  <c r="CC256" i="8"/>
  <c r="CF256" i="8" s="1"/>
  <c r="AD256" i="8" s="1"/>
  <c r="AE256" i="8" s="1"/>
  <c r="AF256" i="8" s="1"/>
  <c r="DJ256" i="8"/>
  <c r="DM256" i="8" s="1"/>
  <c r="BY256" i="8"/>
  <c r="CE256" i="8" s="1"/>
  <c r="AC256" i="8"/>
  <c r="AJ255" i="8"/>
  <c r="AG255" i="8" s="1"/>
  <c r="AI265" i="8"/>
  <c r="DF253" i="8"/>
  <c r="DL253" i="8" s="1"/>
  <c r="BY253" i="8"/>
  <c r="CE253" i="8" s="1"/>
  <c r="AC253" i="8"/>
  <c r="DJ253" i="8"/>
  <c r="DM253" i="8" s="1"/>
  <c r="CC253" i="8"/>
  <c r="CF253" i="8" s="1"/>
  <c r="AD253" i="8" s="1"/>
  <c r="AE253" i="8" s="1"/>
  <c r="AF253" i="8" s="1"/>
  <c r="DK254" i="8"/>
  <c r="CC259" i="8"/>
  <c r="CF259" i="8" s="1"/>
  <c r="AD259" i="8" s="1"/>
  <c r="AE259" i="8" s="1"/>
  <c r="AF259" i="8" s="1"/>
  <c r="BY259" i="8"/>
  <c r="CE259" i="8" s="1"/>
  <c r="DJ259" i="8"/>
  <c r="DM259" i="8" s="1"/>
  <c r="AC259" i="8"/>
  <c r="DF259" i="8"/>
  <c r="DL259" i="8" s="1"/>
  <c r="DN259" i="8" s="1"/>
  <c r="CG262" i="8"/>
  <c r="AI262" i="8"/>
  <c r="DJ257" i="8"/>
  <c r="DM257" i="8" s="1"/>
  <c r="CC257" i="8"/>
  <c r="CF257" i="8" s="1"/>
  <c r="AD257" i="8" s="1"/>
  <c r="AE257" i="8" s="1"/>
  <c r="AF257" i="8" s="1"/>
  <c r="AC257" i="8"/>
  <c r="DF257" i="8"/>
  <c r="DL257" i="8" s="1"/>
  <c r="BY257" i="8"/>
  <c r="CE257" i="8" s="1"/>
  <c r="AC264" i="8"/>
  <c r="DF264" i="8"/>
  <c r="DL264" i="8" s="1"/>
  <c r="BY264" i="8"/>
  <c r="CE264" i="8" s="1"/>
  <c r="DJ264" i="8"/>
  <c r="DM264" i="8" s="1"/>
  <c r="CC264" i="8"/>
  <c r="CF264" i="8" s="1"/>
  <c r="AD264" i="8" s="1"/>
  <c r="AE264" i="8" s="1"/>
  <c r="AF264" i="8" s="1"/>
  <c r="CG255" i="8"/>
  <c r="DJ260" i="8"/>
  <c r="DM260" i="8" s="1"/>
  <c r="CC260" i="8"/>
  <c r="CF260" i="8" s="1"/>
  <c r="AD260" i="8" s="1"/>
  <c r="AE260" i="8" s="1"/>
  <c r="AF260" i="8" s="1"/>
  <c r="BY260" i="8"/>
  <c r="CE260" i="8" s="1"/>
  <c r="DF260" i="8"/>
  <c r="DL260" i="8" s="1"/>
  <c r="AC260" i="8"/>
  <c r="AI251" i="8"/>
  <c r="Z266" i="8"/>
  <c r="AB266" i="8"/>
  <c r="AA250" i="8"/>
  <c r="DK250" i="8"/>
  <c r="CD250" i="8"/>
  <c r="DI261" i="8"/>
  <c r="DH261" i="8"/>
  <c r="DN262" i="8"/>
  <c r="CD263" i="8"/>
  <c r="AJ233" i="8"/>
  <c r="CG234" i="8"/>
  <c r="AI234" i="8"/>
  <c r="CG240" i="8"/>
  <c r="AI240" i="8"/>
  <c r="DN240" i="8"/>
  <c r="AJ243" i="8"/>
  <c r="AI236" i="8"/>
  <c r="AJ234" i="8"/>
  <c r="DN236" i="8"/>
  <c r="AI244" i="8"/>
  <c r="AI243" i="8"/>
  <c r="CG243" i="8"/>
  <c r="CF231" i="8"/>
  <c r="AD231" i="8" s="1"/>
  <c r="AE231" i="8" s="1"/>
  <c r="AF231" i="8" s="1"/>
  <c r="DN234" i="8"/>
  <c r="CG233" i="8"/>
  <c r="AI233" i="8"/>
  <c r="AG233" i="8" s="1"/>
  <c r="CB241" i="8"/>
  <c r="CA241" i="8"/>
  <c r="AI242" i="8"/>
  <c r="DN233" i="8"/>
  <c r="DN242" i="8"/>
  <c r="DM238" i="8"/>
  <c r="DN238" i="8" s="1"/>
  <c r="AI237" i="8"/>
  <c r="CD245" i="8"/>
  <c r="Z246" i="8"/>
  <c r="AB246" i="8"/>
  <c r="AA230" i="8"/>
  <c r="CD230" i="8" s="1"/>
  <c r="DK230" i="8"/>
  <c r="CD232" i="8"/>
  <c r="AI231" i="8"/>
  <c r="CF239" i="8"/>
  <c r="AD239" i="8" s="1"/>
  <c r="AE239" i="8" s="1"/>
  <c r="AF239" i="8" s="1"/>
  <c r="CF237" i="8"/>
  <c r="AD237" i="8" s="1"/>
  <c r="AE237" i="8" s="1"/>
  <c r="AF237" i="8" s="1"/>
  <c r="CF244" i="8"/>
  <c r="AD244" i="8" s="1"/>
  <c r="AE244" i="8" s="1"/>
  <c r="AF244" i="8" s="1"/>
  <c r="AI238" i="8"/>
  <c r="AJ240" i="8"/>
  <c r="DM239" i="8"/>
  <c r="DN239" i="8" s="1"/>
  <c r="DJ245" i="8"/>
  <c r="DM245" i="8" s="1"/>
  <c r="CC245" i="8"/>
  <c r="CF245" i="8" s="1"/>
  <c r="AD245" i="8" s="1"/>
  <c r="AE245" i="8" s="1"/>
  <c r="AF245" i="8" s="1"/>
  <c r="AC245" i="8"/>
  <c r="DF245" i="8"/>
  <c r="DL245" i="8" s="1"/>
  <c r="BY245" i="8"/>
  <c r="CE245" i="8" s="1"/>
  <c r="AI241" i="8"/>
  <c r="AC232" i="8"/>
  <c r="DF232" i="8"/>
  <c r="DL232" i="8" s="1"/>
  <c r="BY232" i="8"/>
  <c r="CE232" i="8" s="1"/>
  <c r="DJ232" i="8"/>
  <c r="DM232" i="8" s="1"/>
  <c r="CC232" i="8"/>
  <c r="DM237" i="8"/>
  <c r="DN237" i="8" s="1"/>
  <c r="AI239" i="8"/>
  <c r="DM231" i="8"/>
  <c r="DN231" i="8" s="1"/>
  <c r="CF238" i="8"/>
  <c r="AD238" i="8" s="1"/>
  <c r="AE238" i="8" s="1"/>
  <c r="AF238" i="8" s="1"/>
  <c r="CC235" i="8"/>
  <c r="CF235" i="8" s="1"/>
  <c r="AD235" i="8" s="1"/>
  <c r="AE235" i="8" s="1"/>
  <c r="AF235" i="8" s="1"/>
  <c r="DF235" i="8"/>
  <c r="DL235" i="8" s="1"/>
  <c r="BY235" i="8"/>
  <c r="CE235" i="8" s="1"/>
  <c r="AC235" i="8"/>
  <c r="DJ235" i="8"/>
  <c r="DM235" i="8" s="1"/>
  <c r="CF242" i="8"/>
  <c r="AD242" i="8" s="1"/>
  <c r="AE242" i="8" s="1"/>
  <c r="AF242" i="8" s="1"/>
  <c r="AC241" i="8"/>
  <c r="DM241" i="8"/>
  <c r="DN241" i="8" s="1"/>
  <c r="CF236" i="8"/>
  <c r="AD236" i="8" s="1"/>
  <c r="AE236" i="8" s="1"/>
  <c r="AF236" i="8" s="1"/>
  <c r="F288" i="9"/>
  <c r="F8" i="9" s="1"/>
  <c r="F171" i="9"/>
  <c r="F6" i="9" s="1"/>
  <c r="F10" i="9" s="1"/>
  <c r="DN253" i="8" l="1"/>
  <c r="DM254" i="8"/>
  <c r="AD261" i="8"/>
  <c r="AE261" i="8" s="1"/>
  <c r="AF261" i="8" s="1"/>
  <c r="CG261" i="8"/>
  <c r="DM301" i="8"/>
  <c r="AD345" i="8"/>
  <c r="AE345" i="8" s="1"/>
  <c r="AF345" i="8" s="1"/>
  <c r="CG345" i="8"/>
  <c r="DM358" i="8"/>
  <c r="DM374" i="8"/>
  <c r="DM383" i="8"/>
  <c r="DN383" i="8" s="1"/>
  <c r="CF379" i="8"/>
  <c r="DM378" i="8"/>
  <c r="DN378" i="8" s="1"/>
  <c r="DM362" i="8"/>
  <c r="DN362" i="8" s="1"/>
  <c r="DM356" i="8"/>
  <c r="DN356" i="8" s="1"/>
  <c r="CF353" i="8"/>
  <c r="AI352" i="8"/>
  <c r="AG352" i="8" s="1"/>
  <c r="CG352" i="8"/>
  <c r="DM352" i="8"/>
  <c r="DN352" i="8" s="1"/>
  <c r="DM342" i="8"/>
  <c r="DN342" i="8" s="1"/>
  <c r="DM341" i="8"/>
  <c r="DN341" i="8" s="1"/>
  <c r="DM337" i="8"/>
  <c r="DN337" i="8" s="1"/>
  <c r="CF333" i="8"/>
  <c r="DM322" i="8"/>
  <c r="DN322" i="8"/>
  <c r="DM303" i="8"/>
  <c r="DN303" i="8" s="1"/>
  <c r="DM299" i="8"/>
  <c r="DN299" i="8" s="1"/>
  <c r="DM298" i="8"/>
  <c r="DN298" i="8" s="1"/>
  <c r="DM279" i="8"/>
  <c r="DN279" i="8" s="1"/>
  <c r="DM258" i="8"/>
  <c r="DN258" i="8" s="1"/>
  <c r="DM252" i="8"/>
  <c r="DN252" i="8" s="1"/>
  <c r="DM243" i="8"/>
  <c r="DN243" i="8" s="1"/>
  <c r="CF315" i="8"/>
  <c r="AD315" i="8" s="1"/>
  <c r="AE315" i="8" s="1"/>
  <c r="AF315" i="8" s="1"/>
  <c r="CF321" i="8"/>
  <c r="AD321" i="8" s="1"/>
  <c r="AE321" i="8" s="1"/>
  <c r="AF321" i="8" s="1"/>
  <c r="CG405" i="8"/>
  <c r="CG403" i="8"/>
  <c r="AG357" i="8"/>
  <c r="CG362" i="8"/>
  <c r="AJ335" i="8"/>
  <c r="AF335" i="8"/>
  <c r="CG311" i="8"/>
  <c r="AJ320" i="8"/>
  <c r="AF320" i="8"/>
  <c r="CG319" i="8"/>
  <c r="AJ281" i="8"/>
  <c r="AJ251" i="8"/>
  <c r="AF251" i="8"/>
  <c r="CG251" i="8"/>
  <c r="CG239" i="8"/>
  <c r="CG231" i="8"/>
  <c r="AJ402" i="8"/>
  <c r="AG402" i="8" s="1"/>
  <c r="AG396" i="8"/>
  <c r="AC406" i="8"/>
  <c r="CF373" i="8"/>
  <c r="AD373" i="8" s="1"/>
  <c r="AE373" i="8" s="1"/>
  <c r="AF373" i="8" s="1"/>
  <c r="AG378" i="8"/>
  <c r="CD370" i="8"/>
  <c r="AJ361" i="8"/>
  <c r="AG361" i="8" s="1"/>
  <c r="CG356" i="8"/>
  <c r="DN363" i="8"/>
  <c r="DM354" i="8"/>
  <c r="AC366" i="8"/>
  <c r="CF354" i="8"/>
  <c r="AD354" i="8" s="1"/>
  <c r="AE354" i="8" s="1"/>
  <c r="AG335" i="8"/>
  <c r="DM339" i="8"/>
  <c r="DN339" i="8" s="1"/>
  <c r="AC346" i="8"/>
  <c r="DM318" i="8"/>
  <c r="CD310" i="8"/>
  <c r="AG325" i="8"/>
  <c r="CF293" i="8"/>
  <c r="AD293" i="8" s="1"/>
  <c r="AE293" i="8" s="1"/>
  <c r="AF293" i="8" s="1"/>
  <c r="CF301" i="8"/>
  <c r="AD301" i="8" s="1"/>
  <c r="AE301" i="8" s="1"/>
  <c r="AF301" i="8" s="1"/>
  <c r="AG297" i="8"/>
  <c r="CG305" i="8"/>
  <c r="CG272" i="8"/>
  <c r="CF278" i="8"/>
  <c r="AD278" i="8" s="1"/>
  <c r="AE278" i="8" s="1"/>
  <c r="AF278" i="8" s="1"/>
  <c r="DN283" i="8"/>
  <c r="DM273" i="8"/>
  <c r="DN273" i="8" s="1"/>
  <c r="CF283" i="8"/>
  <c r="AD283" i="8" s="1"/>
  <c r="AE283" i="8" s="1"/>
  <c r="CG277" i="8"/>
  <c r="CG265" i="8"/>
  <c r="DN264" i="8"/>
  <c r="AJ398" i="8"/>
  <c r="AJ400" i="8"/>
  <c r="AG400" i="8" s="1"/>
  <c r="AJ392" i="8"/>
  <c r="AG392" i="8" s="1"/>
  <c r="AJ403" i="8"/>
  <c r="AG403" i="8" s="1"/>
  <c r="AI398" i="8"/>
  <c r="CG398" i="8"/>
  <c r="AG394" i="8"/>
  <c r="CG404" i="8"/>
  <c r="AI404" i="8"/>
  <c r="AJ405" i="8"/>
  <c r="AG405" i="8" s="1"/>
  <c r="DN398" i="8"/>
  <c r="AG397" i="8"/>
  <c r="CG390" i="8"/>
  <c r="AI390" i="8"/>
  <c r="DN404" i="8"/>
  <c r="AJ393" i="8"/>
  <c r="AG393" i="8" s="1"/>
  <c r="CG401" i="8"/>
  <c r="AJ401" i="8"/>
  <c r="AG401" i="8" s="1"/>
  <c r="DN390" i="8"/>
  <c r="AD406" i="8"/>
  <c r="AE390" i="8"/>
  <c r="AF390" i="8" s="1"/>
  <c r="AJ391" i="8"/>
  <c r="AG391" i="8" s="1"/>
  <c r="AG395" i="8"/>
  <c r="AJ404" i="8"/>
  <c r="CG400" i="8"/>
  <c r="AJ376" i="8"/>
  <c r="AJ375" i="8"/>
  <c r="AJ374" i="8"/>
  <c r="AJ384" i="8"/>
  <c r="AJ373" i="8"/>
  <c r="AJ371" i="8"/>
  <c r="AJ382" i="8"/>
  <c r="DN376" i="8"/>
  <c r="DN373" i="8"/>
  <c r="DN372" i="8"/>
  <c r="CG375" i="8"/>
  <c r="AI375" i="8"/>
  <c r="CG371" i="8"/>
  <c r="AI371" i="8"/>
  <c r="AG371" i="8" s="1"/>
  <c r="CG376" i="8"/>
  <c r="AI376" i="8"/>
  <c r="CG373" i="8"/>
  <c r="AI373" i="8"/>
  <c r="AG373" i="8" s="1"/>
  <c r="CG384" i="8"/>
  <c r="AI384" i="8"/>
  <c r="AI380" i="8"/>
  <c r="AJ385" i="8"/>
  <c r="AG385" i="8" s="1"/>
  <c r="DN374" i="8"/>
  <c r="AG382" i="8"/>
  <c r="CG372" i="8"/>
  <c r="AI372" i="8"/>
  <c r="DN384" i="8"/>
  <c r="AJ372" i="8"/>
  <c r="CG374" i="8"/>
  <c r="AI374" i="8"/>
  <c r="AG374" i="8" s="1"/>
  <c r="CG382" i="8"/>
  <c r="AJ381" i="8"/>
  <c r="AG381" i="8" s="1"/>
  <c r="AG383" i="8"/>
  <c r="CG381" i="8"/>
  <c r="CF380" i="8"/>
  <c r="AD380" i="8" s="1"/>
  <c r="AE380" i="8" s="1"/>
  <c r="AF380" i="8" s="1"/>
  <c r="AG377" i="8"/>
  <c r="CG385" i="8"/>
  <c r="AA386" i="8"/>
  <c r="DF370" i="8"/>
  <c r="DL370" i="8" s="1"/>
  <c r="BY370" i="8"/>
  <c r="CE370" i="8" s="1"/>
  <c r="AC370" i="8"/>
  <c r="AC386" i="8" s="1"/>
  <c r="DJ370" i="8"/>
  <c r="DM370" i="8" s="1"/>
  <c r="CC370" i="8"/>
  <c r="CF370" i="8" s="1"/>
  <c r="AD370" i="8" s="1"/>
  <c r="DN375" i="8"/>
  <c r="DM371" i="8"/>
  <c r="DN371" i="8" s="1"/>
  <c r="AJ364" i="8"/>
  <c r="AJ360" i="8"/>
  <c r="AJ359" i="8"/>
  <c r="AJ355" i="8"/>
  <c r="DN358" i="8"/>
  <c r="AE350" i="8"/>
  <c r="AF350" i="8" s="1"/>
  <c r="CG360" i="8"/>
  <c r="AI360" i="8"/>
  <c r="CG351" i="8"/>
  <c r="DN354" i="8"/>
  <c r="AJ363" i="8"/>
  <c r="AJ358" i="8"/>
  <c r="AI358" i="8"/>
  <c r="CG358" i="8"/>
  <c r="AJ365" i="8"/>
  <c r="AG365" i="8" s="1"/>
  <c r="CG355" i="8"/>
  <c r="AI355" i="8"/>
  <c r="DM355" i="8"/>
  <c r="DN355" i="8" s="1"/>
  <c r="AI359" i="8"/>
  <c r="CG359" i="8"/>
  <c r="AI363" i="8"/>
  <c r="CG363" i="8"/>
  <c r="AJ356" i="8"/>
  <c r="AG356" i="8" s="1"/>
  <c r="DN359" i="8"/>
  <c r="AJ351" i="8"/>
  <c r="AG351" i="8" s="1"/>
  <c r="CG364" i="8"/>
  <c r="AI364" i="8"/>
  <c r="AG364" i="8" s="1"/>
  <c r="DN364" i="8"/>
  <c r="AI354" i="8"/>
  <c r="DN360" i="8"/>
  <c r="AG362" i="8"/>
  <c r="CG365" i="8"/>
  <c r="AJ344" i="8"/>
  <c r="AJ343" i="8"/>
  <c r="CG334" i="8"/>
  <c r="AJ341" i="8"/>
  <c r="AG341" i="8" s="1"/>
  <c r="AE330" i="8"/>
  <c r="AF330" i="8" s="1"/>
  <c r="AJ342" i="8"/>
  <c r="AG342" i="8" s="1"/>
  <c r="CG332" i="8"/>
  <c r="AJ331" i="8"/>
  <c r="CG330" i="8"/>
  <c r="AJ345" i="8"/>
  <c r="AG345" i="8" s="1"/>
  <c r="AD337" i="8"/>
  <c r="AE337" i="8" s="1"/>
  <c r="AF337" i="8" s="1"/>
  <c r="CG337" i="8"/>
  <c r="CG343" i="8"/>
  <c r="AI343" i="8"/>
  <c r="AG343" i="8" s="1"/>
  <c r="AJ334" i="8"/>
  <c r="AG334" i="8" s="1"/>
  <c r="DN338" i="8"/>
  <c r="AJ338" i="8"/>
  <c r="AJ339" i="8"/>
  <c r="AI338" i="8"/>
  <c r="AG338" i="8" s="1"/>
  <c r="CG338" i="8"/>
  <c r="AG331" i="8"/>
  <c r="AJ340" i="8"/>
  <c r="DN340" i="8"/>
  <c r="DN343" i="8"/>
  <c r="CG344" i="8"/>
  <c r="AI344" i="8"/>
  <c r="AG344" i="8" s="1"/>
  <c r="AJ332" i="8"/>
  <c r="AG332" i="8" s="1"/>
  <c r="AI339" i="8"/>
  <c r="CG339" i="8"/>
  <c r="CG331" i="8"/>
  <c r="AI340" i="8"/>
  <c r="CG340" i="8"/>
  <c r="DN344" i="8"/>
  <c r="CG341" i="8"/>
  <c r="AG336" i="8"/>
  <c r="AJ318" i="8"/>
  <c r="AJ324" i="8"/>
  <c r="AJ311" i="8"/>
  <c r="AG311" i="8" s="1"/>
  <c r="CG321" i="8"/>
  <c r="AG321" i="8"/>
  <c r="DN324" i="8"/>
  <c r="AJ313" i="8"/>
  <c r="AG313" i="8" s="1"/>
  <c r="AJ319" i="8"/>
  <c r="AG319" i="8" s="1"/>
  <c r="AG316" i="8"/>
  <c r="CG313" i="8"/>
  <c r="AG323" i="8"/>
  <c r="AG320" i="8"/>
  <c r="AD322" i="8"/>
  <c r="AE322" i="8" s="1"/>
  <c r="AF322" i="8" s="1"/>
  <c r="CG322" i="8"/>
  <c r="CG315" i="8"/>
  <c r="AG314" i="8"/>
  <c r="CG312" i="8"/>
  <c r="AJ315" i="8"/>
  <c r="AG315" i="8" s="1"/>
  <c r="AJ321" i="8"/>
  <c r="CG324" i="8"/>
  <c r="AI324" i="8"/>
  <c r="DN318" i="8"/>
  <c r="AI318" i="8"/>
  <c r="CG318" i="8"/>
  <c r="AJ312" i="8"/>
  <c r="AG312" i="8" s="1"/>
  <c r="AA326" i="8"/>
  <c r="DJ310" i="8"/>
  <c r="DM310" i="8" s="1"/>
  <c r="CC310" i="8"/>
  <c r="CF310" i="8" s="1"/>
  <c r="AD310" i="8" s="1"/>
  <c r="AC310" i="8"/>
  <c r="AC326" i="8" s="1"/>
  <c r="DF310" i="8"/>
  <c r="DL310" i="8" s="1"/>
  <c r="BY310" i="8"/>
  <c r="CE310" i="8" s="1"/>
  <c r="AG317" i="8"/>
  <c r="AJ304" i="8"/>
  <c r="AJ293" i="8"/>
  <c r="AJ294" i="8"/>
  <c r="AJ301" i="8"/>
  <c r="CG304" i="8"/>
  <c r="AI304" i="8"/>
  <c r="AG304" i="8" s="1"/>
  <c r="CG293" i="8"/>
  <c r="AI293" i="8"/>
  <c r="AG293" i="8" s="1"/>
  <c r="CG292" i="8"/>
  <c r="AG296" i="8"/>
  <c r="DN304" i="8"/>
  <c r="CG303" i="8"/>
  <c r="DN293" i="8"/>
  <c r="AJ292" i="8"/>
  <c r="AG292" i="8" s="1"/>
  <c r="CF290" i="8"/>
  <c r="AD290" i="8" s="1"/>
  <c r="AC306" i="8"/>
  <c r="CG302" i="8"/>
  <c r="DN294" i="8"/>
  <c r="AI290" i="8"/>
  <c r="CG301" i="8"/>
  <c r="AI301" i="8"/>
  <c r="AJ303" i="8"/>
  <c r="AG303" i="8" s="1"/>
  <c r="CG294" i="8"/>
  <c r="AI294" i="8"/>
  <c r="DN290" i="8"/>
  <c r="DN301" i="8"/>
  <c r="AJ302" i="8"/>
  <c r="AG302" i="8" s="1"/>
  <c r="AG299" i="8"/>
  <c r="AJ305" i="8"/>
  <c r="AG305" i="8" s="1"/>
  <c r="CG295" i="8"/>
  <c r="AJ295" i="8"/>
  <c r="AG295" i="8"/>
  <c r="AE270" i="8"/>
  <c r="AF270" i="8" s="1"/>
  <c r="AJ285" i="8"/>
  <c r="CG283" i="8"/>
  <c r="AI283" i="8"/>
  <c r="AJ272" i="8"/>
  <c r="AG272" i="8" s="1"/>
  <c r="CG275" i="8"/>
  <c r="CG284" i="8"/>
  <c r="AI284" i="8"/>
  <c r="AJ273" i="8"/>
  <c r="CG276" i="8"/>
  <c r="AI276" i="8"/>
  <c r="CG274" i="8"/>
  <c r="AI274" i="8"/>
  <c r="AJ284" i="8"/>
  <c r="AJ274" i="8"/>
  <c r="AJ276" i="8"/>
  <c r="AJ271" i="8"/>
  <c r="AG271" i="8" s="1"/>
  <c r="DN284" i="8"/>
  <c r="AJ275" i="8"/>
  <c r="AG275" i="8" s="1"/>
  <c r="AI278" i="8"/>
  <c r="CG285" i="8"/>
  <c r="AI285" i="8"/>
  <c r="DN285" i="8"/>
  <c r="AJ277" i="8"/>
  <c r="AG277" i="8" s="1"/>
  <c r="DN276" i="8"/>
  <c r="CF282" i="8"/>
  <c r="DN270" i="8"/>
  <c r="AC286" i="8"/>
  <c r="AD280" i="8"/>
  <c r="AE280" i="8" s="1"/>
  <c r="AF280" i="8" s="1"/>
  <c r="CG280" i="8"/>
  <c r="CG271" i="8"/>
  <c r="DN278" i="8"/>
  <c r="CG273" i="8"/>
  <c r="AI273" i="8"/>
  <c r="DN274" i="8"/>
  <c r="AI270" i="8"/>
  <c r="CG270" i="8"/>
  <c r="AG281" i="8"/>
  <c r="AJ253" i="8"/>
  <c r="AJ259" i="8"/>
  <c r="DN256" i="8"/>
  <c r="CG254" i="8"/>
  <c r="AI254" i="8"/>
  <c r="AI263" i="8"/>
  <c r="AJ264" i="8"/>
  <c r="AI259" i="8"/>
  <c r="AG259" i="8" s="1"/>
  <c r="CG259" i="8"/>
  <c r="AJ265" i="8"/>
  <c r="AG265" i="8" s="1"/>
  <c r="AJ254" i="8"/>
  <c r="AJ257" i="8"/>
  <c r="DN263" i="8"/>
  <c r="AA266" i="8"/>
  <c r="DF250" i="8"/>
  <c r="DL250" i="8" s="1"/>
  <c r="BY250" i="8"/>
  <c r="CE250" i="8" s="1"/>
  <c r="AC250" i="8"/>
  <c r="AC266" i="8" s="1"/>
  <c r="DJ250" i="8"/>
  <c r="DM250" i="8" s="1"/>
  <c r="CC250" i="8"/>
  <c r="CF250" i="8" s="1"/>
  <c r="AD250" i="8" s="1"/>
  <c r="DN260" i="8"/>
  <c r="CG264" i="8"/>
  <c r="AI264" i="8"/>
  <c r="AG264" i="8" s="1"/>
  <c r="AJ252" i="8"/>
  <c r="AG252" i="8" s="1"/>
  <c r="AI260" i="8"/>
  <c r="CG260" i="8"/>
  <c r="CG253" i="8"/>
  <c r="AI253" i="8"/>
  <c r="AG253" i="8" s="1"/>
  <c r="CG252" i="8"/>
  <c r="CG256" i="8"/>
  <c r="AI256" i="8"/>
  <c r="AG258" i="8"/>
  <c r="AJ261" i="8"/>
  <c r="AG261" i="8" s="1"/>
  <c r="AJ262" i="8"/>
  <c r="AG262" i="8" s="1"/>
  <c r="AJ260" i="8"/>
  <c r="AI257" i="8"/>
  <c r="AG257" i="8" s="1"/>
  <c r="CG257" i="8"/>
  <c r="DM261" i="8"/>
  <c r="DN261" i="8" s="1"/>
  <c r="AG251" i="8"/>
  <c r="DN257" i="8"/>
  <c r="AJ256" i="8"/>
  <c r="DN254" i="8"/>
  <c r="CF263" i="8"/>
  <c r="AD263" i="8" s="1"/>
  <c r="AE263" i="8" s="1"/>
  <c r="AF263" i="8" s="1"/>
  <c r="AJ245" i="8"/>
  <c r="AJ231" i="8"/>
  <c r="AG231" i="8" s="1"/>
  <c r="AG240" i="8"/>
  <c r="CG245" i="8"/>
  <c r="AI245" i="8"/>
  <c r="AG245" i="8" s="1"/>
  <c r="DN235" i="8"/>
  <c r="CF232" i="8"/>
  <c r="AD232" i="8" s="1"/>
  <c r="AE232" i="8" s="1"/>
  <c r="AF232" i="8" s="1"/>
  <c r="DN245" i="8"/>
  <c r="CG237" i="8"/>
  <c r="CG242" i="8"/>
  <c r="CG236" i="8"/>
  <c r="AG234" i="8"/>
  <c r="AJ236" i="8"/>
  <c r="AG236" i="8" s="1"/>
  <c r="CG235" i="8"/>
  <c r="AI235" i="8"/>
  <c r="AJ242" i="8"/>
  <c r="AG242" i="8" s="1"/>
  <c r="AJ235" i="8"/>
  <c r="CG238" i="8"/>
  <c r="CF241" i="8"/>
  <c r="AG243" i="8"/>
  <c r="AI232" i="8"/>
  <c r="AJ244" i="8"/>
  <c r="AG244" i="8" s="1"/>
  <c r="AJ237" i="8"/>
  <c r="AG237" i="8" s="1"/>
  <c r="AA246" i="8"/>
  <c r="DF230" i="8"/>
  <c r="DL230" i="8" s="1"/>
  <c r="DJ230" i="8"/>
  <c r="DM230" i="8" s="1"/>
  <c r="CC230" i="8"/>
  <c r="CF230" i="8" s="1"/>
  <c r="AD230" i="8" s="1"/>
  <c r="BY230" i="8"/>
  <c r="CE230" i="8" s="1"/>
  <c r="AC230" i="8"/>
  <c r="AC246" i="8" s="1"/>
  <c r="CG244" i="8"/>
  <c r="AJ238" i="8"/>
  <c r="AG238" i="8" s="1"/>
  <c r="DN232" i="8"/>
  <c r="AJ239" i="8"/>
  <c r="AG239" i="8" s="1"/>
  <c r="E39" i="7"/>
  <c r="G37" i="7"/>
  <c r="E35" i="7"/>
  <c r="DC225" i="8"/>
  <c r="CU225" i="8"/>
  <c r="CR225" i="8"/>
  <c r="CQ225" i="8"/>
  <c r="CN225" i="8"/>
  <c r="CM225" i="8"/>
  <c r="CK225" i="8"/>
  <c r="CI225" i="8"/>
  <c r="CH225" i="8"/>
  <c r="CZ225" i="8" s="1"/>
  <c r="BV225" i="8"/>
  <c r="BK225" i="8"/>
  <c r="BJ225" i="8"/>
  <c r="BG225" i="8"/>
  <c r="BF225" i="8"/>
  <c r="BB225" i="8"/>
  <c r="BT225" i="8" s="1"/>
  <c r="BA225" i="8"/>
  <c r="BR225" i="8" s="1"/>
  <c r="X225" i="8"/>
  <c r="W225" i="8"/>
  <c r="V225" i="8"/>
  <c r="DC224" i="8"/>
  <c r="CU224" i="8"/>
  <c r="CR224" i="8"/>
  <c r="CQ224" i="8"/>
  <c r="CN224" i="8"/>
  <c r="CM224" i="8"/>
  <c r="CK224" i="8"/>
  <c r="CI224" i="8"/>
  <c r="CY224" i="8" s="1"/>
  <c r="CH224" i="8"/>
  <c r="CZ224" i="8" s="1"/>
  <c r="BV224" i="8"/>
  <c r="BK224" i="8"/>
  <c r="BJ224" i="8"/>
  <c r="BG224" i="8"/>
  <c r="BF224" i="8"/>
  <c r="BB224" i="8"/>
  <c r="BU224" i="8" s="1"/>
  <c r="BA224" i="8"/>
  <c r="BR224" i="8" s="1"/>
  <c r="X224" i="8"/>
  <c r="BW224" i="8" s="1"/>
  <c r="W224" i="8"/>
  <c r="V224" i="8"/>
  <c r="DC223" i="8"/>
  <c r="CU223" i="8"/>
  <c r="CR223" i="8"/>
  <c r="CQ223" i="8"/>
  <c r="CN223" i="8"/>
  <c r="CM223" i="8"/>
  <c r="CJ223" i="8" s="1"/>
  <c r="CK223" i="8"/>
  <c r="CI223" i="8"/>
  <c r="DB223" i="8" s="1"/>
  <c r="CH223" i="8"/>
  <c r="DE223" i="8" s="1"/>
  <c r="BV223" i="8"/>
  <c r="BK223" i="8"/>
  <c r="BJ223" i="8"/>
  <c r="BG223" i="8"/>
  <c r="BN223" i="8" s="1"/>
  <c r="BF223" i="8"/>
  <c r="BM223" i="8" s="1"/>
  <c r="BB223" i="8"/>
  <c r="BU223" i="8" s="1"/>
  <c r="BA223" i="8"/>
  <c r="X223" i="8"/>
  <c r="W223" i="8"/>
  <c r="V223" i="8"/>
  <c r="DC222" i="8"/>
  <c r="CU222" i="8"/>
  <c r="CR222" i="8"/>
  <c r="CQ222" i="8"/>
  <c r="CN222" i="8"/>
  <c r="CM222" i="8"/>
  <c r="CT222" i="8" s="1"/>
  <c r="CK222" i="8"/>
  <c r="CI222" i="8"/>
  <c r="DA222" i="8" s="1"/>
  <c r="CH222" i="8"/>
  <c r="CZ222" i="8" s="1"/>
  <c r="BV222" i="8"/>
  <c r="BK222" i="8"/>
  <c r="BJ222" i="8"/>
  <c r="BG222" i="8"/>
  <c r="BF222" i="8"/>
  <c r="BM222" i="8" s="1"/>
  <c r="BB222" i="8"/>
  <c r="BU222" i="8" s="1"/>
  <c r="BA222" i="8"/>
  <c r="BX222" i="8" s="1"/>
  <c r="X222" i="8"/>
  <c r="BW222" i="8" s="1"/>
  <c r="W222" i="8"/>
  <c r="V222" i="8"/>
  <c r="DC221" i="8"/>
  <c r="CU221" i="8"/>
  <c r="CR221" i="8"/>
  <c r="CQ221" i="8"/>
  <c r="CN221" i="8"/>
  <c r="CM221" i="8"/>
  <c r="CK221" i="8"/>
  <c r="CI221" i="8"/>
  <c r="DB221" i="8" s="1"/>
  <c r="CH221" i="8"/>
  <c r="CZ221" i="8" s="1"/>
  <c r="BV221" i="8"/>
  <c r="BK221" i="8"/>
  <c r="BJ221" i="8"/>
  <c r="BG221" i="8"/>
  <c r="BF221" i="8"/>
  <c r="BB221" i="8"/>
  <c r="BQ221" i="8" s="1"/>
  <c r="BA221" i="8"/>
  <c r="BS221" i="8" s="1"/>
  <c r="X221" i="8"/>
  <c r="W221" i="8"/>
  <c r="V221" i="8"/>
  <c r="DC220" i="8"/>
  <c r="CU220" i="8"/>
  <c r="CR220" i="8"/>
  <c r="CQ220" i="8"/>
  <c r="CN220" i="8"/>
  <c r="CM220" i="8"/>
  <c r="CJ220" i="8" s="1"/>
  <c r="CK220" i="8"/>
  <c r="CI220" i="8"/>
  <c r="CH220" i="8"/>
  <c r="CZ220" i="8" s="1"/>
  <c r="BV220" i="8"/>
  <c r="BK220" i="8"/>
  <c r="BJ220" i="8"/>
  <c r="BG220" i="8"/>
  <c r="BD220" i="8" s="1"/>
  <c r="BF220" i="8"/>
  <c r="BB220" i="8"/>
  <c r="BQ220" i="8" s="1"/>
  <c r="BA220" i="8"/>
  <c r="BS220" i="8" s="1"/>
  <c r="X220" i="8"/>
  <c r="DD220" i="8" s="1"/>
  <c r="W220" i="8"/>
  <c r="V220" i="8"/>
  <c r="DC219" i="8"/>
  <c r="CU219" i="8"/>
  <c r="CR219" i="8"/>
  <c r="CQ219" i="8"/>
  <c r="CN219" i="8"/>
  <c r="CM219" i="8"/>
  <c r="CK219" i="8"/>
  <c r="CI219" i="8"/>
  <c r="DA219" i="8" s="1"/>
  <c r="CH219" i="8"/>
  <c r="DE219" i="8" s="1"/>
  <c r="BV219" i="8"/>
  <c r="BK219" i="8"/>
  <c r="BJ219" i="8"/>
  <c r="BG219" i="8"/>
  <c r="BN219" i="8" s="1"/>
  <c r="BF219" i="8"/>
  <c r="BB219" i="8"/>
  <c r="BU219" i="8" s="1"/>
  <c r="BA219" i="8"/>
  <c r="BX219" i="8" s="1"/>
  <c r="X219" i="8"/>
  <c r="Y219" i="8" s="1"/>
  <c r="Z219" i="8" s="1"/>
  <c r="AB219" i="8" s="1"/>
  <c r="W219" i="8"/>
  <c r="V219" i="8"/>
  <c r="DC218" i="8"/>
  <c r="CU218" i="8"/>
  <c r="CR218" i="8"/>
  <c r="CQ218" i="8"/>
  <c r="CN218" i="8"/>
  <c r="CM218" i="8"/>
  <c r="CT218" i="8" s="1"/>
  <c r="CK218" i="8"/>
  <c r="CI218" i="8"/>
  <c r="CH218" i="8"/>
  <c r="BV218" i="8"/>
  <c r="BK218" i="8"/>
  <c r="BJ218" i="8"/>
  <c r="BG218" i="8"/>
  <c r="BF218" i="8"/>
  <c r="BM218" i="8" s="1"/>
  <c r="BC218" i="8"/>
  <c r="BB218" i="8"/>
  <c r="BQ218" i="8" s="1"/>
  <c r="BA218" i="8"/>
  <c r="X218" i="8"/>
  <c r="Y218" i="8" s="1"/>
  <c r="Z218" i="8" s="1"/>
  <c r="AB218" i="8" s="1"/>
  <c r="W218" i="8"/>
  <c r="V218" i="8"/>
  <c r="DC217" i="8"/>
  <c r="CU217" i="8"/>
  <c r="CR217" i="8"/>
  <c r="CQ217" i="8"/>
  <c r="CN217" i="8"/>
  <c r="CM217" i="8"/>
  <c r="CK217" i="8"/>
  <c r="CI217" i="8"/>
  <c r="CY217" i="8" s="1"/>
  <c r="CH217" i="8"/>
  <c r="CZ217" i="8" s="1"/>
  <c r="BV217" i="8"/>
  <c r="BK217" i="8"/>
  <c r="BJ217" i="8"/>
  <c r="BG217" i="8"/>
  <c r="BD217" i="8" s="1"/>
  <c r="BF217" i="8"/>
  <c r="BB217" i="8"/>
  <c r="BA217" i="8"/>
  <c r="BS217" i="8" s="1"/>
  <c r="X217" i="8"/>
  <c r="DD217" i="8" s="1"/>
  <c r="W217" i="8"/>
  <c r="V217" i="8"/>
  <c r="DC216" i="8"/>
  <c r="CU216" i="8"/>
  <c r="CR216" i="8"/>
  <c r="CQ216" i="8"/>
  <c r="CN216" i="8"/>
  <c r="CM216" i="8"/>
  <c r="CJ216" i="8" s="1"/>
  <c r="CK216" i="8"/>
  <c r="CI216" i="8"/>
  <c r="CX216" i="8" s="1"/>
  <c r="CH216" i="8"/>
  <c r="BV216" i="8"/>
  <c r="BK216" i="8"/>
  <c r="BJ216" i="8"/>
  <c r="BG216" i="8"/>
  <c r="BF216" i="8"/>
  <c r="BC216" i="8" s="1"/>
  <c r="BB216" i="8"/>
  <c r="BA216" i="8"/>
  <c r="BX216" i="8" s="1"/>
  <c r="X216" i="8"/>
  <c r="DD216" i="8" s="1"/>
  <c r="W216" i="8"/>
  <c r="V216" i="8"/>
  <c r="DC215" i="8"/>
  <c r="CU215" i="8"/>
  <c r="CR215" i="8"/>
  <c r="CQ215" i="8"/>
  <c r="CN215" i="8"/>
  <c r="CM215" i="8"/>
  <c r="CK215" i="8"/>
  <c r="CI215" i="8"/>
  <c r="CY215" i="8" s="1"/>
  <c r="CH215" i="8"/>
  <c r="BV215" i="8"/>
  <c r="BK215" i="8"/>
  <c r="BJ215" i="8"/>
  <c r="BG215" i="8"/>
  <c r="BF215" i="8"/>
  <c r="BM215" i="8" s="1"/>
  <c r="BB215" i="8"/>
  <c r="BU215" i="8" s="1"/>
  <c r="BA215" i="8"/>
  <c r="BX215" i="8" s="1"/>
  <c r="X215" i="8"/>
  <c r="W215" i="8"/>
  <c r="V215" i="8"/>
  <c r="DC214" i="8"/>
  <c r="CU214" i="8"/>
  <c r="CR214" i="8"/>
  <c r="CQ214" i="8"/>
  <c r="CN214" i="8"/>
  <c r="CM214" i="8"/>
  <c r="CK214" i="8"/>
  <c r="CI214" i="8"/>
  <c r="CH214" i="8"/>
  <c r="CZ214" i="8" s="1"/>
  <c r="BV214" i="8"/>
  <c r="BK214" i="8"/>
  <c r="BJ214" i="8"/>
  <c r="BG214" i="8"/>
  <c r="BF214" i="8"/>
  <c r="BM214" i="8" s="1"/>
  <c r="BB214" i="8"/>
  <c r="BA214" i="8"/>
  <c r="X214" i="8"/>
  <c r="BW214" i="8" s="1"/>
  <c r="W214" i="8"/>
  <c r="V214" i="8"/>
  <c r="DC213" i="8"/>
  <c r="CU213" i="8"/>
  <c r="CR213" i="8"/>
  <c r="CQ213" i="8"/>
  <c r="CN213" i="8"/>
  <c r="CM213" i="8"/>
  <c r="CJ213" i="8" s="1"/>
  <c r="CK213" i="8"/>
  <c r="CI213" i="8"/>
  <c r="CY213" i="8" s="1"/>
  <c r="CH213" i="8"/>
  <c r="BV213" i="8"/>
  <c r="BK213" i="8"/>
  <c r="BJ213" i="8"/>
  <c r="BG213" i="8"/>
  <c r="BN213" i="8" s="1"/>
  <c r="BF213" i="8"/>
  <c r="BC213" i="8" s="1"/>
  <c r="BB213" i="8"/>
  <c r="BU213" i="8" s="1"/>
  <c r="BA213" i="8"/>
  <c r="BX213" i="8" s="1"/>
  <c r="X213" i="8"/>
  <c r="BW213" i="8" s="1"/>
  <c r="W213" i="8"/>
  <c r="V213" i="8"/>
  <c r="DC212" i="8"/>
  <c r="CU212" i="8"/>
  <c r="CR212" i="8"/>
  <c r="CQ212" i="8"/>
  <c r="CN212" i="8"/>
  <c r="CM212" i="8"/>
  <c r="CK212" i="8"/>
  <c r="CI212" i="8"/>
  <c r="CH212" i="8"/>
  <c r="DE212" i="8" s="1"/>
  <c r="BV212" i="8"/>
  <c r="BK212" i="8"/>
  <c r="BJ212" i="8"/>
  <c r="BG212" i="8"/>
  <c r="BN212" i="8" s="1"/>
  <c r="BF212" i="8"/>
  <c r="BB212" i="8"/>
  <c r="BA212" i="8"/>
  <c r="BR212" i="8" s="1"/>
  <c r="X212" i="8"/>
  <c r="DD212" i="8" s="1"/>
  <c r="W212" i="8"/>
  <c r="V212" i="8"/>
  <c r="DC211" i="8"/>
  <c r="CU211" i="8"/>
  <c r="CR211" i="8"/>
  <c r="CQ211" i="8"/>
  <c r="CN211" i="8"/>
  <c r="CM211" i="8"/>
  <c r="CK211" i="8"/>
  <c r="CI211" i="8"/>
  <c r="DB211" i="8" s="1"/>
  <c r="CH211" i="8"/>
  <c r="DE211" i="8" s="1"/>
  <c r="BV211" i="8"/>
  <c r="BK211" i="8"/>
  <c r="BJ211" i="8"/>
  <c r="BG211" i="8"/>
  <c r="BN211" i="8" s="1"/>
  <c r="BF211" i="8"/>
  <c r="BB211" i="8"/>
  <c r="BU211" i="8" s="1"/>
  <c r="BA211" i="8"/>
  <c r="X211" i="8"/>
  <c r="W211" i="8"/>
  <c r="V211" i="8"/>
  <c r="DC210" i="8"/>
  <c r="CU210" i="8"/>
  <c r="CR210" i="8"/>
  <c r="CQ210" i="8"/>
  <c r="CN210" i="8"/>
  <c r="CM210" i="8"/>
  <c r="CT210" i="8" s="1"/>
  <c r="CK210" i="8"/>
  <c r="CI210" i="8"/>
  <c r="CH210" i="8"/>
  <c r="CZ210" i="8" s="1"/>
  <c r="BV210" i="8"/>
  <c r="BM210" i="8"/>
  <c r="BK210" i="8"/>
  <c r="BJ210" i="8"/>
  <c r="BG210" i="8"/>
  <c r="BF210" i="8"/>
  <c r="BC210" i="8"/>
  <c r="BB210" i="8"/>
  <c r="BT210" i="8" s="1"/>
  <c r="BA210" i="8"/>
  <c r="BR210" i="8" s="1"/>
  <c r="X210" i="8"/>
  <c r="BW210" i="8" s="1"/>
  <c r="W210" i="8"/>
  <c r="V210" i="8"/>
  <c r="DC205" i="8"/>
  <c r="CU205" i="8"/>
  <c r="CR205" i="8"/>
  <c r="CQ205" i="8"/>
  <c r="CN205" i="8"/>
  <c r="CM205" i="8"/>
  <c r="CJ205" i="8" s="1"/>
  <c r="CK205" i="8"/>
  <c r="CI205" i="8"/>
  <c r="DA205" i="8" s="1"/>
  <c r="CH205" i="8"/>
  <c r="CZ205" i="8" s="1"/>
  <c r="BV205" i="8"/>
  <c r="BK205" i="8"/>
  <c r="BJ205" i="8"/>
  <c r="BG205" i="8"/>
  <c r="BF205" i="8"/>
  <c r="BC205" i="8" s="1"/>
  <c r="BB205" i="8"/>
  <c r="BT205" i="8" s="1"/>
  <c r="BA205" i="8"/>
  <c r="X205" i="8"/>
  <c r="BW205" i="8" s="1"/>
  <c r="W205" i="8"/>
  <c r="V205" i="8"/>
  <c r="DC204" i="8"/>
  <c r="CU204" i="8"/>
  <c r="CR204" i="8"/>
  <c r="CQ204" i="8"/>
  <c r="CN204" i="8"/>
  <c r="CM204" i="8"/>
  <c r="CJ204" i="8" s="1"/>
  <c r="CK204" i="8"/>
  <c r="CI204" i="8"/>
  <c r="CY204" i="8" s="1"/>
  <c r="CH204" i="8"/>
  <c r="BV204" i="8"/>
  <c r="BK204" i="8"/>
  <c r="BJ204" i="8"/>
  <c r="BG204" i="8"/>
  <c r="BD204" i="8" s="1"/>
  <c r="BF204" i="8"/>
  <c r="BM204" i="8" s="1"/>
  <c r="BB204" i="8"/>
  <c r="BQ204" i="8" s="1"/>
  <c r="BA204" i="8"/>
  <c r="BX204" i="8" s="1"/>
  <c r="X204" i="8"/>
  <c r="DD204" i="8" s="1"/>
  <c r="W204" i="8"/>
  <c r="V204" i="8"/>
  <c r="DC203" i="8"/>
  <c r="CU203" i="8"/>
  <c r="CR203" i="8"/>
  <c r="CQ203" i="8"/>
  <c r="CN203" i="8"/>
  <c r="CM203" i="8"/>
  <c r="CK203" i="8"/>
  <c r="CI203" i="8"/>
  <c r="DB203" i="8" s="1"/>
  <c r="CH203" i="8"/>
  <c r="BV203" i="8"/>
  <c r="BK203" i="8"/>
  <c r="BJ203" i="8"/>
  <c r="BG203" i="8"/>
  <c r="BD203" i="8" s="1"/>
  <c r="BF203" i="8"/>
  <c r="BM203" i="8" s="1"/>
  <c r="BB203" i="8"/>
  <c r="BA203" i="8"/>
  <c r="BX203" i="8" s="1"/>
  <c r="X203" i="8"/>
  <c r="W203" i="8"/>
  <c r="V203" i="8"/>
  <c r="DC202" i="8"/>
  <c r="CU202" i="8"/>
  <c r="CR202" i="8"/>
  <c r="CQ202" i="8"/>
  <c r="CN202" i="8"/>
  <c r="CM202" i="8"/>
  <c r="CT202" i="8" s="1"/>
  <c r="CV202" i="8" s="1"/>
  <c r="CK202" i="8"/>
  <c r="CI202" i="8"/>
  <c r="CX202" i="8" s="1"/>
  <c r="CH202" i="8"/>
  <c r="DE202" i="8" s="1"/>
  <c r="BV202" i="8"/>
  <c r="BK202" i="8"/>
  <c r="BJ202" i="8"/>
  <c r="BG202" i="8"/>
  <c r="BF202" i="8"/>
  <c r="BM202" i="8" s="1"/>
  <c r="BB202" i="8"/>
  <c r="BQ202" i="8" s="1"/>
  <c r="BA202" i="8"/>
  <c r="BX202" i="8" s="1"/>
  <c r="X202" i="8"/>
  <c r="W202" i="8"/>
  <c r="V202" i="8"/>
  <c r="DC201" i="8"/>
  <c r="CU201" i="8"/>
  <c r="CR201" i="8"/>
  <c r="CQ201" i="8"/>
  <c r="CN201" i="8"/>
  <c r="CM201" i="8"/>
  <c r="CK201" i="8"/>
  <c r="CI201" i="8"/>
  <c r="DA201" i="8" s="1"/>
  <c r="CH201" i="8"/>
  <c r="BV201" i="8"/>
  <c r="BK201" i="8"/>
  <c r="BJ201" i="8"/>
  <c r="BG201" i="8"/>
  <c r="BF201" i="8"/>
  <c r="BB201" i="8"/>
  <c r="BA201" i="8"/>
  <c r="X201" i="8"/>
  <c r="W201" i="8"/>
  <c r="V201" i="8"/>
  <c r="DC200" i="8"/>
  <c r="CU200" i="8"/>
  <c r="CR200" i="8"/>
  <c r="CQ200" i="8"/>
  <c r="CN200" i="8"/>
  <c r="CM200" i="8"/>
  <c r="CK200" i="8"/>
  <c r="CI200" i="8"/>
  <c r="DA200" i="8" s="1"/>
  <c r="CH200" i="8"/>
  <c r="CZ200" i="8" s="1"/>
  <c r="BV200" i="8"/>
  <c r="BK200" i="8"/>
  <c r="BJ200" i="8"/>
  <c r="BG200" i="8"/>
  <c r="BF200" i="8"/>
  <c r="BB200" i="8"/>
  <c r="BQ200" i="8" s="1"/>
  <c r="BA200" i="8"/>
  <c r="X200" i="8"/>
  <c r="W200" i="8"/>
  <c r="V200" i="8"/>
  <c r="DC199" i="8"/>
  <c r="CU199" i="8"/>
  <c r="CR199" i="8"/>
  <c r="CQ199" i="8"/>
  <c r="CN199" i="8"/>
  <c r="CM199" i="8"/>
  <c r="CT199" i="8" s="1"/>
  <c r="CK199" i="8"/>
  <c r="CI199" i="8"/>
  <c r="CH199" i="8"/>
  <c r="BV199" i="8"/>
  <c r="BK199" i="8"/>
  <c r="BJ199" i="8"/>
  <c r="BG199" i="8"/>
  <c r="BD199" i="8" s="1"/>
  <c r="BF199" i="8"/>
  <c r="BC199" i="8" s="1"/>
  <c r="BB199" i="8"/>
  <c r="BT199" i="8" s="1"/>
  <c r="BA199" i="8"/>
  <c r="X199" i="8"/>
  <c r="Y199" i="8" s="1"/>
  <c r="Z199" i="8" s="1"/>
  <c r="AB199" i="8" s="1"/>
  <c r="W199" i="8"/>
  <c r="V199" i="8"/>
  <c r="DC198" i="8"/>
  <c r="CU198" i="8"/>
  <c r="CR198" i="8"/>
  <c r="CQ198" i="8"/>
  <c r="CN198" i="8"/>
  <c r="CM198" i="8"/>
  <c r="CK198" i="8"/>
  <c r="CI198" i="8"/>
  <c r="DB198" i="8" s="1"/>
  <c r="CH198" i="8"/>
  <c r="BV198" i="8"/>
  <c r="BK198" i="8"/>
  <c r="BJ198" i="8"/>
  <c r="BG198" i="8"/>
  <c r="BN198" i="8" s="1"/>
  <c r="BF198" i="8"/>
  <c r="BM198" i="8" s="1"/>
  <c r="BC198" i="8"/>
  <c r="BB198" i="8"/>
  <c r="BA198" i="8"/>
  <c r="X198" i="8"/>
  <c r="W198" i="8"/>
  <c r="V198" i="8"/>
  <c r="DC197" i="8"/>
  <c r="CU197" i="8"/>
  <c r="CR197" i="8"/>
  <c r="CQ197" i="8"/>
  <c r="CN197" i="8"/>
  <c r="CM197" i="8"/>
  <c r="CJ197" i="8" s="1"/>
  <c r="CK197" i="8"/>
  <c r="CI197" i="8"/>
  <c r="CH197" i="8"/>
  <c r="CZ197" i="8" s="1"/>
  <c r="BV197" i="8"/>
  <c r="BK197" i="8"/>
  <c r="BJ197" i="8"/>
  <c r="BG197" i="8"/>
  <c r="BF197" i="8"/>
  <c r="BC197" i="8" s="1"/>
  <c r="BB197" i="8"/>
  <c r="BQ197" i="8" s="1"/>
  <c r="BA197" i="8"/>
  <c r="BR197" i="8" s="1"/>
  <c r="X197" i="8"/>
  <c r="W197" i="8"/>
  <c r="V197" i="8"/>
  <c r="DC196" i="8"/>
  <c r="CU196" i="8"/>
  <c r="CR196" i="8"/>
  <c r="CQ196" i="8"/>
  <c r="CN196" i="8"/>
  <c r="CM196" i="8"/>
  <c r="CT196" i="8" s="1"/>
  <c r="CK196" i="8"/>
  <c r="CJ196" i="8"/>
  <c r="CI196" i="8"/>
  <c r="DB196" i="8" s="1"/>
  <c r="CH196" i="8"/>
  <c r="DE196" i="8" s="1"/>
  <c r="BV196" i="8"/>
  <c r="BK196" i="8"/>
  <c r="BJ196" i="8"/>
  <c r="BG196" i="8"/>
  <c r="BF196" i="8"/>
  <c r="BB196" i="8"/>
  <c r="BA196" i="8"/>
  <c r="BX196" i="8" s="1"/>
  <c r="X196" i="8"/>
  <c r="W196" i="8"/>
  <c r="V196" i="8"/>
  <c r="DC195" i="8"/>
  <c r="CU195" i="8"/>
  <c r="CR195" i="8"/>
  <c r="CQ195" i="8"/>
  <c r="CN195" i="8"/>
  <c r="CM195" i="8"/>
  <c r="CJ195" i="8" s="1"/>
  <c r="CK195" i="8"/>
  <c r="CI195" i="8"/>
  <c r="DB195" i="8" s="1"/>
  <c r="CH195" i="8"/>
  <c r="DE195" i="8" s="1"/>
  <c r="BV195" i="8"/>
  <c r="BK195" i="8"/>
  <c r="BJ195" i="8"/>
  <c r="BG195" i="8"/>
  <c r="BD195" i="8" s="1"/>
  <c r="BF195" i="8"/>
  <c r="BB195" i="8"/>
  <c r="BU195" i="8" s="1"/>
  <c r="BA195" i="8"/>
  <c r="X195" i="8"/>
  <c r="Y195" i="8" s="1"/>
  <c r="Z195" i="8" s="1"/>
  <c r="AB195" i="8" s="1"/>
  <c r="W195" i="8"/>
  <c r="V195" i="8"/>
  <c r="DC194" i="8"/>
  <c r="CU194" i="8"/>
  <c r="CR194" i="8"/>
  <c r="CQ194" i="8"/>
  <c r="CN194" i="8"/>
  <c r="CM194" i="8"/>
  <c r="CT194" i="8" s="1"/>
  <c r="CK194" i="8"/>
  <c r="CI194" i="8"/>
  <c r="CY194" i="8" s="1"/>
  <c r="CH194" i="8"/>
  <c r="DE194" i="8" s="1"/>
  <c r="BV194" i="8"/>
  <c r="BK194" i="8"/>
  <c r="BJ194" i="8"/>
  <c r="BG194" i="8"/>
  <c r="BD194" i="8" s="1"/>
  <c r="BF194" i="8"/>
  <c r="BB194" i="8"/>
  <c r="BU194" i="8" s="1"/>
  <c r="BA194" i="8"/>
  <c r="BR194" i="8" s="1"/>
  <c r="X194" i="8"/>
  <c r="DD194" i="8" s="1"/>
  <c r="W194" i="8"/>
  <c r="V194" i="8"/>
  <c r="DC193" i="8"/>
  <c r="CU193" i="8"/>
  <c r="CR193" i="8"/>
  <c r="CQ193" i="8"/>
  <c r="CN193" i="8"/>
  <c r="CM193" i="8"/>
  <c r="CK193" i="8"/>
  <c r="CI193" i="8"/>
  <c r="CH193" i="8"/>
  <c r="BV193" i="8"/>
  <c r="BK193" i="8"/>
  <c r="BJ193" i="8"/>
  <c r="BG193" i="8"/>
  <c r="BD193" i="8" s="1"/>
  <c r="BF193" i="8"/>
  <c r="BC193" i="8" s="1"/>
  <c r="BB193" i="8"/>
  <c r="BA193" i="8"/>
  <c r="BX193" i="8" s="1"/>
  <c r="X193" i="8"/>
  <c r="Y193" i="8" s="1"/>
  <c r="Z193" i="8" s="1"/>
  <c r="AB193" i="8" s="1"/>
  <c r="W193" i="8"/>
  <c r="V193" i="8"/>
  <c r="DC192" i="8"/>
  <c r="CU192" i="8"/>
  <c r="CR192" i="8"/>
  <c r="CQ192" i="8"/>
  <c r="CN192" i="8"/>
  <c r="CM192" i="8"/>
  <c r="CK192" i="8"/>
  <c r="CI192" i="8"/>
  <c r="DA192" i="8" s="1"/>
  <c r="CH192" i="8"/>
  <c r="BV192" i="8"/>
  <c r="BK192" i="8"/>
  <c r="BJ192" i="8"/>
  <c r="BG192" i="8"/>
  <c r="BN192" i="8" s="1"/>
  <c r="BF192" i="8"/>
  <c r="BB192" i="8"/>
  <c r="BA192" i="8"/>
  <c r="BS192" i="8" s="1"/>
  <c r="X192" i="8"/>
  <c r="W192" i="8"/>
  <c r="V192" i="8"/>
  <c r="DC191" i="8"/>
  <c r="CU191" i="8"/>
  <c r="CR191" i="8"/>
  <c r="CQ191" i="8"/>
  <c r="CN191" i="8"/>
  <c r="CM191" i="8"/>
  <c r="CT191" i="8" s="1"/>
  <c r="CK191" i="8"/>
  <c r="CI191" i="8"/>
  <c r="CY191" i="8" s="1"/>
  <c r="CH191" i="8"/>
  <c r="BV191" i="8"/>
  <c r="BK191" i="8"/>
  <c r="BJ191" i="8"/>
  <c r="BG191" i="8"/>
  <c r="BF191" i="8"/>
  <c r="BB191" i="8"/>
  <c r="BA191" i="8"/>
  <c r="X191" i="8"/>
  <c r="W191" i="8"/>
  <c r="V191" i="8"/>
  <c r="DC190" i="8"/>
  <c r="CU190" i="8"/>
  <c r="CR190" i="8"/>
  <c r="CQ190" i="8"/>
  <c r="CN190" i="8"/>
  <c r="CM190" i="8"/>
  <c r="CK190" i="8"/>
  <c r="CI190" i="8"/>
  <c r="CX190" i="8" s="1"/>
  <c r="CH190" i="8"/>
  <c r="BV190" i="8"/>
  <c r="BM190" i="8"/>
  <c r="BK190" i="8"/>
  <c r="BJ190" i="8"/>
  <c r="BL190" i="8" s="1"/>
  <c r="BG190" i="8"/>
  <c r="BF190" i="8"/>
  <c r="BC190" i="8"/>
  <c r="BB190" i="8"/>
  <c r="BT190" i="8" s="1"/>
  <c r="BA190" i="8"/>
  <c r="BX190" i="8" s="1"/>
  <c r="X190" i="8"/>
  <c r="W190" i="8"/>
  <c r="V190" i="8"/>
  <c r="DC185" i="8"/>
  <c r="CU185" i="8"/>
  <c r="CR185" i="8"/>
  <c r="CQ185" i="8"/>
  <c r="CN185" i="8"/>
  <c r="CM185" i="8"/>
  <c r="CJ185" i="8" s="1"/>
  <c r="CK185" i="8"/>
  <c r="CI185" i="8"/>
  <c r="CX185" i="8" s="1"/>
  <c r="CH185" i="8"/>
  <c r="CZ185" i="8" s="1"/>
  <c r="BV185" i="8"/>
  <c r="BK185" i="8"/>
  <c r="BJ185" i="8"/>
  <c r="BG185" i="8"/>
  <c r="BF185" i="8"/>
  <c r="BC185" i="8" s="1"/>
  <c r="BB185" i="8"/>
  <c r="BT185" i="8" s="1"/>
  <c r="BA185" i="8"/>
  <c r="X185" i="8"/>
  <c r="W185" i="8"/>
  <c r="V185" i="8"/>
  <c r="DC184" i="8"/>
  <c r="CU184" i="8"/>
  <c r="CR184" i="8"/>
  <c r="CQ184" i="8"/>
  <c r="CN184" i="8"/>
  <c r="CM184" i="8"/>
  <c r="CJ184" i="8" s="1"/>
  <c r="CK184" i="8"/>
  <c r="CI184" i="8"/>
  <c r="CH184" i="8"/>
  <c r="DE184" i="8" s="1"/>
  <c r="BV184" i="8"/>
  <c r="BK184" i="8"/>
  <c r="BJ184" i="8"/>
  <c r="BG184" i="8"/>
  <c r="BD184" i="8" s="1"/>
  <c r="BF184" i="8"/>
  <c r="BC184" i="8" s="1"/>
  <c r="BB184" i="8"/>
  <c r="BA184" i="8"/>
  <c r="BX184" i="8" s="1"/>
  <c r="X184" i="8"/>
  <c r="W184" i="8"/>
  <c r="V184" i="8"/>
  <c r="DC183" i="8"/>
  <c r="CU183" i="8"/>
  <c r="CR183" i="8"/>
  <c r="CQ183" i="8"/>
  <c r="CN183" i="8"/>
  <c r="CM183" i="8"/>
  <c r="CK183" i="8"/>
  <c r="CI183" i="8"/>
  <c r="CH183" i="8"/>
  <c r="DE183" i="8" s="1"/>
  <c r="BV183" i="8"/>
  <c r="BK183" i="8"/>
  <c r="BJ183" i="8"/>
  <c r="BG183" i="8"/>
  <c r="BN183" i="8" s="1"/>
  <c r="BF183" i="8"/>
  <c r="BM183" i="8" s="1"/>
  <c r="BB183" i="8"/>
  <c r="BA183" i="8"/>
  <c r="BX183" i="8" s="1"/>
  <c r="X183" i="8"/>
  <c r="W183" i="8"/>
  <c r="V183" i="8"/>
  <c r="DC182" i="8"/>
  <c r="CU182" i="8"/>
  <c r="CR182" i="8"/>
  <c r="CQ182" i="8"/>
  <c r="CN182" i="8"/>
  <c r="CM182" i="8"/>
  <c r="CT182" i="8" s="1"/>
  <c r="CK182" i="8"/>
  <c r="CI182" i="8"/>
  <c r="CH182" i="8"/>
  <c r="BV182" i="8"/>
  <c r="BK182" i="8"/>
  <c r="BJ182" i="8"/>
  <c r="BG182" i="8"/>
  <c r="BF182" i="8"/>
  <c r="BM182" i="8" s="1"/>
  <c r="BB182" i="8"/>
  <c r="BA182" i="8"/>
  <c r="X182" i="8"/>
  <c r="W182" i="8"/>
  <c r="V182" i="8"/>
  <c r="DC181" i="8"/>
  <c r="CU181" i="8"/>
  <c r="CR181" i="8"/>
  <c r="CQ181" i="8"/>
  <c r="CN181" i="8"/>
  <c r="CM181" i="8"/>
  <c r="CJ181" i="8" s="1"/>
  <c r="CK181" i="8"/>
  <c r="CI181" i="8"/>
  <c r="CH181" i="8"/>
  <c r="CZ181" i="8" s="1"/>
  <c r="BV181" i="8"/>
  <c r="BK181" i="8"/>
  <c r="BJ181" i="8"/>
  <c r="BG181" i="8"/>
  <c r="BF181" i="8"/>
  <c r="BB181" i="8"/>
  <c r="BT181" i="8" s="1"/>
  <c r="BA181" i="8"/>
  <c r="BX181" i="8" s="1"/>
  <c r="X181" i="8"/>
  <c r="DD181" i="8" s="1"/>
  <c r="W181" i="8"/>
  <c r="V181" i="8"/>
  <c r="DC180" i="8"/>
  <c r="CU180" i="8"/>
  <c r="CR180" i="8"/>
  <c r="CQ180" i="8"/>
  <c r="CN180" i="8"/>
  <c r="CM180" i="8"/>
  <c r="CK180" i="8"/>
  <c r="CI180" i="8"/>
  <c r="CH180" i="8"/>
  <c r="CZ180" i="8" s="1"/>
  <c r="BV180" i="8"/>
  <c r="BK180" i="8"/>
  <c r="BJ180" i="8"/>
  <c r="BG180" i="8"/>
  <c r="BF180" i="8"/>
  <c r="BB180" i="8"/>
  <c r="BT180" i="8" s="1"/>
  <c r="BA180" i="8"/>
  <c r="BR180" i="8" s="1"/>
  <c r="X180" i="8"/>
  <c r="W180" i="8"/>
  <c r="V180" i="8"/>
  <c r="DC179" i="8"/>
  <c r="CU179" i="8"/>
  <c r="CR179" i="8"/>
  <c r="CQ179" i="8"/>
  <c r="CN179" i="8"/>
  <c r="CM179" i="8"/>
  <c r="CT179" i="8" s="1"/>
  <c r="CK179" i="8"/>
  <c r="CI179" i="8"/>
  <c r="CH179" i="8"/>
  <c r="DE179" i="8" s="1"/>
  <c r="BV179" i="8"/>
  <c r="BK179" i="8"/>
  <c r="BJ179" i="8"/>
  <c r="BG179" i="8"/>
  <c r="BF179" i="8"/>
  <c r="BB179" i="8"/>
  <c r="BA179" i="8"/>
  <c r="X179" i="8"/>
  <c r="W179" i="8"/>
  <c r="V179" i="8"/>
  <c r="DC178" i="8"/>
  <c r="CU178" i="8"/>
  <c r="CR178" i="8"/>
  <c r="CQ178" i="8"/>
  <c r="CN178" i="8"/>
  <c r="CM178" i="8"/>
  <c r="CJ178" i="8" s="1"/>
  <c r="CK178" i="8"/>
  <c r="CI178" i="8"/>
  <c r="CY178" i="8" s="1"/>
  <c r="CH178" i="8"/>
  <c r="BV178" i="8"/>
  <c r="BK178" i="8"/>
  <c r="BJ178" i="8"/>
  <c r="BG178" i="8"/>
  <c r="BF178" i="8"/>
  <c r="BM178" i="8" s="1"/>
  <c r="BB178" i="8"/>
  <c r="BA178" i="8"/>
  <c r="BR178" i="8" s="1"/>
  <c r="X178" i="8"/>
  <c r="Y178" i="8" s="1"/>
  <c r="Z178" i="8" s="1"/>
  <c r="AB178" i="8" s="1"/>
  <c r="W178" i="8"/>
  <c r="V178" i="8"/>
  <c r="DC177" i="8"/>
  <c r="CU177" i="8"/>
  <c r="CR177" i="8"/>
  <c r="CQ177" i="8"/>
  <c r="CN177" i="8"/>
  <c r="CM177" i="8"/>
  <c r="CT177" i="8" s="1"/>
  <c r="CK177" i="8"/>
  <c r="CI177" i="8"/>
  <c r="CX177" i="8" s="1"/>
  <c r="CH177" i="8"/>
  <c r="CZ177" i="8" s="1"/>
  <c r="BV177" i="8"/>
  <c r="BK177" i="8"/>
  <c r="BJ177" i="8"/>
  <c r="BG177" i="8"/>
  <c r="BD177" i="8" s="1"/>
  <c r="BF177" i="8"/>
  <c r="BB177" i="8"/>
  <c r="BT177" i="8" s="1"/>
  <c r="BA177" i="8"/>
  <c r="X177" i="8"/>
  <c r="W177" i="8"/>
  <c r="V177" i="8"/>
  <c r="DC176" i="8"/>
  <c r="CU176" i="8"/>
  <c r="CR176" i="8"/>
  <c r="CQ176" i="8"/>
  <c r="CN176" i="8"/>
  <c r="CM176" i="8"/>
  <c r="CJ176" i="8" s="1"/>
  <c r="CK176" i="8"/>
  <c r="CI176" i="8"/>
  <c r="CX176" i="8" s="1"/>
  <c r="CH176" i="8"/>
  <c r="DE176" i="8" s="1"/>
  <c r="BV176" i="8"/>
  <c r="BK176" i="8"/>
  <c r="BJ176" i="8"/>
  <c r="BG176" i="8"/>
  <c r="BN176" i="8" s="1"/>
  <c r="BF176" i="8"/>
  <c r="BB176" i="8"/>
  <c r="BT176" i="8" s="1"/>
  <c r="BA176" i="8"/>
  <c r="BS176" i="8" s="1"/>
  <c r="X176" i="8"/>
  <c r="Y176" i="8" s="1"/>
  <c r="Z176" i="8" s="1"/>
  <c r="AB176" i="8" s="1"/>
  <c r="W176" i="8"/>
  <c r="V176" i="8"/>
  <c r="DC175" i="8"/>
  <c r="CU175" i="8"/>
  <c r="CR175" i="8"/>
  <c r="CQ175" i="8"/>
  <c r="CN175" i="8"/>
  <c r="CM175" i="8"/>
  <c r="CT175" i="8" s="1"/>
  <c r="CK175" i="8"/>
  <c r="CI175" i="8"/>
  <c r="DA175" i="8" s="1"/>
  <c r="CH175" i="8"/>
  <c r="DE175" i="8" s="1"/>
  <c r="BV175" i="8"/>
  <c r="BK175" i="8"/>
  <c r="BJ175" i="8"/>
  <c r="BG175" i="8"/>
  <c r="BF175" i="8"/>
  <c r="BB175" i="8"/>
  <c r="BU175" i="8" s="1"/>
  <c r="BA175" i="8"/>
  <c r="BX175" i="8" s="1"/>
  <c r="X175" i="8"/>
  <c r="BW175" i="8" s="1"/>
  <c r="W175" i="8"/>
  <c r="V175" i="8"/>
  <c r="DC174" i="8"/>
  <c r="CU174" i="8"/>
  <c r="CR174" i="8"/>
  <c r="CQ174" i="8"/>
  <c r="CN174" i="8"/>
  <c r="CM174" i="8"/>
  <c r="CK174" i="8"/>
  <c r="CI174" i="8"/>
  <c r="DA174" i="8" s="1"/>
  <c r="CH174" i="8"/>
  <c r="DE174" i="8" s="1"/>
  <c r="BV174" i="8"/>
  <c r="BK174" i="8"/>
  <c r="BJ174" i="8"/>
  <c r="BG174" i="8"/>
  <c r="BF174" i="8"/>
  <c r="BB174" i="8"/>
  <c r="BA174" i="8"/>
  <c r="X174" i="8"/>
  <c r="W174" i="8"/>
  <c r="V174" i="8"/>
  <c r="DC173" i="8"/>
  <c r="CU173" i="8"/>
  <c r="CR173" i="8"/>
  <c r="CQ173" i="8"/>
  <c r="CN173" i="8"/>
  <c r="CM173" i="8"/>
  <c r="CJ173" i="8" s="1"/>
  <c r="CK173" i="8"/>
  <c r="CI173" i="8"/>
  <c r="CY173" i="8" s="1"/>
  <c r="CH173" i="8"/>
  <c r="CZ173" i="8" s="1"/>
  <c r="BV173" i="8"/>
  <c r="BK173" i="8"/>
  <c r="BJ173" i="8"/>
  <c r="BG173" i="8"/>
  <c r="BD173" i="8" s="1"/>
  <c r="BF173" i="8"/>
  <c r="BC173" i="8" s="1"/>
  <c r="BB173" i="8"/>
  <c r="BT173" i="8" s="1"/>
  <c r="BA173" i="8"/>
  <c r="X173" i="8"/>
  <c r="W173" i="8"/>
  <c r="V173" i="8"/>
  <c r="DC172" i="8"/>
  <c r="CU172" i="8"/>
  <c r="CR172" i="8"/>
  <c r="CQ172" i="8"/>
  <c r="CN172" i="8"/>
  <c r="CM172" i="8"/>
  <c r="CT172" i="8" s="1"/>
  <c r="CK172" i="8"/>
  <c r="CI172" i="8"/>
  <c r="CY172" i="8" s="1"/>
  <c r="CH172" i="8"/>
  <c r="CZ172" i="8" s="1"/>
  <c r="BV172" i="8"/>
  <c r="BK172" i="8"/>
  <c r="BJ172" i="8"/>
  <c r="BG172" i="8"/>
  <c r="BD172" i="8" s="1"/>
  <c r="BF172" i="8"/>
  <c r="BB172" i="8"/>
  <c r="BQ172" i="8" s="1"/>
  <c r="BA172" i="8"/>
  <c r="X172" i="8"/>
  <c r="DD172" i="8" s="1"/>
  <c r="W172" i="8"/>
  <c r="V172" i="8"/>
  <c r="DC171" i="8"/>
  <c r="CU171" i="8"/>
  <c r="CR171" i="8"/>
  <c r="CQ171" i="8"/>
  <c r="CN171" i="8"/>
  <c r="CM171" i="8"/>
  <c r="CT171" i="8" s="1"/>
  <c r="CK171" i="8"/>
  <c r="CI171" i="8"/>
  <c r="CH171" i="8"/>
  <c r="BV171" i="8"/>
  <c r="BK171" i="8"/>
  <c r="BJ171" i="8"/>
  <c r="BG171" i="8"/>
  <c r="BN171" i="8" s="1"/>
  <c r="BF171" i="8"/>
  <c r="BB171" i="8"/>
  <c r="BU171" i="8" s="1"/>
  <c r="BA171" i="8"/>
  <c r="BX171" i="8" s="1"/>
  <c r="X171" i="8"/>
  <c r="Y171" i="8" s="1"/>
  <c r="Z171" i="8" s="1"/>
  <c r="AB171" i="8" s="1"/>
  <c r="W171" i="8"/>
  <c r="V171" i="8"/>
  <c r="DC170" i="8"/>
  <c r="CU170" i="8"/>
  <c r="CR170" i="8"/>
  <c r="CQ170" i="8"/>
  <c r="CN170" i="8"/>
  <c r="CM170" i="8"/>
  <c r="CK170" i="8"/>
  <c r="CI170" i="8"/>
  <c r="CH170" i="8"/>
  <c r="CZ170" i="8" s="1"/>
  <c r="BV170" i="8"/>
  <c r="BM170" i="8"/>
  <c r="BK170" i="8"/>
  <c r="BJ170" i="8"/>
  <c r="BG170" i="8"/>
  <c r="BN170" i="8" s="1"/>
  <c r="BF170" i="8"/>
  <c r="BH170" i="8" s="1"/>
  <c r="BD170" i="8"/>
  <c r="BC170" i="8"/>
  <c r="BB170" i="8"/>
  <c r="BT170" i="8" s="1"/>
  <c r="BA170" i="8"/>
  <c r="BR170" i="8" s="1"/>
  <c r="X170" i="8"/>
  <c r="Y170" i="8" s="1"/>
  <c r="Z170" i="8" s="1"/>
  <c r="AB170" i="8" s="1"/>
  <c r="W170" i="8"/>
  <c r="V170" i="8"/>
  <c r="DC165" i="8"/>
  <c r="CU165" i="8"/>
  <c r="CR165" i="8"/>
  <c r="CQ165" i="8"/>
  <c r="CN165" i="8"/>
  <c r="CM165" i="8"/>
  <c r="CK165" i="8"/>
  <c r="CI165" i="8"/>
  <c r="CY165" i="8" s="1"/>
  <c r="CH165" i="8"/>
  <c r="CZ165" i="8" s="1"/>
  <c r="BV165" i="8"/>
  <c r="BK165" i="8"/>
  <c r="BJ165" i="8"/>
  <c r="BG165" i="8"/>
  <c r="BF165" i="8"/>
  <c r="BB165" i="8"/>
  <c r="BU165" i="8" s="1"/>
  <c r="BA165" i="8"/>
  <c r="BS165" i="8" s="1"/>
  <c r="X165" i="8"/>
  <c r="BW165" i="8" s="1"/>
  <c r="W165" i="8"/>
  <c r="V165" i="8"/>
  <c r="DC164" i="8"/>
  <c r="CU164" i="8"/>
  <c r="CR164" i="8"/>
  <c r="CQ164" i="8"/>
  <c r="CN164" i="8"/>
  <c r="CM164" i="8"/>
  <c r="CK164" i="8"/>
  <c r="CI164" i="8"/>
  <c r="CY164" i="8" s="1"/>
  <c r="CH164" i="8"/>
  <c r="BV164" i="8"/>
  <c r="BK164" i="8"/>
  <c r="BJ164" i="8"/>
  <c r="BG164" i="8"/>
  <c r="BF164" i="8"/>
  <c r="BB164" i="8"/>
  <c r="BU164" i="8" s="1"/>
  <c r="BA164" i="8"/>
  <c r="X164" i="8"/>
  <c r="Y164" i="8" s="1"/>
  <c r="Z164" i="8" s="1"/>
  <c r="AB164" i="8" s="1"/>
  <c r="W164" i="8"/>
  <c r="V164" i="8"/>
  <c r="DC163" i="8"/>
  <c r="CU163" i="8"/>
  <c r="CR163" i="8"/>
  <c r="CQ163" i="8"/>
  <c r="CN163" i="8"/>
  <c r="CM163" i="8"/>
  <c r="CJ163" i="8" s="1"/>
  <c r="CK163" i="8"/>
  <c r="CI163" i="8"/>
  <c r="CH163" i="8"/>
  <c r="BV163" i="8"/>
  <c r="BK163" i="8"/>
  <c r="BJ163" i="8"/>
  <c r="BG163" i="8"/>
  <c r="BN163" i="8" s="1"/>
  <c r="BF163" i="8"/>
  <c r="BB163" i="8"/>
  <c r="BQ163" i="8" s="1"/>
  <c r="BA163" i="8"/>
  <c r="BR163" i="8" s="1"/>
  <c r="X163" i="8"/>
  <c r="DD163" i="8" s="1"/>
  <c r="W163" i="8"/>
  <c r="V163" i="8"/>
  <c r="DC162" i="8"/>
  <c r="CU162" i="8"/>
  <c r="CR162" i="8"/>
  <c r="CQ162" i="8"/>
  <c r="CN162" i="8"/>
  <c r="CM162" i="8"/>
  <c r="CT162" i="8" s="1"/>
  <c r="CK162" i="8"/>
  <c r="CJ162" i="8"/>
  <c r="CI162" i="8"/>
  <c r="CH162" i="8"/>
  <c r="CZ162" i="8" s="1"/>
  <c r="BV162" i="8"/>
  <c r="BK162" i="8"/>
  <c r="BJ162" i="8"/>
  <c r="BG162" i="8"/>
  <c r="BF162" i="8"/>
  <c r="BB162" i="8"/>
  <c r="BT162" i="8" s="1"/>
  <c r="BA162" i="8"/>
  <c r="BS162" i="8" s="1"/>
  <c r="X162" i="8"/>
  <c r="W162" i="8"/>
  <c r="V162" i="8"/>
  <c r="DC161" i="8"/>
  <c r="CU161" i="8"/>
  <c r="CR161" i="8"/>
  <c r="CQ161" i="8"/>
  <c r="CN161" i="8"/>
  <c r="CM161" i="8"/>
  <c r="CK161" i="8"/>
  <c r="CI161" i="8"/>
  <c r="CH161" i="8"/>
  <c r="CZ161" i="8" s="1"/>
  <c r="BV161" i="8"/>
  <c r="BK161" i="8"/>
  <c r="BJ161" i="8"/>
  <c r="BG161" i="8"/>
  <c r="BF161" i="8"/>
  <c r="BB161" i="8"/>
  <c r="BU161" i="8" s="1"/>
  <c r="BA161" i="8"/>
  <c r="BS161" i="8" s="1"/>
  <c r="X161" i="8"/>
  <c r="BW161" i="8" s="1"/>
  <c r="W161" i="8"/>
  <c r="V161" i="8"/>
  <c r="DC160" i="8"/>
  <c r="CU160" i="8"/>
  <c r="CR160" i="8"/>
  <c r="CQ160" i="8"/>
  <c r="CN160" i="8"/>
  <c r="CM160" i="8"/>
  <c r="CJ160" i="8" s="1"/>
  <c r="CK160" i="8"/>
  <c r="CI160" i="8"/>
  <c r="CY160" i="8" s="1"/>
  <c r="CH160" i="8"/>
  <c r="DE160" i="8" s="1"/>
  <c r="BV160" i="8"/>
  <c r="BK160" i="8"/>
  <c r="BJ160" i="8"/>
  <c r="BG160" i="8"/>
  <c r="BN160" i="8" s="1"/>
  <c r="BF160" i="8"/>
  <c r="BC160" i="8" s="1"/>
  <c r="BB160" i="8"/>
  <c r="BQ160" i="8" s="1"/>
  <c r="BA160" i="8"/>
  <c r="X160" i="8"/>
  <c r="W160" i="8"/>
  <c r="V160" i="8"/>
  <c r="DC159" i="8"/>
  <c r="CU159" i="8"/>
  <c r="CR159" i="8"/>
  <c r="CQ159" i="8"/>
  <c r="CN159" i="8"/>
  <c r="CM159" i="8"/>
  <c r="CK159" i="8"/>
  <c r="CI159" i="8"/>
  <c r="DB159" i="8" s="1"/>
  <c r="CH159" i="8"/>
  <c r="DE159" i="8" s="1"/>
  <c r="BV159" i="8"/>
  <c r="BK159" i="8"/>
  <c r="BJ159" i="8"/>
  <c r="BG159" i="8"/>
  <c r="BN159" i="8" s="1"/>
  <c r="BF159" i="8"/>
  <c r="BB159" i="8"/>
  <c r="BA159" i="8"/>
  <c r="BX159" i="8" s="1"/>
  <c r="X159" i="8"/>
  <c r="DD159" i="8" s="1"/>
  <c r="W159" i="8"/>
  <c r="V159" i="8"/>
  <c r="DC158" i="8"/>
  <c r="CU158" i="8"/>
  <c r="CR158" i="8"/>
  <c r="CQ158" i="8"/>
  <c r="CN158" i="8"/>
  <c r="CM158" i="8"/>
  <c r="CK158" i="8"/>
  <c r="CI158" i="8"/>
  <c r="DB158" i="8" s="1"/>
  <c r="CH158" i="8"/>
  <c r="BV158" i="8"/>
  <c r="BK158" i="8"/>
  <c r="BJ158" i="8"/>
  <c r="BG158" i="8"/>
  <c r="BD158" i="8" s="1"/>
  <c r="BF158" i="8"/>
  <c r="BM158" i="8" s="1"/>
  <c r="BB158" i="8"/>
  <c r="BA158" i="8"/>
  <c r="BX158" i="8" s="1"/>
  <c r="X158" i="8"/>
  <c r="Y158" i="8" s="1"/>
  <c r="Z158" i="8" s="1"/>
  <c r="AB158" i="8" s="1"/>
  <c r="W158" i="8"/>
  <c r="V158" i="8"/>
  <c r="DC157" i="8"/>
  <c r="CU157" i="8"/>
  <c r="CR157" i="8"/>
  <c r="CQ157" i="8"/>
  <c r="CN157" i="8"/>
  <c r="CM157" i="8"/>
  <c r="CK157" i="8"/>
  <c r="CI157" i="8"/>
  <c r="CH157" i="8"/>
  <c r="BV157" i="8"/>
  <c r="BK157" i="8"/>
  <c r="BJ157" i="8"/>
  <c r="BG157" i="8"/>
  <c r="BD157" i="8" s="1"/>
  <c r="BF157" i="8"/>
  <c r="BC157" i="8" s="1"/>
  <c r="BB157" i="8"/>
  <c r="BU157" i="8" s="1"/>
  <c r="BA157" i="8"/>
  <c r="X157" i="8"/>
  <c r="Y157" i="8" s="1"/>
  <c r="Z157" i="8" s="1"/>
  <c r="AB157" i="8" s="1"/>
  <c r="W157" i="8"/>
  <c r="V157" i="8"/>
  <c r="DC156" i="8"/>
  <c r="CU156" i="8"/>
  <c r="CR156" i="8"/>
  <c r="CQ156" i="8"/>
  <c r="CN156" i="8"/>
  <c r="CM156" i="8"/>
  <c r="CK156" i="8"/>
  <c r="CI156" i="8"/>
  <c r="CH156" i="8"/>
  <c r="DE156" i="8" s="1"/>
  <c r="BV156" i="8"/>
  <c r="BK156" i="8"/>
  <c r="BJ156" i="8"/>
  <c r="BG156" i="8"/>
  <c r="BN156" i="8" s="1"/>
  <c r="BF156" i="8"/>
  <c r="BB156" i="8"/>
  <c r="BA156" i="8"/>
  <c r="BR156" i="8" s="1"/>
  <c r="X156" i="8"/>
  <c r="DD156" i="8" s="1"/>
  <c r="W156" i="8"/>
  <c r="V156" i="8"/>
  <c r="DC155" i="8"/>
  <c r="CU155" i="8"/>
  <c r="CR155" i="8"/>
  <c r="CQ155" i="8"/>
  <c r="CN155" i="8"/>
  <c r="CM155" i="8"/>
  <c r="CK155" i="8"/>
  <c r="CI155" i="8"/>
  <c r="CY155" i="8" s="1"/>
  <c r="CH155" i="8"/>
  <c r="DE155" i="8" s="1"/>
  <c r="BV155" i="8"/>
  <c r="BK155" i="8"/>
  <c r="BJ155" i="8"/>
  <c r="BG155" i="8"/>
  <c r="BD155" i="8" s="1"/>
  <c r="BF155" i="8"/>
  <c r="BB155" i="8"/>
  <c r="BA155" i="8"/>
  <c r="X155" i="8"/>
  <c r="W155" i="8"/>
  <c r="V155" i="8"/>
  <c r="DC154" i="8"/>
  <c r="CU154" i="8"/>
  <c r="CR154" i="8"/>
  <c r="CQ154" i="8"/>
  <c r="CN154" i="8"/>
  <c r="CM154" i="8"/>
  <c r="CT154" i="8" s="1"/>
  <c r="CK154" i="8"/>
  <c r="CI154" i="8"/>
  <c r="CH154" i="8"/>
  <c r="BV154" i="8"/>
  <c r="BK154" i="8"/>
  <c r="BJ154" i="8"/>
  <c r="BG154" i="8"/>
  <c r="BF154" i="8"/>
  <c r="BB154" i="8"/>
  <c r="BU154" i="8" s="1"/>
  <c r="BA154" i="8"/>
  <c r="X154" i="8"/>
  <c r="DD154" i="8" s="1"/>
  <c r="W154" i="8"/>
  <c r="V154" i="8"/>
  <c r="DC153" i="8"/>
  <c r="CU153" i="8"/>
  <c r="CR153" i="8"/>
  <c r="CQ153" i="8"/>
  <c r="CN153" i="8"/>
  <c r="CM153" i="8"/>
  <c r="CJ153" i="8" s="1"/>
  <c r="CK153" i="8"/>
  <c r="CI153" i="8"/>
  <c r="CH153" i="8"/>
  <c r="BV153" i="8"/>
  <c r="BK153" i="8"/>
  <c r="BJ153" i="8"/>
  <c r="BG153" i="8"/>
  <c r="BF153" i="8"/>
  <c r="BB153" i="8"/>
  <c r="BU153" i="8" s="1"/>
  <c r="BA153" i="8"/>
  <c r="X153" i="8"/>
  <c r="DD153" i="8" s="1"/>
  <c r="W153" i="8"/>
  <c r="V153" i="8"/>
  <c r="DC152" i="8"/>
  <c r="CU152" i="8"/>
  <c r="CR152" i="8"/>
  <c r="CQ152" i="8"/>
  <c r="CN152" i="8"/>
  <c r="CM152" i="8"/>
  <c r="CK152" i="8"/>
  <c r="CI152" i="8"/>
  <c r="CY152" i="8" s="1"/>
  <c r="CH152" i="8"/>
  <c r="DE152" i="8" s="1"/>
  <c r="BV152" i="8"/>
  <c r="BK152" i="8"/>
  <c r="BJ152" i="8"/>
  <c r="BG152" i="8"/>
  <c r="BN152" i="8" s="1"/>
  <c r="BF152" i="8"/>
  <c r="BB152" i="8"/>
  <c r="BU152" i="8" s="1"/>
  <c r="BA152" i="8"/>
  <c r="X152" i="8"/>
  <c r="Y152" i="8" s="1"/>
  <c r="Z152" i="8" s="1"/>
  <c r="AB152" i="8" s="1"/>
  <c r="W152" i="8"/>
  <c r="V152" i="8"/>
  <c r="DC151" i="8"/>
  <c r="CU151" i="8"/>
  <c r="CR151" i="8"/>
  <c r="CQ151" i="8"/>
  <c r="CN151" i="8"/>
  <c r="CM151" i="8"/>
  <c r="CT151" i="8" s="1"/>
  <c r="CK151" i="8"/>
  <c r="CI151" i="8"/>
  <c r="CH151" i="8"/>
  <c r="BV151" i="8"/>
  <c r="BK151" i="8"/>
  <c r="BJ151" i="8"/>
  <c r="BG151" i="8"/>
  <c r="BF151" i="8"/>
  <c r="BB151" i="8"/>
  <c r="BU151" i="8" s="1"/>
  <c r="BA151" i="8"/>
  <c r="BX151" i="8" s="1"/>
  <c r="X151" i="8"/>
  <c r="W151" i="8"/>
  <c r="V151" i="8"/>
  <c r="DC150" i="8"/>
  <c r="CU150" i="8"/>
  <c r="CR150" i="8"/>
  <c r="CQ150" i="8"/>
  <c r="CN150" i="8"/>
  <c r="CM150" i="8"/>
  <c r="CJ150" i="8" s="1"/>
  <c r="CK150" i="8"/>
  <c r="CI150" i="8"/>
  <c r="CH150" i="8"/>
  <c r="DE150" i="8" s="1"/>
  <c r="BV150" i="8"/>
  <c r="BM150" i="8"/>
  <c r="BK150" i="8"/>
  <c r="BJ150" i="8"/>
  <c r="BG150" i="8"/>
  <c r="BN150" i="8" s="1"/>
  <c r="BF150" i="8"/>
  <c r="BC150" i="8"/>
  <c r="BB150" i="8"/>
  <c r="BQ150" i="8" s="1"/>
  <c r="BA150" i="8"/>
  <c r="BS150" i="8" s="1"/>
  <c r="X150" i="8"/>
  <c r="W150" i="8"/>
  <c r="V150" i="8"/>
  <c r="DC145" i="8"/>
  <c r="CU145" i="8"/>
  <c r="CR145" i="8"/>
  <c r="CQ145" i="8"/>
  <c r="CN145" i="8"/>
  <c r="CM145" i="8"/>
  <c r="CK145" i="8"/>
  <c r="CI145" i="8"/>
  <c r="CX145" i="8" s="1"/>
  <c r="CH145" i="8"/>
  <c r="BV145" i="8"/>
  <c r="BK145" i="8"/>
  <c r="BJ145" i="8"/>
  <c r="BG145" i="8"/>
  <c r="BF145" i="8"/>
  <c r="BC145" i="8" s="1"/>
  <c r="BB145" i="8"/>
  <c r="BA145" i="8"/>
  <c r="X145" i="8"/>
  <c r="DD145" i="8" s="1"/>
  <c r="W145" i="8"/>
  <c r="V145" i="8"/>
  <c r="DC144" i="8"/>
  <c r="CU144" i="8"/>
  <c r="CR144" i="8"/>
  <c r="CQ144" i="8"/>
  <c r="CN144" i="8"/>
  <c r="CM144" i="8"/>
  <c r="CT144" i="8" s="1"/>
  <c r="CK144" i="8"/>
  <c r="CJ144" i="8"/>
  <c r="CI144" i="8"/>
  <c r="CY144" i="8" s="1"/>
  <c r="CH144" i="8"/>
  <c r="BV144" i="8"/>
  <c r="BK144" i="8"/>
  <c r="BJ144" i="8"/>
  <c r="BG144" i="8"/>
  <c r="BF144" i="8"/>
  <c r="BB144" i="8"/>
  <c r="BU144" i="8" s="1"/>
  <c r="BA144" i="8"/>
  <c r="X144" i="8"/>
  <c r="BW144" i="8" s="1"/>
  <c r="W144" i="8"/>
  <c r="V144" i="8"/>
  <c r="DC143" i="8"/>
  <c r="CU143" i="8"/>
  <c r="CR143" i="8"/>
  <c r="CQ143" i="8"/>
  <c r="CN143" i="8"/>
  <c r="CM143" i="8"/>
  <c r="CK143" i="8"/>
  <c r="CI143" i="8"/>
  <c r="DB143" i="8" s="1"/>
  <c r="CH143" i="8"/>
  <c r="DE143" i="8" s="1"/>
  <c r="BV143" i="8"/>
  <c r="BK143" i="8"/>
  <c r="BJ143" i="8"/>
  <c r="BG143" i="8"/>
  <c r="BF143" i="8"/>
  <c r="BB143" i="8"/>
  <c r="BU143" i="8" s="1"/>
  <c r="BA143" i="8"/>
  <c r="BX143" i="8" s="1"/>
  <c r="X143" i="8"/>
  <c r="W143" i="8"/>
  <c r="V143" i="8"/>
  <c r="DC142" i="8"/>
  <c r="CU142" i="8"/>
  <c r="CR142" i="8"/>
  <c r="CQ142" i="8"/>
  <c r="CN142" i="8"/>
  <c r="CM142" i="8"/>
  <c r="CK142" i="8"/>
  <c r="CI142" i="8"/>
  <c r="CX142" i="8" s="1"/>
  <c r="CH142" i="8"/>
  <c r="CZ142" i="8" s="1"/>
  <c r="BV142" i="8"/>
  <c r="BK142" i="8"/>
  <c r="BJ142" i="8"/>
  <c r="BG142" i="8"/>
  <c r="BF142" i="8"/>
  <c r="BM142" i="8" s="1"/>
  <c r="BB142" i="8"/>
  <c r="BQ142" i="8" s="1"/>
  <c r="BA142" i="8"/>
  <c r="BR142" i="8" s="1"/>
  <c r="X142" i="8"/>
  <c r="DD142" i="8" s="1"/>
  <c r="W142" i="8"/>
  <c r="V142" i="8"/>
  <c r="DC141" i="8"/>
  <c r="CU141" i="8"/>
  <c r="CR141" i="8"/>
  <c r="CQ141" i="8"/>
  <c r="CN141" i="8"/>
  <c r="CM141" i="8"/>
  <c r="CK141" i="8"/>
  <c r="CI141" i="8"/>
  <c r="DA141" i="8" s="1"/>
  <c r="CH141" i="8"/>
  <c r="CZ141" i="8" s="1"/>
  <c r="BV141" i="8"/>
  <c r="BK141" i="8"/>
  <c r="BJ141" i="8"/>
  <c r="BG141" i="8"/>
  <c r="BF141" i="8"/>
  <c r="BB141" i="8"/>
  <c r="BQ141" i="8" s="1"/>
  <c r="BA141" i="8"/>
  <c r="X141" i="8"/>
  <c r="DD141" i="8" s="1"/>
  <c r="W141" i="8"/>
  <c r="V141" i="8"/>
  <c r="DC140" i="8"/>
  <c r="CU140" i="8"/>
  <c r="CR140" i="8"/>
  <c r="CQ140" i="8"/>
  <c r="CN140" i="8"/>
  <c r="CM140" i="8"/>
  <c r="CK140" i="8"/>
  <c r="CI140" i="8"/>
  <c r="CH140" i="8"/>
  <c r="BV140" i="8"/>
  <c r="BK140" i="8"/>
  <c r="BJ140" i="8"/>
  <c r="BG140" i="8"/>
  <c r="BF140" i="8"/>
  <c r="BB140" i="8"/>
  <c r="BU140" i="8" s="1"/>
  <c r="BA140" i="8"/>
  <c r="BR140" i="8" s="1"/>
  <c r="X140" i="8"/>
  <c r="W140" i="8"/>
  <c r="V140" i="8"/>
  <c r="DC139" i="8"/>
  <c r="CU139" i="8"/>
  <c r="CR139" i="8"/>
  <c r="CQ139" i="8"/>
  <c r="CN139" i="8"/>
  <c r="CM139" i="8"/>
  <c r="CT139" i="8" s="1"/>
  <c r="CK139" i="8"/>
  <c r="CI139" i="8"/>
  <c r="DA139" i="8" s="1"/>
  <c r="CH139" i="8"/>
  <c r="BV139" i="8"/>
  <c r="BK139" i="8"/>
  <c r="BJ139" i="8"/>
  <c r="BG139" i="8"/>
  <c r="BN139" i="8" s="1"/>
  <c r="BF139" i="8"/>
  <c r="BB139" i="8"/>
  <c r="BA139" i="8"/>
  <c r="BS139" i="8" s="1"/>
  <c r="X139" i="8"/>
  <c r="W139" i="8"/>
  <c r="V139" i="8"/>
  <c r="DC138" i="8"/>
  <c r="CU138" i="8"/>
  <c r="CR138" i="8"/>
  <c r="CQ138" i="8"/>
  <c r="CN138" i="8"/>
  <c r="CM138" i="8"/>
  <c r="CK138" i="8"/>
  <c r="CI138" i="8"/>
  <c r="CH138" i="8"/>
  <c r="BV138" i="8"/>
  <c r="BK138" i="8"/>
  <c r="BJ138" i="8"/>
  <c r="BG138" i="8"/>
  <c r="BF138" i="8"/>
  <c r="BC138" i="8" s="1"/>
  <c r="BB138" i="8"/>
  <c r="BA138" i="8"/>
  <c r="BX138" i="8" s="1"/>
  <c r="X138" i="8"/>
  <c r="W138" i="8"/>
  <c r="V138" i="8"/>
  <c r="DC137" i="8"/>
  <c r="CU137" i="8"/>
  <c r="CR137" i="8"/>
  <c r="CQ137" i="8"/>
  <c r="CN137" i="8"/>
  <c r="CM137" i="8"/>
  <c r="CJ137" i="8" s="1"/>
  <c r="CK137" i="8"/>
  <c r="CI137" i="8"/>
  <c r="DA137" i="8" s="1"/>
  <c r="CH137" i="8"/>
  <c r="BV137" i="8"/>
  <c r="BK137" i="8"/>
  <c r="BJ137" i="8"/>
  <c r="BG137" i="8"/>
  <c r="BN137" i="8" s="1"/>
  <c r="BF137" i="8"/>
  <c r="BB137" i="8"/>
  <c r="BA137" i="8"/>
  <c r="X137" i="8"/>
  <c r="W137" i="8"/>
  <c r="V137" i="8"/>
  <c r="DC136" i="8"/>
  <c r="CU136" i="8"/>
  <c r="CR136" i="8"/>
  <c r="CQ136" i="8"/>
  <c r="CN136" i="8"/>
  <c r="CM136" i="8"/>
  <c r="CK136" i="8"/>
  <c r="CI136" i="8"/>
  <c r="CH136" i="8"/>
  <c r="DE136" i="8" s="1"/>
  <c r="BV136" i="8"/>
  <c r="BK136" i="8"/>
  <c r="BJ136" i="8"/>
  <c r="BG136" i="8"/>
  <c r="BF136" i="8"/>
  <c r="BB136" i="8"/>
  <c r="BU136" i="8" s="1"/>
  <c r="BA136" i="8"/>
  <c r="BR136" i="8" s="1"/>
  <c r="X136" i="8"/>
  <c r="DD136" i="8" s="1"/>
  <c r="W136" i="8"/>
  <c r="V136" i="8"/>
  <c r="DC135" i="8"/>
  <c r="CU135" i="8"/>
  <c r="CR135" i="8"/>
  <c r="CQ135" i="8"/>
  <c r="CN135" i="8"/>
  <c r="CM135" i="8"/>
  <c r="CK135" i="8"/>
  <c r="CI135" i="8"/>
  <c r="CY135" i="8" s="1"/>
  <c r="CH135" i="8"/>
  <c r="DE135" i="8" s="1"/>
  <c r="BV135" i="8"/>
  <c r="BK135" i="8"/>
  <c r="BJ135" i="8"/>
  <c r="BG135" i="8"/>
  <c r="BD135" i="8" s="1"/>
  <c r="BF135" i="8"/>
  <c r="BB135" i="8"/>
  <c r="BT135" i="8" s="1"/>
  <c r="BA135" i="8"/>
  <c r="BX135" i="8" s="1"/>
  <c r="X135" i="8"/>
  <c r="Y135" i="8" s="1"/>
  <c r="Z135" i="8" s="1"/>
  <c r="AB135" i="8" s="1"/>
  <c r="W135" i="8"/>
  <c r="V135" i="8"/>
  <c r="DC134" i="8"/>
  <c r="CU134" i="8"/>
  <c r="CR134" i="8"/>
  <c r="CQ134" i="8"/>
  <c r="CN134" i="8"/>
  <c r="CM134" i="8"/>
  <c r="CK134" i="8"/>
  <c r="CI134" i="8"/>
  <c r="CY134" i="8" s="1"/>
  <c r="CH134" i="8"/>
  <c r="BV134" i="8"/>
  <c r="BK134" i="8"/>
  <c r="BJ134" i="8"/>
  <c r="BG134" i="8"/>
  <c r="BF134" i="8"/>
  <c r="BB134" i="8"/>
  <c r="BQ134" i="8" s="1"/>
  <c r="BA134" i="8"/>
  <c r="X134" i="8"/>
  <c r="W134" i="8"/>
  <c r="V134" i="8"/>
  <c r="DC133" i="8"/>
  <c r="CU133" i="8"/>
  <c r="CR133" i="8"/>
  <c r="CQ133" i="8"/>
  <c r="CN133" i="8"/>
  <c r="CM133" i="8"/>
  <c r="CT133" i="8" s="1"/>
  <c r="CK133" i="8"/>
  <c r="CJ133" i="8"/>
  <c r="CI133" i="8"/>
  <c r="CH133" i="8"/>
  <c r="DE133" i="8" s="1"/>
  <c r="BV133" i="8"/>
  <c r="BK133" i="8"/>
  <c r="BJ133" i="8"/>
  <c r="BG133" i="8"/>
  <c r="BF133" i="8"/>
  <c r="BD133" i="8"/>
  <c r="BB133" i="8"/>
  <c r="BQ133" i="8" s="1"/>
  <c r="BA133" i="8"/>
  <c r="X133" i="8"/>
  <c r="Y133" i="8" s="1"/>
  <c r="Z133" i="8" s="1"/>
  <c r="AB133" i="8" s="1"/>
  <c r="W133" i="8"/>
  <c r="V133" i="8"/>
  <c r="DC132" i="8"/>
  <c r="CU132" i="8"/>
  <c r="CR132" i="8"/>
  <c r="CQ132" i="8"/>
  <c r="CN132" i="8"/>
  <c r="CM132" i="8"/>
  <c r="CK132" i="8"/>
  <c r="CI132" i="8"/>
  <c r="CY132" i="8" s="1"/>
  <c r="CH132" i="8"/>
  <c r="BV132" i="8"/>
  <c r="BK132" i="8"/>
  <c r="BJ132" i="8"/>
  <c r="BG132" i="8"/>
  <c r="BF132" i="8"/>
  <c r="BB132" i="8"/>
  <c r="BA132" i="8"/>
  <c r="BR132" i="8" s="1"/>
  <c r="X132" i="8"/>
  <c r="W132" i="8"/>
  <c r="V132" i="8"/>
  <c r="DC131" i="8"/>
  <c r="CU131" i="8"/>
  <c r="CR131" i="8"/>
  <c r="CQ131" i="8"/>
  <c r="CN131" i="8"/>
  <c r="CM131" i="8"/>
  <c r="CK131" i="8"/>
  <c r="CI131" i="8"/>
  <c r="CY131" i="8" s="1"/>
  <c r="CH131" i="8"/>
  <c r="CZ131" i="8" s="1"/>
  <c r="BV131" i="8"/>
  <c r="BK131" i="8"/>
  <c r="BJ131" i="8"/>
  <c r="BG131" i="8"/>
  <c r="BF131" i="8"/>
  <c r="BB131" i="8"/>
  <c r="BA131" i="8"/>
  <c r="X131" i="8"/>
  <c r="BW131" i="8" s="1"/>
  <c r="W131" i="8"/>
  <c r="V131" i="8"/>
  <c r="DC130" i="8"/>
  <c r="CU130" i="8"/>
  <c r="CR130" i="8"/>
  <c r="CQ130" i="8"/>
  <c r="CN130" i="8"/>
  <c r="CM130" i="8"/>
  <c r="CJ130" i="8" s="1"/>
  <c r="CK130" i="8"/>
  <c r="CI130" i="8"/>
  <c r="DA130" i="8" s="1"/>
  <c r="CH130" i="8"/>
  <c r="BV130" i="8"/>
  <c r="BM130" i="8"/>
  <c r="BK130" i="8"/>
  <c r="BJ130" i="8"/>
  <c r="BG130" i="8"/>
  <c r="BF130" i="8"/>
  <c r="BC130" i="8"/>
  <c r="BB130" i="8"/>
  <c r="BQ130" i="8" s="1"/>
  <c r="BA130" i="8"/>
  <c r="BX130" i="8" s="1"/>
  <c r="X130" i="8"/>
  <c r="Y130" i="8" s="1"/>
  <c r="Z130" i="8" s="1"/>
  <c r="AB130" i="8" s="1"/>
  <c r="W130" i="8"/>
  <c r="V130" i="8"/>
  <c r="DC125" i="8"/>
  <c r="CU125" i="8"/>
  <c r="CR125" i="8"/>
  <c r="CQ125" i="8"/>
  <c r="CN125" i="8"/>
  <c r="CM125" i="8"/>
  <c r="CK125" i="8"/>
  <c r="CI125" i="8"/>
  <c r="CH125" i="8"/>
  <c r="BV125" i="8"/>
  <c r="BK125" i="8"/>
  <c r="BJ125" i="8"/>
  <c r="BG125" i="8"/>
  <c r="BD125" i="8" s="1"/>
  <c r="BF125" i="8"/>
  <c r="BB125" i="8"/>
  <c r="BT125" i="8" s="1"/>
  <c r="BA125" i="8"/>
  <c r="X125" i="8"/>
  <c r="Y125" i="8" s="1"/>
  <c r="Z125" i="8" s="1"/>
  <c r="AB125" i="8" s="1"/>
  <c r="W125" i="8"/>
  <c r="V125" i="8"/>
  <c r="DC124" i="8"/>
  <c r="CU124" i="8"/>
  <c r="CR124" i="8"/>
  <c r="CQ124" i="8"/>
  <c r="CN124" i="8"/>
  <c r="CM124" i="8"/>
  <c r="CT124" i="8" s="1"/>
  <c r="CK124" i="8"/>
  <c r="CI124" i="8"/>
  <c r="CY124" i="8" s="1"/>
  <c r="CH124" i="8"/>
  <c r="BV124" i="8"/>
  <c r="BK124" i="8"/>
  <c r="BJ124" i="8"/>
  <c r="BG124" i="8"/>
  <c r="BD124" i="8" s="1"/>
  <c r="BF124" i="8"/>
  <c r="BB124" i="8"/>
  <c r="BQ124" i="8" s="1"/>
  <c r="BA124" i="8"/>
  <c r="BR124" i="8" s="1"/>
  <c r="X124" i="8"/>
  <c r="W124" i="8"/>
  <c r="V124" i="8"/>
  <c r="DC123" i="8"/>
  <c r="CU123" i="8"/>
  <c r="CR123" i="8"/>
  <c r="CQ123" i="8"/>
  <c r="CN123" i="8"/>
  <c r="CM123" i="8"/>
  <c r="CT123" i="8" s="1"/>
  <c r="CK123" i="8"/>
  <c r="CI123" i="8"/>
  <c r="CH123" i="8"/>
  <c r="DE123" i="8" s="1"/>
  <c r="BV123" i="8"/>
  <c r="BK123" i="8"/>
  <c r="BJ123" i="8"/>
  <c r="BG123" i="8"/>
  <c r="BN123" i="8" s="1"/>
  <c r="BF123" i="8"/>
  <c r="BM123" i="8" s="1"/>
  <c r="BB123" i="8"/>
  <c r="BU123" i="8" s="1"/>
  <c r="BA123" i="8"/>
  <c r="BX123" i="8" s="1"/>
  <c r="X123" i="8"/>
  <c r="W123" i="8"/>
  <c r="V123" i="8"/>
  <c r="DC122" i="8"/>
  <c r="CU122" i="8"/>
  <c r="CR122" i="8"/>
  <c r="CQ122" i="8"/>
  <c r="CN122" i="8"/>
  <c r="CM122" i="8"/>
  <c r="CT122" i="8" s="1"/>
  <c r="CK122" i="8"/>
  <c r="CI122" i="8"/>
  <c r="CX122" i="8" s="1"/>
  <c r="CH122" i="8"/>
  <c r="BV122" i="8"/>
  <c r="BK122" i="8"/>
  <c r="BJ122" i="8"/>
  <c r="BG122" i="8"/>
  <c r="BF122" i="8"/>
  <c r="BM122" i="8" s="1"/>
  <c r="BB122" i="8"/>
  <c r="BA122" i="8"/>
  <c r="BX122" i="8" s="1"/>
  <c r="X122" i="8"/>
  <c r="BW122" i="8" s="1"/>
  <c r="W122" i="8"/>
  <c r="V122" i="8"/>
  <c r="DC121" i="8"/>
  <c r="CU121" i="8"/>
  <c r="CR121" i="8"/>
  <c r="CQ121" i="8"/>
  <c r="CN121" i="8"/>
  <c r="CM121" i="8"/>
  <c r="CJ121" i="8" s="1"/>
  <c r="CK121" i="8"/>
  <c r="CI121" i="8"/>
  <c r="DA121" i="8" s="1"/>
  <c r="CH121" i="8"/>
  <c r="BV121" i="8"/>
  <c r="BK121" i="8"/>
  <c r="BJ121" i="8"/>
  <c r="BG121" i="8"/>
  <c r="BN121" i="8" s="1"/>
  <c r="BF121" i="8"/>
  <c r="BB121" i="8"/>
  <c r="BT121" i="8" s="1"/>
  <c r="BA121" i="8"/>
  <c r="BX121" i="8" s="1"/>
  <c r="X121" i="8"/>
  <c r="DD121" i="8" s="1"/>
  <c r="W121" i="8"/>
  <c r="V121" i="8"/>
  <c r="DC120" i="8"/>
  <c r="CU120" i="8"/>
  <c r="CR120" i="8"/>
  <c r="CQ120" i="8"/>
  <c r="CN120" i="8"/>
  <c r="CM120" i="8"/>
  <c r="CK120" i="8"/>
  <c r="CI120" i="8"/>
  <c r="CY120" i="8" s="1"/>
  <c r="CH120" i="8"/>
  <c r="BV120" i="8"/>
  <c r="BK120" i="8"/>
  <c r="BJ120" i="8"/>
  <c r="BG120" i="8"/>
  <c r="BN120" i="8" s="1"/>
  <c r="BF120" i="8"/>
  <c r="BB120" i="8"/>
  <c r="BT120" i="8" s="1"/>
  <c r="BA120" i="8"/>
  <c r="BR120" i="8" s="1"/>
  <c r="X120" i="8"/>
  <c r="BW120" i="8" s="1"/>
  <c r="W120" i="8"/>
  <c r="V120" i="8"/>
  <c r="DC119" i="8"/>
  <c r="CU119" i="8"/>
  <c r="CR119" i="8"/>
  <c r="CQ119" i="8"/>
  <c r="CN119" i="8"/>
  <c r="CM119" i="8"/>
  <c r="CK119" i="8"/>
  <c r="CI119" i="8"/>
  <c r="CH119" i="8"/>
  <c r="BV119" i="8"/>
  <c r="BK119" i="8"/>
  <c r="BJ119" i="8"/>
  <c r="BG119" i="8"/>
  <c r="BD119" i="8" s="1"/>
  <c r="BF119" i="8"/>
  <c r="BM119" i="8" s="1"/>
  <c r="BB119" i="8"/>
  <c r="BA119" i="8"/>
  <c r="X119" i="8"/>
  <c r="W119" i="8"/>
  <c r="V119" i="8"/>
  <c r="DC118" i="8"/>
  <c r="CU118" i="8"/>
  <c r="CR118" i="8"/>
  <c r="CQ118" i="8"/>
  <c r="CN118" i="8"/>
  <c r="CM118" i="8"/>
  <c r="CT118" i="8" s="1"/>
  <c r="CK118" i="8"/>
  <c r="CI118" i="8"/>
  <c r="CX118" i="8" s="1"/>
  <c r="CH118" i="8"/>
  <c r="DE118" i="8" s="1"/>
  <c r="BV118" i="8"/>
  <c r="BK118" i="8"/>
  <c r="BJ118" i="8"/>
  <c r="BG118" i="8"/>
  <c r="BF118" i="8"/>
  <c r="BC118" i="8" s="1"/>
  <c r="BB118" i="8"/>
  <c r="BQ118" i="8" s="1"/>
  <c r="BA118" i="8"/>
  <c r="BR118" i="8" s="1"/>
  <c r="X118" i="8"/>
  <c r="W118" i="8"/>
  <c r="V118" i="8"/>
  <c r="DC117" i="8"/>
  <c r="CU117" i="8"/>
  <c r="CR117" i="8"/>
  <c r="CQ117" i="8"/>
  <c r="CN117" i="8"/>
  <c r="CM117" i="8"/>
  <c r="CT117" i="8" s="1"/>
  <c r="CK117" i="8"/>
  <c r="CI117" i="8"/>
  <c r="CH117" i="8"/>
  <c r="BV117" i="8"/>
  <c r="BK117" i="8"/>
  <c r="BJ117" i="8"/>
  <c r="BG117" i="8"/>
  <c r="BD117" i="8" s="1"/>
  <c r="BF117" i="8"/>
  <c r="BB117" i="8"/>
  <c r="BT117" i="8" s="1"/>
  <c r="BA117" i="8"/>
  <c r="X117" i="8"/>
  <c r="BW117" i="8" s="1"/>
  <c r="W117" i="8"/>
  <c r="V117" i="8"/>
  <c r="DC116" i="8"/>
  <c r="CU116" i="8"/>
  <c r="CR116" i="8"/>
  <c r="CQ116" i="8"/>
  <c r="CN116" i="8"/>
  <c r="CM116" i="8"/>
  <c r="CJ116" i="8" s="1"/>
  <c r="CK116" i="8"/>
  <c r="CI116" i="8"/>
  <c r="DB116" i="8" s="1"/>
  <c r="CH116" i="8"/>
  <c r="BV116" i="8"/>
  <c r="BK116" i="8"/>
  <c r="BJ116" i="8"/>
  <c r="BG116" i="8"/>
  <c r="BN116" i="8" s="1"/>
  <c r="BF116" i="8"/>
  <c r="BM116" i="8" s="1"/>
  <c r="BC116" i="8"/>
  <c r="BB116" i="8"/>
  <c r="BA116" i="8"/>
  <c r="X116" i="8"/>
  <c r="Y116" i="8" s="1"/>
  <c r="Z116" i="8" s="1"/>
  <c r="AB116" i="8" s="1"/>
  <c r="W116" i="8"/>
  <c r="V116" i="8"/>
  <c r="DC115" i="8"/>
  <c r="CU115" i="8"/>
  <c r="CR115" i="8"/>
  <c r="CQ115" i="8"/>
  <c r="CN115" i="8"/>
  <c r="CM115" i="8"/>
  <c r="CT115" i="8" s="1"/>
  <c r="CK115" i="8"/>
  <c r="CI115" i="8"/>
  <c r="DA115" i="8" s="1"/>
  <c r="CH115" i="8"/>
  <c r="DE115" i="8" s="1"/>
  <c r="BV115" i="8"/>
  <c r="BK115" i="8"/>
  <c r="BJ115" i="8"/>
  <c r="BG115" i="8"/>
  <c r="BD115" i="8" s="1"/>
  <c r="BF115" i="8"/>
  <c r="BB115" i="8"/>
  <c r="BA115" i="8"/>
  <c r="X115" i="8"/>
  <c r="DD115" i="8" s="1"/>
  <c r="W115" i="8"/>
  <c r="V115" i="8"/>
  <c r="DC114" i="8"/>
  <c r="CU114" i="8"/>
  <c r="CR114" i="8"/>
  <c r="CQ114" i="8"/>
  <c r="CN114" i="8"/>
  <c r="CM114" i="8"/>
  <c r="CK114" i="8"/>
  <c r="CI114" i="8"/>
  <c r="CX114" i="8" s="1"/>
  <c r="CH114" i="8"/>
  <c r="BV114" i="8"/>
  <c r="BK114" i="8"/>
  <c r="BJ114" i="8"/>
  <c r="BG114" i="8"/>
  <c r="BF114" i="8"/>
  <c r="BB114" i="8"/>
  <c r="BT114" i="8" s="1"/>
  <c r="BA114" i="8"/>
  <c r="BR114" i="8" s="1"/>
  <c r="X114" i="8"/>
  <c r="DD114" i="8" s="1"/>
  <c r="W114" i="8"/>
  <c r="V114" i="8"/>
  <c r="DC113" i="8"/>
  <c r="CU113" i="8"/>
  <c r="CR113" i="8"/>
  <c r="CQ113" i="8"/>
  <c r="CN113" i="8"/>
  <c r="CM113" i="8"/>
  <c r="CK113" i="8"/>
  <c r="CI113" i="8"/>
  <c r="CH113" i="8"/>
  <c r="CZ113" i="8" s="1"/>
  <c r="BV113" i="8"/>
  <c r="BK113" i="8"/>
  <c r="BJ113" i="8"/>
  <c r="BG113" i="8"/>
  <c r="BF113" i="8"/>
  <c r="BB113" i="8"/>
  <c r="BA113" i="8"/>
  <c r="X113" i="8"/>
  <c r="BW113" i="8" s="1"/>
  <c r="W113" i="8"/>
  <c r="V113" i="8"/>
  <c r="DC112" i="8"/>
  <c r="CU112" i="8"/>
  <c r="CR112" i="8"/>
  <c r="CQ112" i="8"/>
  <c r="CN112" i="8"/>
  <c r="CM112" i="8"/>
  <c r="CK112" i="8"/>
  <c r="CI112" i="8"/>
  <c r="CH112" i="8"/>
  <c r="CZ112" i="8" s="1"/>
  <c r="BV112" i="8"/>
  <c r="BK112" i="8"/>
  <c r="BJ112" i="8"/>
  <c r="BG112" i="8"/>
  <c r="BF112" i="8"/>
  <c r="BB112" i="8"/>
  <c r="BT112" i="8" s="1"/>
  <c r="BA112" i="8"/>
  <c r="BS112" i="8" s="1"/>
  <c r="X112" i="8"/>
  <c r="Y112" i="8" s="1"/>
  <c r="Z112" i="8" s="1"/>
  <c r="AB112" i="8" s="1"/>
  <c r="W112" i="8"/>
  <c r="V112" i="8"/>
  <c r="DC111" i="8"/>
  <c r="CU111" i="8"/>
  <c r="CR111" i="8"/>
  <c r="CQ111" i="8"/>
  <c r="CN111" i="8"/>
  <c r="CM111" i="8"/>
  <c r="CK111" i="8"/>
  <c r="CI111" i="8"/>
  <c r="CH111" i="8"/>
  <c r="BV111" i="8"/>
  <c r="BK111" i="8"/>
  <c r="BJ111" i="8"/>
  <c r="BG111" i="8"/>
  <c r="BF111" i="8"/>
  <c r="BM111" i="8" s="1"/>
  <c r="BB111" i="8"/>
  <c r="BA111" i="8"/>
  <c r="BS111" i="8" s="1"/>
  <c r="X111" i="8"/>
  <c r="W111" i="8"/>
  <c r="V111" i="8"/>
  <c r="DC110" i="8"/>
  <c r="CU110" i="8"/>
  <c r="CR110" i="8"/>
  <c r="CQ110" i="8"/>
  <c r="CN110" i="8"/>
  <c r="CM110" i="8"/>
  <c r="CT110" i="8" s="1"/>
  <c r="CK110" i="8"/>
  <c r="CI110" i="8"/>
  <c r="CH110" i="8"/>
  <c r="DE110" i="8" s="1"/>
  <c r="BV110" i="8"/>
  <c r="BM110" i="8"/>
  <c r="BK110" i="8"/>
  <c r="BJ110" i="8"/>
  <c r="BG110" i="8"/>
  <c r="BD110" i="8" s="1"/>
  <c r="BF110" i="8"/>
  <c r="BC110" i="8"/>
  <c r="BB110" i="8"/>
  <c r="BA110" i="8"/>
  <c r="X110" i="8"/>
  <c r="W110" i="8"/>
  <c r="V110" i="8"/>
  <c r="DC105" i="8"/>
  <c r="CU105" i="8"/>
  <c r="CR105" i="8"/>
  <c r="CQ105" i="8"/>
  <c r="CN105" i="8"/>
  <c r="CM105" i="8"/>
  <c r="CJ105" i="8" s="1"/>
  <c r="CK105" i="8"/>
  <c r="CI105" i="8"/>
  <c r="CH105" i="8"/>
  <c r="CZ105" i="8" s="1"/>
  <c r="BV105" i="8"/>
  <c r="BK105" i="8"/>
  <c r="BJ105" i="8"/>
  <c r="BG105" i="8"/>
  <c r="BF105" i="8"/>
  <c r="BB105" i="8"/>
  <c r="BT105" i="8" s="1"/>
  <c r="BA105" i="8"/>
  <c r="X105" i="8"/>
  <c r="BW105" i="8" s="1"/>
  <c r="W105" i="8"/>
  <c r="V105" i="8"/>
  <c r="DC104" i="8"/>
  <c r="CU104" i="8"/>
  <c r="CR104" i="8"/>
  <c r="CQ104" i="8"/>
  <c r="CN104" i="8"/>
  <c r="CM104" i="8"/>
  <c r="CK104" i="8"/>
  <c r="CI104" i="8"/>
  <c r="CH104" i="8"/>
  <c r="DE104" i="8" s="1"/>
  <c r="BV104" i="8"/>
  <c r="BK104" i="8"/>
  <c r="BJ104" i="8"/>
  <c r="BG104" i="8"/>
  <c r="BN104" i="8" s="1"/>
  <c r="BF104" i="8"/>
  <c r="BC104" i="8" s="1"/>
  <c r="BB104" i="8"/>
  <c r="BQ104" i="8" s="1"/>
  <c r="BA104" i="8"/>
  <c r="BX104" i="8" s="1"/>
  <c r="X104" i="8"/>
  <c r="Y104" i="8" s="1"/>
  <c r="Z104" i="8" s="1"/>
  <c r="AB104" i="8" s="1"/>
  <c r="W104" i="8"/>
  <c r="V104" i="8"/>
  <c r="DC103" i="8"/>
  <c r="CU103" i="8"/>
  <c r="CR103" i="8"/>
  <c r="CQ103" i="8"/>
  <c r="CN103" i="8"/>
  <c r="CM103" i="8"/>
  <c r="CK103" i="8"/>
  <c r="CI103" i="8"/>
  <c r="CH103" i="8"/>
  <c r="DE103" i="8" s="1"/>
  <c r="BV103" i="8"/>
  <c r="BK103" i="8"/>
  <c r="BJ103" i="8"/>
  <c r="BG103" i="8"/>
  <c r="BF103" i="8"/>
  <c r="BC103" i="8" s="1"/>
  <c r="BB103" i="8"/>
  <c r="BA103" i="8"/>
  <c r="BX103" i="8" s="1"/>
  <c r="X103" i="8"/>
  <c r="W103" i="8"/>
  <c r="V103" i="8"/>
  <c r="DC102" i="8"/>
  <c r="CU102" i="8"/>
  <c r="CR102" i="8"/>
  <c r="CQ102" i="8"/>
  <c r="CN102" i="8"/>
  <c r="CM102" i="8"/>
  <c r="CK102" i="8"/>
  <c r="CI102" i="8"/>
  <c r="CX102" i="8" s="1"/>
  <c r="CH102" i="8"/>
  <c r="CZ102" i="8" s="1"/>
  <c r="BV102" i="8"/>
  <c r="BK102" i="8"/>
  <c r="BJ102" i="8"/>
  <c r="BG102" i="8"/>
  <c r="BF102" i="8"/>
  <c r="BM102" i="8" s="1"/>
  <c r="BB102" i="8"/>
  <c r="BA102" i="8"/>
  <c r="X102" i="8"/>
  <c r="Y102" i="8" s="1"/>
  <c r="Z102" i="8" s="1"/>
  <c r="AB102" i="8" s="1"/>
  <c r="W102" i="8"/>
  <c r="V102" i="8"/>
  <c r="DC101" i="8"/>
  <c r="CU101" i="8"/>
  <c r="CR101" i="8"/>
  <c r="CQ101" i="8"/>
  <c r="CN101" i="8"/>
  <c r="CM101" i="8"/>
  <c r="CK101" i="8"/>
  <c r="CI101" i="8"/>
  <c r="DA101" i="8" s="1"/>
  <c r="CH101" i="8"/>
  <c r="CZ101" i="8" s="1"/>
  <c r="BV101" i="8"/>
  <c r="BK101" i="8"/>
  <c r="BJ101" i="8"/>
  <c r="BG101" i="8"/>
  <c r="BD101" i="8" s="1"/>
  <c r="BF101" i="8"/>
  <c r="BB101" i="8"/>
  <c r="BT101" i="8" s="1"/>
  <c r="BA101" i="8"/>
  <c r="BX101" i="8" s="1"/>
  <c r="X101" i="8"/>
  <c r="W101" i="8"/>
  <c r="V101" i="8"/>
  <c r="DC100" i="8"/>
  <c r="CU100" i="8"/>
  <c r="CR100" i="8"/>
  <c r="CQ100" i="8"/>
  <c r="CN100" i="8"/>
  <c r="CM100" i="8"/>
  <c r="CK100" i="8"/>
  <c r="CI100" i="8"/>
  <c r="CY100" i="8" s="1"/>
  <c r="CH100" i="8"/>
  <c r="CZ100" i="8" s="1"/>
  <c r="BV100" i="8"/>
  <c r="BK100" i="8"/>
  <c r="BJ100" i="8"/>
  <c r="BG100" i="8"/>
  <c r="BF100" i="8"/>
  <c r="BB100" i="8"/>
  <c r="BT100" i="8" s="1"/>
  <c r="BA100" i="8"/>
  <c r="BR100" i="8" s="1"/>
  <c r="X100" i="8"/>
  <c r="W100" i="8"/>
  <c r="V100" i="8"/>
  <c r="DC99" i="8"/>
  <c r="CU99" i="8"/>
  <c r="CR99" i="8"/>
  <c r="CQ99" i="8"/>
  <c r="CN99" i="8"/>
  <c r="CM99" i="8"/>
  <c r="CT99" i="8" s="1"/>
  <c r="CK99" i="8"/>
  <c r="CI99" i="8"/>
  <c r="CX99" i="8" s="1"/>
  <c r="CH99" i="8"/>
  <c r="DE99" i="8" s="1"/>
  <c r="BV99" i="8"/>
  <c r="BK99" i="8"/>
  <c r="BJ99" i="8"/>
  <c r="BG99" i="8"/>
  <c r="BF99" i="8"/>
  <c r="BM99" i="8" s="1"/>
  <c r="BC99" i="8"/>
  <c r="BB99" i="8"/>
  <c r="BA99" i="8"/>
  <c r="X99" i="8"/>
  <c r="W99" i="8"/>
  <c r="V99" i="8"/>
  <c r="DC98" i="8"/>
  <c r="CU98" i="8"/>
  <c r="CR98" i="8"/>
  <c r="CQ98" i="8"/>
  <c r="CN98" i="8"/>
  <c r="CM98" i="8"/>
  <c r="CT98" i="8" s="1"/>
  <c r="CK98" i="8"/>
  <c r="CI98" i="8"/>
  <c r="CH98" i="8"/>
  <c r="CZ98" i="8" s="1"/>
  <c r="BV98" i="8"/>
  <c r="BK98" i="8"/>
  <c r="BJ98" i="8"/>
  <c r="BG98" i="8"/>
  <c r="BF98" i="8"/>
  <c r="BM98" i="8" s="1"/>
  <c r="BB98" i="8"/>
  <c r="BQ98" i="8" s="1"/>
  <c r="BA98" i="8"/>
  <c r="BX98" i="8" s="1"/>
  <c r="X98" i="8"/>
  <c r="W98" i="8"/>
  <c r="V98" i="8"/>
  <c r="DC97" i="8"/>
  <c r="CU97" i="8"/>
  <c r="CR97" i="8"/>
  <c r="CQ97" i="8"/>
  <c r="CN97" i="8"/>
  <c r="CM97" i="8"/>
  <c r="CK97" i="8"/>
  <c r="CI97" i="8"/>
  <c r="DA97" i="8" s="1"/>
  <c r="CH97" i="8"/>
  <c r="CZ97" i="8" s="1"/>
  <c r="BV97" i="8"/>
  <c r="BK97" i="8"/>
  <c r="BJ97" i="8"/>
  <c r="BG97" i="8"/>
  <c r="BD97" i="8" s="1"/>
  <c r="BF97" i="8"/>
  <c r="BC97" i="8" s="1"/>
  <c r="BB97" i="8"/>
  <c r="BT97" i="8" s="1"/>
  <c r="BA97" i="8"/>
  <c r="BX97" i="8" s="1"/>
  <c r="X97" i="8"/>
  <c r="W97" i="8"/>
  <c r="V97" i="8"/>
  <c r="DC96" i="8"/>
  <c r="CU96" i="8"/>
  <c r="CR96" i="8"/>
  <c r="CQ96" i="8"/>
  <c r="CN96" i="8"/>
  <c r="CM96" i="8"/>
  <c r="CT96" i="8" s="1"/>
  <c r="CK96" i="8"/>
  <c r="CI96" i="8"/>
  <c r="CY96" i="8" s="1"/>
  <c r="CH96" i="8"/>
  <c r="DE96" i="8" s="1"/>
  <c r="BV96" i="8"/>
  <c r="BK96" i="8"/>
  <c r="BJ96" i="8"/>
  <c r="BG96" i="8"/>
  <c r="BF96" i="8"/>
  <c r="BB96" i="8"/>
  <c r="BQ96" i="8" s="1"/>
  <c r="BA96" i="8"/>
  <c r="BR96" i="8" s="1"/>
  <c r="X96" i="8"/>
  <c r="W96" i="8"/>
  <c r="V96" i="8"/>
  <c r="DC95" i="8"/>
  <c r="CU95" i="8"/>
  <c r="CR95" i="8"/>
  <c r="CQ95" i="8"/>
  <c r="CN95" i="8"/>
  <c r="CM95" i="8"/>
  <c r="CK95" i="8"/>
  <c r="CI95" i="8"/>
  <c r="CH95" i="8"/>
  <c r="BV95" i="8"/>
  <c r="BK95" i="8"/>
  <c r="BJ95" i="8"/>
  <c r="BG95" i="8"/>
  <c r="BD95" i="8" s="1"/>
  <c r="BF95" i="8"/>
  <c r="BM95" i="8" s="1"/>
  <c r="BB95" i="8"/>
  <c r="BA95" i="8"/>
  <c r="BX95" i="8" s="1"/>
  <c r="X95" i="8"/>
  <c r="Y95" i="8" s="1"/>
  <c r="Z95" i="8" s="1"/>
  <c r="AB95" i="8" s="1"/>
  <c r="W95" i="8"/>
  <c r="V95" i="8"/>
  <c r="DC94" i="8"/>
  <c r="CU94" i="8"/>
  <c r="CR94" i="8"/>
  <c r="CQ94" i="8"/>
  <c r="CN94" i="8"/>
  <c r="CM94" i="8"/>
  <c r="CK94" i="8"/>
  <c r="CI94" i="8"/>
  <c r="DA94" i="8" s="1"/>
  <c r="CH94" i="8"/>
  <c r="BV94" i="8"/>
  <c r="BK94" i="8"/>
  <c r="BJ94" i="8"/>
  <c r="BG94" i="8"/>
  <c r="BF94" i="8"/>
  <c r="BB94" i="8"/>
  <c r="BU94" i="8" s="1"/>
  <c r="BA94" i="8"/>
  <c r="BX94" i="8" s="1"/>
  <c r="X94" i="8"/>
  <c r="W94" i="8"/>
  <c r="V94" i="8"/>
  <c r="DC93" i="8"/>
  <c r="CU93" i="8"/>
  <c r="CR93" i="8"/>
  <c r="CQ93" i="8"/>
  <c r="CN93" i="8"/>
  <c r="CM93" i="8"/>
  <c r="CT93" i="8" s="1"/>
  <c r="CK93" i="8"/>
  <c r="CI93" i="8"/>
  <c r="CY93" i="8" s="1"/>
  <c r="CH93" i="8"/>
  <c r="BV93" i="8"/>
  <c r="BK93" i="8"/>
  <c r="BJ93" i="8"/>
  <c r="BG93" i="8"/>
  <c r="BF93" i="8"/>
  <c r="BM93" i="8" s="1"/>
  <c r="BB93" i="8"/>
  <c r="BQ93" i="8" s="1"/>
  <c r="BA93" i="8"/>
  <c r="BS93" i="8" s="1"/>
  <c r="X93" i="8"/>
  <c r="BW93" i="8" s="1"/>
  <c r="W93" i="8"/>
  <c r="V93" i="8"/>
  <c r="DC92" i="8"/>
  <c r="CU92" i="8"/>
  <c r="CR92" i="8"/>
  <c r="CQ92" i="8"/>
  <c r="CN92" i="8"/>
  <c r="CM92" i="8"/>
  <c r="CK92" i="8"/>
  <c r="CI92" i="8"/>
  <c r="DA92" i="8" s="1"/>
  <c r="CH92" i="8"/>
  <c r="CZ92" i="8" s="1"/>
  <c r="BV92" i="8"/>
  <c r="BK92" i="8"/>
  <c r="BJ92" i="8"/>
  <c r="BG92" i="8"/>
  <c r="BN92" i="8" s="1"/>
  <c r="BF92" i="8"/>
  <c r="BB92" i="8"/>
  <c r="BT92" i="8" s="1"/>
  <c r="BA92" i="8"/>
  <c r="BR92" i="8" s="1"/>
  <c r="X92" i="8"/>
  <c r="DD92" i="8" s="1"/>
  <c r="W92" i="8"/>
  <c r="V92" i="8"/>
  <c r="DC91" i="8"/>
  <c r="CU91" i="8"/>
  <c r="CR91" i="8"/>
  <c r="CQ91" i="8"/>
  <c r="CN91" i="8"/>
  <c r="CM91" i="8"/>
  <c r="CJ91" i="8" s="1"/>
  <c r="CK91" i="8"/>
  <c r="CI91" i="8"/>
  <c r="CH91" i="8"/>
  <c r="CZ91" i="8" s="1"/>
  <c r="BV91" i="8"/>
  <c r="BK91" i="8"/>
  <c r="BJ91" i="8"/>
  <c r="BG91" i="8"/>
  <c r="BF91" i="8"/>
  <c r="BB91" i="8"/>
  <c r="BQ91" i="8" s="1"/>
  <c r="BA91" i="8"/>
  <c r="BR91" i="8" s="1"/>
  <c r="X91" i="8"/>
  <c r="BW91" i="8" s="1"/>
  <c r="W91" i="8"/>
  <c r="V91" i="8"/>
  <c r="DC90" i="8"/>
  <c r="CU90" i="8"/>
  <c r="CR90" i="8"/>
  <c r="CQ90" i="8"/>
  <c r="CN90" i="8"/>
  <c r="CM90" i="8"/>
  <c r="CK90" i="8"/>
  <c r="CI90" i="8"/>
  <c r="CH90" i="8"/>
  <c r="CZ90" i="8" s="1"/>
  <c r="BV90" i="8"/>
  <c r="BM90" i="8"/>
  <c r="BK90" i="8"/>
  <c r="BJ90" i="8"/>
  <c r="BG90" i="8"/>
  <c r="BF90" i="8"/>
  <c r="BC90" i="8"/>
  <c r="BB90" i="8"/>
  <c r="BU90" i="8" s="1"/>
  <c r="BA90" i="8"/>
  <c r="BS90" i="8" s="1"/>
  <c r="X90" i="8"/>
  <c r="Y90" i="8" s="1"/>
  <c r="Z90" i="8" s="1"/>
  <c r="AB90" i="8" s="1"/>
  <c r="W90" i="8"/>
  <c r="V90" i="8"/>
  <c r="DC85" i="8"/>
  <c r="CU85" i="8"/>
  <c r="CR85" i="8"/>
  <c r="CQ85" i="8"/>
  <c r="CN85" i="8"/>
  <c r="CM85" i="8"/>
  <c r="CJ85" i="8" s="1"/>
  <c r="CK85" i="8"/>
  <c r="CI85" i="8"/>
  <c r="DA85" i="8" s="1"/>
  <c r="CH85" i="8"/>
  <c r="BV85" i="8"/>
  <c r="BK85" i="8"/>
  <c r="BJ85" i="8"/>
  <c r="BG85" i="8"/>
  <c r="BD85" i="8" s="1"/>
  <c r="BF85" i="8"/>
  <c r="BC85" i="8" s="1"/>
  <c r="BB85" i="8"/>
  <c r="BT85" i="8" s="1"/>
  <c r="BA85" i="8"/>
  <c r="X85" i="8"/>
  <c r="W85" i="8"/>
  <c r="V85" i="8"/>
  <c r="DC84" i="8"/>
  <c r="CU84" i="8"/>
  <c r="CR84" i="8"/>
  <c r="CQ84" i="8"/>
  <c r="CN84" i="8"/>
  <c r="CM84" i="8"/>
  <c r="CT84" i="8" s="1"/>
  <c r="CK84" i="8"/>
  <c r="CI84" i="8"/>
  <c r="CH84" i="8"/>
  <c r="CZ84" i="8" s="1"/>
  <c r="BV84" i="8"/>
  <c r="BK84" i="8"/>
  <c r="BJ84" i="8"/>
  <c r="BG84" i="8"/>
  <c r="BN84" i="8" s="1"/>
  <c r="BF84" i="8"/>
  <c r="BC84" i="8" s="1"/>
  <c r="BB84" i="8"/>
  <c r="BA84" i="8"/>
  <c r="BR84" i="8" s="1"/>
  <c r="X84" i="8"/>
  <c r="DD84" i="8" s="1"/>
  <c r="W84" i="8"/>
  <c r="V84" i="8"/>
  <c r="DC83" i="8"/>
  <c r="CU83" i="8"/>
  <c r="CR83" i="8"/>
  <c r="CQ83" i="8"/>
  <c r="CN83" i="8"/>
  <c r="CM83" i="8"/>
  <c r="CT83" i="8" s="1"/>
  <c r="CK83" i="8"/>
  <c r="CI83" i="8"/>
  <c r="DB83" i="8" s="1"/>
  <c r="CH83" i="8"/>
  <c r="DE83" i="8" s="1"/>
  <c r="BV83" i="8"/>
  <c r="BK83" i="8"/>
  <c r="BJ83" i="8"/>
  <c r="BG83" i="8"/>
  <c r="BN83" i="8" s="1"/>
  <c r="BF83" i="8"/>
  <c r="BC83" i="8" s="1"/>
  <c r="BB83" i="8"/>
  <c r="BA83" i="8"/>
  <c r="BX83" i="8" s="1"/>
  <c r="X83" i="8"/>
  <c r="W83" i="8"/>
  <c r="V83" i="8"/>
  <c r="DC82" i="8"/>
  <c r="CU82" i="8"/>
  <c r="CR82" i="8"/>
  <c r="CQ82" i="8"/>
  <c r="CN82" i="8"/>
  <c r="CM82" i="8"/>
  <c r="CT82" i="8" s="1"/>
  <c r="CK82" i="8"/>
  <c r="CI82" i="8"/>
  <c r="CX82" i="8" s="1"/>
  <c r="CH82" i="8"/>
  <c r="CZ82" i="8" s="1"/>
  <c r="BV82" i="8"/>
  <c r="BK82" i="8"/>
  <c r="BJ82" i="8"/>
  <c r="BG82" i="8"/>
  <c r="BF82" i="8"/>
  <c r="BM82" i="8" s="1"/>
  <c r="BB82" i="8"/>
  <c r="BA82" i="8"/>
  <c r="BS82" i="8" s="1"/>
  <c r="X82" i="8"/>
  <c r="DD82" i="8" s="1"/>
  <c r="W82" i="8"/>
  <c r="V82" i="8"/>
  <c r="DC81" i="8"/>
  <c r="CU81" i="8"/>
  <c r="CR81" i="8"/>
  <c r="CQ81" i="8"/>
  <c r="CN81" i="8"/>
  <c r="CM81" i="8"/>
  <c r="CJ81" i="8" s="1"/>
  <c r="CK81" i="8"/>
  <c r="CI81" i="8"/>
  <c r="DA81" i="8" s="1"/>
  <c r="CH81" i="8"/>
  <c r="BV81" i="8"/>
  <c r="BK81" i="8"/>
  <c r="BJ81" i="8"/>
  <c r="BG81" i="8"/>
  <c r="BF81" i="8"/>
  <c r="BC81" i="8" s="1"/>
  <c r="BB81" i="8"/>
  <c r="BT81" i="8" s="1"/>
  <c r="BA81" i="8"/>
  <c r="BX81" i="8" s="1"/>
  <c r="X81" i="8"/>
  <c r="DD81" i="8" s="1"/>
  <c r="W81" i="8"/>
  <c r="V81" i="8"/>
  <c r="DC80" i="8"/>
  <c r="CU80" i="8"/>
  <c r="CR80" i="8"/>
  <c r="CQ80" i="8"/>
  <c r="CN80" i="8"/>
  <c r="CM80" i="8"/>
  <c r="CK80" i="8"/>
  <c r="CI80" i="8"/>
  <c r="CY80" i="8" s="1"/>
  <c r="CH80" i="8"/>
  <c r="CZ80" i="8" s="1"/>
  <c r="BV80" i="8"/>
  <c r="BK80" i="8"/>
  <c r="BJ80" i="8"/>
  <c r="BG80" i="8"/>
  <c r="BF80" i="8"/>
  <c r="BB80" i="8"/>
  <c r="BQ80" i="8" s="1"/>
  <c r="BA80" i="8"/>
  <c r="BR80" i="8" s="1"/>
  <c r="X80" i="8"/>
  <c r="DD80" i="8" s="1"/>
  <c r="W80" i="8"/>
  <c r="V80" i="8"/>
  <c r="DC79" i="8"/>
  <c r="CU79" i="8"/>
  <c r="CR79" i="8"/>
  <c r="CQ79" i="8"/>
  <c r="CN79" i="8"/>
  <c r="CM79" i="8"/>
  <c r="CJ79" i="8" s="1"/>
  <c r="CK79" i="8"/>
  <c r="CI79" i="8"/>
  <c r="CH79" i="8"/>
  <c r="BV79" i="8"/>
  <c r="BK79" i="8"/>
  <c r="BJ79" i="8"/>
  <c r="BG79" i="8"/>
  <c r="BF79" i="8"/>
  <c r="BM79" i="8" s="1"/>
  <c r="BB79" i="8"/>
  <c r="BU79" i="8" s="1"/>
  <c r="BA79" i="8"/>
  <c r="X79" i="8"/>
  <c r="W79" i="8"/>
  <c r="V79" i="8"/>
  <c r="DC78" i="8"/>
  <c r="CU78" i="8"/>
  <c r="CR78" i="8"/>
  <c r="CQ78" i="8"/>
  <c r="CN78" i="8"/>
  <c r="CM78" i="8"/>
  <c r="CJ78" i="8" s="1"/>
  <c r="CK78" i="8"/>
  <c r="CI78" i="8"/>
  <c r="CH78" i="8"/>
  <c r="DE78" i="8" s="1"/>
  <c r="BV78" i="8"/>
  <c r="BK78" i="8"/>
  <c r="BJ78" i="8"/>
  <c r="BG78" i="8"/>
  <c r="BF78" i="8"/>
  <c r="BM78" i="8" s="1"/>
  <c r="BB78" i="8"/>
  <c r="BQ78" i="8" s="1"/>
  <c r="BA78" i="8"/>
  <c r="BX78" i="8" s="1"/>
  <c r="X78" i="8"/>
  <c r="W78" i="8"/>
  <c r="V78" i="8"/>
  <c r="DC77" i="8"/>
  <c r="CU77" i="8"/>
  <c r="CR77" i="8"/>
  <c r="CQ77" i="8"/>
  <c r="CN77" i="8"/>
  <c r="CM77" i="8"/>
  <c r="CJ77" i="8" s="1"/>
  <c r="CK77" i="8"/>
  <c r="CI77" i="8"/>
  <c r="CH77" i="8"/>
  <c r="CZ77" i="8" s="1"/>
  <c r="BV77" i="8"/>
  <c r="BK77" i="8"/>
  <c r="BJ77" i="8"/>
  <c r="BG77" i="8"/>
  <c r="BD77" i="8" s="1"/>
  <c r="BF77" i="8"/>
  <c r="BC77" i="8" s="1"/>
  <c r="BB77" i="8"/>
  <c r="BT77" i="8" s="1"/>
  <c r="BA77" i="8"/>
  <c r="BX77" i="8" s="1"/>
  <c r="X77" i="8"/>
  <c r="DD77" i="8" s="1"/>
  <c r="W77" i="8"/>
  <c r="V77" i="8"/>
  <c r="DC76" i="8"/>
  <c r="CU76" i="8"/>
  <c r="CR76" i="8"/>
  <c r="CQ76" i="8"/>
  <c r="CN76" i="8"/>
  <c r="CM76" i="8"/>
  <c r="CJ76" i="8" s="1"/>
  <c r="CK76" i="8"/>
  <c r="CI76" i="8"/>
  <c r="CH76" i="8"/>
  <c r="DE76" i="8" s="1"/>
  <c r="BV76" i="8"/>
  <c r="BK76" i="8"/>
  <c r="BJ76" i="8"/>
  <c r="BG76" i="8"/>
  <c r="BD76" i="8" s="1"/>
  <c r="BF76" i="8"/>
  <c r="BC76" i="8" s="1"/>
  <c r="BB76" i="8"/>
  <c r="BA76" i="8"/>
  <c r="X76" i="8"/>
  <c r="DD76" i="8" s="1"/>
  <c r="W76" i="8"/>
  <c r="V76" i="8"/>
  <c r="DC75" i="8"/>
  <c r="CU75" i="8"/>
  <c r="CR75" i="8"/>
  <c r="CQ75" i="8"/>
  <c r="CN75" i="8"/>
  <c r="CM75" i="8"/>
  <c r="CJ75" i="8" s="1"/>
  <c r="CK75" i="8"/>
  <c r="CI75" i="8"/>
  <c r="DB75" i="8" s="1"/>
  <c r="CH75" i="8"/>
  <c r="DE75" i="8" s="1"/>
  <c r="BV75" i="8"/>
  <c r="BK75" i="8"/>
  <c r="BJ75" i="8"/>
  <c r="BG75" i="8"/>
  <c r="BF75" i="8"/>
  <c r="BB75" i="8"/>
  <c r="BU75" i="8" s="1"/>
  <c r="BA75" i="8"/>
  <c r="BX75" i="8" s="1"/>
  <c r="X75" i="8"/>
  <c r="W75" i="8"/>
  <c r="V75" i="8"/>
  <c r="DC74" i="8"/>
  <c r="CU74" i="8"/>
  <c r="CR74" i="8"/>
  <c r="CQ74" i="8"/>
  <c r="CN74" i="8"/>
  <c r="CM74" i="8"/>
  <c r="CT74" i="8" s="1"/>
  <c r="CK74" i="8"/>
  <c r="CI74" i="8"/>
  <c r="CH74" i="8"/>
  <c r="DE74" i="8" s="1"/>
  <c r="BV74" i="8"/>
  <c r="BK74" i="8"/>
  <c r="BJ74" i="8"/>
  <c r="BG74" i="8"/>
  <c r="BF74" i="8"/>
  <c r="BB74" i="8"/>
  <c r="BA74" i="8"/>
  <c r="X74" i="8"/>
  <c r="Y74" i="8" s="1"/>
  <c r="Z74" i="8" s="1"/>
  <c r="AB74" i="8" s="1"/>
  <c r="W74" i="8"/>
  <c r="V74" i="8"/>
  <c r="DC73" i="8"/>
  <c r="CU73" i="8"/>
  <c r="CR73" i="8"/>
  <c r="CQ73" i="8"/>
  <c r="CN73" i="8"/>
  <c r="CM73" i="8"/>
  <c r="CK73" i="8"/>
  <c r="CI73" i="8"/>
  <c r="CY73" i="8" s="1"/>
  <c r="CH73" i="8"/>
  <c r="DE73" i="8" s="1"/>
  <c r="BV73" i="8"/>
  <c r="BK73" i="8"/>
  <c r="BJ73" i="8"/>
  <c r="BG73" i="8"/>
  <c r="BF73" i="8"/>
  <c r="BB73" i="8"/>
  <c r="BQ73" i="8" s="1"/>
  <c r="BA73" i="8"/>
  <c r="BX73" i="8" s="1"/>
  <c r="X73" i="8"/>
  <c r="W73" i="8"/>
  <c r="V73" i="8"/>
  <c r="DC72" i="8"/>
  <c r="CU72" i="8"/>
  <c r="CR72" i="8"/>
  <c r="CQ72" i="8"/>
  <c r="CN72" i="8"/>
  <c r="CM72" i="8"/>
  <c r="CT72" i="8" s="1"/>
  <c r="CK72" i="8"/>
  <c r="CI72" i="8"/>
  <c r="CX72" i="8" s="1"/>
  <c r="CH72" i="8"/>
  <c r="DE72" i="8" s="1"/>
  <c r="BV72" i="8"/>
  <c r="BK72" i="8"/>
  <c r="BJ72" i="8"/>
  <c r="BG72" i="8"/>
  <c r="BF72" i="8"/>
  <c r="BC72" i="8" s="1"/>
  <c r="BB72" i="8"/>
  <c r="BT72" i="8" s="1"/>
  <c r="BA72" i="8"/>
  <c r="BX72" i="8" s="1"/>
  <c r="X72" i="8"/>
  <c r="BW72" i="8" s="1"/>
  <c r="W72" i="8"/>
  <c r="V72" i="8"/>
  <c r="DC71" i="8"/>
  <c r="CU71" i="8"/>
  <c r="CR71" i="8"/>
  <c r="CQ71" i="8"/>
  <c r="CN71" i="8"/>
  <c r="CM71" i="8"/>
  <c r="CJ71" i="8" s="1"/>
  <c r="CK71" i="8"/>
  <c r="CI71" i="8"/>
  <c r="CY71" i="8" s="1"/>
  <c r="CH71" i="8"/>
  <c r="BV71" i="8"/>
  <c r="BK71" i="8"/>
  <c r="BJ71" i="8"/>
  <c r="BG71" i="8"/>
  <c r="BF71" i="8"/>
  <c r="BM71" i="8" s="1"/>
  <c r="BB71" i="8"/>
  <c r="BA71" i="8"/>
  <c r="BS71" i="8" s="1"/>
  <c r="X71" i="8"/>
  <c r="W71" i="8"/>
  <c r="V71" i="8"/>
  <c r="DC70" i="8"/>
  <c r="CU70" i="8"/>
  <c r="CR70" i="8"/>
  <c r="CQ70" i="8"/>
  <c r="CN70" i="8"/>
  <c r="CM70" i="8"/>
  <c r="CT70" i="8" s="1"/>
  <c r="CK70" i="8"/>
  <c r="CI70" i="8"/>
  <c r="DB70" i="8" s="1"/>
  <c r="CH70" i="8"/>
  <c r="BV70" i="8"/>
  <c r="BM70" i="8"/>
  <c r="BK70" i="8"/>
  <c r="BJ70" i="8"/>
  <c r="BG70" i="8"/>
  <c r="BF70" i="8"/>
  <c r="BC70" i="8"/>
  <c r="BB70" i="8"/>
  <c r="BU70" i="8" s="1"/>
  <c r="BA70" i="8"/>
  <c r="BS70" i="8" s="1"/>
  <c r="X70" i="8"/>
  <c r="Y70" i="8" s="1"/>
  <c r="W70" i="8"/>
  <c r="V70" i="8"/>
  <c r="DC65" i="8"/>
  <c r="CU65" i="8"/>
  <c r="CR65" i="8"/>
  <c r="CQ65" i="8"/>
  <c r="CN65" i="8"/>
  <c r="CM65" i="8"/>
  <c r="CK65" i="8"/>
  <c r="CI65" i="8"/>
  <c r="DA65" i="8" s="1"/>
  <c r="CH65" i="8"/>
  <c r="CZ65" i="8" s="1"/>
  <c r="BV65" i="8"/>
  <c r="BK65" i="8"/>
  <c r="BJ65" i="8"/>
  <c r="BG65" i="8"/>
  <c r="BD65" i="8" s="1"/>
  <c r="BF65" i="8"/>
  <c r="BC65" i="8" s="1"/>
  <c r="BB65" i="8"/>
  <c r="BT65" i="8" s="1"/>
  <c r="BA65" i="8"/>
  <c r="X65" i="8"/>
  <c r="Y65" i="8" s="1"/>
  <c r="Z65" i="8" s="1"/>
  <c r="AB65" i="8" s="1"/>
  <c r="W65" i="8"/>
  <c r="V65" i="8"/>
  <c r="DC64" i="8"/>
  <c r="CU64" i="8"/>
  <c r="CR64" i="8"/>
  <c r="CQ64" i="8"/>
  <c r="CN64" i="8"/>
  <c r="CM64" i="8"/>
  <c r="CJ64" i="8" s="1"/>
  <c r="CK64" i="8"/>
  <c r="CI64" i="8"/>
  <c r="CY64" i="8" s="1"/>
  <c r="CH64" i="8"/>
  <c r="DE64" i="8" s="1"/>
  <c r="BV64" i="8"/>
  <c r="BK64" i="8"/>
  <c r="BJ64" i="8"/>
  <c r="BG64" i="8"/>
  <c r="BF64" i="8"/>
  <c r="BC64" i="8" s="1"/>
  <c r="BB64" i="8"/>
  <c r="BQ64" i="8" s="1"/>
  <c r="BA64" i="8"/>
  <c r="X64" i="8"/>
  <c r="DD64" i="8" s="1"/>
  <c r="W64" i="8"/>
  <c r="V64" i="8"/>
  <c r="DC63" i="8"/>
  <c r="CU63" i="8"/>
  <c r="CR63" i="8"/>
  <c r="CQ63" i="8"/>
  <c r="CN63" i="8"/>
  <c r="CM63" i="8"/>
  <c r="CT63" i="8" s="1"/>
  <c r="CK63" i="8"/>
  <c r="CI63" i="8"/>
  <c r="DB63" i="8" s="1"/>
  <c r="CH63" i="8"/>
  <c r="BV63" i="8"/>
  <c r="BK63" i="8"/>
  <c r="BJ63" i="8"/>
  <c r="BG63" i="8"/>
  <c r="BD63" i="8" s="1"/>
  <c r="BF63" i="8"/>
  <c r="BM63" i="8" s="1"/>
  <c r="BB63" i="8"/>
  <c r="BU63" i="8" s="1"/>
  <c r="BA63" i="8"/>
  <c r="BR63" i="8" s="1"/>
  <c r="X63" i="8"/>
  <c r="DD63" i="8" s="1"/>
  <c r="W63" i="8"/>
  <c r="V63" i="8"/>
  <c r="DC62" i="8"/>
  <c r="CU62" i="8"/>
  <c r="CR62" i="8"/>
  <c r="CQ62" i="8"/>
  <c r="CN62" i="8"/>
  <c r="CM62" i="8"/>
  <c r="CK62" i="8"/>
  <c r="CI62" i="8"/>
  <c r="CY62" i="8" s="1"/>
  <c r="CH62" i="8"/>
  <c r="CZ62" i="8" s="1"/>
  <c r="BV62" i="8"/>
  <c r="BK62" i="8"/>
  <c r="BJ62" i="8"/>
  <c r="BG62" i="8"/>
  <c r="BF62" i="8"/>
  <c r="BM62" i="8" s="1"/>
  <c r="BB62" i="8"/>
  <c r="BA62" i="8"/>
  <c r="BR62" i="8" s="1"/>
  <c r="X62" i="8"/>
  <c r="Y62" i="8" s="1"/>
  <c r="Z62" i="8" s="1"/>
  <c r="AB62" i="8" s="1"/>
  <c r="W62" i="8"/>
  <c r="V62" i="8"/>
  <c r="DC61" i="8"/>
  <c r="CU61" i="8"/>
  <c r="CR61" i="8"/>
  <c r="CQ61" i="8"/>
  <c r="CN61" i="8"/>
  <c r="CM61" i="8"/>
  <c r="CJ61" i="8" s="1"/>
  <c r="CK61" i="8"/>
  <c r="CI61" i="8"/>
  <c r="CH61" i="8"/>
  <c r="BV61" i="8"/>
  <c r="BK61" i="8"/>
  <c r="BJ61" i="8"/>
  <c r="BG61" i="8"/>
  <c r="BF61" i="8"/>
  <c r="BC61" i="8" s="1"/>
  <c r="BB61" i="8"/>
  <c r="BT61" i="8" s="1"/>
  <c r="BA61" i="8"/>
  <c r="BS61" i="8" s="1"/>
  <c r="X61" i="8"/>
  <c r="W61" i="8"/>
  <c r="V61" i="8"/>
  <c r="DC60" i="8"/>
  <c r="CU60" i="8"/>
  <c r="CR60" i="8"/>
  <c r="CQ60" i="8"/>
  <c r="CN60" i="8"/>
  <c r="CM60" i="8"/>
  <c r="CT60" i="8" s="1"/>
  <c r="CK60" i="8"/>
  <c r="CI60" i="8"/>
  <c r="CY60" i="8" s="1"/>
  <c r="CH60" i="8"/>
  <c r="BV60" i="8"/>
  <c r="BK60" i="8"/>
  <c r="BJ60" i="8"/>
  <c r="BG60" i="8"/>
  <c r="BN60" i="8" s="1"/>
  <c r="BF60" i="8"/>
  <c r="BM60" i="8" s="1"/>
  <c r="BB60" i="8"/>
  <c r="BQ60" i="8" s="1"/>
  <c r="BA60" i="8"/>
  <c r="BR60" i="8" s="1"/>
  <c r="X60" i="8"/>
  <c r="DD60" i="8" s="1"/>
  <c r="W60" i="8"/>
  <c r="V60" i="8"/>
  <c r="DC59" i="8"/>
  <c r="CU59" i="8"/>
  <c r="CR59" i="8"/>
  <c r="CQ59" i="8"/>
  <c r="CN59" i="8"/>
  <c r="CM59" i="8"/>
  <c r="CK59" i="8"/>
  <c r="CI59" i="8"/>
  <c r="DB59" i="8" s="1"/>
  <c r="CH59" i="8"/>
  <c r="BV59" i="8"/>
  <c r="BK59" i="8"/>
  <c r="BJ59" i="8"/>
  <c r="BG59" i="8"/>
  <c r="BD59" i="8" s="1"/>
  <c r="BF59" i="8"/>
  <c r="BC59" i="8" s="1"/>
  <c r="BB59" i="8"/>
  <c r="BU59" i="8" s="1"/>
  <c r="BA59" i="8"/>
  <c r="X59" i="8"/>
  <c r="W59" i="8"/>
  <c r="V59" i="8"/>
  <c r="DC58" i="8"/>
  <c r="CU58" i="8"/>
  <c r="CR58" i="8"/>
  <c r="CQ58" i="8"/>
  <c r="CN58" i="8"/>
  <c r="CM58" i="8"/>
  <c r="CJ58" i="8" s="1"/>
  <c r="CK58" i="8"/>
  <c r="CI58" i="8"/>
  <c r="CH58" i="8"/>
  <c r="BV58" i="8"/>
  <c r="BK58" i="8"/>
  <c r="BJ58" i="8"/>
  <c r="BG58" i="8"/>
  <c r="BF58" i="8"/>
  <c r="BC58" i="8" s="1"/>
  <c r="BB58" i="8"/>
  <c r="BA58" i="8"/>
  <c r="BS58" i="8" s="1"/>
  <c r="X58" i="8"/>
  <c r="Y58" i="8" s="1"/>
  <c r="Z58" i="8" s="1"/>
  <c r="AB58" i="8" s="1"/>
  <c r="W58" i="8"/>
  <c r="V58" i="8"/>
  <c r="DC57" i="8"/>
  <c r="CU57" i="8"/>
  <c r="CR57" i="8"/>
  <c r="CQ57" i="8"/>
  <c r="CN57" i="8"/>
  <c r="CM57" i="8"/>
  <c r="CJ57" i="8" s="1"/>
  <c r="CK57" i="8"/>
  <c r="CI57" i="8"/>
  <c r="CY57" i="8" s="1"/>
  <c r="CH57" i="8"/>
  <c r="CZ57" i="8" s="1"/>
  <c r="BV57" i="8"/>
  <c r="BK57" i="8"/>
  <c r="BJ57" i="8"/>
  <c r="BG57" i="8"/>
  <c r="BF57" i="8"/>
  <c r="BB57" i="8"/>
  <c r="BT57" i="8" s="1"/>
  <c r="BA57" i="8"/>
  <c r="BS57" i="8" s="1"/>
  <c r="X57" i="8"/>
  <c r="W57" i="8"/>
  <c r="V57" i="8"/>
  <c r="DC56" i="8"/>
  <c r="CU56" i="8"/>
  <c r="CR56" i="8"/>
  <c r="CQ56" i="8"/>
  <c r="CN56" i="8"/>
  <c r="CM56" i="8"/>
  <c r="CT56" i="8" s="1"/>
  <c r="CK56" i="8"/>
  <c r="CI56" i="8"/>
  <c r="CY56" i="8" s="1"/>
  <c r="CH56" i="8"/>
  <c r="DE56" i="8" s="1"/>
  <c r="BV56" i="8"/>
  <c r="BK56" i="8"/>
  <c r="BJ56" i="8"/>
  <c r="BG56" i="8"/>
  <c r="BF56" i="8"/>
  <c r="BM56" i="8" s="1"/>
  <c r="BB56" i="8"/>
  <c r="BU56" i="8" s="1"/>
  <c r="BA56" i="8"/>
  <c r="BS56" i="8" s="1"/>
  <c r="X56" i="8"/>
  <c r="DD56" i="8" s="1"/>
  <c r="W56" i="8"/>
  <c r="V56" i="8"/>
  <c r="DC55" i="8"/>
  <c r="CU55" i="8"/>
  <c r="CR55" i="8"/>
  <c r="CQ55" i="8"/>
  <c r="CN55" i="8"/>
  <c r="CM55" i="8"/>
  <c r="CT55" i="8" s="1"/>
  <c r="CK55" i="8"/>
  <c r="CI55" i="8"/>
  <c r="DB55" i="8" s="1"/>
  <c r="CH55" i="8"/>
  <c r="CZ55" i="8" s="1"/>
  <c r="BV55" i="8"/>
  <c r="BK55" i="8"/>
  <c r="BJ55" i="8"/>
  <c r="BG55" i="8"/>
  <c r="BF55" i="8"/>
  <c r="BC55" i="8" s="1"/>
  <c r="BB55" i="8"/>
  <c r="BU55" i="8" s="1"/>
  <c r="BA55" i="8"/>
  <c r="BS55" i="8" s="1"/>
  <c r="X55" i="8"/>
  <c r="Y55" i="8" s="1"/>
  <c r="Z55" i="8" s="1"/>
  <c r="AB55" i="8" s="1"/>
  <c r="W55" i="8"/>
  <c r="V55" i="8"/>
  <c r="DC54" i="8"/>
  <c r="CU54" i="8"/>
  <c r="CR54" i="8"/>
  <c r="CQ54" i="8"/>
  <c r="CN54" i="8"/>
  <c r="CM54" i="8"/>
  <c r="CK54" i="8"/>
  <c r="CI54" i="8"/>
  <c r="DB54" i="8" s="1"/>
  <c r="CH54" i="8"/>
  <c r="BV54" i="8"/>
  <c r="BK54" i="8"/>
  <c r="BJ54" i="8"/>
  <c r="BG54" i="8"/>
  <c r="BN54" i="8" s="1"/>
  <c r="BF54" i="8"/>
  <c r="BM54" i="8" s="1"/>
  <c r="BB54" i="8"/>
  <c r="BU54" i="8" s="1"/>
  <c r="BA54" i="8"/>
  <c r="X54" i="8"/>
  <c r="Y54" i="8" s="1"/>
  <c r="Z54" i="8" s="1"/>
  <c r="AB54" i="8" s="1"/>
  <c r="W54" i="8"/>
  <c r="V54" i="8"/>
  <c r="DC53" i="8"/>
  <c r="CU53" i="8"/>
  <c r="CR53" i="8"/>
  <c r="CQ53" i="8"/>
  <c r="CN53" i="8"/>
  <c r="CM53" i="8"/>
  <c r="CJ53" i="8" s="1"/>
  <c r="CK53" i="8"/>
  <c r="CI53" i="8"/>
  <c r="DB53" i="8" s="1"/>
  <c r="CH53" i="8"/>
  <c r="CZ53" i="8" s="1"/>
  <c r="BV53" i="8"/>
  <c r="BK53" i="8"/>
  <c r="BJ53" i="8"/>
  <c r="BG53" i="8"/>
  <c r="BF53" i="8"/>
  <c r="BB53" i="8"/>
  <c r="BU53" i="8" s="1"/>
  <c r="BA53" i="8"/>
  <c r="BR53" i="8" s="1"/>
  <c r="X53" i="8"/>
  <c r="Y53" i="8" s="1"/>
  <c r="Z53" i="8" s="1"/>
  <c r="AB53" i="8" s="1"/>
  <c r="W53" i="8"/>
  <c r="V53" i="8"/>
  <c r="DC52" i="8"/>
  <c r="CU52" i="8"/>
  <c r="CR52" i="8"/>
  <c r="CQ52" i="8"/>
  <c r="CN52" i="8"/>
  <c r="CM52" i="8"/>
  <c r="CK52" i="8"/>
  <c r="CI52" i="8"/>
  <c r="CY52" i="8" s="1"/>
  <c r="CH52" i="8"/>
  <c r="CZ52" i="8" s="1"/>
  <c r="BV52" i="8"/>
  <c r="BK52" i="8"/>
  <c r="BJ52" i="8"/>
  <c r="BG52" i="8"/>
  <c r="BN52" i="8" s="1"/>
  <c r="BF52" i="8"/>
  <c r="BB52" i="8"/>
  <c r="BT52" i="8" s="1"/>
  <c r="BA52" i="8"/>
  <c r="BS52" i="8" s="1"/>
  <c r="X52" i="8"/>
  <c r="Y52" i="8" s="1"/>
  <c r="Z52" i="8" s="1"/>
  <c r="AB52" i="8" s="1"/>
  <c r="W52" i="8"/>
  <c r="V52" i="8"/>
  <c r="DC51" i="8"/>
  <c r="CU51" i="8"/>
  <c r="CR51" i="8"/>
  <c r="CQ51" i="8"/>
  <c r="CN51" i="8"/>
  <c r="CM51" i="8"/>
  <c r="CJ51" i="8" s="1"/>
  <c r="CK51" i="8"/>
  <c r="CI51" i="8"/>
  <c r="CY51" i="8" s="1"/>
  <c r="CH51" i="8"/>
  <c r="CZ51" i="8" s="1"/>
  <c r="BV51" i="8"/>
  <c r="BK51" i="8"/>
  <c r="BJ51" i="8"/>
  <c r="BG51" i="8"/>
  <c r="BF51" i="8"/>
  <c r="BM51" i="8" s="1"/>
  <c r="BB51" i="8"/>
  <c r="BU51" i="8" s="1"/>
  <c r="BA51" i="8"/>
  <c r="BX51" i="8" s="1"/>
  <c r="X51" i="8"/>
  <c r="W51" i="8"/>
  <c r="V51" i="8"/>
  <c r="DC50" i="8"/>
  <c r="CU50" i="8"/>
  <c r="CR50" i="8"/>
  <c r="CQ50" i="8"/>
  <c r="CN50" i="8"/>
  <c r="CM50" i="8"/>
  <c r="CT50" i="8" s="1"/>
  <c r="CK50" i="8"/>
  <c r="CI50" i="8"/>
  <c r="CH50" i="8"/>
  <c r="DE50" i="8" s="1"/>
  <c r="BV50" i="8"/>
  <c r="BM50" i="8"/>
  <c r="BK50" i="8"/>
  <c r="BJ50" i="8"/>
  <c r="BG50" i="8"/>
  <c r="BF50" i="8"/>
  <c r="BC50" i="8"/>
  <c r="BB50" i="8"/>
  <c r="BA50" i="8"/>
  <c r="X50" i="8"/>
  <c r="BW50" i="8" s="1"/>
  <c r="W50" i="8"/>
  <c r="V50" i="8"/>
  <c r="DC45" i="8"/>
  <c r="CU45" i="8"/>
  <c r="CR45" i="8"/>
  <c r="CQ45" i="8"/>
  <c r="CN45" i="8"/>
  <c r="CM45" i="8"/>
  <c r="CK45" i="8"/>
  <c r="CI45" i="8"/>
  <c r="DB45" i="8" s="1"/>
  <c r="CH45" i="8"/>
  <c r="CZ45" i="8" s="1"/>
  <c r="BV45" i="8"/>
  <c r="BK45" i="8"/>
  <c r="BJ45" i="8"/>
  <c r="BG45" i="8"/>
  <c r="BF45" i="8"/>
  <c r="BB45" i="8"/>
  <c r="BU45" i="8" s="1"/>
  <c r="BA45" i="8"/>
  <c r="BS45" i="8" s="1"/>
  <c r="X45" i="8"/>
  <c r="BW45" i="8" s="1"/>
  <c r="W45" i="8"/>
  <c r="V45" i="8"/>
  <c r="DC44" i="8"/>
  <c r="CU44" i="8"/>
  <c r="CR44" i="8"/>
  <c r="CQ44" i="8"/>
  <c r="CN44" i="8"/>
  <c r="CM44" i="8"/>
  <c r="CT44" i="8" s="1"/>
  <c r="CK44" i="8"/>
  <c r="CI44" i="8"/>
  <c r="CH44" i="8"/>
  <c r="DE44" i="8" s="1"/>
  <c r="BV44" i="8"/>
  <c r="BK44" i="8"/>
  <c r="BJ44" i="8"/>
  <c r="BG44" i="8"/>
  <c r="BN44" i="8" s="1"/>
  <c r="BF44" i="8"/>
  <c r="BC44" i="8" s="1"/>
  <c r="BB44" i="8"/>
  <c r="BA44" i="8"/>
  <c r="X44" i="8"/>
  <c r="Y44" i="8" s="1"/>
  <c r="Z44" i="8" s="1"/>
  <c r="AB44" i="8" s="1"/>
  <c r="W44" i="8"/>
  <c r="V44" i="8"/>
  <c r="DC43" i="8"/>
  <c r="CU43" i="8"/>
  <c r="CR43" i="8"/>
  <c r="CQ43" i="8"/>
  <c r="CN43" i="8"/>
  <c r="CM43" i="8"/>
  <c r="CJ43" i="8" s="1"/>
  <c r="CK43" i="8"/>
  <c r="CI43" i="8"/>
  <c r="DB43" i="8" s="1"/>
  <c r="CH43" i="8"/>
  <c r="DE43" i="8" s="1"/>
  <c r="BV43" i="8"/>
  <c r="BK43" i="8"/>
  <c r="BJ43" i="8"/>
  <c r="BG43" i="8"/>
  <c r="BD43" i="8" s="1"/>
  <c r="BF43" i="8"/>
  <c r="BC43" i="8" s="1"/>
  <c r="BB43" i="8"/>
  <c r="BU43" i="8" s="1"/>
  <c r="BA43" i="8"/>
  <c r="X43" i="8"/>
  <c r="DD43" i="8" s="1"/>
  <c r="W43" i="8"/>
  <c r="V43" i="8"/>
  <c r="DC42" i="8"/>
  <c r="CU42" i="8"/>
  <c r="CR42" i="8"/>
  <c r="CQ42" i="8"/>
  <c r="CN42" i="8"/>
  <c r="CM42" i="8"/>
  <c r="CT42" i="8" s="1"/>
  <c r="CK42" i="8"/>
  <c r="CI42" i="8"/>
  <c r="DB42" i="8" s="1"/>
  <c r="CH42" i="8"/>
  <c r="CZ42" i="8" s="1"/>
  <c r="BV42" i="8"/>
  <c r="BK42" i="8"/>
  <c r="BJ42" i="8"/>
  <c r="BG42" i="8"/>
  <c r="BF42" i="8"/>
  <c r="BB42" i="8"/>
  <c r="BU42" i="8" s="1"/>
  <c r="BA42" i="8"/>
  <c r="BS42" i="8" s="1"/>
  <c r="X42" i="8"/>
  <c r="BW42" i="8" s="1"/>
  <c r="W42" i="8"/>
  <c r="V42" i="8"/>
  <c r="DC41" i="8"/>
  <c r="CU41" i="8"/>
  <c r="CR41" i="8"/>
  <c r="CQ41" i="8"/>
  <c r="CN41" i="8"/>
  <c r="CM41" i="8"/>
  <c r="CJ41" i="8" s="1"/>
  <c r="CK41" i="8"/>
  <c r="CI41" i="8"/>
  <c r="DB41" i="8" s="1"/>
  <c r="CH41" i="8"/>
  <c r="CZ41" i="8" s="1"/>
  <c r="BV41" i="8"/>
  <c r="BK41" i="8"/>
  <c r="BJ41" i="8"/>
  <c r="BG41" i="8"/>
  <c r="BF41" i="8"/>
  <c r="BB41" i="8"/>
  <c r="BU41" i="8" s="1"/>
  <c r="BA41" i="8"/>
  <c r="X41" i="8"/>
  <c r="BW41" i="8" s="1"/>
  <c r="W41" i="8"/>
  <c r="V41" i="8"/>
  <c r="DC40" i="8"/>
  <c r="CU40" i="8"/>
  <c r="CR40" i="8"/>
  <c r="CQ40" i="8"/>
  <c r="CN40" i="8"/>
  <c r="CM40" i="8"/>
  <c r="CJ40" i="8" s="1"/>
  <c r="CK40" i="8"/>
  <c r="CI40" i="8"/>
  <c r="CH40" i="8"/>
  <c r="CZ40" i="8" s="1"/>
  <c r="BV40" i="8"/>
  <c r="BK40" i="8"/>
  <c r="BJ40" i="8"/>
  <c r="BG40" i="8"/>
  <c r="BD40" i="8" s="1"/>
  <c r="BF40" i="8"/>
  <c r="BC40" i="8" s="1"/>
  <c r="BB40" i="8"/>
  <c r="BA40" i="8"/>
  <c r="X40" i="8"/>
  <c r="Y40" i="8" s="1"/>
  <c r="Z40" i="8" s="1"/>
  <c r="AB40" i="8" s="1"/>
  <c r="W40" i="8"/>
  <c r="V40" i="8"/>
  <c r="DC39" i="8"/>
  <c r="CU39" i="8"/>
  <c r="CR39" i="8"/>
  <c r="CQ39" i="8"/>
  <c r="CN39" i="8"/>
  <c r="CM39" i="8"/>
  <c r="CK39" i="8"/>
  <c r="CI39" i="8"/>
  <c r="CH39" i="8"/>
  <c r="DE39" i="8" s="1"/>
  <c r="BV39" i="8"/>
  <c r="BK39" i="8"/>
  <c r="BJ39" i="8"/>
  <c r="BG39" i="8"/>
  <c r="BF39" i="8"/>
  <c r="BM39" i="8" s="1"/>
  <c r="BB39" i="8"/>
  <c r="BT39" i="8" s="1"/>
  <c r="BA39" i="8"/>
  <c r="BX39" i="8" s="1"/>
  <c r="X39" i="8"/>
  <c r="W39" i="8"/>
  <c r="V39" i="8"/>
  <c r="DC38" i="8"/>
  <c r="CU38" i="8"/>
  <c r="CR38" i="8"/>
  <c r="CQ38" i="8"/>
  <c r="CN38" i="8"/>
  <c r="CM38" i="8"/>
  <c r="CJ38" i="8" s="1"/>
  <c r="CK38" i="8"/>
  <c r="CI38" i="8"/>
  <c r="CH38" i="8"/>
  <c r="BV38" i="8"/>
  <c r="BK38" i="8"/>
  <c r="BJ38" i="8"/>
  <c r="BG38" i="8"/>
  <c r="BN38" i="8" s="1"/>
  <c r="BF38" i="8"/>
  <c r="BC38" i="8" s="1"/>
  <c r="BB38" i="8"/>
  <c r="BA38" i="8"/>
  <c r="BR38" i="8" s="1"/>
  <c r="X38" i="8"/>
  <c r="Y38" i="8" s="1"/>
  <c r="Z38" i="8" s="1"/>
  <c r="AB38" i="8" s="1"/>
  <c r="W38" i="8"/>
  <c r="V38" i="8"/>
  <c r="DC37" i="8"/>
  <c r="CU37" i="8"/>
  <c r="CR37" i="8"/>
  <c r="CQ37" i="8"/>
  <c r="CN37" i="8"/>
  <c r="CM37" i="8"/>
  <c r="CJ37" i="8" s="1"/>
  <c r="CK37" i="8"/>
  <c r="CI37" i="8"/>
  <c r="CH37" i="8"/>
  <c r="BV37" i="8"/>
  <c r="BK37" i="8"/>
  <c r="BJ37" i="8"/>
  <c r="BG37" i="8"/>
  <c r="BF37" i="8"/>
  <c r="BB37" i="8"/>
  <c r="BU37" i="8" s="1"/>
  <c r="BA37" i="8"/>
  <c r="BS37" i="8" s="1"/>
  <c r="X37" i="8"/>
  <c r="DD37" i="8" s="1"/>
  <c r="W37" i="8"/>
  <c r="V37" i="8"/>
  <c r="DC36" i="8"/>
  <c r="CU36" i="8"/>
  <c r="CR36" i="8"/>
  <c r="CQ36" i="8"/>
  <c r="CN36" i="8"/>
  <c r="CM36" i="8"/>
  <c r="CJ36" i="8" s="1"/>
  <c r="CK36" i="8"/>
  <c r="CI36" i="8"/>
  <c r="CH36" i="8"/>
  <c r="CZ36" i="8" s="1"/>
  <c r="BV36" i="8"/>
  <c r="BK36" i="8"/>
  <c r="BJ36" i="8"/>
  <c r="BG36" i="8"/>
  <c r="BN36" i="8" s="1"/>
  <c r="BF36" i="8"/>
  <c r="BC36" i="8" s="1"/>
  <c r="BB36" i="8"/>
  <c r="BU36" i="8" s="1"/>
  <c r="BA36" i="8"/>
  <c r="X36" i="8"/>
  <c r="DD36" i="8" s="1"/>
  <c r="W36" i="8"/>
  <c r="V36" i="8"/>
  <c r="DC35" i="8"/>
  <c r="CU35" i="8"/>
  <c r="CR35" i="8"/>
  <c r="CQ35" i="8"/>
  <c r="CN35" i="8"/>
  <c r="CM35" i="8"/>
  <c r="CJ35" i="8" s="1"/>
  <c r="CK35" i="8"/>
  <c r="CI35" i="8"/>
  <c r="DB35" i="8" s="1"/>
  <c r="CH35" i="8"/>
  <c r="BV35" i="8"/>
  <c r="BK35" i="8"/>
  <c r="BJ35" i="8"/>
  <c r="BG35" i="8"/>
  <c r="BD35" i="8" s="1"/>
  <c r="BF35" i="8"/>
  <c r="BB35" i="8"/>
  <c r="BT35" i="8" s="1"/>
  <c r="BA35" i="8"/>
  <c r="X35" i="8"/>
  <c r="W35" i="8"/>
  <c r="V35" i="8"/>
  <c r="DC34" i="8"/>
  <c r="CU34" i="8"/>
  <c r="CR34" i="8"/>
  <c r="CQ34" i="8"/>
  <c r="CN34" i="8"/>
  <c r="CM34" i="8"/>
  <c r="CT34" i="8" s="1"/>
  <c r="CK34" i="8"/>
  <c r="CI34" i="8"/>
  <c r="CY34" i="8" s="1"/>
  <c r="CH34" i="8"/>
  <c r="CZ34" i="8" s="1"/>
  <c r="BV34" i="8"/>
  <c r="BK34" i="8"/>
  <c r="BJ34" i="8"/>
  <c r="BG34" i="8"/>
  <c r="BN34" i="8" s="1"/>
  <c r="BF34" i="8"/>
  <c r="BM34" i="8" s="1"/>
  <c r="BB34" i="8"/>
  <c r="BQ34" i="8" s="1"/>
  <c r="BA34" i="8"/>
  <c r="X34" i="8"/>
  <c r="W34" i="8"/>
  <c r="V34" i="8"/>
  <c r="DC33" i="8"/>
  <c r="CU33" i="8"/>
  <c r="CR33" i="8"/>
  <c r="CQ33" i="8"/>
  <c r="CN33" i="8"/>
  <c r="CM33" i="8"/>
  <c r="CK33" i="8"/>
  <c r="CI33" i="8"/>
  <c r="DB33" i="8" s="1"/>
  <c r="CH33" i="8"/>
  <c r="DE33" i="8" s="1"/>
  <c r="BV33" i="8"/>
  <c r="BK33" i="8"/>
  <c r="BJ33" i="8"/>
  <c r="BG33" i="8"/>
  <c r="BD33" i="8" s="1"/>
  <c r="BF33" i="8"/>
  <c r="BM33" i="8" s="1"/>
  <c r="BB33" i="8"/>
  <c r="BU33" i="8" s="1"/>
  <c r="BA33" i="8"/>
  <c r="BX33" i="8" s="1"/>
  <c r="X33" i="8"/>
  <c r="W33" i="8"/>
  <c r="V33" i="8"/>
  <c r="DC32" i="8"/>
  <c r="CU32" i="8"/>
  <c r="CR32" i="8"/>
  <c r="CQ32" i="8"/>
  <c r="CN32" i="8"/>
  <c r="CM32" i="8"/>
  <c r="CT32" i="8" s="1"/>
  <c r="CK32" i="8"/>
  <c r="CI32" i="8"/>
  <c r="DA32" i="8" s="1"/>
  <c r="CH32" i="8"/>
  <c r="CZ32" i="8" s="1"/>
  <c r="BV32" i="8"/>
  <c r="BK32" i="8"/>
  <c r="BJ32" i="8"/>
  <c r="BG32" i="8"/>
  <c r="BD32" i="8" s="1"/>
  <c r="BF32" i="8"/>
  <c r="BM32" i="8" s="1"/>
  <c r="BB32" i="8"/>
  <c r="BT32" i="8" s="1"/>
  <c r="BA32" i="8"/>
  <c r="BS32" i="8" s="1"/>
  <c r="X32" i="8"/>
  <c r="W32" i="8"/>
  <c r="V32" i="8"/>
  <c r="DC31" i="8"/>
  <c r="CU31" i="8"/>
  <c r="CR31" i="8"/>
  <c r="CQ31" i="8"/>
  <c r="CN31" i="8"/>
  <c r="CM31" i="8"/>
  <c r="CT31" i="8" s="1"/>
  <c r="CK31" i="8"/>
  <c r="CI31" i="8"/>
  <c r="DB31" i="8" s="1"/>
  <c r="CH31" i="8"/>
  <c r="CZ31" i="8" s="1"/>
  <c r="BV31" i="8"/>
  <c r="BK31" i="8"/>
  <c r="BJ31" i="8"/>
  <c r="BG31" i="8"/>
  <c r="BD31" i="8" s="1"/>
  <c r="BF31" i="8"/>
  <c r="BB31" i="8"/>
  <c r="BU31" i="8" s="1"/>
  <c r="BA31" i="8"/>
  <c r="BR31" i="8" s="1"/>
  <c r="X31" i="8"/>
  <c r="DD31" i="8" s="1"/>
  <c r="W31" i="8"/>
  <c r="V31" i="8"/>
  <c r="DC30" i="8"/>
  <c r="CU30" i="8"/>
  <c r="CR30" i="8"/>
  <c r="CQ30" i="8"/>
  <c r="CN30" i="8"/>
  <c r="CM30" i="8"/>
  <c r="CK30" i="8"/>
  <c r="CI30" i="8"/>
  <c r="CY30" i="8" s="1"/>
  <c r="CH30" i="8"/>
  <c r="CZ30" i="8" s="1"/>
  <c r="BV30" i="8"/>
  <c r="BM30" i="8"/>
  <c r="BK30" i="8"/>
  <c r="BJ30" i="8"/>
  <c r="BG30" i="8"/>
  <c r="BF30" i="8"/>
  <c r="BC30" i="8"/>
  <c r="BB30" i="8"/>
  <c r="BA30" i="8"/>
  <c r="BS30" i="8" s="1"/>
  <c r="X30" i="8"/>
  <c r="BW30" i="8" s="1"/>
  <c r="W30" i="8"/>
  <c r="V30" i="8"/>
  <c r="BA19" i="8"/>
  <c r="BS19" i="8" s="1"/>
  <c r="BB19" i="8"/>
  <c r="BT19" i="8" s="1"/>
  <c r="BF19" i="8"/>
  <c r="BC19" i="8" s="1"/>
  <c r="BG19" i="8"/>
  <c r="BJ19" i="8"/>
  <c r="BK19" i="8"/>
  <c r="BV19" i="8"/>
  <c r="CH19" i="8"/>
  <c r="CZ19" i="8" s="1"/>
  <c r="CI19" i="8"/>
  <c r="DA19" i="8" s="1"/>
  <c r="CK19" i="8"/>
  <c r="CM19" i="8"/>
  <c r="CN19" i="8"/>
  <c r="CQ19" i="8"/>
  <c r="CR19" i="8"/>
  <c r="CU19" i="8"/>
  <c r="DC19" i="8"/>
  <c r="BA20" i="8"/>
  <c r="BS20" i="8" s="1"/>
  <c r="BB20" i="8"/>
  <c r="BT20" i="8" s="1"/>
  <c r="BF20" i="8"/>
  <c r="BG20" i="8"/>
  <c r="BD20" i="8" s="1"/>
  <c r="BJ20" i="8"/>
  <c r="BK20" i="8"/>
  <c r="BV20" i="8"/>
  <c r="CH20" i="8"/>
  <c r="CZ20" i="8" s="1"/>
  <c r="CI20" i="8"/>
  <c r="DA20" i="8" s="1"/>
  <c r="CK20" i="8"/>
  <c r="CM20" i="8"/>
  <c r="CJ20" i="8" s="1"/>
  <c r="CN20" i="8"/>
  <c r="CQ20" i="8"/>
  <c r="CR20" i="8"/>
  <c r="CU20" i="8"/>
  <c r="DC20" i="8"/>
  <c r="BA21" i="8"/>
  <c r="BR21" i="8" s="1"/>
  <c r="BB21" i="8"/>
  <c r="BT21" i="8" s="1"/>
  <c r="BF21" i="8"/>
  <c r="BC21" i="8" s="1"/>
  <c r="BG21" i="8"/>
  <c r="BD21" i="8" s="1"/>
  <c r="BJ21" i="8"/>
  <c r="BK21" i="8"/>
  <c r="BV21" i="8"/>
  <c r="CH21" i="8"/>
  <c r="CZ21" i="8" s="1"/>
  <c r="CI21" i="8"/>
  <c r="DB21" i="8" s="1"/>
  <c r="CK21" i="8"/>
  <c r="CM21" i="8"/>
  <c r="CJ21" i="8" s="1"/>
  <c r="CN21" i="8"/>
  <c r="CQ21" i="8"/>
  <c r="CR21" i="8"/>
  <c r="CU21" i="8"/>
  <c r="DC21" i="8"/>
  <c r="BA22" i="8"/>
  <c r="BB22" i="8"/>
  <c r="BU22" i="8" s="1"/>
  <c r="BF22" i="8"/>
  <c r="BC22" i="8" s="1"/>
  <c r="BG22" i="8"/>
  <c r="BJ22" i="8"/>
  <c r="BK22" i="8"/>
  <c r="BV22" i="8"/>
  <c r="CH22" i="8"/>
  <c r="CZ22" i="8" s="1"/>
  <c r="CI22" i="8"/>
  <c r="DA22" i="8" s="1"/>
  <c r="CK22" i="8"/>
  <c r="CM22" i="8"/>
  <c r="CJ22" i="8" s="1"/>
  <c r="CN22" i="8"/>
  <c r="CQ22" i="8"/>
  <c r="CR22" i="8"/>
  <c r="CU22" i="8"/>
  <c r="DC22" i="8"/>
  <c r="BA23" i="8"/>
  <c r="BR23" i="8" s="1"/>
  <c r="BB23" i="8"/>
  <c r="BU23" i="8" s="1"/>
  <c r="BF23" i="8"/>
  <c r="BC23" i="8" s="1"/>
  <c r="BG23" i="8"/>
  <c r="BD23" i="8" s="1"/>
  <c r="BJ23" i="8"/>
  <c r="BK23" i="8"/>
  <c r="BV23" i="8"/>
  <c r="CH23" i="8"/>
  <c r="CZ23" i="8" s="1"/>
  <c r="CI23" i="8"/>
  <c r="CK23" i="8"/>
  <c r="CM23" i="8"/>
  <c r="CN23" i="8"/>
  <c r="CQ23" i="8"/>
  <c r="CR23" i="8"/>
  <c r="CU23" i="8"/>
  <c r="DC23" i="8"/>
  <c r="BA24" i="8"/>
  <c r="BR24" i="8" s="1"/>
  <c r="BB24" i="8"/>
  <c r="BQ24" i="8" s="1"/>
  <c r="BF24" i="8"/>
  <c r="BC24" i="8" s="1"/>
  <c r="BG24" i="8"/>
  <c r="BD24" i="8" s="1"/>
  <c r="BJ24" i="8"/>
  <c r="BK24" i="8"/>
  <c r="BV24" i="8"/>
  <c r="CH24" i="8"/>
  <c r="CZ24" i="8" s="1"/>
  <c r="CI24" i="8"/>
  <c r="DA24" i="8" s="1"/>
  <c r="CK24" i="8"/>
  <c r="CM24" i="8"/>
  <c r="CJ24" i="8" s="1"/>
  <c r="CN24" i="8"/>
  <c r="CQ24" i="8"/>
  <c r="CR24" i="8"/>
  <c r="CU24" i="8"/>
  <c r="DC24" i="8"/>
  <c r="BA25" i="8"/>
  <c r="BS25" i="8" s="1"/>
  <c r="BB25" i="8"/>
  <c r="BF25" i="8"/>
  <c r="BC25" i="8" s="1"/>
  <c r="BG25" i="8"/>
  <c r="BJ25" i="8"/>
  <c r="BK25" i="8"/>
  <c r="BV25" i="8"/>
  <c r="CH25" i="8"/>
  <c r="CZ25" i="8" s="1"/>
  <c r="CI25" i="8"/>
  <c r="CX25" i="8" s="1"/>
  <c r="CK25" i="8"/>
  <c r="CM25" i="8"/>
  <c r="CJ25" i="8" s="1"/>
  <c r="CN25" i="8"/>
  <c r="CQ25" i="8"/>
  <c r="CR25" i="8"/>
  <c r="CU25" i="8"/>
  <c r="DC25" i="8"/>
  <c r="W19" i="8"/>
  <c r="W19" i="14" s="1"/>
  <c r="X19" i="8"/>
  <c r="W20" i="8"/>
  <c r="W20" i="14" s="1"/>
  <c r="X20" i="8"/>
  <c r="W21" i="8"/>
  <c r="W21" i="14" s="1"/>
  <c r="X21" i="8"/>
  <c r="W22" i="8"/>
  <c r="W22" i="14" s="1"/>
  <c r="X22" i="8"/>
  <c r="W23" i="8"/>
  <c r="W23" i="14" s="1"/>
  <c r="X23" i="8"/>
  <c r="W24" i="8"/>
  <c r="W24" i="14" s="1"/>
  <c r="X24" i="8"/>
  <c r="W25" i="8"/>
  <c r="W25" i="14" s="1"/>
  <c r="X25" i="8"/>
  <c r="DC18" i="8"/>
  <c r="CU18" i="8"/>
  <c r="CR18" i="8"/>
  <c r="CQ18" i="8"/>
  <c r="CN18" i="8"/>
  <c r="CM18" i="8"/>
  <c r="CT18" i="8" s="1"/>
  <c r="CK18" i="8"/>
  <c r="CI18" i="8"/>
  <c r="CY18" i="8" s="1"/>
  <c r="CH18" i="8"/>
  <c r="BV18" i="8"/>
  <c r="BK18" i="8"/>
  <c r="BJ18" i="8"/>
  <c r="BG18" i="8"/>
  <c r="BD18" i="8" s="1"/>
  <c r="BF18" i="8"/>
  <c r="BB18" i="8"/>
  <c r="BU18" i="8" s="1"/>
  <c r="BA18" i="8"/>
  <c r="BR18" i="8" s="1"/>
  <c r="X18" i="8"/>
  <c r="W18" i="8"/>
  <c r="W18" i="14" s="1"/>
  <c r="DC17" i="8"/>
  <c r="CU17" i="8"/>
  <c r="CR17" i="8"/>
  <c r="CQ17" i="8"/>
  <c r="CN17" i="8"/>
  <c r="CM17" i="8"/>
  <c r="CT17" i="8" s="1"/>
  <c r="CK17" i="8"/>
  <c r="CI17" i="8"/>
  <c r="CH17" i="8"/>
  <c r="CZ17" i="8" s="1"/>
  <c r="BV17" i="8"/>
  <c r="BK17" i="8"/>
  <c r="BJ17" i="8"/>
  <c r="BG17" i="8"/>
  <c r="BF17" i="8"/>
  <c r="BM17" i="8" s="1"/>
  <c r="BB17" i="8"/>
  <c r="BA17" i="8"/>
  <c r="BX17" i="8" s="1"/>
  <c r="X17" i="8"/>
  <c r="W17" i="8"/>
  <c r="W17" i="14" s="1"/>
  <c r="DC16" i="8"/>
  <c r="CU16" i="8"/>
  <c r="CR16" i="8"/>
  <c r="CQ16" i="8"/>
  <c r="CN16" i="8"/>
  <c r="CM16" i="8"/>
  <c r="CJ16" i="8" s="1"/>
  <c r="CK16" i="8"/>
  <c r="CI16" i="8"/>
  <c r="CH16" i="8"/>
  <c r="CZ16" i="8" s="1"/>
  <c r="BV16" i="8"/>
  <c r="BK16" i="8"/>
  <c r="BJ16" i="8"/>
  <c r="BG16" i="8"/>
  <c r="BD16" i="8" s="1"/>
  <c r="BF16" i="8"/>
  <c r="BB16" i="8"/>
  <c r="BA16" i="8"/>
  <c r="BS16" i="8" s="1"/>
  <c r="X16" i="8"/>
  <c r="W16" i="8"/>
  <c r="W16" i="14" s="1"/>
  <c r="DC15" i="8"/>
  <c r="CU15" i="8"/>
  <c r="CR15" i="8"/>
  <c r="CQ15" i="8"/>
  <c r="CN15" i="8"/>
  <c r="CM15" i="8"/>
  <c r="CJ15" i="8" s="1"/>
  <c r="CK15" i="8"/>
  <c r="CI15" i="8"/>
  <c r="CX15" i="8" s="1"/>
  <c r="CH15" i="8"/>
  <c r="CZ15" i="8" s="1"/>
  <c r="BV15" i="8"/>
  <c r="BK15" i="8"/>
  <c r="BJ15" i="8"/>
  <c r="BG15" i="8"/>
  <c r="BD15" i="8" s="1"/>
  <c r="BF15" i="8"/>
  <c r="BC15" i="8" s="1"/>
  <c r="BB15" i="8"/>
  <c r="BA15" i="8"/>
  <c r="BS15" i="8" s="1"/>
  <c r="X15" i="8"/>
  <c r="W15" i="8"/>
  <c r="W15" i="14" s="1"/>
  <c r="DC14" i="8"/>
  <c r="CU14" i="8"/>
  <c r="CR14" i="8"/>
  <c r="CQ14" i="8"/>
  <c r="CN14" i="8"/>
  <c r="CM14" i="8"/>
  <c r="CT14" i="8" s="1"/>
  <c r="CK14" i="8"/>
  <c r="CI14" i="8"/>
  <c r="CY14" i="8" s="1"/>
  <c r="CH14" i="8"/>
  <c r="BV14" i="8"/>
  <c r="BK14" i="8"/>
  <c r="BJ14" i="8"/>
  <c r="BG14" i="8"/>
  <c r="BD14" i="8" s="1"/>
  <c r="BF14" i="8"/>
  <c r="BC14" i="8" s="1"/>
  <c r="BB14" i="8"/>
  <c r="BU14" i="8" s="1"/>
  <c r="BA14" i="8"/>
  <c r="BS14" i="8" s="1"/>
  <c r="X14" i="8"/>
  <c r="W14" i="8"/>
  <c r="W14" i="14" s="1"/>
  <c r="DC13" i="8"/>
  <c r="CU13" i="8"/>
  <c r="CR13" i="8"/>
  <c r="CQ13" i="8"/>
  <c r="CN13" i="8"/>
  <c r="CM13" i="8"/>
  <c r="CT13" i="8" s="1"/>
  <c r="CK13" i="8"/>
  <c r="CI13" i="8"/>
  <c r="DA13" i="8" s="1"/>
  <c r="CH13" i="8"/>
  <c r="DE13" i="8" s="1"/>
  <c r="BV13" i="8"/>
  <c r="BK13" i="8"/>
  <c r="BJ13" i="8"/>
  <c r="BG13" i="8"/>
  <c r="BD13" i="8" s="1"/>
  <c r="BF13" i="8"/>
  <c r="BC13" i="8" s="1"/>
  <c r="BB13" i="8"/>
  <c r="BU13" i="8" s="1"/>
  <c r="BA13" i="8"/>
  <c r="BX13" i="8" s="1"/>
  <c r="X13" i="8"/>
  <c r="W13" i="8"/>
  <c r="W13" i="14" s="1"/>
  <c r="DC12" i="8"/>
  <c r="CU12" i="8"/>
  <c r="CR12" i="8"/>
  <c r="CQ12" i="8"/>
  <c r="CN12" i="8"/>
  <c r="CM12" i="8"/>
  <c r="CT12" i="8" s="1"/>
  <c r="CK12" i="8"/>
  <c r="CI12" i="8"/>
  <c r="CY12" i="8" s="1"/>
  <c r="CH12" i="8"/>
  <c r="DE12" i="8" s="1"/>
  <c r="BV12" i="8"/>
  <c r="BK12" i="8"/>
  <c r="BJ12" i="8"/>
  <c r="BG12" i="8"/>
  <c r="BD12" i="8" s="1"/>
  <c r="BF12" i="8"/>
  <c r="BM12" i="8" s="1"/>
  <c r="BB12" i="8"/>
  <c r="BA12" i="8"/>
  <c r="BR12" i="8" s="1"/>
  <c r="X12" i="8"/>
  <c r="W12" i="8"/>
  <c r="W12" i="14" s="1"/>
  <c r="DC11" i="8"/>
  <c r="CU11" i="8"/>
  <c r="CR11" i="8"/>
  <c r="CQ11" i="8"/>
  <c r="CN11" i="8"/>
  <c r="CM11" i="8"/>
  <c r="CK11" i="8"/>
  <c r="CI11" i="8"/>
  <c r="CH11" i="8"/>
  <c r="CZ11" i="8" s="1"/>
  <c r="BV11" i="8"/>
  <c r="BK11" i="8"/>
  <c r="BJ11" i="8"/>
  <c r="BG11" i="8"/>
  <c r="BD11" i="8" s="1"/>
  <c r="BF11" i="8"/>
  <c r="BB11" i="8"/>
  <c r="BU11" i="8" s="1"/>
  <c r="BA11" i="8"/>
  <c r="BS11" i="8" s="1"/>
  <c r="X11" i="8"/>
  <c r="X11" i="14" s="1"/>
  <c r="W11" i="8"/>
  <c r="W11" i="14" s="1"/>
  <c r="DC10" i="8"/>
  <c r="CU10" i="8"/>
  <c r="CR10" i="8"/>
  <c r="CQ10" i="8"/>
  <c r="CN10" i="8"/>
  <c r="CM10" i="8"/>
  <c r="CT10" i="8" s="1"/>
  <c r="CK10" i="8"/>
  <c r="CI10" i="8"/>
  <c r="DA10" i="8" s="1"/>
  <c r="CH10" i="8"/>
  <c r="CZ10" i="8" s="1"/>
  <c r="BV10" i="8"/>
  <c r="BM10" i="8"/>
  <c r="BK10" i="8"/>
  <c r="BJ10" i="8"/>
  <c r="BG10" i="8"/>
  <c r="BF10" i="8"/>
  <c r="BC10" i="8"/>
  <c r="BB10" i="8"/>
  <c r="BT10" i="8" s="1"/>
  <c r="BA10" i="8"/>
  <c r="BR10" i="8" s="1"/>
  <c r="X10" i="14"/>
  <c r="BC37" i="8" l="1"/>
  <c r="BM37" i="8"/>
  <c r="CO53" i="8"/>
  <c r="BL63" i="8"/>
  <c r="BD74" i="8"/>
  <c r="BN74" i="8"/>
  <c r="CY90" i="8"/>
  <c r="DA90" i="8"/>
  <c r="BC101" i="8"/>
  <c r="BM101" i="8"/>
  <c r="BE101" i="8"/>
  <c r="CJ104" i="8"/>
  <c r="CT104" i="8"/>
  <c r="CJ112" i="8"/>
  <c r="CT112" i="8"/>
  <c r="DB123" i="8"/>
  <c r="CX123" i="8"/>
  <c r="CO133" i="8"/>
  <c r="CS136" i="8"/>
  <c r="CJ145" i="8"/>
  <c r="CT145" i="8"/>
  <c r="CY156" i="8"/>
  <c r="DB156" i="8"/>
  <c r="BR164" i="8"/>
  <c r="BX164" i="8"/>
  <c r="BC181" i="8"/>
  <c r="BM181" i="8"/>
  <c r="CJ183" i="8"/>
  <c r="CT183" i="8"/>
  <c r="BD185" i="8"/>
  <c r="BN185" i="8"/>
  <c r="CO191" i="8"/>
  <c r="BO198" i="8"/>
  <c r="CO198" i="8"/>
  <c r="CJ203" i="8"/>
  <c r="CT203" i="8"/>
  <c r="CJ212" i="8"/>
  <c r="CT212" i="8"/>
  <c r="AG260" i="8"/>
  <c r="AG254" i="8"/>
  <c r="AD333" i="8"/>
  <c r="AE333" i="8" s="1"/>
  <c r="CG333" i="8"/>
  <c r="AD353" i="8"/>
  <c r="AE353" i="8" s="1"/>
  <c r="CG353" i="8"/>
  <c r="AD379" i="8"/>
  <c r="AE379" i="8" s="1"/>
  <c r="CG379" i="8"/>
  <c r="K497" i="15"/>
  <c r="O497" i="15" s="1"/>
  <c r="D46" i="7"/>
  <c r="D45" i="7"/>
  <c r="D44" i="7"/>
  <c r="D47" i="7"/>
  <c r="DD25" i="8"/>
  <c r="X25" i="14"/>
  <c r="Y24" i="8"/>
  <c r="X24" i="14"/>
  <c r="BW23" i="8"/>
  <c r="X23" i="14"/>
  <c r="DD22" i="8"/>
  <c r="X22" i="14"/>
  <c r="DD21" i="8"/>
  <c r="X21" i="14"/>
  <c r="Y20" i="8"/>
  <c r="X20" i="14"/>
  <c r="Y19" i="8"/>
  <c r="X19" i="14"/>
  <c r="Y18" i="8"/>
  <c r="X18" i="14"/>
  <c r="BW17" i="8"/>
  <c r="X17" i="14"/>
  <c r="Y16" i="8"/>
  <c r="X16" i="14"/>
  <c r="Y15" i="8"/>
  <c r="X15" i="14"/>
  <c r="DD14" i="8"/>
  <c r="X14" i="14"/>
  <c r="Y13" i="8"/>
  <c r="X13" i="14"/>
  <c r="DD12" i="8"/>
  <c r="X12" i="14"/>
  <c r="CV13" i="8"/>
  <c r="BE24" i="8"/>
  <c r="CO20" i="8"/>
  <c r="K497" i="7"/>
  <c r="K499" i="7" s="1"/>
  <c r="AG375" i="8"/>
  <c r="AG358" i="8"/>
  <c r="AG355" i="8"/>
  <c r="AG360" i="8"/>
  <c r="AJ354" i="8"/>
  <c r="AF354" i="8"/>
  <c r="AG340" i="8"/>
  <c r="AJ278" i="8"/>
  <c r="CG278" i="8"/>
  <c r="AJ283" i="8"/>
  <c r="AF283" i="8"/>
  <c r="CG232" i="8"/>
  <c r="AG398" i="8"/>
  <c r="AG376" i="8"/>
  <c r="CG380" i="8"/>
  <c r="DN370" i="8"/>
  <c r="AG354" i="8"/>
  <c r="AG363" i="8"/>
  <c r="CG354" i="8"/>
  <c r="AD366" i="8"/>
  <c r="AG339" i="8"/>
  <c r="AG324" i="8"/>
  <c r="AG294" i="8"/>
  <c r="AG274" i="8"/>
  <c r="AG273" i="8"/>
  <c r="AG278" i="8"/>
  <c r="AG283" i="8"/>
  <c r="DN250" i="8"/>
  <c r="DN230" i="8"/>
  <c r="G39" i="7"/>
  <c r="AI406" i="8"/>
  <c r="AE406" i="8"/>
  <c r="AK390" i="8"/>
  <c r="AJ390" i="8"/>
  <c r="AJ406" i="8" s="1"/>
  <c r="AF406" i="8"/>
  <c r="AG404" i="8"/>
  <c r="CG370" i="8"/>
  <c r="AI370" i="8"/>
  <c r="AG372" i="8"/>
  <c r="AG384" i="8"/>
  <c r="AD386" i="8"/>
  <c r="AE370" i="8"/>
  <c r="AF370" i="8" s="1"/>
  <c r="AJ380" i="8"/>
  <c r="AG380" i="8" s="1"/>
  <c r="AG359" i="8"/>
  <c r="AE366" i="8"/>
  <c r="AJ350" i="8"/>
  <c r="AK350" i="8"/>
  <c r="AI366" i="8"/>
  <c r="AI346" i="8"/>
  <c r="AJ337" i="8"/>
  <c r="AG337" i="8" s="1"/>
  <c r="AE346" i="8"/>
  <c r="AK330" i="8"/>
  <c r="AJ330" i="8"/>
  <c r="AD346" i="8"/>
  <c r="AJ322" i="8"/>
  <c r="AG322" i="8" s="1"/>
  <c r="AI310" i="8"/>
  <c r="CG310" i="8"/>
  <c r="DN310" i="8"/>
  <c r="AG318" i="8"/>
  <c r="AD326" i="8"/>
  <c r="AE310" i="8"/>
  <c r="AF310" i="8" s="1"/>
  <c r="AD306" i="8"/>
  <c r="AE290" i="8"/>
  <c r="AF290" i="8" s="1"/>
  <c r="AG301" i="8"/>
  <c r="AI306" i="8"/>
  <c r="CG290" i="8"/>
  <c r="AI286" i="8"/>
  <c r="AG285" i="8"/>
  <c r="AG284" i="8"/>
  <c r="AD282" i="8"/>
  <c r="AE282" i="8" s="1"/>
  <c r="CG282" i="8"/>
  <c r="AG276" i="8"/>
  <c r="AJ270" i="8"/>
  <c r="AJ280" i="8"/>
  <c r="AG280" i="8" s="1"/>
  <c r="CG250" i="8"/>
  <c r="AI250" i="8"/>
  <c r="AD266" i="8"/>
  <c r="AE250" i="8"/>
  <c r="AF250" i="8" s="1"/>
  <c r="AJ263" i="8"/>
  <c r="AG263" i="8" s="1"/>
  <c r="AG256" i="8"/>
  <c r="CG263" i="8"/>
  <c r="AD241" i="8"/>
  <c r="AE241" i="8" s="1"/>
  <c r="AF241" i="8" s="1"/>
  <c r="CG241" i="8"/>
  <c r="AJ232" i="8"/>
  <c r="AG232" i="8" s="1"/>
  <c r="CG230" i="8"/>
  <c r="AI230" i="8"/>
  <c r="AD246" i="8"/>
  <c r="AG235" i="8"/>
  <c r="AE230" i="8"/>
  <c r="AF230" i="8" s="1"/>
  <c r="CO218" i="8"/>
  <c r="BN31" i="8"/>
  <c r="BN40" i="8"/>
  <c r="CO60" i="8"/>
  <c r="CJ99" i="8"/>
  <c r="CL99" i="8" s="1"/>
  <c r="CT195" i="8"/>
  <c r="CT38" i="8"/>
  <c r="CV38" i="8" s="1"/>
  <c r="CJ72" i="8"/>
  <c r="CS73" i="8"/>
  <c r="CJ74" i="8"/>
  <c r="CL74" i="8" s="1"/>
  <c r="CY202" i="8"/>
  <c r="CO19" i="8"/>
  <c r="CT75" i="8"/>
  <c r="BT96" i="8"/>
  <c r="CV60" i="8"/>
  <c r="CS173" i="8"/>
  <c r="CS183" i="8"/>
  <c r="BU34" i="8"/>
  <c r="BL11" i="8"/>
  <c r="BL84" i="8"/>
  <c r="CX94" i="8"/>
  <c r="BC182" i="8"/>
  <c r="BU20" i="8"/>
  <c r="CT58" i="8"/>
  <c r="DA60" i="8"/>
  <c r="CV72" i="8"/>
  <c r="CO142" i="8"/>
  <c r="BM173" i="8"/>
  <c r="BM185" i="8"/>
  <c r="CO116" i="8"/>
  <c r="BL133" i="8"/>
  <c r="BE157" i="8"/>
  <c r="BL218" i="8"/>
  <c r="BD219" i="8"/>
  <c r="CT220" i="8"/>
  <c r="BM23" i="8"/>
  <c r="BL51" i="8"/>
  <c r="BL25" i="8"/>
  <c r="CS24" i="8"/>
  <c r="BL24" i="8"/>
  <c r="CY45" i="8"/>
  <c r="BU120" i="8"/>
  <c r="CO145" i="8"/>
  <c r="CJ151" i="8"/>
  <c r="BM216" i="8"/>
  <c r="BN135" i="8"/>
  <c r="CL24" i="8"/>
  <c r="CO22" i="8"/>
  <c r="BE21" i="8"/>
  <c r="BH58" i="8"/>
  <c r="BL77" i="8"/>
  <c r="CT116" i="8"/>
  <c r="CV117" i="8"/>
  <c r="CY118" i="8"/>
  <c r="DB137" i="8"/>
  <c r="CS145" i="8"/>
  <c r="CX152" i="8"/>
  <c r="Y159" i="8"/>
  <c r="Z159" i="8" s="1"/>
  <c r="AB159" i="8" s="1"/>
  <c r="DA159" i="8"/>
  <c r="CO160" i="8"/>
  <c r="BE173" i="8"/>
  <c r="CL181" i="8"/>
  <c r="CS192" i="8"/>
  <c r="CS50" i="8"/>
  <c r="BS91" i="8"/>
  <c r="CS91" i="8"/>
  <c r="BN110" i="8"/>
  <c r="BT151" i="8"/>
  <c r="CS153" i="8"/>
  <c r="BL222" i="8"/>
  <c r="BD44" i="8"/>
  <c r="BE44" i="8" s="1"/>
  <c r="CL57" i="8"/>
  <c r="CL61" i="8"/>
  <c r="BS80" i="8"/>
  <c r="BD83" i="8"/>
  <c r="BQ90" i="8"/>
  <c r="CX101" i="8"/>
  <c r="BS120" i="8"/>
  <c r="CX131" i="8"/>
  <c r="CO132" i="8"/>
  <c r="BC142" i="8"/>
  <c r="CJ154" i="8"/>
  <c r="CO162" i="8"/>
  <c r="Y163" i="8"/>
  <c r="Z163" i="8" s="1"/>
  <c r="AB163" i="8" s="1"/>
  <c r="BH178" i="8"/>
  <c r="CZ179" i="8"/>
  <c r="CS203" i="8"/>
  <c r="Y204" i="8"/>
  <c r="Z204" i="8" s="1"/>
  <c r="AB204" i="8" s="1"/>
  <c r="DA204" i="8"/>
  <c r="BH205" i="8"/>
  <c r="CL205" i="8"/>
  <c r="BC215" i="8"/>
  <c r="CV222" i="8"/>
  <c r="CO61" i="8"/>
  <c r="BL72" i="8"/>
  <c r="CO123" i="8"/>
  <c r="CS132" i="8"/>
  <c r="BH142" i="8"/>
  <c r="BL144" i="8"/>
  <c r="CO150" i="8"/>
  <c r="BL199" i="8"/>
  <c r="BQ35" i="8"/>
  <c r="CJ14" i="8"/>
  <c r="CL14" i="8" s="1"/>
  <c r="Y21" i="8"/>
  <c r="CL21" i="8"/>
  <c r="BL59" i="8"/>
  <c r="BD60" i="8"/>
  <c r="DE62" i="8"/>
  <c r="Y64" i="8"/>
  <c r="Z64" i="8" s="1"/>
  <c r="AB64" i="8" s="1"/>
  <c r="BW64" i="8"/>
  <c r="CJ82" i="8"/>
  <c r="CL82" i="8" s="1"/>
  <c r="DE92" i="8"/>
  <c r="Y115" i="8"/>
  <c r="Z115" i="8" s="1"/>
  <c r="AB115" i="8" s="1"/>
  <c r="BW115" i="8"/>
  <c r="DD116" i="8"/>
  <c r="BH138" i="8"/>
  <c r="DB139" i="8"/>
  <c r="CO154" i="8"/>
  <c r="CT178" i="8"/>
  <c r="BL184" i="8"/>
  <c r="BD198" i="8"/>
  <c r="BQ199" i="8"/>
  <c r="BQ205" i="8"/>
  <c r="DE31" i="8"/>
  <c r="BT34" i="8"/>
  <c r="CS38" i="8"/>
  <c r="DE41" i="8"/>
  <c r="CS42" i="8"/>
  <c r="BU57" i="8"/>
  <c r="BU61" i="8"/>
  <c r="BM81" i="8"/>
  <c r="BN95" i="8"/>
  <c r="CJ96" i="8"/>
  <c r="CL96" i="8" s="1"/>
  <c r="CJ98" i="8"/>
  <c r="BR123" i="8"/>
  <c r="CJ124" i="8"/>
  <c r="CJ139" i="8"/>
  <c r="CS140" i="8"/>
  <c r="BL154" i="8"/>
  <c r="BD171" i="8"/>
  <c r="DB194" i="8"/>
  <c r="BU199" i="8"/>
  <c r="BM213" i="8"/>
  <c r="BO213" i="8" s="1"/>
  <c r="CS213" i="8"/>
  <c r="BL215" i="8"/>
  <c r="CS215" i="8"/>
  <c r="BE83" i="8"/>
  <c r="CT61" i="8"/>
  <c r="CX70" i="8"/>
  <c r="BU97" i="8"/>
  <c r="CL137" i="8"/>
  <c r="CT150" i="8"/>
  <c r="CL153" i="8"/>
  <c r="BS196" i="8"/>
  <c r="BL204" i="8"/>
  <c r="CO185" i="8"/>
  <c r="BH191" i="8"/>
  <c r="BL195" i="8"/>
  <c r="CO195" i="8"/>
  <c r="CS212" i="8"/>
  <c r="BX217" i="8"/>
  <c r="BT33" i="8"/>
  <c r="CS33" i="8"/>
  <c r="BD34" i="8"/>
  <c r="CZ50" i="8"/>
  <c r="DB65" i="8"/>
  <c r="BR75" i="8"/>
  <c r="BH78" i="8"/>
  <c r="CS84" i="8"/>
  <c r="CO98" i="8"/>
  <c r="BC102" i="8"/>
  <c r="BR103" i="8"/>
  <c r="BX112" i="8"/>
  <c r="BL143" i="8"/>
  <c r="BQ177" i="8"/>
  <c r="CJ182" i="8"/>
  <c r="BS212" i="8"/>
  <c r="BD223" i="8"/>
  <c r="DB19" i="8"/>
  <c r="BT43" i="8"/>
  <c r="CV17" i="8"/>
  <c r="CO25" i="8"/>
  <c r="CO24" i="8"/>
  <c r="BH24" i="8"/>
  <c r="CT22" i="8"/>
  <c r="CV22" i="8" s="1"/>
  <c r="BN32" i="8"/>
  <c r="BL34" i="8"/>
  <c r="BU35" i="8"/>
  <c r="BR37" i="8"/>
  <c r="BM40" i="8"/>
  <c r="CL41" i="8"/>
  <c r="BC51" i="8"/>
  <c r="DE51" i="8"/>
  <c r="CS52" i="8"/>
  <c r="DE57" i="8"/>
  <c r="BM61" i="8"/>
  <c r="BN65" i="8"/>
  <c r="BX70" i="8"/>
  <c r="BC71" i="8"/>
  <c r="CO72" i="8"/>
  <c r="CT78" i="8"/>
  <c r="BC79" i="8"/>
  <c r="CV82" i="8"/>
  <c r="BL83" i="8"/>
  <c r="CS83" i="8"/>
  <c r="CJ84" i="8"/>
  <c r="DE84" i="8"/>
  <c r="DD91" i="8"/>
  <c r="BL92" i="8"/>
  <c r="Y93" i="8"/>
  <c r="Z93" i="8" s="1"/>
  <c r="AB93" i="8" s="1"/>
  <c r="CZ96" i="8"/>
  <c r="BE97" i="8"/>
  <c r="BL98" i="8"/>
  <c r="DA99" i="8"/>
  <c r="BN101" i="8"/>
  <c r="BO101" i="8" s="1"/>
  <c r="BL103" i="8"/>
  <c r="CJ110" i="8"/>
  <c r="CZ110" i="8"/>
  <c r="DD113" i="8"/>
  <c r="BL114" i="8"/>
  <c r="BL120" i="8"/>
  <c r="BH122" i="8"/>
  <c r="CO122" i="8"/>
  <c r="DA124" i="8"/>
  <c r="CZ136" i="8"/>
  <c r="BM138" i="8"/>
  <c r="CS138" i="8"/>
  <c r="BD139" i="8"/>
  <c r="DE142" i="8"/>
  <c r="BT152" i="8"/>
  <c r="CS155" i="8"/>
  <c r="BN157" i="8"/>
  <c r="CS157" i="8"/>
  <c r="BC158" i="8"/>
  <c r="DD158" i="8"/>
  <c r="BW178" i="8"/>
  <c r="CJ179" i="8"/>
  <c r="CL179" i="8" s="1"/>
  <c r="Y181" i="8"/>
  <c r="Z181" i="8" s="1"/>
  <c r="BL183" i="8"/>
  <c r="BN184" i="8"/>
  <c r="BS194" i="8"/>
  <c r="CZ196" i="8"/>
  <c r="CS198" i="8"/>
  <c r="BL213" i="8"/>
  <c r="CT216" i="8"/>
  <c r="CY19" i="8"/>
  <c r="CZ43" i="8"/>
  <c r="BH57" i="8"/>
  <c r="CL71" i="8"/>
  <c r="BU77" i="8"/>
  <c r="DD93" i="8"/>
  <c r="CS120" i="8"/>
  <c r="BE158" i="8"/>
  <c r="BL170" i="8"/>
  <c r="CV178" i="8"/>
  <c r="CS184" i="8"/>
  <c r="BE199" i="8"/>
  <c r="BL200" i="8"/>
  <c r="CS218" i="8"/>
  <c r="DE221" i="8"/>
  <c r="CS22" i="8"/>
  <c r="CX21" i="8"/>
  <c r="CJ50" i="8"/>
  <c r="CL50" i="8" s="1"/>
  <c r="CS54" i="8"/>
  <c r="DE20" i="8"/>
  <c r="BW37" i="8"/>
  <c r="BS39" i="8"/>
  <c r="CO44" i="8"/>
  <c r="BH50" i="8"/>
  <c r="DB52" i="8"/>
  <c r="CO57" i="8"/>
  <c r="CP57" i="8" s="1"/>
  <c r="CV58" i="8"/>
  <c r="BE59" i="8"/>
  <c r="BT60" i="8"/>
  <c r="BN76" i="8"/>
  <c r="BC78" i="8"/>
  <c r="BL79" i="8"/>
  <c r="BT80" i="8"/>
  <c r="CL81" i="8"/>
  <c r="BQ97" i="8"/>
  <c r="CV104" i="8"/>
  <c r="BR111" i="8"/>
  <c r="CS111" i="8"/>
  <c r="BL116" i="8"/>
  <c r="BL125" i="8"/>
  <c r="BL139" i="8"/>
  <c r="CX143" i="8"/>
  <c r="BM145" i="8"/>
  <c r="DB152" i="8"/>
  <c r="Y154" i="8"/>
  <c r="Z154" i="8" s="1"/>
  <c r="AB154" i="8" s="1"/>
  <c r="BW154" i="8"/>
  <c r="BS159" i="8"/>
  <c r="CL160" i="8"/>
  <c r="CP160" i="8" s="1"/>
  <c r="BL172" i="8"/>
  <c r="BU177" i="8"/>
  <c r="CO179" i="8"/>
  <c r="CT184" i="8"/>
  <c r="CV184" i="8" s="1"/>
  <c r="BH190" i="8"/>
  <c r="BD192" i="8"/>
  <c r="BM197" i="8"/>
  <c r="CS197" i="8"/>
  <c r="BT200" i="8"/>
  <c r="CS200" i="8"/>
  <c r="CX215" i="8"/>
  <c r="BW218" i="8"/>
  <c r="BX220" i="8"/>
  <c r="CS220" i="8"/>
  <c r="CX223" i="8"/>
  <c r="BC98" i="8"/>
  <c r="CL112" i="8"/>
  <c r="DE112" i="8"/>
  <c r="BN117" i="8"/>
  <c r="DB120" i="8"/>
  <c r="BT124" i="8"/>
  <c r="BX212" i="8"/>
  <c r="BQ19" i="8"/>
  <c r="CJ13" i="8"/>
  <c r="CL13" i="8" s="1"/>
  <c r="CY20" i="8"/>
  <c r="CT76" i="8"/>
  <c r="CV76" i="8" s="1"/>
  <c r="CT91" i="8"/>
  <c r="BX111" i="8"/>
  <c r="CT176" i="8"/>
  <c r="BH185" i="8"/>
  <c r="CO199" i="8"/>
  <c r="BH201" i="8"/>
  <c r="CZ202" i="8"/>
  <c r="BL214" i="8"/>
  <c r="BL224" i="8"/>
  <c r="CY21" i="8"/>
  <c r="BX37" i="8"/>
  <c r="X26" i="8"/>
  <c r="CT25" i="8"/>
  <c r="CV25" i="8" s="1"/>
  <c r="CT41" i="8"/>
  <c r="CV41" i="8" s="1"/>
  <c r="BH21" i="8"/>
  <c r="BQ43" i="8"/>
  <c r="BS53" i="8"/>
  <c r="BD54" i="8"/>
  <c r="BQ55" i="8"/>
  <c r="CS55" i="8"/>
  <c r="BT63" i="8"/>
  <c r="CT71" i="8"/>
  <c r="CV71" i="8" s="1"/>
  <c r="CT79" i="8"/>
  <c r="DE82" i="8"/>
  <c r="BH98" i="8"/>
  <c r="BM104" i="8"/>
  <c r="BQ105" i="8"/>
  <c r="BL112" i="8"/>
  <c r="CO112" i="8"/>
  <c r="BW116" i="8"/>
  <c r="CS116" i="8"/>
  <c r="BC122" i="8"/>
  <c r="BO123" i="8"/>
  <c r="BX124" i="8"/>
  <c r="CL130" i="8"/>
  <c r="CS133" i="8"/>
  <c r="BL141" i="8"/>
  <c r="CS144" i="8"/>
  <c r="CZ150" i="8"/>
  <c r="BW158" i="8"/>
  <c r="CS162" i="8"/>
  <c r="DD165" i="8"/>
  <c r="CO178" i="8"/>
  <c r="CL185" i="8"/>
  <c r="BQ195" i="8"/>
  <c r="DE200" i="8"/>
  <c r="BN204" i="8"/>
  <c r="BO204" i="8" s="1"/>
  <c r="DB217" i="8"/>
  <c r="BX20" i="8"/>
  <c r="CZ76" i="8"/>
  <c r="BU104" i="8"/>
  <c r="BQ152" i="8"/>
  <c r="BD163" i="8"/>
  <c r="DE165" i="8"/>
  <c r="BD176" i="8"/>
  <c r="BT204" i="8"/>
  <c r="DD205" i="8"/>
  <c r="DA211" i="8"/>
  <c r="CJ222" i="8"/>
  <c r="DA224" i="8"/>
  <c r="CX55" i="8"/>
  <c r="CT21" i="8"/>
  <c r="CV21" i="8" s="1"/>
  <c r="BL19" i="8"/>
  <c r="BQ31" i="8"/>
  <c r="BN33" i="8"/>
  <c r="CX35" i="8"/>
  <c r="CL36" i="8"/>
  <c r="BL38" i="8"/>
  <c r="BR39" i="8"/>
  <c r="BN43" i="8"/>
  <c r="BH44" i="8"/>
  <c r="CJ44" i="8"/>
  <c r="CL44" i="8" s="1"/>
  <c r="CP44" i="8" s="1"/>
  <c r="CV50" i="8"/>
  <c r="BW52" i="8"/>
  <c r="BX53" i="8"/>
  <c r="CT53" i="8"/>
  <c r="BW54" i="8"/>
  <c r="CV55" i="8"/>
  <c r="CW55" i="8" s="1"/>
  <c r="DI55" i="8" s="1"/>
  <c r="BL61" i="8"/>
  <c r="CO62" i="8"/>
  <c r="BT64" i="8"/>
  <c r="BU65" i="8"/>
  <c r="BT70" i="8"/>
  <c r="CS71" i="8"/>
  <c r="BH73" i="8"/>
  <c r="CZ73" i="8"/>
  <c r="BL75" i="8"/>
  <c r="BM76" i="8"/>
  <c r="BO76" i="8" s="1"/>
  <c r="CO76" i="8"/>
  <c r="BL80" i="8"/>
  <c r="CO82" i="8"/>
  <c r="CJ83" i="8"/>
  <c r="CL83" i="8" s="1"/>
  <c r="CY83" i="8"/>
  <c r="BD84" i="8"/>
  <c r="BE84" i="8" s="1"/>
  <c r="BS84" i="8"/>
  <c r="CO84" i="8"/>
  <c r="DB92" i="8"/>
  <c r="BS96" i="8"/>
  <c r="BM97" i="8"/>
  <c r="CV99" i="8"/>
  <c r="DE100" i="8"/>
  <c r="DE101" i="8"/>
  <c r="BL119" i="8"/>
  <c r="DE124" i="8"/>
  <c r="CZ124" i="8"/>
  <c r="BR134" i="8"/>
  <c r="BS134" i="8"/>
  <c r="DB134" i="8"/>
  <c r="DA134" i="8"/>
  <c r="CX134" i="8"/>
  <c r="BQ144" i="8"/>
  <c r="BT144" i="8"/>
  <c r="CY153" i="8"/>
  <c r="DB153" i="8"/>
  <c r="DA153" i="8"/>
  <c r="CX153" i="8"/>
  <c r="DB51" i="8"/>
  <c r="CO32" i="8"/>
  <c r="CL37" i="8"/>
  <c r="BM38" i="8"/>
  <c r="BO38" i="8" s="1"/>
  <c r="BP38" i="8" s="1"/>
  <c r="DE40" i="8"/>
  <c r="BL44" i="8"/>
  <c r="CO45" i="8"/>
  <c r="BH53" i="8"/>
  <c r="CY55" i="8"/>
  <c r="BM58" i="8"/>
  <c r="BM59" i="8"/>
  <c r="Y60" i="8"/>
  <c r="Z60" i="8" s="1"/>
  <c r="AB60" i="8" s="1"/>
  <c r="CS64" i="8"/>
  <c r="CS76" i="8"/>
  <c r="Y77" i="8"/>
  <c r="Z77" i="8" s="1"/>
  <c r="AB77" i="8" s="1"/>
  <c r="CO77" i="8"/>
  <c r="Y80" i="8"/>
  <c r="Z80" i="8" s="1"/>
  <c r="BM83" i="8"/>
  <c r="BO83" i="8" s="1"/>
  <c r="BP83" i="8" s="1"/>
  <c r="BX84" i="8"/>
  <c r="BM85" i="8"/>
  <c r="DE90" i="8"/>
  <c r="BL94" i="8"/>
  <c r="CO94" i="8"/>
  <c r="CO101" i="8"/>
  <c r="CS103" i="8"/>
  <c r="CT105" i="8"/>
  <c r="CV105" i="8" s="1"/>
  <c r="BQ112" i="8"/>
  <c r="BU112" i="8"/>
  <c r="BT113" i="8"/>
  <c r="BU113" i="8"/>
  <c r="BX133" i="8"/>
  <c r="BR133" i="8"/>
  <c r="BC134" i="8"/>
  <c r="BM134" i="8"/>
  <c r="BX136" i="8"/>
  <c r="BX142" i="8"/>
  <c r="BS142" i="8"/>
  <c r="CZ143" i="8"/>
  <c r="BD144" i="8"/>
  <c r="BN144" i="8"/>
  <c r="DD90" i="8"/>
  <c r="CS21" i="8"/>
  <c r="CO21" i="8"/>
  <c r="CS30" i="8"/>
  <c r="BM36" i="8"/>
  <c r="BE40" i="8"/>
  <c r="BQ42" i="8"/>
  <c r="BM44" i="8"/>
  <c r="BR45" i="8"/>
  <c r="BL50" i="8"/>
  <c r="DD50" i="8"/>
  <c r="DD52" i="8"/>
  <c r="DD53" i="8"/>
  <c r="BX57" i="8"/>
  <c r="CS60" i="8"/>
  <c r="CS61" i="8"/>
  <c r="BW62" i="8"/>
  <c r="CS63" i="8"/>
  <c r="BR73" i="8"/>
  <c r="CS75" i="8"/>
  <c r="CO78" i="8"/>
  <c r="CS80" i="8"/>
  <c r="CT81" i="8"/>
  <c r="BN85" i="8"/>
  <c r="BT90" i="8"/>
  <c r="BQ94" i="8"/>
  <c r="BX96" i="8"/>
  <c r="CS96" i="8"/>
  <c r="CV112" i="8"/>
  <c r="CJ123" i="8"/>
  <c r="BM124" i="8"/>
  <c r="BC124" i="8"/>
  <c r="BL16" i="8"/>
  <c r="BC17" i="8"/>
  <c r="BH23" i="8"/>
  <c r="DB20" i="8"/>
  <c r="BL20" i="8"/>
  <c r="BX30" i="8"/>
  <c r="CJ31" i="8"/>
  <c r="BC32" i="8"/>
  <c r="BE32" i="8" s="1"/>
  <c r="BX32" i="8"/>
  <c r="CS36" i="8"/>
  <c r="BW38" i="8"/>
  <c r="Y50" i="8"/>
  <c r="CO51" i="8"/>
  <c r="DE53" i="8"/>
  <c r="BL56" i="8"/>
  <c r="BX58" i="8"/>
  <c r="CY59" i="8"/>
  <c r="BW60" i="8"/>
  <c r="BX61" i="8"/>
  <c r="BC62" i="8"/>
  <c r="DA64" i="8"/>
  <c r="DE65" i="8"/>
  <c r="BH71" i="8"/>
  <c r="BS73" i="8"/>
  <c r="CO74" i="8"/>
  <c r="CP74" i="8" s="1"/>
  <c r="CV75" i="8"/>
  <c r="CW75" i="8" s="1"/>
  <c r="DI75" i="8" s="1"/>
  <c r="BW77" i="8"/>
  <c r="BS78" i="8"/>
  <c r="BW80" i="8"/>
  <c r="CY82" i="8"/>
  <c r="BR83" i="8"/>
  <c r="BU85" i="8"/>
  <c r="BQ92" i="8"/>
  <c r="CO92" i="8"/>
  <c r="CO93" i="8"/>
  <c r="BT94" i="8"/>
  <c r="CS94" i="8"/>
  <c r="CX97" i="8"/>
  <c r="BS100" i="8"/>
  <c r="BW102" i="8"/>
  <c r="CZ103" i="8"/>
  <c r="BD104" i="8"/>
  <c r="BE104" i="8" s="1"/>
  <c r="CS104" i="8"/>
  <c r="BC111" i="8"/>
  <c r="BN112" i="8"/>
  <c r="BD112" i="8"/>
  <c r="BM118" i="8"/>
  <c r="BU119" i="8"/>
  <c r="BT119" i="8"/>
  <c r="CT121" i="8"/>
  <c r="CV121" i="8" s="1"/>
  <c r="BL124" i="8"/>
  <c r="DD132" i="8"/>
  <c r="Y132" i="8"/>
  <c r="Z132" i="8" s="1"/>
  <c r="AB132" i="8" s="1"/>
  <c r="DE139" i="8"/>
  <c r="CZ139" i="8"/>
  <c r="CV42" i="8"/>
  <c r="CW42" i="8" s="1"/>
  <c r="BN50" i="8"/>
  <c r="BO50" i="8" s="1"/>
  <c r="BM55" i="8"/>
  <c r="CV56" i="8"/>
  <c r="DA57" i="8"/>
  <c r="DA59" i="8"/>
  <c r="CL76" i="8"/>
  <c r="CP76" i="8" s="1"/>
  <c r="CT77" i="8"/>
  <c r="CV77" i="8" s="1"/>
  <c r="DA80" i="8"/>
  <c r="CX81" i="8"/>
  <c r="BC82" i="8"/>
  <c r="BE85" i="8"/>
  <c r="CS92" i="8"/>
  <c r="CY102" i="8"/>
  <c r="BC105" i="8"/>
  <c r="BM105" i="8"/>
  <c r="CL105" i="8"/>
  <c r="CZ132" i="8"/>
  <c r="DE132" i="8"/>
  <c r="BC139" i="8"/>
  <c r="BM139" i="8"/>
  <c r="CJ140" i="8"/>
  <c r="CL140" i="8" s="1"/>
  <c r="CT140" i="8"/>
  <c r="CV140" i="8" s="1"/>
  <c r="CW140" i="8" s="1"/>
  <c r="BD143" i="8"/>
  <c r="BN143" i="8"/>
  <c r="CJ152" i="8"/>
  <c r="CT152" i="8"/>
  <c r="CV152" i="8" s="1"/>
  <c r="BX21" i="8"/>
  <c r="CV53" i="8"/>
  <c r="CX20" i="8"/>
  <c r="CY41" i="8"/>
  <c r="CS44" i="8"/>
  <c r="CS51" i="8"/>
  <c r="BL65" i="8"/>
  <c r="CO65" i="8"/>
  <c r="BL71" i="8"/>
  <c r="CO71" i="8"/>
  <c r="CP71" i="8" s="1"/>
  <c r="CS74" i="8"/>
  <c r="DB81" i="8"/>
  <c r="BM84" i="8"/>
  <c r="Y91" i="8"/>
  <c r="Z91" i="8" s="1"/>
  <c r="BU92" i="8"/>
  <c r="BX100" i="8"/>
  <c r="BX114" i="8"/>
  <c r="BS114" i="8"/>
  <c r="CT119" i="8"/>
  <c r="CJ119" i="8"/>
  <c r="BM22" i="8"/>
  <c r="CJ18" i="8"/>
  <c r="CL18" i="8" s="1"/>
  <c r="BM19" i="8"/>
  <c r="CJ32" i="8"/>
  <c r="CL32" i="8" s="1"/>
  <c r="DE36" i="8"/>
  <c r="BL39" i="8"/>
  <c r="CS40" i="8"/>
  <c r="BL43" i="8"/>
  <c r="CT51" i="8"/>
  <c r="CV51" i="8" s="1"/>
  <c r="BW53" i="8"/>
  <c r="CS53" i="8"/>
  <c r="CW53" i="8" s="1"/>
  <c r="BL64" i="8"/>
  <c r="BH77" i="8"/>
  <c r="CV78" i="8"/>
  <c r="DE80" i="8"/>
  <c r="CX83" i="8"/>
  <c r="BH85" i="8"/>
  <c r="DB90" i="8"/>
  <c r="BD92" i="8"/>
  <c r="CY94" i="8"/>
  <c r="DE102" i="8"/>
  <c r="CO103" i="8"/>
  <c r="CT103" i="8"/>
  <c r="CO105" i="8"/>
  <c r="BL110" i="8"/>
  <c r="CJ111" i="8"/>
  <c r="CL111" i="8" s="1"/>
  <c r="CT111" i="8"/>
  <c r="BQ113" i="8"/>
  <c r="CO119" i="8"/>
  <c r="BT123" i="8"/>
  <c r="DA125" i="8"/>
  <c r="CX125" i="8"/>
  <c r="CZ144" i="8"/>
  <c r="DE144" i="8"/>
  <c r="CS112" i="8"/>
  <c r="CW112" i="8" s="1"/>
  <c r="CO121" i="8"/>
  <c r="CL123" i="8"/>
  <c r="BL131" i="8"/>
  <c r="CX137" i="8"/>
  <c r="BH139" i="8"/>
  <c r="BL142" i="8"/>
  <c r="CY143" i="8"/>
  <c r="BL150" i="8"/>
  <c r="CL150" i="8"/>
  <c r="CP150" i="8" s="1"/>
  <c r="BL152" i="8"/>
  <c r="DA152" i="8"/>
  <c r="BD156" i="8"/>
  <c r="BW156" i="8"/>
  <c r="BD159" i="8"/>
  <c r="BD160" i="8"/>
  <c r="BE160" i="8" s="1"/>
  <c r="Y161" i="8"/>
  <c r="Z161" i="8" s="1"/>
  <c r="AB161" i="8" s="1"/>
  <c r="CS163" i="8"/>
  <c r="DA164" i="8"/>
  <c r="DB165" i="8"/>
  <c r="CJ175" i="8"/>
  <c r="CL175" i="8" s="1"/>
  <c r="DB175" i="8"/>
  <c r="BC178" i="8"/>
  <c r="BW181" i="8"/>
  <c r="BD183" i="8"/>
  <c r="BR183" i="8"/>
  <c r="BM184" i="8"/>
  <c r="BL185" i="8"/>
  <c r="BL192" i="8"/>
  <c r="CV194" i="8"/>
  <c r="CS195" i="8"/>
  <c r="CL197" i="8"/>
  <c r="CJ202" i="8"/>
  <c r="CX205" i="8"/>
  <c r="BD212" i="8"/>
  <c r="DA213" i="8"/>
  <c r="CS217" i="8"/>
  <c r="BR219" i="8"/>
  <c r="CS219" i="8"/>
  <c r="BC222" i="8"/>
  <c r="BQ223" i="8"/>
  <c r="BU225" i="8"/>
  <c r="BX161" i="8"/>
  <c r="DB164" i="8"/>
  <c r="BR171" i="8"/>
  <c r="BW172" i="8"/>
  <c r="BQ173" i="8"/>
  <c r="CZ174" i="8"/>
  <c r="DE180" i="8"/>
  <c r="BR192" i="8"/>
  <c r="CJ194" i="8"/>
  <c r="CL194" i="8" s="1"/>
  <c r="CZ194" i="8"/>
  <c r="BR196" i="8"/>
  <c r="DB201" i="8"/>
  <c r="BC203" i="8"/>
  <c r="CJ210" i="8"/>
  <c r="CL210" i="8" s="1"/>
  <c r="BQ215" i="8"/>
  <c r="CS216" i="8"/>
  <c r="BX224" i="8"/>
  <c r="CZ135" i="8"/>
  <c r="CO140" i="8"/>
  <c r="DA160" i="8"/>
  <c r="CS171" i="8"/>
  <c r="BU173" i="8"/>
  <c r="CZ176" i="8"/>
  <c r="BL130" i="8"/>
  <c r="CO137" i="8"/>
  <c r="DA144" i="8"/>
  <c r="CV145" i="8"/>
  <c r="BL153" i="8"/>
  <c r="BH154" i="8"/>
  <c r="CL154" i="8"/>
  <c r="BH157" i="8"/>
  <c r="BH160" i="8"/>
  <c r="DB160" i="8"/>
  <c r="DD161" i="8"/>
  <c r="BH162" i="8"/>
  <c r="DB172" i="8"/>
  <c r="BL181" i="8"/>
  <c r="BQ185" i="8"/>
  <c r="CO190" i="8"/>
  <c r="BL198" i="8"/>
  <c r="BP198" i="8" s="1"/>
  <c r="CA198" i="8" s="1"/>
  <c r="BL202" i="8"/>
  <c r="CO202" i="8"/>
  <c r="CX203" i="8"/>
  <c r="CO205" i="8"/>
  <c r="CP205" i="8" s="1"/>
  <c r="BL211" i="8"/>
  <c r="CV212" i="8"/>
  <c r="CW212" i="8" s="1"/>
  <c r="BT213" i="8"/>
  <c r="CS214" i="8"/>
  <c r="CY223" i="8"/>
  <c r="DB224" i="8"/>
  <c r="DE225" i="8"/>
  <c r="BH95" i="8"/>
  <c r="BL96" i="8"/>
  <c r="CV98" i="8"/>
  <c r="CS100" i="8"/>
  <c r="BU101" i="8"/>
  <c r="CO110" i="8"/>
  <c r="BL117" i="8"/>
  <c r="BC123" i="8"/>
  <c r="CS123" i="8"/>
  <c r="BU124" i="8"/>
  <c r="BL134" i="8"/>
  <c r="BL136" i="8"/>
  <c r="BL140" i="8"/>
  <c r="CX141" i="8"/>
  <c r="BQ143" i="8"/>
  <c r="DB144" i="8"/>
  <c r="CL145" i="8"/>
  <c r="CP145" i="8" s="1"/>
  <c r="BX150" i="8"/>
  <c r="CV151" i="8"/>
  <c r="BD152" i="8"/>
  <c r="CS152" i="8"/>
  <c r="BQ153" i="8"/>
  <c r="CO153" i="8"/>
  <c r="CP153" i="8" s="1"/>
  <c r="Y156" i="8"/>
  <c r="Z156" i="8" s="1"/>
  <c r="AB156" i="8" s="1"/>
  <c r="CO156" i="8"/>
  <c r="BH161" i="8"/>
  <c r="DE161" i="8"/>
  <c r="BL162" i="8"/>
  <c r="BS164" i="8"/>
  <c r="DE170" i="8"/>
  <c r="DA173" i="8"/>
  <c r="BQ175" i="8"/>
  <c r="BL177" i="8"/>
  <c r="BE185" i="8"/>
  <c r="BI185" i="8" s="1"/>
  <c r="BU185" i="8"/>
  <c r="CS190" i="8"/>
  <c r="CV191" i="8"/>
  <c r="CX195" i="8"/>
  <c r="BT197" i="8"/>
  <c r="CO201" i="8"/>
  <c r="BS202" i="8"/>
  <c r="CY203" i="8"/>
  <c r="CS204" i="8"/>
  <c r="BU205" i="8"/>
  <c r="CO210" i="8"/>
  <c r="BQ211" i="8"/>
  <c r="Y212" i="8"/>
  <c r="Z212" i="8" s="1"/>
  <c r="AB212" i="8" s="1"/>
  <c r="CL212" i="8"/>
  <c r="CZ212" i="8"/>
  <c r="DA215" i="8"/>
  <c r="BN220" i="8"/>
  <c r="DE220" i="8"/>
  <c r="BL221" i="8"/>
  <c r="CZ223" i="8"/>
  <c r="CX121" i="8"/>
  <c r="CY122" i="8"/>
  <c r="BR143" i="8"/>
  <c r="BH150" i="8"/>
  <c r="BT153" i="8"/>
  <c r="BN155" i="8"/>
  <c r="BR165" i="8"/>
  <c r="CJ171" i="8"/>
  <c r="DE172" i="8"/>
  <c r="DB173" i="8"/>
  <c r="BU176" i="8"/>
  <c r="BN177" i="8"/>
  <c r="DD178" i="8"/>
  <c r="BQ181" i="8"/>
  <c r="DE181" i="8"/>
  <c r="CL183" i="8"/>
  <c r="CJ191" i="8"/>
  <c r="CL191" i="8" s="1"/>
  <c r="CP191" i="8" s="1"/>
  <c r="CY195" i="8"/>
  <c r="CT204" i="8"/>
  <c r="CV204" i="8" s="1"/>
  <c r="BT211" i="8"/>
  <c r="CT213" i="8"/>
  <c r="DB215" i="8"/>
  <c r="DB216" i="8"/>
  <c r="DD218" i="8"/>
  <c r="BR220" i="8"/>
  <c r="CS221" i="8"/>
  <c r="BL223" i="8"/>
  <c r="DE224" i="8"/>
  <c r="CS110" i="8"/>
  <c r="BL113" i="8"/>
  <c r="BU117" i="8"/>
  <c r="CS117" i="8"/>
  <c r="BC119" i="8"/>
  <c r="BE119" i="8" s="1"/>
  <c r="DA120" i="8"/>
  <c r="CL121" i="8"/>
  <c r="DB121" i="8"/>
  <c r="CJ122" i="8"/>
  <c r="BN125" i="8"/>
  <c r="CS125" i="8"/>
  <c r="CS130" i="8"/>
  <c r="BL132" i="8"/>
  <c r="CT137" i="8"/>
  <c r="BE139" i="8"/>
  <c r="CS139" i="8"/>
  <c r="BS156" i="8"/>
  <c r="BM157" i="8"/>
  <c r="CX158" i="8"/>
  <c r="BR159" i="8"/>
  <c r="BT160" i="8"/>
  <c r="CS164" i="8"/>
  <c r="Y165" i="8"/>
  <c r="Z165" i="8" s="1"/>
  <c r="AB165" i="8" s="1"/>
  <c r="BN172" i="8"/>
  <c r="CL173" i="8"/>
  <c r="BL179" i="8"/>
  <c r="BU181" i="8"/>
  <c r="CO182" i="8"/>
  <c r="CS185" i="8"/>
  <c r="BH192" i="8"/>
  <c r="BX194" i="8"/>
  <c r="CS194" i="8"/>
  <c r="CW194" i="8" s="1"/>
  <c r="CZ195" i="8"/>
  <c r="CT197" i="8"/>
  <c r="CX198" i="8"/>
  <c r="BL201" i="8"/>
  <c r="CS201" i="8"/>
  <c r="CT205" i="8"/>
  <c r="CV205" i="8" s="1"/>
  <c r="BL219" i="8"/>
  <c r="BU220" i="8"/>
  <c r="BQ222" i="8"/>
  <c r="CZ155" i="8"/>
  <c r="CY158" i="8"/>
  <c r="BU160" i="8"/>
  <c r="BR161" i="8"/>
  <c r="BX165" i="8"/>
  <c r="BU172" i="8"/>
  <c r="CT185" i="8"/>
  <c r="CV185" i="8" s="1"/>
  <c r="CW185" i="8" s="1"/>
  <c r="BN203" i="8"/>
  <c r="BD211" i="8"/>
  <c r="CX213" i="8"/>
  <c r="CS224" i="8"/>
  <c r="BQ225" i="8"/>
  <c r="BD22" i="8"/>
  <c r="BE22" i="8" s="1"/>
  <c r="BH22" i="8"/>
  <c r="BM31" i="8"/>
  <c r="BO31" i="8" s="1"/>
  <c r="BC31" i="8"/>
  <c r="CT39" i="8"/>
  <c r="CV39" i="8" s="1"/>
  <c r="CJ39" i="8"/>
  <c r="DE60" i="8"/>
  <c r="CZ60" i="8"/>
  <c r="Y78" i="8"/>
  <c r="Z78" i="8" s="1"/>
  <c r="AB78" i="8" s="1"/>
  <c r="DD78" i="8"/>
  <c r="CZ85" i="8"/>
  <c r="DE85" i="8"/>
  <c r="DB110" i="8"/>
  <c r="DA110" i="8"/>
  <c r="CY110" i="8"/>
  <c r="CX110" i="8"/>
  <c r="BQ115" i="8"/>
  <c r="BU115" i="8"/>
  <c r="BT115" i="8"/>
  <c r="BR160" i="8"/>
  <c r="BX160" i="8"/>
  <c r="BS160" i="8"/>
  <c r="CJ161" i="8"/>
  <c r="CL161" i="8" s="1"/>
  <c r="CT161" i="8"/>
  <c r="CV161" i="8" s="1"/>
  <c r="CT174" i="8"/>
  <c r="CV174" i="8" s="1"/>
  <c r="CJ174" i="8"/>
  <c r="CL174" i="8" s="1"/>
  <c r="CO174" i="8"/>
  <c r="CS23" i="8"/>
  <c r="BR36" i="8"/>
  <c r="BS36" i="8"/>
  <c r="BL40" i="8"/>
  <c r="CZ54" i="8"/>
  <c r="DE54" i="8"/>
  <c r="BS74" i="8"/>
  <c r="BX74" i="8"/>
  <c r="DB114" i="8"/>
  <c r="DA114" i="8"/>
  <c r="CY114" i="8"/>
  <c r="Y118" i="8"/>
  <c r="Z118" i="8" s="1"/>
  <c r="DD118" i="8"/>
  <c r="BW118" i="8"/>
  <c r="AA132" i="8"/>
  <c r="CJ138" i="8"/>
  <c r="CT138" i="8"/>
  <c r="CV138" i="8" s="1"/>
  <c r="CW138" i="8" s="1"/>
  <c r="DA154" i="8"/>
  <c r="CY154" i="8"/>
  <c r="CX154" i="8"/>
  <c r="DB11" i="8"/>
  <c r="CX11" i="8"/>
  <c r="CJ19" i="8"/>
  <c r="CL19" i="8" s="1"/>
  <c r="CP19" i="8" s="1"/>
  <c r="CT19" i="8"/>
  <c r="CV19" i="8" s="1"/>
  <c r="BQ36" i="8"/>
  <c r="BT36" i="8"/>
  <c r="BD37" i="8"/>
  <c r="BE37" i="8" s="1"/>
  <c r="BN37" i="8"/>
  <c r="BO37" i="8" s="1"/>
  <c r="CY44" i="8"/>
  <c r="DB44" i="8"/>
  <c r="DA44" i="8"/>
  <c r="CX54" i="8"/>
  <c r="CJ59" i="8"/>
  <c r="CL59" i="8" s="1"/>
  <c r="CT59" i="8"/>
  <c r="CV59" i="8" s="1"/>
  <c r="BD61" i="8"/>
  <c r="BE61" i="8" s="1"/>
  <c r="BN61" i="8"/>
  <c r="BO61" i="8" s="1"/>
  <c r="BU83" i="8"/>
  <c r="BT83" i="8"/>
  <c r="BL105" i="8"/>
  <c r="BC115" i="8"/>
  <c r="BE115" i="8" s="1"/>
  <c r="BM115" i="8"/>
  <c r="BT145" i="8"/>
  <c r="BU145" i="8"/>
  <c r="BQ145" i="8"/>
  <c r="BR22" i="8"/>
  <c r="BX22" i="8"/>
  <c r="BH37" i="8"/>
  <c r="BO54" i="8"/>
  <c r="DA61" i="8"/>
  <c r="DB61" i="8"/>
  <c r="CL85" i="8"/>
  <c r="DB96" i="8"/>
  <c r="BX110" i="8"/>
  <c r="BR110" i="8"/>
  <c r="Y120" i="8"/>
  <c r="Z120" i="8" s="1"/>
  <c r="AB120" i="8" s="1"/>
  <c r="CO125" i="8"/>
  <c r="CZ134" i="8"/>
  <c r="DE134" i="8"/>
  <c r="CT135" i="8"/>
  <c r="CV135" i="8" s="1"/>
  <c r="CJ135" i="8"/>
  <c r="CL135" i="8" s="1"/>
  <c r="BQ139" i="8"/>
  <c r="BU139" i="8"/>
  <c r="BT139" i="8"/>
  <c r="BT150" i="8"/>
  <c r="BU150" i="8"/>
  <c r="CT158" i="8"/>
  <c r="CV158" i="8" s="1"/>
  <c r="CJ158" i="8"/>
  <c r="CL158" i="8" s="1"/>
  <c r="BL173" i="8"/>
  <c r="CY184" i="8"/>
  <c r="DB184" i="8"/>
  <c r="DA184" i="8"/>
  <c r="CO13" i="8"/>
  <c r="CL16" i="8"/>
  <c r="Y22" i="8"/>
  <c r="BW25" i="8"/>
  <c r="BQ22" i="8"/>
  <c r="BL21" i="8"/>
  <c r="CL20" i="8"/>
  <c r="BH32" i="8"/>
  <c r="DA34" i="8"/>
  <c r="CX34" i="8"/>
  <c r="DB34" i="8"/>
  <c r="BX36" i="8"/>
  <c r="Y37" i="8"/>
  <c r="Z37" i="8" s="1"/>
  <c r="CZ37" i="8"/>
  <c r="DE37" i="8"/>
  <c r="BU39" i="8"/>
  <c r="BQ39" i="8"/>
  <c r="BQ40" i="8"/>
  <c r="BU40" i="8"/>
  <c r="BT40" i="8"/>
  <c r="CO40" i="8"/>
  <c r="BL42" i="8"/>
  <c r="CJ42" i="8"/>
  <c r="CL42" i="8" s="1"/>
  <c r="CX42" i="8"/>
  <c r="BR44" i="8"/>
  <c r="BX44" i="8"/>
  <c r="CZ44" i="8"/>
  <c r="BR50" i="8"/>
  <c r="BS50" i="8"/>
  <c r="BH51" i="8"/>
  <c r="BD51" i="8"/>
  <c r="AA53" i="8"/>
  <c r="BH54" i="8"/>
  <c r="CJ55" i="8"/>
  <c r="CL55" i="8" s="1"/>
  <c r="CZ56" i="8"/>
  <c r="BC57" i="8"/>
  <c r="BM57" i="8"/>
  <c r="CS57" i="8"/>
  <c r="CS59" i="8"/>
  <c r="CW59" i="8" s="1"/>
  <c r="CP61" i="8"/>
  <c r="CJ62" i="8"/>
  <c r="CL62" i="8" s="1"/>
  <c r="CT62" i="8"/>
  <c r="CV62" i="8" s="1"/>
  <c r="DD62" i="8"/>
  <c r="BD64" i="8"/>
  <c r="BE64" i="8" s="1"/>
  <c r="BN64" i="8"/>
  <c r="CZ64" i="8"/>
  <c r="BU71" i="8"/>
  <c r="BT71" i="8"/>
  <c r="BQ71" i="8"/>
  <c r="BQ72" i="8"/>
  <c r="BW73" i="8"/>
  <c r="DD73" i="8"/>
  <c r="Y73" i="8"/>
  <c r="Z73" i="8" s="1"/>
  <c r="AB73" i="8" s="1"/>
  <c r="Y76" i="8"/>
  <c r="Z76" i="8" s="1"/>
  <c r="DA77" i="8"/>
  <c r="DB77" i="8"/>
  <c r="CX77" i="8"/>
  <c r="BW78" i="8"/>
  <c r="BX79" i="8"/>
  <c r="BS79" i="8"/>
  <c r="BR79" i="8"/>
  <c r="CS79" i="8"/>
  <c r="BU80" i="8"/>
  <c r="BW85" i="8"/>
  <c r="DD85" i="8"/>
  <c r="CO85" i="8"/>
  <c r="CS90" i="8"/>
  <c r="DE91" i="8"/>
  <c r="BX93" i="8"/>
  <c r="BR93" i="8"/>
  <c r="CO95" i="8"/>
  <c r="CJ95" i="8"/>
  <c r="CT95" i="8"/>
  <c r="CV95" i="8" s="1"/>
  <c r="Y96" i="8"/>
  <c r="Z96" i="8" s="1"/>
  <c r="DD96" i="8"/>
  <c r="BH103" i="8"/>
  <c r="BM103" i="8"/>
  <c r="CW104" i="8"/>
  <c r="DH104" i="8" s="1"/>
  <c r="Y105" i="8"/>
  <c r="Z105" i="8" s="1"/>
  <c r="AB105" i="8" s="1"/>
  <c r="CS105" i="8"/>
  <c r="BU110" i="8"/>
  <c r="BT110" i="8"/>
  <c r="BQ110" i="8"/>
  <c r="CX116" i="8"/>
  <c r="CV118" i="8"/>
  <c r="BQ125" i="8"/>
  <c r="BR135" i="8"/>
  <c r="CO135" i="8"/>
  <c r="Y136" i="8"/>
  <c r="Z136" i="8" s="1"/>
  <c r="AB136" i="8" s="1"/>
  <c r="BW136" i="8"/>
  <c r="Y138" i="8"/>
  <c r="Z138" i="8" s="1"/>
  <c r="AB138" i="8" s="1"/>
  <c r="DD138" i="8"/>
  <c r="BW138" i="8"/>
  <c r="BD145" i="8"/>
  <c r="BE145" i="8" s="1"/>
  <c r="BH145" i="8"/>
  <c r="BN145" i="8"/>
  <c r="DE163" i="8"/>
  <c r="CZ163" i="8"/>
  <c r="BN164" i="8"/>
  <c r="BD164" i="8"/>
  <c r="BH164" i="8"/>
  <c r="BO170" i="8"/>
  <c r="BP170" i="8" s="1"/>
  <c r="BR172" i="8"/>
  <c r="BS172" i="8"/>
  <c r="BX172" i="8"/>
  <c r="CJ192" i="8"/>
  <c r="CL192" i="8" s="1"/>
  <c r="CT192" i="8"/>
  <c r="CV192" i="8" s="1"/>
  <c r="CO192" i="8"/>
  <c r="CZ198" i="8"/>
  <c r="DE198" i="8"/>
  <c r="CJ225" i="8"/>
  <c r="CL225" i="8" s="1"/>
  <c r="CT225" i="8"/>
  <c r="BD25" i="8"/>
  <c r="BE25" i="8" s="1"/>
  <c r="BH25" i="8"/>
  <c r="BR19" i="8"/>
  <c r="CY40" i="8"/>
  <c r="DB40" i="8"/>
  <c r="CY50" i="8"/>
  <c r="DA50" i="8"/>
  <c r="CY76" i="8"/>
  <c r="DB76" i="8"/>
  <c r="DA76" i="8"/>
  <c r="BH79" i="8"/>
  <c r="BD79" i="8"/>
  <c r="BE79" i="8" s="1"/>
  <c r="CV83" i="8"/>
  <c r="DE111" i="8"/>
  <c r="CZ111" i="8"/>
  <c r="BC121" i="8"/>
  <c r="BM121" i="8"/>
  <c r="BO121" i="8" s="1"/>
  <c r="BU155" i="8"/>
  <c r="BT155" i="8"/>
  <c r="BQ155" i="8"/>
  <c r="BX35" i="8"/>
  <c r="BR35" i="8"/>
  <c r="BS35" i="8"/>
  <c r="DA40" i="8"/>
  <c r="BQ51" i="8"/>
  <c r="BT51" i="8"/>
  <c r="CX85" i="8"/>
  <c r="CJ90" i="8"/>
  <c r="CL90" i="8" s="1"/>
  <c r="CT90" i="8"/>
  <c r="CV90" i="8" s="1"/>
  <c r="CW90" i="8" s="1"/>
  <c r="BQ95" i="8"/>
  <c r="BU95" i="8"/>
  <c r="BT95" i="8"/>
  <c r="BM114" i="8"/>
  <c r="BC114" i="8"/>
  <c r="Y43" i="8"/>
  <c r="Z43" i="8" s="1"/>
  <c r="AB43" i="8" s="1"/>
  <c r="BS65" i="8"/>
  <c r="BX65" i="8"/>
  <c r="Y71" i="8"/>
  <c r="Z71" i="8" s="1"/>
  <c r="AB71" i="8" s="1"/>
  <c r="DD71" i="8"/>
  <c r="CJ73" i="8"/>
  <c r="CL73" i="8" s="1"/>
  <c r="CT73" i="8"/>
  <c r="CV73" i="8" s="1"/>
  <c r="CW73" i="8" s="1"/>
  <c r="DB73" i="8"/>
  <c r="BL76" i="8"/>
  <c r="BL81" i="8"/>
  <c r="DB85" i="8"/>
  <c r="CT94" i="8"/>
  <c r="CV94" i="8" s="1"/>
  <c r="CJ94" i="8"/>
  <c r="CL94" i="8" s="1"/>
  <c r="CP94" i="8" s="1"/>
  <c r="BD111" i="8"/>
  <c r="BE111" i="8" s="1"/>
  <c r="BN111" i="8"/>
  <c r="BO111" i="8" s="1"/>
  <c r="BH114" i="8"/>
  <c r="BD114" i="8"/>
  <c r="BN114" i="8"/>
  <c r="CJ125" i="8"/>
  <c r="CL125" i="8" s="1"/>
  <c r="CT125" i="8"/>
  <c r="Y131" i="8"/>
  <c r="Z131" i="8" s="1"/>
  <c r="AB131" i="8" s="1"/>
  <c r="DD131" i="8"/>
  <c r="BR152" i="8"/>
  <c r="BX152" i="8"/>
  <c r="BS152" i="8"/>
  <c r="CJ23" i="8"/>
  <c r="CL23" i="8" s="1"/>
  <c r="CO23" i="8"/>
  <c r="BL31" i="8"/>
  <c r="BX43" i="8"/>
  <c r="BS43" i="8"/>
  <c r="BR43" i="8"/>
  <c r="CY54" i="8"/>
  <c r="Y56" i="8"/>
  <c r="Z56" i="8" s="1"/>
  <c r="AB56" i="8" s="1"/>
  <c r="CO73" i="8"/>
  <c r="BC92" i="8"/>
  <c r="BM92" i="8"/>
  <c r="BO92" i="8" s="1"/>
  <c r="BP92" i="8" s="1"/>
  <c r="DA113" i="8"/>
  <c r="CX113" i="8"/>
  <c r="DB113" i="8"/>
  <c r="DA23" i="8"/>
  <c r="CY23" i="8"/>
  <c r="BD19" i="8"/>
  <c r="BE19" i="8" s="1"/>
  <c r="BH19" i="8"/>
  <c r="CJ30" i="8"/>
  <c r="CL30" i="8" s="1"/>
  <c r="CT30" i="8"/>
  <c r="CV30" i="8" s="1"/>
  <c r="CW30" i="8" s="1"/>
  <c r="Y31" i="8"/>
  <c r="Z31" i="8" s="1"/>
  <c r="BW31" i="8"/>
  <c r="CT33" i="8"/>
  <c r="CV33" i="8" s="1"/>
  <c r="CW33" i="8" s="1"/>
  <c r="CJ33" i="8"/>
  <c r="BH35" i="8"/>
  <c r="BN35" i="8"/>
  <c r="BH36" i="8"/>
  <c r="BH38" i="8"/>
  <c r="DB38" i="8"/>
  <c r="CX38" i="8"/>
  <c r="CY38" i="8"/>
  <c r="CZ39" i="8"/>
  <c r="CY42" i="8"/>
  <c r="BQ44" i="8"/>
  <c r="BU44" i="8"/>
  <c r="BT44" i="8"/>
  <c r="BU50" i="8"/>
  <c r="BT50" i="8"/>
  <c r="BQ50" i="8"/>
  <c r="BL55" i="8"/>
  <c r="DA56" i="8"/>
  <c r="BD57" i="8"/>
  <c r="BN57" i="8"/>
  <c r="BO57" i="8" s="1"/>
  <c r="BQ59" i="8"/>
  <c r="BX71" i="8"/>
  <c r="BR72" i="8"/>
  <c r="BL74" i="8"/>
  <c r="DD75" i="8"/>
  <c r="Y75" i="8"/>
  <c r="Z75" i="8" s="1"/>
  <c r="BR76" i="8"/>
  <c r="BS76" i="8"/>
  <c r="DE77" i="8"/>
  <c r="BT79" i="8"/>
  <c r="BQ79" i="8"/>
  <c r="Y82" i="8"/>
  <c r="Z82" i="8" s="1"/>
  <c r="AB82" i="8" s="1"/>
  <c r="BW82" i="8"/>
  <c r="BH90" i="8"/>
  <c r="BD90" i="8"/>
  <c r="BE90" i="8" s="1"/>
  <c r="BN90" i="8"/>
  <c r="BO90" i="8" s="1"/>
  <c r="BW90" i="8"/>
  <c r="BH92" i="8"/>
  <c r="DE93" i="8"/>
  <c r="CZ93" i="8"/>
  <c r="BM94" i="8"/>
  <c r="BC94" i="8"/>
  <c r="BL95" i="8"/>
  <c r="CT102" i="8"/>
  <c r="CV102" i="8" s="1"/>
  <c r="CJ102" i="8"/>
  <c r="BD103" i="8"/>
  <c r="BE103" i="8" s="1"/>
  <c r="BN103" i="8"/>
  <c r="BC117" i="8"/>
  <c r="BE117" i="8" s="1"/>
  <c r="BM117" i="8"/>
  <c r="BH117" i="8"/>
  <c r="DE119" i="8"/>
  <c r="CZ119" i="8"/>
  <c r="CV119" i="8"/>
  <c r="BU125" i="8"/>
  <c r="BT130" i="8"/>
  <c r="BU130" i="8"/>
  <c r="BM133" i="8"/>
  <c r="BC133" i="8"/>
  <c r="BE133" i="8" s="1"/>
  <c r="BQ135" i="8"/>
  <c r="BU135" i="8"/>
  <c r="BS135" i="8"/>
  <c r="BC143" i="8"/>
  <c r="BM143" i="8"/>
  <c r="BH152" i="8"/>
  <c r="BC152" i="8"/>
  <c r="BM152" i="8"/>
  <c r="BO152" i="8" s="1"/>
  <c r="BP152" i="8" s="1"/>
  <c r="CJ157" i="8"/>
  <c r="CL157" i="8" s="1"/>
  <c r="CT157" i="8"/>
  <c r="CV157" i="8" s="1"/>
  <c r="CW157" i="8" s="1"/>
  <c r="BE170" i="8"/>
  <c r="BI170" i="8" s="1"/>
  <c r="BQ170" i="8"/>
  <c r="BD181" i="8"/>
  <c r="BE181" i="8" s="1"/>
  <c r="BN181" i="8"/>
  <c r="Y182" i="8"/>
  <c r="Z182" i="8" s="1"/>
  <c r="DD182" i="8"/>
  <c r="BW182" i="8"/>
  <c r="BU183" i="8"/>
  <c r="BQ183" i="8"/>
  <c r="BN197" i="8"/>
  <c r="BO197" i="8" s="1"/>
  <c r="BH197" i="8"/>
  <c r="BD197" i="8"/>
  <c r="BE197" i="8" s="1"/>
  <c r="Y221" i="8"/>
  <c r="Z221" i="8" s="1"/>
  <c r="AB221" i="8" s="1"/>
  <c r="DD221" i="8"/>
  <c r="CS35" i="8"/>
  <c r="BD99" i="8"/>
  <c r="BE99" i="8" s="1"/>
  <c r="BN99" i="8"/>
  <c r="BO99" i="8" s="1"/>
  <c r="BE15" i="8"/>
  <c r="BR20" i="8"/>
  <c r="BW36" i="8"/>
  <c r="CO80" i="8"/>
  <c r="BQ83" i="8"/>
  <c r="BL100" i="8"/>
  <c r="BX19" i="8"/>
  <c r="BR30" i="8"/>
  <c r="CY36" i="8"/>
  <c r="DB36" i="8"/>
  <c r="BD39" i="8"/>
  <c r="BN39" i="8"/>
  <c r="BO39" i="8" s="1"/>
  <c r="BP39" i="8" s="1"/>
  <c r="Y42" i="8"/>
  <c r="Z42" i="8" s="1"/>
  <c r="AB42" i="8" s="1"/>
  <c r="DD42" i="8"/>
  <c r="CZ71" i="8"/>
  <c r="DE71" i="8"/>
  <c r="CZ81" i="8"/>
  <c r="DE81" i="8"/>
  <c r="CY84" i="8"/>
  <c r="DB84" i="8"/>
  <c r="DA84" i="8"/>
  <c r="BN94" i="8"/>
  <c r="BD94" i="8"/>
  <c r="CJ97" i="8"/>
  <c r="CL97" i="8" s="1"/>
  <c r="CT97" i="8"/>
  <c r="CV97" i="8" s="1"/>
  <c r="CY104" i="8"/>
  <c r="DA104" i="8"/>
  <c r="DB104" i="8"/>
  <c r="BR116" i="8"/>
  <c r="BS116" i="8"/>
  <c r="CJ118" i="8"/>
  <c r="CL118" i="8" s="1"/>
  <c r="DB119" i="8"/>
  <c r="CY119" i="8"/>
  <c r="DA119" i="8"/>
  <c r="CX119" i="8"/>
  <c r="CZ121" i="8"/>
  <c r="DE121" i="8"/>
  <c r="CY140" i="8"/>
  <c r="DB140" i="8"/>
  <c r="DA140" i="8"/>
  <c r="CJ142" i="8"/>
  <c r="CL142" i="8" s="1"/>
  <c r="CP142" i="8" s="1"/>
  <c r="CT142" i="8"/>
  <c r="CV142" i="8" s="1"/>
  <c r="CJ164" i="8"/>
  <c r="CL164" i="8" s="1"/>
  <c r="CT164" i="8"/>
  <c r="CV164" i="8" s="1"/>
  <c r="CO164" i="8"/>
  <c r="BD214" i="8"/>
  <c r="BN214" i="8"/>
  <c r="BO214" i="8" s="1"/>
  <c r="CT214" i="8"/>
  <c r="CV214" i="8" s="1"/>
  <c r="CW214" i="8" s="1"/>
  <c r="CJ214" i="8"/>
  <c r="CL214" i="8" s="1"/>
  <c r="AA218" i="8"/>
  <c r="BS51" i="8"/>
  <c r="BR51" i="8"/>
  <c r="BQ84" i="8"/>
  <c r="BU84" i="8"/>
  <c r="BT84" i="8"/>
  <c r="DD97" i="8"/>
  <c r="BW97" i="8"/>
  <c r="DB100" i="8"/>
  <c r="CZ122" i="8"/>
  <c r="DE122" i="8"/>
  <c r="BH179" i="8"/>
  <c r="BD179" i="8"/>
  <c r="CS34" i="8"/>
  <c r="Y45" i="8"/>
  <c r="Z45" i="8" s="1"/>
  <c r="AB45" i="8" s="1"/>
  <c r="CX50" i="8"/>
  <c r="BR64" i="8"/>
  <c r="BS64" i="8"/>
  <c r="BL70" i="8"/>
  <c r="DA73" i="8"/>
  <c r="CS77" i="8"/>
  <c r="CW77" i="8" s="1"/>
  <c r="BC112" i="8"/>
  <c r="BE112" i="8" s="1"/>
  <c r="BM112" i="8"/>
  <c r="BO112" i="8" s="1"/>
  <c r="BP112" i="8" s="1"/>
  <c r="CY115" i="8"/>
  <c r="DB115" i="8"/>
  <c r="BH156" i="8"/>
  <c r="BC156" i="8"/>
  <c r="BE156" i="8" s="1"/>
  <c r="BM156" i="8"/>
  <c r="BO156" i="8" s="1"/>
  <c r="BU159" i="8"/>
  <c r="BT159" i="8"/>
  <c r="BQ159" i="8"/>
  <c r="BD30" i="8"/>
  <c r="BE30" i="8" s="1"/>
  <c r="BN30" i="8"/>
  <c r="BO30" i="8" s="1"/>
  <c r="BU38" i="8"/>
  <c r="BT38" i="8"/>
  <c r="BQ38" i="8"/>
  <c r="DD39" i="8"/>
  <c r="Y39" i="8"/>
  <c r="Z39" i="8" s="1"/>
  <c r="AB39" i="8" s="1"/>
  <c r="BM42" i="8"/>
  <c r="BC42" i="8"/>
  <c r="BL52" i="8"/>
  <c r="CZ61" i="8"/>
  <c r="DE61" i="8"/>
  <c r="DA96" i="8"/>
  <c r="BX118" i="8"/>
  <c r="BS118" i="8"/>
  <c r="DD120" i="8"/>
  <c r="BH34" i="8"/>
  <c r="BR40" i="8"/>
  <c r="BS40" i="8"/>
  <c r="DD59" i="8"/>
  <c r="BW59" i="8"/>
  <c r="CO59" i="8"/>
  <c r="BH61" i="8"/>
  <c r="BL85" i="8"/>
  <c r="DB103" i="8"/>
  <c r="CY103" i="8"/>
  <c r="CX103" i="8"/>
  <c r="CY116" i="8"/>
  <c r="DA116" i="8"/>
  <c r="CX23" i="8"/>
  <c r="BL33" i="8"/>
  <c r="BR34" i="8"/>
  <c r="BX34" i="8"/>
  <c r="DA36" i="8"/>
  <c r="DB39" i="8"/>
  <c r="DA39" i="8"/>
  <c r="BX40" i="8"/>
  <c r="BU52" i="8"/>
  <c r="BQ52" i="8"/>
  <c r="CZ58" i="8"/>
  <c r="DE58" i="8"/>
  <c r="DE70" i="8"/>
  <c r="CZ70" i="8"/>
  <c r="BU72" i="8"/>
  <c r="BQ76" i="8"/>
  <c r="BU76" i="8"/>
  <c r="BT76" i="8"/>
  <c r="BW76" i="8"/>
  <c r="CY78" i="8"/>
  <c r="CX78" i="8"/>
  <c r="BC20" i="8"/>
  <c r="BE20" i="8" s="1"/>
  <c r="BH20" i="8"/>
  <c r="CV31" i="8"/>
  <c r="BS34" i="8"/>
  <c r="BL36" i="8"/>
  <c r="DD38" i="8"/>
  <c r="BH40" i="8"/>
  <c r="BI40" i="8" s="1"/>
  <c r="CT40" i="8"/>
  <c r="CV40" i="8" s="1"/>
  <c r="CW40" i="8" s="1"/>
  <c r="BS41" i="8"/>
  <c r="BX41" i="8"/>
  <c r="BR41" i="8"/>
  <c r="BR42" i="8"/>
  <c r="CO42" i="8"/>
  <c r="DA43" i="8"/>
  <c r="BS44" i="8"/>
  <c r="CJ45" i="8"/>
  <c r="CL45" i="8" s="1"/>
  <c r="CP45" i="8" s="1"/>
  <c r="CT45" i="8"/>
  <c r="CV45" i="8" s="1"/>
  <c r="DD45" i="8"/>
  <c r="CW50" i="8"/>
  <c r="DH50" i="8" s="1"/>
  <c r="BC53" i="8"/>
  <c r="BM53" i="8"/>
  <c r="BW55" i="8"/>
  <c r="DD55" i="8"/>
  <c r="CO55" i="8"/>
  <c r="BD56" i="8"/>
  <c r="BN56" i="8"/>
  <c r="BO56" i="8" s="1"/>
  <c r="BP56" i="8" s="1"/>
  <c r="BS62" i="8"/>
  <c r="BX62" i="8"/>
  <c r="CJ65" i="8"/>
  <c r="CL65" i="8" s="1"/>
  <c r="CT65" i="8"/>
  <c r="CV65" i="8" s="1"/>
  <c r="BH70" i="8"/>
  <c r="BN70" i="8"/>
  <c r="BO70" i="8" s="1"/>
  <c r="DD74" i="8"/>
  <c r="BW74" i="8"/>
  <c r="BT75" i="8"/>
  <c r="BQ75" i="8"/>
  <c r="BL82" i="8"/>
  <c r="CV84" i="8"/>
  <c r="CW84" i="8" s="1"/>
  <c r="CT85" i="8"/>
  <c r="CV85" i="8" s="1"/>
  <c r="BL90" i="8"/>
  <c r="BX91" i="8"/>
  <c r="BH93" i="8"/>
  <c r="BH94" i="8"/>
  <c r="CO97" i="8"/>
  <c r="Y98" i="8"/>
  <c r="Z98" i="8" s="1"/>
  <c r="AB98" i="8" s="1"/>
  <c r="DD98" i="8"/>
  <c r="BW98" i="8"/>
  <c r="DA100" i="8"/>
  <c r="BQ101" i="8"/>
  <c r="CO102" i="8"/>
  <c r="BL104" i="8"/>
  <c r="CZ104" i="8"/>
  <c r="BT116" i="8"/>
  <c r="BU116" i="8"/>
  <c r="BQ116" i="8"/>
  <c r="BW124" i="8"/>
  <c r="DD124" i="8"/>
  <c r="BN124" i="8"/>
  <c r="BO124" i="8" s="1"/>
  <c r="BP124" i="8" s="1"/>
  <c r="CT132" i="8"/>
  <c r="CV132" i="8" s="1"/>
  <c r="CW132" i="8" s="1"/>
  <c r="CJ132" i="8"/>
  <c r="CL132" i="8" s="1"/>
  <c r="CP132" i="8" s="1"/>
  <c r="Y142" i="8"/>
  <c r="Z142" i="8" s="1"/>
  <c r="BW142" i="8"/>
  <c r="BQ156" i="8"/>
  <c r="BU156" i="8"/>
  <c r="BT156" i="8"/>
  <c r="BS157" i="8"/>
  <c r="BX157" i="8"/>
  <c r="BR157" i="8"/>
  <c r="DA181" i="8"/>
  <c r="DB181" i="8"/>
  <c r="CX181" i="8"/>
  <c r="CY182" i="8"/>
  <c r="CX182" i="8"/>
  <c r="CS172" i="8"/>
  <c r="DD173" i="8"/>
  <c r="BW173" i="8"/>
  <c r="CS25" i="8"/>
  <c r="BL22" i="8"/>
  <c r="BL35" i="8"/>
  <c r="CY35" i="8"/>
  <c r="BT42" i="8"/>
  <c r="DE45" i="8"/>
  <c r="BD50" i="8"/>
  <c r="BE50" i="8" s="1"/>
  <c r="CX52" i="8"/>
  <c r="BT55" i="8"/>
  <c r="CL58" i="8"/>
  <c r="DD58" i="8"/>
  <c r="CS62" i="8"/>
  <c r="BH63" i="8"/>
  <c r="CX63" i="8"/>
  <c r="CY70" i="8"/>
  <c r="BM77" i="8"/>
  <c r="CL78" i="8"/>
  <c r="CP78" i="8" s="1"/>
  <c r="BQ81" i="8"/>
  <c r="BH83" i="8"/>
  <c r="CO83" i="8"/>
  <c r="CL84" i="8"/>
  <c r="CP84" i="8" s="1"/>
  <c r="BX90" i="8"/>
  <c r="BW92" i="8"/>
  <c r="CX93" i="8"/>
  <c r="DE94" i="8"/>
  <c r="CZ94" i="8"/>
  <c r="BC95" i="8"/>
  <c r="BE95" i="8" s="1"/>
  <c r="CS97" i="8"/>
  <c r="CJ103" i="8"/>
  <c r="CL103" i="8" s="1"/>
  <c r="CP103" i="8" s="1"/>
  <c r="BR104" i="8"/>
  <c r="BS104" i="8"/>
  <c r="BO104" i="8"/>
  <c r="CJ115" i="8"/>
  <c r="CL115" i="8" s="1"/>
  <c r="DA117" i="8"/>
  <c r="DB117" i="8"/>
  <c r="BL121" i="8"/>
  <c r="BS132" i="8"/>
  <c r="BX132" i="8"/>
  <c r="DD134" i="8"/>
  <c r="BW134" i="8"/>
  <c r="CT134" i="8"/>
  <c r="CJ134" i="8"/>
  <c r="CL134" i="8" s="1"/>
  <c r="DD137" i="8"/>
  <c r="Y137" i="8"/>
  <c r="Z137" i="8" s="1"/>
  <c r="BW137" i="8"/>
  <c r="CZ137" i="8"/>
  <c r="DE137" i="8"/>
  <c r="BS140" i="8"/>
  <c r="BL145" i="8"/>
  <c r="BM151" i="8"/>
  <c r="BC151" i="8"/>
  <c r="CZ156" i="8"/>
  <c r="Y162" i="8"/>
  <c r="Z162" i="8" s="1"/>
  <c r="DD162" i="8"/>
  <c r="CJ165" i="8"/>
  <c r="CL165" i="8" s="1"/>
  <c r="CT165" i="8"/>
  <c r="CV165" i="8" s="1"/>
  <c r="BC172" i="8"/>
  <c r="BE172" i="8" s="1"/>
  <c r="BM172" i="8"/>
  <c r="CS177" i="8"/>
  <c r="CL182" i="8"/>
  <c r="CP182" i="8" s="1"/>
  <c r="Y185" i="8"/>
  <c r="Z185" i="8" s="1"/>
  <c r="AB185" i="8" s="1"/>
  <c r="DD185" i="8"/>
  <c r="BN199" i="8"/>
  <c r="BH199" i="8"/>
  <c r="BI199" i="8" s="1"/>
  <c r="CZ204" i="8"/>
  <c r="DE204" i="8"/>
  <c r="BL210" i="8"/>
  <c r="CY212" i="8"/>
  <c r="DB212" i="8"/>
  <c r="DA212" i="8"/>
  <c r="CZ215" i="8"/>
  <c r="DE215" i="8"/>
  <c r="BQ216" i="8"/>
  <c r="BT216" i="8"/>
  <c r="DE218" i="8"/>
  <c r="CZ218" i="8"/>
  <c r="CY220" i="8"/>
  <c r="DB220" i="8"/>
  <c r="DA220" i="8"/>
  <c r="CV220" i="8"/>
  <c r="CW220" i="8" s="1"/>
  <c r="BH10" i="8"/>
  <c r="CV10" i="8"/>
  <c r="CY24" i="8"/>
  <c r="BL23" i="8"/>
  <c r="BL30" i="8"/>
  <c r="CS31" i="8"/>
  <c r="BC34" i="8"/>
  <c r="BE34" i="8" s="1"/>
  <c r="CL35" i="8"/>
  <c r="DA35" i="8"/>
  <c r="BD36" i="8"/>
  <c r="BE36" i="8" s="1"/>
  <c r="BI36" i="8" s="1"/>
  <c r="BD38" i="8"/>
  <c r="BE38" i="8" s="1"/>
  <c r="CL38" i="8"/>
  <c r="CL40" i="8"/>
  <c r="Y41" i="8"/>
  <c r="Z41" i="8" s="1"/>
  <c r="AB41" i="8" s="1"/>
  <c r="CO41" i="8"/>
  <c r="DD41" i="8"/>
  <c r="BX45" i="8"/>
  <c r="CO50" i="8"/>
  <c r="DA52" i="8"/>
  <c r="BL53" i="8"/>
  <c r="DD54" i="8"/>
  <c r="BC56" i="8"/>
  <c r="BE56" i="8" s="1"/>
  <c r="BQ56" i="8"/>
  <c r="BL57" i="8"/>
  <c r="BR58" i="8"/>
  <c r="CO58" i="8"/>
  <c r="BH59" i="8"/>
  <c r="BI59" i="8" s="1"/>
  <c r="BL60" i="8"/>
  <c r="CJ60" i="8"/>
  <c r="CY63" i="8"/>
  <c r="BE65" i="8"/>
  <c r="CS65" i="8"/>
  <c r="CS72" i="8"/>
  <c r="CW72" i="8" s="1"/>
  <c r="DH72" i="8" s="1"/>
  <c r="CL75" i="8"/>
  <c r="BQ77" i="8"/>
  <c r="CL77" i="8"/>
  <c r="CP77" i="8" s="1"/>
  <c r="CL79" i="8"/>
  <c r="BU81" i="8"/>
  <c r="BX82" i="8"/>
  <c r="BH84" i="8"/>
  <c r="BQ85" i="8"/>
  <c r="Y92" i="8"/>
  <c r="Z92" i="8" s="1"/>
  <c r="AB92" i="8" s="1"/>
  <c r="CJ93" i="8"/>
  <c r="CL93" i="8" s="1"/>
  <c r="CP93" i="8" s="1"/>
  <c r="CS95" i="8"/>
  <c r="BH97" i="8"/>
  <c r="BI97" i="8" s="1"/>
  <c r="BT104" i="8"/>
  <c r="BL111" i="8"/>
  <c r="Y113" i="8"/>
  <c r="Z113" i="8" s="1"/>
  <c r="AB113" i="8" s="1"/>
  <c r="CS113" i="8"/>
  <c r="BL115" i="8"/>
  <c r="CX117" i="8"/>
  <c r="BD120" i="8"/>
  <c r="BH123" i="8"/>
  <c r="BD123" i="8"/>
  <c r="BE123" i="8" s="1"/>
  <c r="BC125" i="8"/>
  <c r="BE125" i="8" s="1"/>
  <c r="BM125" i="8"/>
  <c r="BO125" i="8" s="1"/>
  <c r="BH125" i="8"/>
  <c r="CZ130" i="8"/>
  <c r="DE130" i="8"/>
  <c r="CX130" i="8"/>
  <c r="BT134" i="8"/>
  <c r="CO134" i="8"/>
  <c r="CV137" i="8"/>
  <c r="DE138" i="8"/>
  <c r="CZ138" i="8"/>
  <c r="BM144" i="8"/>
  <c r="BO144" i="8" s="1"/>
  <c r="BP144" i="8" s="1"/>
  <c r="BC144" i="8"/>
  <c r="BE144" i="8" s="1"/>
  <c r="BL155" i="8"/>
  <c r="CZ157" i="8"/>
  <c r="DE157" i="8"/>
  <c r="CZ160" i="8"/>
  <c r="BW162" i="8"/>
  <c r="BX163" i="8"/>
  <c r="BS163" i="8"/>
  <c r="DD174" i="8"/>
  <c r="BW174" i="8"/>
  <c r="Y174" i="8"/>
  <c r="Z174" i="8" s="1"/>
  <c r="AB174" i="8" s="1"/>
  <c r="BC176" i="8"/>
  <c r="BM176" i="8"/>
  <c r="BO176" i="8" s="1"/>
  <c r="CY176" i="8"/>
  <c r="DA176" i="8"/>
  <c r="DB176" i="8"/>
  <c r="CV176" i="8"/>
  <c r="CV177" i="8"/>
  <c r="DE178" i="8"/>
  <c r="CZ178" i="8"/>
  <c r="BQ180" i="8"/>
  <c r="BU180" i="8"/>
  <c r="CY180" i="8"/>
  <c r="DB180" i="8"/>
  <c r="CX180" i="8"/>
  <c r="DA180" i="8"/>
  <c r="BW196" i="8"/>
  <c r="DD196" i="8"/>
  <c r="CS205" i="8"/>
  <c r="BX211" i="8"/>
  <c r="BR211" i="8"/>
  <c r="BS211" i="8"/>
  <c r="DA218" i="8"/>
  <c r="CY218" i="8"/>
  <c r="BT223" i="8"/>
  <c r="CS223" i="8"/>
  <c r="BI85" i="8"/>
  <c r="CX92" i="8"/>
  <c r="CW94" i="8"/>
  <c r="DD101" i="8"/>
  <c r="Y101" i="8"/>
  <c r="Z101" i="8" s="1"/>
  <c r="BD105" i="8"/>
  <c r="BE105" i="8" s="1"/>
  <c r="BN105" i="8"/>
  <c r="BO105" i="8" s="1"/>
  <c r="BP105" i="8" s="1"/>
  <c r="DA105" i="8"/>
  <c r="DB105" i="8"/>
  <c r="CX105" i="8"/>
  <c r="CY112" i="8"/>
  <c r="DB112" i="8"/>
  <c r="CV115" i="8"/>
  <c r="BH116" i="8"/>
  <c r="BD116" i="8"/>
  <c r="BE116" i="8" s="1"/>
  <c r="BI116" i="8" s="1"/>
  <c r="CJ117" i="8"/>
  <c r="CL117" i="8" s="1"/>
  <c r="CO117" i="8"/>
  <c r="BX119" i="8"/>
  <c r="BS119" i="8"/>
  <c r="BR119" i="8"/>
  <c r="BD130" i="8"/>
  <c r="BE130" i="8" s="1"/>
  <c r="BN130" i="8"/>
  <c r="BO130" i="8" s="1"/>
  <c r="DB130" i="8"/>
  <c r="BU134" i="8"/>
  <c r="CY136" i="8"/>
  <c r="DB136" i="8"/>
  <c r="DA136" i="8"/>
  <c r="BT137" i="8"/>
  <c r="BU137" i="8"/>
  <c r="BQ137" i="8"/>
  <c r="CY142" i="8"/>
  <c r="CT143" i="8"/>
  <c r="CV143" i="8" s="1"/>
  <c r="CJ143" i="8"/>
  <c r="CL143" i="8" s="1"/>
  <c r="BN158" i="8"/>
  <c r="BO158" i="8" s="1"/>
  <c r="BH158" i="8"/>
  <c r="CT159" i="8"/>
  <c r="CV159" i="8" s="1"/>
  <c r="CJ159" i="8"/>
  <c r="CL159" i="8" s="1"/>
  <c r="BU162" i="8"/>
  <c r="BQ162" i="8"/>
  <c r="BU163" i="8"/>
  <c r="BT163" i="8"/>
  <c r="DB174" i="8"/>
  <c r="DB179" i="8"/>
  <c r="DA179" i="8"/>
  <c r="DE191" i="8"/>
  <c r="CZ191" i="8"/>
  <c r="BC195" i="8"/>
  <c r="BE195" i="8" s="1"/>
  <c r="BM195" i="8"/>
  <c r="BW197" i="8"/>
  <c r="DD197" i="8"/>
  <c r="Y197" i="8"/>
  <c r="Z197" i="8" s="1"/>
  <c r="AB197" i="8" s="1"/>
  <c r="BU203" i="8"/>
  <c r="BT203" i="8"/>
  <c r="BQ203" i="8"/>
  <c r="BR214" i="8"/>
  <c r="BX214" i="8"/>
  <c r="BS214" i="8"/>
  <c r="BH215" i="8"/>
  <c r="BD215" i="8"/>
  <c r="BE215" i="8" s="1"/>
  <c r="BN215" i="8"/>
  <c r="BO215" i="8" s="1"/>
  <c r="BP215" i="8" s="1"/>
  <c r="BC217" i="8"/>
  <c r="BE217" i="8" s="1"/>
  <c r="BM217" i="8"/>
  <c r="BN218" i="8"/>
  <c r="BO218" i="8" s="1"/>
  <c r="BP218" i="8" s="1"/>
  <c r="CB218" i="8" s="1"/>
  <c r="BD218" i="8"/>
  <c r="BE218" i="8" s="1"/>
  <c r="CO219" i="8"/>
  <c r="CJ219" i="8"/>
  <c r="CL219" i="8" s="1"/>
  <c r="CT219" i="8"/>
  <c r="CL51" i="8"/>
  <c r="CP51" i="8" s="1"/>
  <c r="DE55" i="8"/>
  <c r="CV63" i="8"/>
  <c r="CV70" i="8"/>
  <c r="CL15" i="8"/>
  <c r="CS20" i="8"/>
  <c r="CS19" i="8"/>
  <c r="DE30" i="8"/>
  <c r="CX31" i="8"/>
  <c r="BH33" i="8"/>
  <c r="CO38" i="8"/>
  <c r="CO39" i="8"/>
  <c r="CS41" i="8"/>
  <c r="BH45" i="8"/>
  <c r="DA51" i="8"/>
  <c r="CL53" i="8"/>
  <c r="CP53" i="8" s="1"/>
  <c r="BT56" i="8"/>
  <c r="CS56" i="8"/>
  <c r="CW56" i="8" s="1"/>
  <c r="DH56" i="8" s="1"/>
  <c r="DB57" i="8"/>
  <c r="BW58" i="8"/>
  <c r="CX59" i="8"/>
  <c r="BS60" i="8"/>
  <c r="CO63" i="8"/>
  <c r="CO70" i="8"/>
  <c r="BH74" i="8"/>
  <c r="BS75" i="8"/>
  <c r="CO75" i="8"/>
  <c r="BE77" i="8"/>
  <c r="BI77" i="8" s="1"/>
  <c r="CO79" i="8"/>
  <c r="DB80" i="8"/>
  <c r="CS81" i="8"/>
  <c r="BW84" i="8"/>
  <c r="CS85" i="8"/>
  <c r="CX90" i="8"/>
  <c r="CO91" i="8"/>
  <c r="CY92" i="8"/>
  <c r="CV93" i="8"/>
  <c r="CV96" i="8"/>
  <c r="CW96" i="8" s="1"/>
  <c r="DH96" i="8" s="1"/>
  <c r="DB97" i="8"/>
  <c r="BQ100" i="8"/>
  <c r="BU100" i="8"/>
  <c r="BU103" i="8"/>
  <c r="BQ103" i="8"/>
  <c r="BH105" i="8"/>
  <c r="BI105" i="8" s="1"/>
  <c r="DA112" i="8"/>
  <c r="BW114" i="8"/>
  <c r="DE116" i="8"/>
  <c r="CZ116" i="8"/>
  <c r="DD117" i="8"/>
  <c r="BQ119" i="8"/>
  <c r="DE120" i="8"/>
  <c r="CZ120" i="8"/>
  <c r="Y122" i="8"/>
  <c r="Z122" i="8" s="1"/>
  <c r="DD122" i="8"/>
  <c r="BL123" i="8"/>
  <c r="CP123" i="8"/>
  <c r="CS124" i="8"/>
  <c r="BD132" i="8"/>
  <c r="BN132" i="8"/>
  <c r="BH132" i="8"/>
  <c r="DB132" i="8"/>
  <c r="CX132" i="8"/>
  <c r="DB133" i="8"/>
  <c r="DA133" i="8"/>
  <c r="CY133" i="8"/>
  <c r="CX133" i="8"/>
  <c r="CV133" i="8"/>
  <c r="CW133" i="8" s="1"/>
  <c r="BQ140" i="8"/>
  <c r="BT140" i="8"/>
  <c r="CZ140" i="8"/>
  <c r="DE140" i="8"/>
  <c r="CO143" i="8"/>
  <c r="CW145" i="8"/>
  <c r="BL151" i="8"/>
  <c r="CZ152" i="8"/>
  <c r="CO159" i="8"/>
  <c r="BL160" i="8"/>
  <c r="DE164" i="8"/>
  <c r="CZ164" i="8"/>
  <c r="CP185" i="8"/>
  <c r="BH193" i="8"/>
  <c r="BM193" i="8"/>
  <c r="CO193" i="8"/>
  <c r="CJ193" i="8"/>
  <c r="CL193" i="8" s="1"/>
  <c r="CT193" i="8"/>
  <c r="CV193" i="8" s="1"/>
  <c r="BN195" i="8"/>
  <c r="BH195" i="8"/>
  <c r="BU96" i="8"/>
  <c r="CO96" i="8"/>
  <c r="BH99" i="8"/>
  <c r="CS101" i="8"/>
  <c r="BL102" i="8"/>
  <c r="DD102" i="8"/>
  <c r="CL104" i="8"/>
  <c r="CO115" i="8"/>
  <c r="CO118" i="8"/>
  <c r="CL119" i="8"/>
  <c r="CP119" i="8" s="1"/>
  <c r="BQ121" i="8"/>
  <c r="BD131" i="8"/>
  <c r="BN131" i="8"/>
  <c r="BU132" i="8"/>
  <c r="BQ132" i="8"/>
  <c r="BH133" i="8"/>
  <c r="CL133" i="8"/>
  <c r="CP133" i="8" s="1"/>
  <c r="BH134" i="8"/>
  <c r="BD134" i="8"/>
  <c r="BE134" i="8" s="1"/>
  <c r="BN134" i="8"/>
  <c r="BL137" i="8"/>
  <c r="BT141" i="8"/>
  <c r="BU141" i="8"/>
  <c r="DB141" i="8"/>
  <c r="CS142" i="8"/>
  <c r="BH143" i="8"/>
  <c r="CS143" i="8"/>
  <c r="Y145" i="8"/>
  <c r="Z145" i="8" s="1"/>
  <c r="AB145" i="8" s="1"/>
  <c r="BW145" i="8"/>
  <c r="CO152" i="8"/>
  <c r="DA156" i="8"/>
  <c r="BI157" i="8"/>
  <c r="CO158" i="8"/>
  <c r="BC161" i="8"/>
  <c r="BM161" i="8"/>
  <c r="DB161" i="8"/>
  <c r="CY161" i="8"/>
  <c r="BM162" i="8"/>
  <c r="BC162" i="8"/>
  <c r="BQ164" i="8"/>
  <c r="BT164" i="8"/>
  <c r="CO165" i="8"/>
  <c r="BL176" i="8"/>
  <c r="CL176" i="8"/>
  <c r="BQ179" i="8"/>
  <c r="BU179" i="8"/>
  <c r="BT179" i="8"/>
  <c r="DB183" i="8"/>
  <c r="CY183" i="8"/>
  <c r="CX183" i="8"/>
  <c r="BQ194" i="8"/>
  <c r="BT194" i="8"/>
  <c r="BD216" i="8"/>
  <c r="BE216" i="8" s="1"/>
  <c r="BN216" i="8"/>
  <c r="CV225" i="8"/>
  <c r="BQ117" i="8"/>
  <c r="BQ120" i="8"/>
  <c r="BU121" i="8"/>
  <c r="BW125" i="8"/>
  <c r="DD125" i="8"/>
  <c r="CV125" i="8"/>
  <c r="BM132" i="8"/>
  <c r="BC132" i="8"/>
  <c r="BQ136" i="8"/>
  <c r="BT136" i="8"/>
  <c r="CP140" i="8"/>
  <c r="BR144" i="8"/>
  <c r="BX144" i="8"/>
  <c r="DB150" i="8"/>
  <c r="CY150" i="8"/>
  <c r="BR154" i="8"/>
  <c r="BS154" i="8"/>
  <c r="DE154" i="8"/>
  <c r="CZ154" i="8"/>
  <c r="BX155" i="8"/>
  <c r="BS155" i="8"/>
  <c r="CS158" i="8"/>
  <c r="CW158" i="8" s="1"/>
  <c r="BC164" i="8"/>
  <c r="BM164" i="8"/>
  <c r="BO164" i="8" s="1"/>
  <c r="BM171" i="8"/>
  <c r="BO171" i="8" s="1"/>
  <c r="BC171" i="8"/>
  <c r="BE171" i="8" s="1"/>
  <c r="BM179" i="8"/>
  <c r="BC179" i="8"/>
  <c r="CJ190" i="8"/>
  <c r="CL190" i="8" s="1"/>
  <c r="CT190" i="8"/>
  <c r="CV190" i="8" s="1"/>
  <c r="CW190" i="8" s="1"/>
  <c r="BW191" i="8"/>
  <c r="DD191" i="8"/>
  <c r="Y191" i="8"/>
  <c r="Z191" i="8" s="1"/>
  <c r="AB191" i="8" s="1"/>
  <c r="BT192" i="8"/>
  <c r="BU192" i="8"/>
  <c r="BQ192" i="8"/>
  <c r="BR200" i="8"/>
  <c r="BS200" i="8"/>
  <c r="BX200" i="8"/>
  <c r="BT201" i="8"/>
  <c r="BQ201" i="8"/>
  <c r="BU201" i="8"/>
  <c r="BQ212" i="8"/>
  <c r="BU212" i="8"/>
  <c r="BT212" i="8"/>
  <c r="BL217" i="8"/>
  <c r="BM224" i="8"/>
  <c r="BC224" i="8"/>
  <c r="BL97" i="8"/>
  <c r="BL99" i="8"/>
  <c r="CO99" i="8"/>
  <c r="CP99" i="8" s="1"/>
  <c r="DB99" i="8"/>
  <c r="BL101" i="8"/>
  <c r="DB101" i="8"/>
  <c r="BU105" i="8"/>
  <c r="BH110" i="8"/>
  <c r="BH112" i="8"/>
  <c r="CS114" i="8"/>
  <c r="BH119" i="8"/>
  <c r="BI119" i="8" s="1"/>
  <c r="CS121" i="8"/>
  <c r="BL122" i="8"/>
  <c r="CV122" i="8"/>
  <c r="BQ123" i="8"/>
  <c r="CY123" i="8"/>
  <c r="BS124" i="8"/>
  <c r="DB124" i="8"/>
  <c r="DB125" i="8"/>
  <c r="CS137" i="8"/>
  <c r="CO138" i="8"/>
  <c r="CO141" i="8"/>
  <c r="BS144" i="8"/>
  <c r="DA145" i="8"/>
  <c r="DB145" i="8"/>
  <c r="BH151" i="8"/>
  <c r="BD151" i="8"/>
  <c r="BN151" i="8"/>
  <c r="BM155" i="8"/>
  <c r="BC155" i="8"/>
  <c r="BE155" i="8" s="1"/>
  <c r="CS160" i="8"/>
  <c r="CO170" i="8"/>
  <c r="CJ170" i="8"/>
  <c r="CL170" i="8" s="1"/>
  <c r="CT170" i="8"/>
  <c r="BH173" i="8"/>
  <c r="BN173" i="8"/>
  <c r="BO173" i="8" s="1"/>
  <c r="CZ182" i="8"/>
  <c r="DE182" i="8"/>
  <c r="CZ184" i="8"/>
  <c r="BM192" i="8"/>
  <c r="BO192" i="8" s="1"/>
  <c r="BP192" i="8" s="1"/>
  <c r="BC192" i="8"/>
  <c r="BE192" i="8" s="1"/>
  <c r="DE192" i="8"/>
  <c r="CZ192" i="8"/>
  <c r="BL197" i="8"/>
  <c r="BP197" i="8" s="1"/>
  <c r="CB197" i="8" s="1"/>
  <c r="BC212" i="8"/>
  <c r="BE212" i="8" s="1"/>
  <c r="BH212" i="8"/>
  <c r="BM212" i="8"/>
  <c r="BO212" i="8" s="1"/>
  <c r="BS222" i="8"/>
  <c r="BR222" i="8"/>
  <c r="CO130" i="8"/>
  <c r="CP130" i="8" s="1"/>
  <c r="CO131" i="8"/>
  <c r="CS134" i="8"/>
  <c r="BH135" i="8"/>
  <c r="BS136" i="8"/>
  <c r="CO139" i="8"/>
  <c r="CS141" i="8"/>
  <c r="CT153" i="8"/>
  <c r="CV153" i="8" s="1"/>
  <c r="BQ154" i="8"/>
  <c r="CO157" i="8"/>
  <c r="BM160" i="8"/>
  <c r="BO160" i="8" s="1"/>
  <c r="CT160" i="8"/>
  <c r="CV160" i="8" s="1"/>
  <c r="CL162" i="8"/>
  <c r="CP162" i="8" s="1"/>
  <c r="BL164" i="8"/>
  <c r="BL171" i="8"/>
  <c r="CV172" i="8"/>
  <c r="BM174" i="8"/>
  <c r="BC174" i="8"/>
  <c r="CV175" i="8"/>
  <c r="BQ176" i="8"/>
  <c r="DA177" i="8"/>
  <c r="DB177" i="8"/>
  <c r="BL180" i="8"/>
  <c r="CO181" i="8"/>
  <c r="CP181" i="8" s="1"/>
  <c r="BH183" i="8"/>
  <c r="BC183" i="8"/>
  <c r="BE183" i="8" s="1"/>
  <c r="BR184" i="8"/>
  <c r="BS184" i="8"/>
  <c r="DA185" i="8"/>
  <c r="DB185" i="8"/>
  <c r="BQ190" i="8"/>
  <c r="BM191" i="8"/>
  <c r="BC191" i="8"/>
  <c r="BL193" i="8"/>
  <c r="CY200" i="8"/>
  <c r="DB200" i="8"/>
  <c r="DE203" i="8"/>
  <c r="CZ203" i="8"/>
  <c r="CS211" i="8"/>
  <c r="Y216" i="8"/>
  <c r="Z216" i="8" s="1"/>
  <c r="BW216" i="8"/>
  <c r="BW225" i="8"/>
  <c r="DD225" i="8"/>
  <c r="Y225" i="8"/>
  <c r="Z225" i="8" s="1"/>
  <c r="CS131" i="8"/>
  <c r="DD144" i="8"/>
  <c r="BD150" i="8"/>
  <c r="BE150" i="8" s="1"/>
  <c r="BS151" i="8"/>
  <c r="BL158" i="8"/>
  <c r="BR162" i="8"/>
  <c r="CV162" i="8"/>
  <c r="CW162" i="8" s="1"/>
  <c r="DH162" i="8" s="1"/>
  <c r="DA172" i="8"/>
  <c r="BD174" i="8"/>
  <c r="BN174" i="8"/>
  <c r="CL178" i="8"/>
  <c r="CP178" i="8" s="1"/>
  <c r="BS180" i="8"/>
  <c r="BQ184" i="8"/>
  <c r="BT184" i="8"/>
  <c r="BU184" i="8"/>
  <c r="BD191" i="8"/>
  <c r="BN191" i="8"/>
  <c r="DD198" i="8"/>
  <c r="Y198" i="8"/>
  <c r="Z198" i="8" s="1"/>
  <c r="AB198" i="8" s="1"/>
  <c r="BW198" i="8"/>
  <c r="Y202" i="8"/>
  <c r="Z202" i="8" s="1"/>
  <c r="DD202" i="8"/>
  <c r="BW202" i="8"/>
  <c r="BR202" i="8"/>
  <c r="BE203" i="8"/>
  <c r="BS204" i="8"/>
  <c r="BR204" i="8"/>
  <c r="BD205" i="8"/>
  <c r="BE205" i="8" s="1"/>
  <c r="BI205" i="8" s="1"/>
  <c r="BN205" i="8"/>
  <c r="CV210" i="8"/>
  <c r="DD214" i="8"/>
  <c r="Y214" i="8"/>
  <c r="Z214" i="8" s="1"/>
  <c r="AB214" i="8" s="1"/>
  <c r="BS216" i="8"/>
  <c r="BR216" i="8"/>
  <c r="BS218" i="8"/>
  <c r="BX218" i="8"/>
  <c r="BR218" i="8"/>
  <c r="AA219" i="8"/>
  <c r="BQ224" i="8"/>
  <c r="BT224" i="8"/>
  <c r="CS151" i="8"/>
  <c r="CW151" i="8" s="1"/>
  <c r="DI151" i="8" s="1"/>
  <c r="CS154" i="8"/>
  <c r="BH155" i="8"/>
  <c r="BL156" i="8"/>
  <c r="BX156" i="8"/>
  <c r="CS156" i="8"/>
  <c r="CO161" i="8"/>
  <c r="DB163" i="8"/>
  <c r="DA163" i="8"/>
  <c r="BC165" i="8"/>
  <c r="BM165" i="8"/>
  <c r="BT172" i="8"/>
  <c r="CO172" i="8"/>
  <c r="CJ172" i="8"/>
  <c r="CL172" i="8" s="1"/>
  <c r="BL174" i="8"/>
  <c r="CS176" i="8"/>
  <c r="CV179" i="8"/>
  <c r="CS180" i="8"/>
  <c r="BS182" i="8"/>
  <c r="BX182" i="8"/>
  <c r="BL194" i="8"/>
  <c r="BS199" i="8"/>
  <c r="BX199" i="8"/>
  <c r="CL203" i="8"/>
  <c r="DE216" i="8"/>
  <c r="CZ216" i="8"/>
  <c r="CV216" i="8"/>
  <c r="CL223" i="8"/>
  <c r="DA225" i="8"/>
  <c r="CX225" i="8"/>
  <c r="CY225" i="8"/>
  <c r="CS170" i="8"/>
  <c r="CX173" i="8"/>
  <c r="CS181" i="8"/>
  <c r="BL182" i="8"/>
  <c r="CV182" i="8"/>
  <c r="CL184" i="8"/>
  <c r="BN194" i="8"/>
  <c r="CL196" i="8"/>
  <c r="BU200" i="8"/>
  <c r="BC202" i="8"/>
  <c r="BR203" i="8"/>
  <c r="CO203" i="8"/>
  <c r="BL205" i="8"/>
  <c r="CV213" i="8"/>
  <c r="CW213" i="8" s="1"/>
  <c r="CY216" i="8"/>
  <c r="CJ218" i="8"/>
  <c r="CL218" i="8" s="1"/>
  <c r="CP218" i="8" s="1"/>
  <c r="CL220" i="8"/>
  <c r="CO225" i="8"/>
  <c r="CP225" i="8" s="1"/>
  <c r="CO183" i="8"/>
  <c r="CP183" i="8" s="1"/>
  <c r="BN193" i="8"/>
  <c r="CS193" i="8"/>
  <c r="CO196" i="8"/>
  <c r="DE197" i="8"/>
  <c r="BH203" i="8"/>
  <c r="BS203" i="8"/>
  <c r="DA203" i="8"/>
  <c r="CL204" i="8"/>
  <c r="BQ210" i="8"/>
  <c r="CX211" i="8"/>
  <c r="BQ213" i="8"/>
  <c r="CL213" i="8"/>
  <c r="CL216" i="8"/>
  <c r="BN217" i="8"/>
  <c r="BT220" i="8"/>
  <c r="CO220" i="8"/>
  <c r="BR221" i="8"/>
  <c r="DD222" i="8"/>
  <c r="BM205" i="8"/>
  <c r="CY211" i="8"/>
  <c r="CV218" i="8"/>
  <c r="CW218" i="8" s="1"/>
  <c r="DB219" i="8"/>
  <c r="CO222" i="8"/>
  <c r="CT223" i="8"/>
  <c r="CV223" i="8" s="1"/>
  <c r="CW223" i="8" s="1"/>
  <c r="BS224" i="8"/>
  <c r="CL171" i="8"/>
  <c r="CO173" i="8"/>
  <c r="CP173" i="8" s="1"/>
  <c r="CS175" i="8"/>
  <c r="CW175" i="8" s="1"/>
  <c r="DD176" i="8"/>
  <c r="BX178" i="8"/>
  <c r="CS179" i="8"/>
  <c r="CS182" i="8"/>
  <c r="DB190" i="8"/>
  <c r="DA194" i="8"/>
  <c r="BU197" i="8"/>
  <c r="CY198" i="8"/>
  <c r="CJ199" i="8"/>
  <c r="CL199" i="8" s="1"/>
  <c r="CP199" i="8" s="1"/>
  <c r="BL203" i="8"/>
  <c r="BU204" i="8"/>
  <c r="DB204" i="8"/>
  <c r="DB205" i="8"/>
  <c r="BX210" i="8"/>
  <c r="CZ211" i="8"/>
  <c r="BL212" i="8"/>
  <c r="BW212" i="8"/>
  <c r="CO213" i="8"/>
  <c r="DB213" i="8"/>
  <c r="DE214" i="8"/>
  <c r="BH216" i="8"/>
  <c r="CO216" i="8"/>
  <c r="BW217" i="8"/>
  <c r="BQ219" i="8"/>
  <c r="BX221" i="8"/>
  <c r="Y222" i="8"/>
  <c r="Z222" i="8" s="1"/>
  <c r="AB222" i="8" s="1"/>
  <c r="BX192" i="8"/>
  <c r="CX201" i="8"/>
  <c r="CL202" i="8"/>
  <c r="BW204" i="8"/>
  <c r="BH210" i="8"/>
  <c r="CO214" i="8"/>
  <c r="BL216" i="8"/>
  <c r="BS219" i="8"/>
  <c r="BL220" i="8"/>
  <c r="CO223" i="8"/>
  <c r="BL225" i="8"/>
  <c r="DH212" i="8"/>
  <c r="DI212" i="8"/>
  <c r="DE210" i="8"/>
  <c r="Y220" i="8"/>
  <c r="Z220" i="8" s="1"/>
  <c r="AB220" i="8" s="1"/>
  <c r="DB210" i="8"/>
  <c r="DA210" i="8"/>
  <c r="CS210" i="8"/>
  <c r="BW220" i="8"/>
  <c r="BC221" i="8"/>
  <c r="BM221" i="8"/>
  <c r="BN222" i="8"/>
  <c r="BO222" i="8" s="1"/>
  <c r="BP222" i="8" s="1"/>
  <c r="BD222" i="8"/>
  <c r="BH222" i="8"/>
  <c r="BC225" i="8"/>
  <c r="BM225" i="8"/>
  <c r="CZ213" i="8"/>
  <c r="DE213" i="8"/>
  <c r="BD221" i="8"/>
  <c r="BH221" i="8"/>
  <c r="CJ221" i="8"/>
  <c r="CL221" i="8" s="1"/>
  <c r="CT221" i="8"/>
  <c r="CV221" i="8" s="1"/>
  <c r="CW221" i="8" s="1"/>
  <c r="BH225" i="8"/>
  <c r="CO221" i="8"/>
  <c r="BH211" i="8"/>
  <c r="BC211" i="8"/>
  <c r="BE211" i="8" s="1"/>
  <c r="BM211" i="8"/>
  <c r="BO211" i="8" s="1"/>
  <c r="CO212" i="8"/>
  <c r="CP212" i="8" s="1"/>
  <c r="Y213" i="8"/>
  <c r="Z213" i="8" s="1"/>
  <c r="AB213" i="8" s="1"/>
  <c r="DD213" i="8"/>
  <c r="BD213" i="8"/>
  <c r="BE213" i="8" s="1"/>
  <c r="BH213" i="8"/>
  <c r="BU214" i="8"/>
  <c r="BT214" i="8"/>
  <c r="BQ214" i="8"/>
  <c r="DD215" i="8"/>
  <c r="BW215" i="8"/>
  <c r="Y215" i="8"/>
  <c r="Z215" i="8" s="1"/>
  <c r="AB215" i="8" s="1"/>
  <c r="BR215" i="8"/>
  <c r="CX210" i="8"/>
  <c r="DD211" i="8"/>
  <c r="BW211" i="8"/>
  <c r="Y211" i="8"/>
  <c r="Z211" i="8" s="1"/>
  <c r="AB211" i="8" s="1"/>
  <c r="BC214" i="8"/>
  <c r="BE214" i="8" s="1"/>
  <c r="DB214" i="8"/>
  <c r="DA214" i="8"/>
  <c r="CY214" i="8"/>
  <c r="CX214" i="8"/>
  <c r="BS215" i="8"/>
  <c r="BN221" i="8"/>
  <c r="CS222" i="8"/>
  <c r="CT224" i="8"/>
  <c r="CV224" i="8" s="1"/>
  <c r="CW224" i="8" s="1"/>
  <c r="CJ224" i="8"/>
  <c r="CL224" i="8" s="1"/>
  <c r="Y210" i="8"/>
  <c r="DD210" i="8"/>
  <c r="X226" i="8"/>
  <c r="AA212" i="8"/>
  <c r="BN210" i="8"/>
  <c r="BO210" i="8" s="1"/>
  <c r="BP210" i="8" s="1"/>
  <c r="BD210" i="8"/>
  <c r="BE210" i="8" s="1"/>
  <c r="Y217" i="8"/>
  <c r="Z217" i="8" s="1"/>
  <c r="AB217" i="8" s="1"/>
  <c r="BH219" i="8"/>
  <c r="BM219" i="8"/>
  <c r="BO219" i="8" s="1"/>
  <c r="BP219" i="8" s="1"/>
  <c r="BC219" i="8"/>
  <c r="BE219" i="8" s="1"/>
  <c r="CY210" i="8"/>
  <c r="CO211" i="8"/>
  <c r="CT211" i="8"/>
  <c r="CV211" i="8" s="1"/>
  <c r="CJ211" i="8"/>
  <c r="CL211" i="8" s="1"/>
  <c r="CT215" i="8"/>
  <c r="CV215" i="8" s="1"/>
  <c r="CW215" i="8" s="1"/>
  <c r="CO215" i="8"/>
  <c r="CJ215" i="8"/>
  <c r="CL215" i="8" s="1"/>
  <c r="BT217" i="8"/>
  <c r="BU217" i="8"/>
  <c r="BQ217" i="8"/>
  <c r="CJ217" i="8"/>
  <c r="CL217" i="8" s="1"/>
  <c r="CO217" i="8"/>
  <c r="CT217" i="8"/>
  <c r="CV217" i="8" s="1"/>
  <c r="CW217" i="8" s="1"/>
  <c r="BX223" i="8"/>
  <c r="BS223" i="8"/>
  <c r="BR223" i="8"/>
  <c r="CO224" i="8"/>
  <c r="DD223" i="8"/>
  <c r="BW223" i="8"/>
  <c r="Y223" i="8"/>
  <c r="Z223" i="8" s="1"/>
  <c r="AB223" i="8" s="1"/>
  <c r="BO223" i="8"/>
  <c r="BN224" i="8"/>
  <c r="BD224" i="8"/>
  <c r="BE224" i="8" s="1"/>
  <c r="BT215" i="8"/>
  <c r="BM220" i="8"/>
  <c r="BO220" i="8" s="1"/>
  <c r="BC220" i="8"/>
  <c r="BE220" i="8" s="1"/>
  <c r="DE222" i="8"/>
  <c r="BH224" i="8"/>
  <c r="BS210" i="8"/>
  <c r="BH214" i="8"/>
  <c r="DB218" i="8"/>
  <c r="CX218" i="8"/>
  <c r="DB222" i="8"/>
  <c r="CY222" i="8"/>
  <c r="CX222" i="8"/>
  <c r="CV219" i="8"/>
  <c r="CW219" i="8" s="1"/>
  <c r="BH220" i="8"/>
  <c r="BU210" i="8"/>
  <c r="BU216" i="8"/>
  <c r="DE217" i="8"/>
  <c r="CX219" i="8"/>
  <c r="BW221" i="8"/>
  <c r="CL222" i="8"/>
  <c r="BD225" i="8"/>
  <c r="BN225" i="8"/>
  <c r="BH218" i="8"/>
  <c r="BH223" i="8"/>
  <c r="BC223" i="8"/>
  <c r="BE223" i="8" s="1"/>
  <c r="BS213" i="8"/>
  <c r="BR213" i="8"/>
  <c r="DA221" i="8"/>
  <c r="CY221" i="8"/>
  <c r="CX221" i="8"/>
  <c r="BH217" i="8"/>
  <c r="DA217" i="8"/>
  <c r="CX217" i="8"/>
  <c r="BU218" i="8"/>
  <c r="BT218" i="8"/>
  <c r="CY219" i="8"/>
  <c r="BT221" i="8"/>
  <c r="BU221" i="8"/>
  <c r="Y224" i="8"/>
  <c r="Z224" i="8" s="1"/>
  <c r="AB224" i="8" s="1"/>
  <c r="DD224" i="8"/>
  <c r="BS225" i="8"/>
  <c r="BX225" i="8"/>
  <c r="CX212" i="8"/>
  <c r="DA216" i="8"/>
  <c r="BR217" i="8"/>
  <c r="DD219" i="8"/>
  <c r="BW219" i="8"/>
  <c r="BT219" i="8"/>
  <c r="CZ219" i="8"/>
  <c r="BT222" i="8"/>
  <c r="DA223" i="8"/>
  <c r="DB225" i="8"/>
  <c r="CS225" i="8"/>
  <c r="CX220" i="8"/>
  <c r="CX224" i="8"/>
  <c r="AA204" i="8"/>
  <c r="AA191" i="8"/>
  <c r="AA195" i="8"/>
  <c r="BR191" i="8"/>
  <c r="BX191" i="8"/>
  <c r="BL191" i="8"/>
  <c r="Y196" i="8"/>
  <c r="Z196" i="8" s="1"/>
  <c r="AB196" i="8" s="1"/>
  <c r="BX198" i="8"/>
  <c r="BS198" i="8"/>
  <c r="BR198" i="8"/>
  <c r="CX192" i="8"/>
  <c r="DB192" i="8"/>
  <c r="CY193" i="8"/>
  <c r="CX193" i="8"/>
  <c r="BM194" i="8"/>
  <c r="BC194" i="8"/>
  <c r="BE194" i="8" s="1"/>
  <c r="BS195" i="8"/>
  <c r="BR195" i="8"/>
  <c r="BQ196" i="8"/>
  <c r="BU196" i="8"/>
  <c r="BT196" i="8"/>
  <c r="CT200" i="8"/>
  <c r="CV200" i="8" s="1"/>
  <c r="CJ200" i="8"/>
  <c r="CL200" i="8" s="1"/>
  <c r="BM196" i="8"/>
  <c r="BC196" i="8"/>
  <c r="CO200" i="8"/>
  <c r="BS205" i="8"/>
  <c r="BR205" i="8"/>
  <c r="BX205" i="8"/>
  <c r="BT193" i="8"/>
  <c r="BQ193" i="8"/>
  <c r="DA193" i="8"/>
  <c r="BW190" i="8"/>
  <c r="DD190" i="8"/>
  <c r="X206" i="8"/>
  <c r="BS190" i="8"/>
  <c r="BR190" i="8"/>
  <c r="CY192" i="8"/>
  <c r="DB193" i="8"/>
  <c r="CL195" i="8"/>
  <c r="CS196" i="8"/>
  <c r="CY197" i="8"/>
  <c r="CX197" i="8"/>
  <c r="DB197" i="8"/>
  <c r="DA197" i="8"/>
  <c r="CV197" i="8"/>
  <c r="DE199" i="8"/>
  <c r="CZ199" i="8"/>
  <c r="BW200" i="8"/>
  <c r="DD200" i="8"/>
  <c r="Y190" i="8"/>
  <c r="CZ190" i="8"/>
  <c r="DE190" i="8"/>
  <c r="BE193" i="8"/>
  <c r="BU193" i="8"/>
  <c r="DD195" i="8"/>
  <c r="BW195" i="8"/>
  <c r="DB199" i="8"/>
  <c r="CY199" i="8"/>
  <c r="CX199" i="8"/>
  <c r="CS199" i="8"/>
  <c r="Y200" i="8"/>
  <c r="Z200" i="8" s="1"/>
  <c r="AB200" i="8" s="1"/>
  <c r="CZ201" i="8"/>
  <c r="DE201" i="8"/>
  <c r="CY190" i="8"/>
  <c r="AA193" i="8"/>
  <c r="BX195" i="8"/>
  <c r="BU198" i="8"/>
  <c r="BQ198" i="8"/>
  <c r="BT198" i="8"/>
  <c r="DA199" i="8"/>
  <c r="BN190" i="8"/>
  <c r="BO190" i="8" s="1"/>
  <c r="BP190" i="8" s="1"/>
  <c r="BD190" i="8"/>
  <c r="BE190" i="8" s="1"/>
  <c r="BI190" i="8" s="1"/>
  <c r="DA190" i="8"/>
  <c r="BS191" i="8"/>
  <c r="DE193" i="8"/>
  <c r="CZ193" i="8"/>
  <c r="AA197" i="8"/>
  <c r="CT198" i="8"/>
  <c r="CV198" i="8" s="1"/>
  <c r="CW198" i="8" s="1"/>
  <c r="CJ198" i="8"/>
  <c r="CL198" i="8" s="1"/>
  <c r="CP198" i="8" s="1"/>
  <c r="AA199" i="8"/>
  <c r="BM200" i="8"/>
  <c r="BC200" i="8"/>
  <c r="Y194" i="8"/>
  <c r="Z194" i="8" s="1"/>
  <c r="AB194" i="8" s="1"/>
  <c r="CO194" i="8"/>
  <c r="BU190" i="8"/>
  <c r="DD192" i="8"/>
  <c r="BW192" i="8"/>
  <c r="Y192" i="8"/>
  <c r="Z192" i="8" s="1"/>
  <c r="AB192" i="8" s="1"/>
  <c r="BR193" i="8"/>
  <c r="CV196" i="8"/>
  <c r="BM199" i="8"/>
  <c r="BO199" i="8" s="1"/>
  <c r="CJ201" i="8"/>
  <c r="CL201" i="8" s="1"/>
  <c r="CP201" i="8" s="1"/>
  <c r="CT201" i="8"/>
  <c r="CV201" i="8" s="1"/>
  <c r="CW201" i="8" s="1"/>
  <c r="BN202" i="8"/>
  <c r="BO202" i="8" s="1"/>
  <c r="BP202" i="8" s="1"/>
  <c r="BD202" i="8"/>
  <c r="CV203" i="8"/>
  <c r="DE205" i="8"/>
  <c r="BU191" i="8"/>
  <c r="BT191" i="8"/>
  <c r="DB191" i="8"/>
  <c r="DA191" i="8"/>
  <c r="CS191" i="8"/>
  <c r="BH194" i="8"/>
  <c r="BN196" i="8"/>
  <c r="BD196" i="8"/>
  <c r="CX196" i="8"/>
  <c r="CY196" i="8"/>
  <c r="BS197" i="8"/>
  <c r="BX197" i="8"/>
  <c r="BE198" i="8"/>
  <c r="BN200" i="8"/>
  <c r="BD200" i="8"/>
  <c r="DD201" i="8"/>
  <c r="BW201" i="8"/>
  <c r="Y201" i="8"/>
  <c r="Z201" i="8" s="1"/>
  <c r="AB201" i="8" s="1"/>
  <c r="BC201" i="8"/>
  <c r="BM201" i="8"/>
  <c r="BH202" i="8"/>
  <c r="Y205" i="8"/>
  <c r="Z205" i="8" s="1"/>
  <c r="AB205" i="8" s="1"/>
  <c r="BH196" i="8"/>
  <c r="DD199" i="8"/>
  <c r="BW199" i="8"/>
  <c r="BH200" i="8"/>
  <c r="BD201" i="8"/>
  <c r="BN201" i="8"/>
  <c r="BO203" i="8"/>
  <c r="BQ191" i="8"/>
  <c r="DD193" i="8"/>
  <c r="BW193" i="8"/>
  <c r="BS193" i="8"/>
  <c r="DA195" i="8"/>
  <c r="BL196" i="8"/>
  <c r="CO197" i="8"/>
  <c r="BP204" i="8"/>
  <c r="CX191" i="8"/>
  <c r="BW194" i="8"/>
  <c r="DA196" i="8"/>
  <c r="BU202" i="8"/>
  <c r="BT202" i="8"/>
  <c r="BC204" i="8"/>
  <c r="BE204" i="8" s="1"/>
  <c r="BR199" i="8"/>
  <c r="BS201" i="8"/>
  <c r="BR201" i="8"/>
  <c r="BH204" i="8"/>
  <c r="CX194" i="8"/>
  <c r="BT195" i="8"/>
  <c r="CV195" i="8"/>
  <c r="CW195" i="8" s="1"/>
  <c r="DA198" i="8"/>
  <c r="BX201" i="8"/>
  <c r="DB202" i="8"/>
  <c r="DA202" i="8"/>
  <c r="CS202" i="8"/>
  <c r="CW202" i="8" s="1"/>
  <c r="CO204" i="8"/>
  <c r="BH198" i="8"/>
  <c r="CV199" i="8"/>
  <c r="DD203" i="8"/>
  <c r="BW203" i="8"/>
  <c r="Y203" i="8"/>
  <c r="Z203" i="8" s="1"/>
  <c r="AB203" i="8" s="1"/>
  <c r="CY201" i="8"/>
  <c r="CY205" i="8"/>
  <c r="CX200" i="8"/>
  <c r="CX204" i="8"/>
  <c r="AA170" i="8"/>
  <c r="AA171" i="8"/>
  <c r="CO180" i="8"/>
  <c r="BO181" i="8"/>
  <c r="CY170" i="8"/>
  <c r="CX170" i="8"/>
  <c r="BL175" i="8"/>
  <c r="CY171" i="8"/>
  <c r="CX171" i="8"/>
  <c r="BT171" i="8"/>
  <c r="BQ171" i="8"/>
  <c r="BH172" i="8"/>
  <c r="BH180" i="8"/>
  <c r="BN180" i="8"/>
  <c r="BD180" i="8"/>
  <c r="CT180" i="8"/>
  <c r="CV180" i="8" s="1"/>
  <c r="CJ180" i="8"/>
  <c r="CL180" i="8" s="1"/>
  <c r="BR174" i="8"/>
  <c r="BX174" i="8"/>
  <c r="BE184" i="8"/>
  <c r="DE171" i="8"/>
  <c r="CZ171" i="8"/>
  <c r="BM180" i="8"/>
  <c r="BC180" i="8"/>
  <c r="DA170" i="8"/>
  <c r="DA171" i="8"/>
  <c r="AA174" i="8"/>
  <c r="BW184" i="8"/>
  <c r="DD184" i="8"/>
  <c r="Y184" i="8"/>
  <c r="Z184" i="8" s="1"/>
  <c r="AB184" i="8" s="1"/>
  <c r="AA178" i="8"/>
  <c r="DD180" i="8"/>
  <c r="BW180" i="8"/>
  <c r="Y180" i="8"/>
  <c r="Z180" i="8" s="1"/>
  <c r="AB180" i="8" s="1"/>
  <c r="BS185" i="8"/>
  <c r="BR185" i="8"/>
  <c r="BX185" i="8"/>
  <c r="BS174" i="8"/>
  <c r="DD177" i="8"/>
  <c r="Y177" i="8"/>
  <c r="Z177" i="8" s="1"/>
  <c r="AB177" i="8" s="1"/>
  <c r="BW177" i="8"/>
  <c r="BS177" i="8"/>
  <c r="BR177" i="8"/>
  <c r="BX177" i="8"/>
  <c r="BS173" i="8"/>
  <c r="BR173" i="8"/>
  <c r="BX173" i="8"/>
  <c r="DE177" i="8"/>
  <c r="DD179" i="8"/>
  <c r="BW179" i="8"/>
  <c r="Y179" i="8"/>
  <c r="Z179" i="8" s="1"/>
  <c r="AB179" i="8" s="1"/>
  <c r="DD170" i="8"/>
  <c r="BW170" i="8"/>
  <c r="X186" i="8"/>
  <c r="BX170" i="8"/>
  <c r="BS170" i="8"/>
  <c r="DB170" i="8"/>
  <c r="DB171" i="8"/>
  <c r="CY174" i="8"/>
  <c r="CX174" i="8"/>
  <c r="CS174" i="8"/>
  <c r="CV171" i="8"/>
  <c r="CW171" i="8" s="1"/>
  <c r="Y172" i="8"/>
  <c r="Z172" i="8" s="1"/>
  <c r="AB172" i="8" s="1"/>
  <c r="BW176" i="8"/>
  <c r="BU182" i="8"/>
  <c r="BT182" i="8"/>
  <c r="BU170" i="8"/>
  <c r="BH171" i="8"/>
  <c r="Y175" i="8"/>
  <c r="Z175" i="8" s="1"/>
  <c r="AB175" i="8" s="1"/>
  <c r="BR175" i="8"/>
  <c r="CJ177" i="8"/>
  <c r="CL177" i="8" s="1"/>
  <c r="CO177" i="8"/>
  <c r="BS178" i="8"/>
  <c r="BR182" i="8"/>
  <c r="BL178" i="8"/>
  <c r="BU174" i="8"/>
  <c r="BT174" i="8"/>
  <c r="BU178" i="8"/>
  <c r="BT178" i="8"/>
  <c r="BQ178" i="8"/>
  <c r="DB178" i="8"/>
  <c r="DA178" i="8"/>
  <c r="CX178" i="8"/>
  <c r="CS178" i="8"/>
  <c r="DD183" i="8"/>
  <c r="BW183" i="8"/>
  <c r="Y183" i="8"/>
  <c r="Z183" i="8" s="1"/>
  <c r="AB183" i="8" s="1"/>
  <c r="DD171" i="8"/>
  <c r="BW171" i="8"/>
  <c r="BS171" i="8"/>
  <c r="CO171" i="8"/>
  <c r="Y173" i="8"/>
  <c r="Z173" i="8" s="1"/>
  <c r="AB173" i="8" s="1"/>
  <c r="CT173" i="8"/>
  <c r="CV173" i="8" s="1"/>
  <c r="CW173" i="8" s="1"/>
  <c r="BQ174" i="8"/>
  <c r="BM175" i="8"/>
  <c r="BC175" i="8"/>
  <c r="BS175" i="8"/>
  <c r="DD175" i="8"/>
  <c r="CY179" i="8"/>
  <c r="CX179" i="8"/>
  <c r="BH181" i="8"/>
  <c r="BI181" i="8" s="1"/>
  <c r="BW185" i="8"/>
  <c r="BO185" i="8"/>
  <c r="BP185" i="8" s="1"/>
  <c r="DE185" i="8"/>
  <c r="BC177" i="8"/>
  <c r="BE177" i="8" s="1"/>
  <c r="BH177" i="8"/>
  <c r="CV170" i="8"/>
  <c r="AA176" i="8"/>
  <c r="BX179" i="8"/>
  <c r="BR179" i="8"/>
  <c r="BQ182" i="8"/>
  <c r="BO183" i="8"/>
  <c r="BP183" i="8" s="1"/>
  <c r="DE173" i="8"/>
  <c r="BH174" i="8"/>
  <c r="BH175" i="8"/>
  <c r="BN175" i="8"/>
  <c r="BD175" i="8"/>
  <c r="BT175" i="8"/>
  <c r="CY175" i="8"/>
  <c r="CX175" i="8"/>
  <c r="BH176" i="8"/>
  <c r="CO176" i="8"/>
  <c r="CP176" i="8" s="1"/>
  <c r="BM177" i="8"/>
  <c r="BS179" i="8"/>
  <c r="CT181" i="8"/>
  <c r="CV181" i="8" s="1"/>
  <c r="BN182" i="8"/>
  <c r="BO182" i="8" s="1"/>
  <c r="BD182" i="8"/>
  <c r="BE182" i="8" s="1"/>
  <c r="BH182" i="8"/>
  <c r="CV183" i="8"/>
  <c r="CW183" i="8" s="1"/>
  <c r="CX172" i="8"/>
  <c r="CO175" i="8"/>
  <c r="BR176" i="8"/>
  <c r="BX176" i="8"/>
  <c r="BS183" i="8"/>
  <c r="CZ183" i="8"/>
  <c r="BN178" i="8"/>
  <c r="BO178" i="8" s="1"/>
  <c r="BD178" i="8"/>
  <c r="BE178" i="8" s="1"/>
  <c r="BT183" i="8"/>
  <c r="DA183" i="8"/>
  <c r="BH184" i="8"/>
  <c r="CO184" i="8"/>
  <c r="CZ175" i="8"/>
  <c r="BS181" i="8"/>
  <c r="BR181" i="8"/>
  <c r="DB182" i="8"/>
  <c r="DA182" i="8"/>
  <c r="CY177" i="8"/>
  <c r="BN179" i="8"/>
  <c r="BX180" i="8"/>
  <c r="CY181" i="8"/>
  <c r="CY185" i="8"/>
  <c r="CX184" i="8"/>
  <c r="AA157" i="8"/>
  <c r="BU158" i="8"/>
  <c r="BQ158" i="8"/>
  <c r="BT158" i="8"/>
  <c r="BM154" i="8"/>
  <c r="BC154" i="8"/>
  <c r="CL152" i="8"/>
  <c r="BH153" i="8"/>
  <c r="BN153" i="8"/>
  <c r="BD153" i="8"/>
  <c r="BH159" i="8"/>
  <c r="AA163" i="8"/>
  <c r="AA152" i="8"/>
  <c r="DA155" i="8"/>
  <c r="DB155" i="8"/>
  <c r="CX155" i="8"/>
  <c r="BI156" i="8"/>
  <c r="DB162" i="8"/>
  <c r="DA162" i="8"/>
  <c r="CY162" i="8"/>
  <c r="CX162" i="8"/>
  <c r="BH163" i="8"/>
  <c r="BM163" i="8"/>
  <c r="BO163" i="8" s="1"/>
  <c r="BC163" i="8"/>
  <c r="BE163" i="8" s="1"/>
  <c r="BE152" i="8"/>
  <c r="BI152" i="8" s="1"/>
  <c r="BC153" i="8"/>
  <c r="BM153" i="8"/>
  <c r="DE151" i="8"/>
  <c r="CZ151" i="8"/>
  <c r="BD154" i="8"/>
  <c r="BN154" i="8"/>
  <c r="BN162" i="8"/>
  <c r="BD162" i="8"/>
  <c r="DB151" i="8"/>
  <c r="CX151" i="8"/>
  <c r="DA151" i="8"/>
  <c r="CY151" i="8"/>
  <c r="AA154" i="8"/>
  <c r="DA150" i="8"/>
  <c r="CX150" i="8"/>
  <c r="AA158" i="8"/>
  <c r="AA164" i="8"/>
  <c r="BM159" i="8"/>
  <c r="BO159" i="8" s="1"/>
  <c r="BC159" i="8"/>
  <c r="BW157" i="8"/>
  <c r="DD157" i="8"/>
  <c r="BO150" i="8"/>
  <c r="BP150" i="8" s="1"/>
  <c r="BS158" i="8"/>
  <c r="BR158" i="8"/>
  <c r="CS161" i="8"/>
  <c r="CZ153" i="8"/>
  <c r="DE153" i="8"/>
  <c r="DA157" i="8"/>
  <c r="CX157" i="8"/>
  <c r="DB157" i="8"/>
  <c r="CY157" i="8"/>
  <c r="DD151" i="8"/>
  <c r="BW151" i="8"/>
  <c r="Y151" i="8"/>
  <c r="Z151" i="8" s="1"/>
  <c r="AB151" i="8" s="1"/>
  <c r="DD155" i="8"/>
  <c r="BW155" i="8"/>
  <c r="BL163" i="8"/>
  <c r="X166" i="8"/>
  <c r="DD150" i="8"/>
  <c r="BW150" i="8"/>
  <c r="BR150" i="8"/>
  <c r="CV150" i="8"/>
  <c r="CO151" i="8"/>
  <c r="BW153" i="8"/>
  <c r="BX154" i="8"/>
  <c r="Y155" i="8"/>
  <c r="Z155" i="8" s="1"/>
  <c r="AB155" i="8" s="1"/>
  <c r="CZ158" i="8"/>
  <c r="DE158" i="8"/>
  <c r="CS159" i="8"/>
  <c r="AA165" i="8"/>
  <c r="BD165" i="8"/>
  <c r="BN165" i="8"/>
  <c r="CS150" i="8"/>
  <c r="CL151" i="8"/>
  <c r="BL159" i="8"/>
  <c r="Y153" i="8"/>
  <c r="Z153" i="8" s="1"/>
  <c r="AB153" i="8" s="1"/>
  <c r="Y150" i="8"/>
  <c r="BQ151" i="8"/>
  <c r="CT156" i="8"/>
  <c r="CV156" i="8" s="1"/>
  <c r="CJ156" i="8"/>
  <c r="CL156" i="8" s="1"/>
  <c r="DD160" i="8"/>
  <c r="BW160" i="8"/>
  <c r="BH165" i="8"/>
  <c r="CS165" i="8"/>
  <c r="DB154" i="8"/>
  <c r="CT155" i="8"/>
  <c r="CV155" i="8" s="1"/>
  <c r="CJ155" i="8"/>
  <c r="CL155" i="8" s="1"/>
  <c r="BS153" i="8"/>
  <c r="BR153" i="8"/>
  <c r="BX153" i="8"/>
  <c r="CO155" i="8"/>
  <c r="AA161" i="8"/>
  <c r="BD161" i="8"/>
  <c r="BN161" i="8"/>
  <c r="BR151" i="8"/>
  <c r="DD152" i="8"/>
  <c r="BW152" i="8"/>
  <c r="BR155" i="8"/>
  <c r="AA156" i="8"/>
  <c r="BL157" i="8"/>
  <c r="AA159" i="8"/>
  <c r="BE159" i="8"/>
  <c r="CZ159" i="8"/>
  <c r="Y160" i="8"/>
  <c r="Z160" i="8" s="1"/>
  <c r="AB160" i="8" s="1"/>
  <c r="DD164" i="8"/>
  <c r="BW164" i="8"/>
  <c r="BT157" i="8"/>
  <c r="BQ157" i="8"/>
  <c r="DA158" i="8"/>
  <c r="BL161" i="8"/>
  <c r="DA161" i="8"/>
  <c r="CX161" i="8"/>
  <c r="BL165" i="8"/>
  <c r="DA165" i="8"/>
  <c r="CX165" i="8"/>
  <c r="BT154" i="8"/>
  <c r="CX159" i="8"/>
  <c r="BT161" i="8"/>
  <c r="BQ161" i="8"/>
  <c r="BX162" i="8"/>
  <c r="CL163" i="8"/>
  <c r="CX163" i="8"/>
  <c r="BT165" i="8"/>
  <c r="BQ165" i="8"/>
  <c r="CV154" i="8"/>
  <c r="CY159" i="8"/>
  <c r="DE162" i="8"/>
  <c r="CO163" i="8"/>
  <c r="CT163" i="8"/>
  <c r="CV163" i="8" s="1"/>
  <c r="CY163" i="8"/>
  <c r="CX156" i="8"/>
  <c r="BW159" i="8"/>
  <c r="CX160" i="8"/>
  <c r="BW163" i="8"/>
  <c r="CX164" i="8"/>
  <c r="AA133" i="8"/>
  <c r="DK133" i="8" s="1"/>
  <c r="AA135" i="8"/>
  <c r="AA130" i="8"/>
  <c r="BS131" i="8"/>
  <c r="BR131" i="8"/>
  <c r="BH140" i="8"/>
  <c r="BN140" i="8"/>
  <c r="BD140" i="8"/>
  <c r="Y134" i="8"/>
  <c r="Z134" i="8" s="1"/>
  <c r="AB134" i="8" s="1"/>
  <c r="CV134" i="8"/>
  <c r="BM136" i="8"/>
  <c r="BC136" i="8"/>
  <c r="CL139" i="8"/>
  <c r="BU131" i="8"/>
  <c r="BT131" i="8"/>
  <c r="BQ131" i="8"/>
  <c r="DD133" i="8"/>
  <c r="BW133" i="8"/>
  <c r="Y140" i="8"/>
  <c r="Z140" i="8" s="1"/>
  <c r="AB140" i="8" s="1"/>
  <c r="BW140" i="8"/>
  <c r="BX131" i="8"/>
  <c r="DB135" i="8"/>
  <c r="DA135" i="8"/>
  <c r="AA145" i="8"/>
  <c r="CT130" i="8"/>
  <c r="CV130" i="8" s="1"/>
  <c r="CW130" i="8" s="1"/>
  <c r="BH136" i="8"/>
  <c r="BD136" i="8"/>
  <c r="BN136" i="8"/>
  <c r="BS137" i="8"/>
  <c r="BR137" i="8"/>
  <c r="BX137" i="8"/>
  <c r="BC137" i="8"/>
  <c r="BM137" i="8"/>
  <c r="BO137" i="8" s="1"/>
  <c r="DD139" i="8"/>
  <c r="BW139" i="8"/>
  <c r="Y139" i="8"/>
  <c r="Z139" i="8" s="1"/>
  <c r="AB139" i="8" s="1"/>
  <c r="BM131" i="8"/>
  <c r="BC131" i="8"/>
  <c r="BE131" i="8" s="1"/>
  <c r="CT131" i="8"/>
  <c r="CV131" i="8" s="1"/>
  <c r="CJ131" i="8"/>
  <c r="CL131" i="8" s="1"/>
  <c r="CL138" i="8"/>
  <c r="CP138" i="8" s="1"/>
  <c r="CX135" i="8"/>
  <c r="DD130" i="8"/>
  <c r="BW130" i="8"/>
  <c r="X146" i="8"/>
  <c r="BH130" i="8"/>
  <c r="BU133" i="8"/>
  <c r="BT133" i="8"/>
  <c r="BM135" i="8"/>
  <c r="BO135" i="8" s="1"/>
  <c r="BC135" i="8"/>
  <c r="BE135" i="8" s="1"/>
  <c r="DD140" i="8"/>
  <c r="BN142" i="8"/>
  <c r="BO142" i="8" s="1"/>
  <c r="BP142" i="8" s="1"/>
  <c r="BD142" i="8"/>
  <c r="BE142" i="8" s="1"/>
  <c r="BI142" i="8" s="1"/>
  <c r="DD143" i="8"/>
  <c r="BW143" i="8"/>
  <c r="Y143" i="8"/>
  <c r="Z143" i="8" s="1"/>
  <c r="AB143" i="8" s="1"/>
  <c r="BS145" i="8"/>
  <c r="BR145" i="8"/>
  <c r="BX145" i="8"/>
  <c r="BL135" i="8"/>
  <c r="BD137" i="8"/>
  <c r="BH137" i="8"/>
  <c r="CV144" i="8"/>
  <c r="CZ145" i="8"/>
  <c r="DE145" i="8"/>
  <c r="BH131" i="8"/>
  <c r="BS133" i="8"/>
  <c r="CZ133" i="8"/>
  <c r="BL138" i="8"/>
  <c r="BX139" i="8"/>
  <c r="BR139" i="8"/>
  <c r="BC141" i="8"/>
  <c r="BM141" i="8"/>
  <c r="Y144" i="8"/>
  <c r="Z144" i="8" s="1"/>
  <c r="AB144" i="8" s="1"/>
  <c r="CL144" i="8"/>
  <c r="DI145" i="8"/>
  <c r="DH145" i="8"/>
  <c r="BS130" i="8"/>
  <c r="BR130" i="8"/>
  <c r="DE131" i="8"/>
  <c r="BT132" i="8"/>
  <c r="DA132" i="8"/>
  <c r="CT136" i="8"/>
  <c r="CV136" i="8" s="1"/>
  <c r="CW136" i="8" s="1"/>
  <c r="CJ136" i="8"/>
  <c r="CL136" i="8" s="1"/>
  <c r="BS138" i="8"/>
  <c r="BR138" i="8"/>
  <c r="BD141" i="8"/>
  <c r="BN141" i="8"/>
  <c r="DB131" i="8"/>
  <c r="DA131" i="8"/>
  <c r="DD135" i="8"/>
  <c r="BW135" i="8"/>
  <c r="CS135" i="8"/>
  <c r="CO136" i="8"/>
  <c r="BU138" i="8"/>
  <c r="BT138" i="8"/>
  <c r="BQ138" i="8"/>
  <c r="DB138" i="8"/>
  <c r="DA138" i="8"/>
  <c r="CY138" i="8"/>
  <c r="CX138" i="8"/>
  <c r="CY139" i="8"/>
  <c r="CX139" i="8"/>
  <c r="BM140" i="8"/>
  <c r="BC140" i="8"/>
  <c r="BH141" i="8"/>
  <c r="CJ141" i="8"/>
  <c r="CL141" i="8" s="1"/>
  <c r="CT141" i="8"/>
  <c r="CV141" i="8" s="1"/>
  <c r="CW141" i="8" s="1"/>
  <c r="CY130" i="8"/>
  <c r="BN133" i="8"/>
  <c r="BO133" i="8" s="1"/>
  <c r="BX134" i="8"/>
  <c r="BN138" i="8"/>
  <c r="BO138" i="8" s="1"/>
  <c r="BD138" i="8"/>
  <c r="BE138" i="8" s="1"/>
  <c r="BI138" i="8" s="1"/>
  <c r="BO139" i="8"/>
  <c r="BP139" i="8" s="1"/>
  <c r="CV139" i="8"/>
  <c r="Y141" i="8"/>
  <c r="Z141" i="8" s="1"/>
  <c r="AB141" i="8" s="1"/>
  <c r="BS141" i="8"/>
  <c r="BR141" i="8"/>
  <c r="BW141" i="8"/>
  <c r="BS143" i="8"/>
  <c r="BX141" i="8"/>
  <c r="DE141" i="8"/>
  <c r="DB142" i="8"/>
  <c r="DA142" i="8"/>
  <c r="BT143" i="8"/>
  <c r="DA143" i="8"/>
  <c r="BH144" i="8"/>
  <c r="CO144" i="8"/>
  <c r="BW132" i="8"/>
  <c r="BU142" i="8"/>
  <c r="BT142" i="8"/>
  <c r="CY137" i="8"/>
  <c r="BX140" i="8"/>
  <c r="CY141" i="8"/>
  <c r="CY145" i="8"/>
  <c r="CX136" i="8"/>
  <c r="CX140" i="8"/>
  <c r="CX144" i="8"/>
  <c r="AA112" i="8"/>
  <c r="BE110" i="8"/>
  <c r="BI110" i="8" s="1"/>
  <c r="DD111" i="8"/>
  <c r="BW111" i="8"/>
  <c r="CX111" i="8"/>
  <c r="DB111" i="8"/>
  <c r="DA111" i="8"/>
  <c r="CY111" i="8"/>
  <c r="AA116" i="8"/>
  <c r="BQ111" i="8"/>
  <c r="BU111" i="8"/>
  <c r="BT111" i="8"/>
  <c r="DI112" i="8"/>
  <c r="DH112" i="8"/>
  <c r="BC113" i="8"/>
  <c r="BM113" i="8"/>
  <c r="CO113" i="8"/>
  <c r="DE114" i="8"/>
  <c r="CZ114" i="8"/>
  <c r="X126" i="8"/>
  <c r="DD112" i="8"/>
  <c r="BW112" i="8"/>
  <c r="CJ113" i="8"/>
  <c r="CL113" i="8" s="1"/>
  <c r="CT113" i="8"/>
  <c r="CV113" i="8" s="1"/>
  <c r="CW113" i="8" s="1"/>
  <c r="BD113" i="8"/>
  <c r="BN113" i="8"/>
  <c r="BH113" i="8"/>
  <c r="CL110" i="8"/>
  <c r="CP110" i="8" s="1"/>
  <c r="CS115" i="8"/>
  <c r="Y111" i="8"/>
  <c r="Z111" i="8" s="1"/>
  <c r="AB111" i="8" s="1"/>
  <c r="DD123" i="8"/>
  <c r="BW123" i="8"/>
  <c r="Y123" i="8"/>
  <c r="Z123" i="8" s="1"/>
  <c r="AB123" i="8" s="1"/>
  <c r="BO110" i="8"/>
  <c r="BP110" i="8" s="1"/>
  <c r="BS117" i="8"/>
  <c r="BR117" i="8"/>
  <c r="BX117" i="8"/>
  <c r="CV116" i="8"/>
  <c r="CW116" i="8" s="1"/>
  <c r="BS125" i="8"/>
  <c r="BR125" i="8"/>
  <c r="BX125" i="8"/>
  <c r="CT114" i="8"/>
  <c r="CV114" i="8" s="1"/>
  <c r="CJ114" i="8"/>
  <c r="CL114" i="8" s="1"/>
  <c r="BS122" i="8"/>
  <c r="BR122" i="8"/>
  <c r="BS110" i="8"/>
  <c r="CO111" i="8"/>
  <c r="BS113" i="8"/>
  <c r="BR113" i="8"/>
  <c r="CX115" i="8"/>
  <c r="BM120" i="8"/>
  <c r="BO120" i="8" s="1"/>
  <c r="BC120" i="8"/>
  <c r="BE120" i="8" s="1"/>
  <c r="BD121" i="8"/>
  <c r="BE121" i="8" s="1"/>
  <c r="BH121" i="8"/>
  <c r="BU122" i="8"/>
  <c r="BT122" i="8"/>
  <c r="BQ122" i="8"/>
  <c r="Y124" i="8"/>
  <c r="Z124" i="8" s="1"/>
  <c r="AB124" i="8" s="1"/>
  <c r="CL124" i="8"/>
  <c r="AA115" i="8"/>
  <c r="CZ117" i="8"/>
  <c r="DE117" i="8"/>
  <c r="CZ125" i="8"/>
  <c r="DE125" i="8"/>
  <c r="BH111" i="8"/>
  <c r="BX113" i="8"/>
  <c r="DE113" i="8"/>
  <c r="BU114" i="8"/>
  <c r="BQ114" i="8"/>
  <c r="CO114" i="8"/>
  <c r="BX115" i="8"/>
  <c r="BS115" i="8"/>
  <c r="BR115" i="8"/>
  <c r="Y117" i="8"/>
  <c r="Z117" i="8" s="1"/>
  <c r="AB117" i="8" s="1"/>
  <c r="BN118" i="8"/>
  <c r="BO118" i="8" s="1"/>
  <c r="BD118" i="8"/>
  <c r="BE118" i="8" s="1"/>
  <c r="CS119" i="8"/>
  <c r="CW119" i="8" s="1"/>
  <c r="BH120" i="8"/>
  <c r="BP123" i="8"/>
  <c r="BO116" i="8"/>
  <c r="BP116" i="8" s="1"/>
  <c r="CV110" i="8"/>
  <c r="CW110" i="8" s="1"/>
  <c r="CV111" i="8"/>
  <c r="CW111" i="8" s="1"/>
  <c r="CT120" i="8"/>
  <c r="CV120" i="8" s="1"/>
  <c r="CW120" i="8" s="1"/>
  <c r="CJ120" i="8"/>
  <c r="CL120" i="8" s="1"/>
  <c r="DD110" i="8"/>
  <c r="BW110" i="8"/>
  <c r="Y110" i="8"/>
  <c r="CO120" i="8"/>
  <c r="CV123" i="8"/>
  <c r="BE124" i="8"/>
  <c r="CL116" i="8"/>
  <c r="CP116" i="8" s="1"/>
  <c r="CZ118" i="8"/>
  <c r="CV124" i="8"/>
  <c r="CW124" i="8" s="1"/>
  <c r="CZ115" i="8"/>
  <c r="BH118" i="8"/>
  <c r="CL122" i="8"/>
  <c r="AA125" i="8"/>
  <c r="CX112" i="8"/>
  <c r="CY113" i="8"/>
  <c r="BU118" i="8"/>
  <c r="BT118" i="8"/>
  <c r="BS123" i="8"/>
  <c r="CZ123" i="8"/>
  <c r="BL118" i="8"/>
  <c r="BR112" i="8"/>
  <c r="BH115" i="8"/>
  <c r="BN115" i="8"/>
  <c r="BO115" i="8" s="1"/>
  <c r="DD119" i="8"/>
  <c r="BW119" i="8"/>
  <c r="Y119" i="8"/>
  <c r="Z119" i="8" s="1"/>
  <c r="AB119" i="8" s="1"/>
  <c r="DA123" i="8"/>
  <c r="BH124" i="8"/>
  <c r="CO124" i="8"/>
  <c r="DB118" i="8"/>
  <c r="DA118" i="8"/>
  <c r="CS118" i="8"/>
  <c r="BN122" i="8"/>
  <c r="BO122" i="8" s="1"/>
  <c r="BP122" i="8" s="1"/>
  <c r="BD122" i="8"/>
  <c r="Y114" i="8"/>
  <c r="Z114" i="8" s="1"/>
  <c r="AB114" i="8" s="1"/>
  <c r="Y121" i="8"/>
  <c r="Z121" i="8" s="1"/>
  <c r="AB121" i="8" s="1"/>
  <c r="BS121" i="8"/>
  <c r="BR121" i="8"/>
  <c r="BW121" i="8"/>
  <c r="DB122" i="8"/>
  <c r="DA122" i="8"/>
  <c r="CS122" i="8"/>
  <c r="BX116" i="8"/>
  <c r="CY117" i="8"/>
  <c r="BN119" i="8"/>
  <c r="BO119" i="8" s="1"/>
  <c r="BX120" i="8"/>
  <c r="CY121" i="8"/>
  <c r="CY125" i="8"/>
  <c r="CX120" i="8"/>
  <c r="CX124" i="8"/>
  <c r="AA104" i="8"/>
  <c r="AA90" i="8"/>
  <c r="BS105" i="8"/>
  <c r="BR105" i="8"/>
  <c r="BX105" i="8"/>
  <c r="CX91" i="8"/>
  <c r="CY91" i="8"/>
  <c r="CT100" i="8"/>
  <c r="CV100" i="8" s="1"/>
  <c r="CW100" i="8" s="1"/>
  <c r="CJ100" i="8"/>
  <c r="CL100" i="8" s="1"/>
  <c r="BM91" i="8"/>
  <c r="BC91" i="8"/>
  <c r="DE95" i="8"/>
  <c r="CZ95" i="8"/>
  <c r="BU102" i="8"/>
  <c r="BT102" i="8"/>
  <c r="BN91" i="8"/>
  <c r="BD91" i="8"/>
  <c r="DD103" i="8"/>
  <c r="BW103" i="8"/>
  <c r="Y103" i="8"/>
  <c r="Z103" i="8" s="1"/>
  <c r="AB103" i="8" s="1"/>
  <c r="BH91" i="8"/>
  <c r="DA91" i="8"/>
  <c r="AA98" i="8"/>
  <c r="DD100" i="8"/>
  <c r="BW100" i="8"/>
  <c r="Y100" i="8"/>
  <c r="Z100" i="8" s="1"/>
  <c r="AB100" i="8" s="1"/>
  <c r="CO90" i="8"/>
  <c r="DB91" i="8"/>
  <c r="BR94" i="8"/>
  <c r="AA95" i="8"/>
  <c r="Y97" i="8"/>
  <c r="Z97" i="8" s="1"/>
  <c r="AB97" i="8" s="1"/>
  <c r="BR98" i="8"/>
  <c r="BX99" i="8"/>
  <c r="BR99" i="8"/>
  <c r="BS99" i="8"/>
  <c r="CV91" i="8"/>
  <c r="CW91" i="8" s="1"/>
  <c r="CL91" i="8"/>
  <c r="CP91" i="8" s="1"/>
  <c r="BM96" i="8"/>
  <c r="BC96" i="8"/>
  <c r="CS98" i="8"/>
  <c r="CW98" i="8" s="1"/>
  <c r="BH100" i="8"/>
  <c r="BN100" i="8"/>
  <c r="BD100" i="8"/>
  <c r="BO95" i="8"/>
  <c r="BH96" i="8"/>
  <c r="BN96" i="8"/>
  <c r="BD96" i="8"/>
  <c r="X106" i="8"/>
  <c r="BL91" i="8"/>
  <c r="BS92" i="8"/>
  <c r="BX92" i="8"/>
  <c r="CJ92" i="8"/>
  <c r="CL92" i="8" s="1"/>
  <c r="CT92" i="8"/>
  <c r="CV92" i="8" s="1"/>
  <c r="CW92" i="8" s="1"/>
  <c r="BS94" i="8"/>
  <c r="BS98" i="8"/>
  <c r="BQ99" i="8"/>
  <c r="BU99" i="8"/>
  <c r="BT99" i="8"/>
  <c r="CZ99" i="8"/>
  <c r="CJ101" i="8"/>
  <c r="CL101" i="8" s="1"/>
  <c r="CP101" i="8" s="1"/>
  <c r="CT101" i="8"/>
  <c r="CV101" i="8" s="1"/>
  <c r="AA102" i="8"/>
  <c r="DD105" i="8"/>
  <c r="BS102" i="8"/>
  <c r="BX102" i="8"/>
  <c r="BR102" i="8"/>
  <c r="AA93" i="8"/>
  <c r="BD93" i="8"/>
  <c r="BN93" i="8"/>
  <c r="BO93" i="8" s="1"/>
  <c r="BM100" i="8"/>
  <c r="BC100" i="8"/>
  <c r="CO100" i="8"/>
  <c r="BQ102" i="8"/>
  <c r="CY95" i="8"/>
  <c r="CX95" i="8"/>
  <c r="DB95" i="8"/>
  <c r="DA95" i="8"/>
  <c r="DB98" i="8"/>
  <c r="DA98" i="8"/>
  <c r="CX98" i="8"/>
  <c r="CY98" i="8"/>
  <c r="CS99" i="8"/>
  <c r="CW99" i="8" s="1"/>
  <c r="DE98" i="8"/>
  <c r="BW104" i="8"/>
  <c r="DD104" i="8"/>
  <c r="AA105" i="8"/>
  <c r="DE105" i="8"/>
  <c r="BT91" i="8"/>
  <c r="BL93" i="8"/>
  <c r="BU91" i="8"/>
  <c r="BU93" i="8"/>
  <c r="BT93" i="8"/>
  <c r="DD94" i="8"/>
  <c r="BW94" i="8"/>
  <c r="Y94" i="8"/>
  <c r="Z94" i="8" s="1"/>
  <c r="AB94" i="8" s="1"/>
  <c r="DB94" i="8"/>
  <c r="DD99" i="8"/>
  <c r="BW99" i="8"/>
  <c r="Y99" i="8"/>
  <c r="Z99" i="8" s="1"/>
  <c r="AB99" i="8" s="1"/>
  <c r="CL95" i="8"/>
  <c r="CP95" i="8" s="1"/>
  <c r="BN98" i="8"/>
  <c r="BO98" i="8" s="1"/>
  <c r="BD98" i="8"/>
  <c r="BR90" i="8"/>
  <c r="BC93" i="8"/>
  <c r="DD95" i="8"/>
  <c r="BW95" i="8"/>
  <c r="BW96" i="8"/>
  <c r="DE97" i="8"/>
  <c r="BN102" i="8"/>
  <c r="BO102" i="8" s="1"/>
  <c r="BD102" i="8"/>
  <c r="BE102" i="8" s="1"/>
  <c r="BH102" i="8"/>
  <c r="CV103" i="8"/>
  <c r="CW103" i="8" s="1"/>
  <c r="DB93" i="8"/>
  <c r="DA93" i="8"/>
  <c r="CS93" i="8"/>
  <c r="CW93" i="8" s="1"/>
  <c r="BS97" i="8"/>
  <c r="BR97" i="8"/>
  <c r="CY99" i="8"/>
  <c r="BH101" i="8"/>
  <c r="BI101" i="8" s="1"/>
  <c r="CL102" i="8"/>
  <c r="CP102" i="8" s="1"/>
  <c r="BN97" i="8"/>
  <c r="BO97" i="8" s="1"/>
  <c r="BU98" i="8"/>
  <c r="BT98" i="8"/>
  <c r="CL98" i="8"/>
  <c r="CP98" i="8" s="1"/>
  <c r="BS103" i="8"/>
  <c r="BR95" i="8"/>
  <c r="BT103" i="8"/>
  <c r="DA103" i="8"/>
  <c r="BH104" i="8"/>
  <c r="CO104" i="8"/>
  <c r="BS95" i="8"/>
  <c r="BS101" i="8"/>
  <c r="BR101" i="8"/>
  <c r="BW101" i="8"/>
  <c r="DB102" i="8"/>
  <c r="DA102" i="8"/>
  <c r="CS102" i="8"/>
  <c r="CY97" i="8"/>
  <c r="CY101" i="8"/>
  <c r="CY105" i="8"/>
  <c r="CX96" i="8"/>
  <c r="CX100" i="8"/>
  <c r="CX104" i="8"/>
  <c r="AA71" i="8"/>
  <c r="AA73" i="8"/>
  <c r="Z70" i="8"/>
  <c r="AB70" i="8" s="1"/>
  <c r="AA77" i="8"/>
  <c r="BM73" i="8"/>
  <c r="BC73" i="8"/>
  <c r="BS85" i="8"/>
  <c r="BR85" i="8"/>
  <c r="AA74" i="8"/>
  <c r="DB74" i="8"/>
  <c r="DA74" i="8"/>
  <c r="CX74" i="8"/>
  <c r="CY74" i="8"/>
  <c r="CV81" i="8"/>
  <c r="CW81" i="8" s="1"/>
  <c r="BD70" i="8"/>
  <c r="BE70" i="8" s="1"/>
  <c r="CS70" i="8"/>
  <c r="CX71" i="8"/>
  <c r="BM72" i="8"/>
  <c r="CZ72" i="8"/>
  <c r="BL73" i="8"/>
  <c r="BM80" i="8"/>
  <c r="BC80" i="8"/>
  <c r="BN82" i="8"/>
  <c r="BO82" i="8" s="1"/>
  <c r="BP82" i="8" s="1"/>
  <c r="BD82" i="8"/>
  <c r="BH82" i="8"/>
  <c r="BX85" i="8"/>
  <c r="DD70" i="8"/>
  <c r="X86" i="8"/>
  <c r="BW70" i="8"/>
  <c r="BH72" i="8"/>
  <c r="BO84" i="8"/>
  <c r="BW71" i="8"/>
  <c r="BD81" i="8"/>
  <c r="BE81" i="8" s="1"/>
  <c r="BN81" i="8"/>
  <c r="BO81" i="8" s="1"/>
  <c r="BP81" i="8" s="1"/>
  <c r="BH81" i="8"/>
  <c r="CY72" i="8"/>
  <c r="BN71" i="8"/>
  <c r="BO71" i="8" s="1"/>
  <c r="BP71" i="8" s="1"/>
  <c r="BD71" i="8"/>
  <c r="BD72" i="8"/>
  <c r="BE72" i="8" s="1"/>
  <c r="BN72" i="8"/>
  <c r="DA72" i="8"/>
  <c r="BN78" i="8"/>
  <c r="BO78" i="8" s="1"/>
  <c r="BD78" i="8"/>
  <c r="BE78" i="8" s="1"/>
  <c r="BI78" i="8" s="1"/>
  <c r="DE79" i="8"/>
  <c r="CZ79" i="8"/>
  <c r="BH80" i="8"/>
  <c r="BD80" i="8"/>
  <c r="BN80" i="8"/>
  <c r="BI83" i="8"/>
  <c r="DB71" i="8"/>
  <c r="DA71" i="8"/>
  <c r="BN73" i="8"/>
  <c r="BD73" i="8"/>
  <c r="CL72" i="8"/>
  <c r="CP72" i="8" s="1"/>
  <c r="BM75" i="8"/>
  <c r="BC75" i="8"/>
  <c r="Y72" i="8"/>
  <c r="Z72" i="8" s="1"/>
  <c r="AB72" i="8" s="1"/>
  <c r="DD72" i="8"/>
  <c r="DB72" i="8"/>
  <c r="DB79" i="8"/>
  <c r="DA79" i="8"/>
  <c r="CX79" i="8"/>
  <c r="CY79" i="8"/>
  <c r="BP84" i="8"/>
  <c r="BH75" i="8"/>
  <c r="BD75" i="8"/>
  <c r="DI77" i="8"/>
  <c r="DH77" i="8"/>
  <c r="DA70" i="8"/>
  <c r="BR71" i="8"/>
  <c r="BU74" i="8"/>
  <c r="BT74" i="8"/>
  <c r="Y84" i="8"/>
  <c r="Z84" i="8" s="1"/>
  <c r="AB84" i="8" s="1"/>
  <c r="BQ70" i="8"/>
  <c r="CJ70" i="8"/>
  <c r="CL70" i="8" s="1"/>
  <c r="CP70" i="8" s="1"/>
  <c r="BS72" i="8"/>
  <c r="BU73" i="8"/>
  <c r="BM74" i="8"/>
  <c r="BO74" i="8" s="1"/>
  <c r="BC74" i="8"/>
  <c r="BE74" i="8" s="1"/>
  <c r="CZ74" i="8"/>
  <c r="CT80" i="8"/>
  <c r="CV80" i="8" s="1"/>
  <c r="CW80" i="8" s="1"/>
  <c r="CJ80" i="8"/>
  <c r="CL80" i="8" s="1"/>
  <c r="CP80" i="8" s="1"/>
  <c r="BU82" i="8"/>
  <c r="BT82" i="8"/>
  <c r="BQ82" i="8"/>
  <c r="DD83" i="8"/>
  <c r="BW83" i="8"/>
  <c r="Y83" i="8"/>
  <c r="Z83" i="8" s="1"/>
  <c r="AB83" i="8" s="1"/>
  <c r="Y85" i="8"/>
  <c r="Z85" i="8" s="1"/>
  <c r="AB85" i="8" s="1"/>
  <c r="BS77" i="8"/>
  <c r="BR77" i="8"/>
  <c r="DA75" i="8"/>
  <c r="CY75" i="8"/>
  <c r="BL78" i="8"/>
  <c r="BR70" i="8"/>
  <c r="BQ74" i="8"/>
  <c r="BW75" i="8"/>
  <c r="CZ78" i="8"/>
  <c r="CO81" i="8"/>
  <c r="BR82" i="8"/>
  <c r="BT73" i="8"/>
  <c r="BR74" i="8"/>
  <c r="BN75" i="8"/>
  <c r="CX75" i="8"/>
  <c r="BE76" i="8"/>
  <c r="BR78" i="8"/>
  <c r="DB78" i="8"/>
  <c r="DA78" i="8"/>
  <c r="CS78" i="8"/>
  <c r="CW78" i="8" s="1"/>
  <c r="CX73" i="8"/>
  <c r="BN77" i="8"/>
  <c r="BU78" i="8"/>
  <c r="BT78" i="8"/>
  <c r="BS83" i="8"/>
  <c r="CZ83" i="8"/>
  <c r="CZ75" i="8"/>
  <c r="DD79" i="8"/>
  <c r="BW79" i="8"/>
  <c r="Y79" i="8"/>
  <c r="Z79" i="8" s="1"/>
  <c r="AB79" i="8" s="1"/>
  <c r="DA83" i="8"/>
  <c r="CV74" i="8"/>
  <c r="CW74" i="8" s="1"/>
  <c r="BH76" i="8"/>
  <c r="CV79" i="8"/>
  <c r="CW79" i="8" s="1"/>
  <c r="Y81" i="8"/>
  <c r="Z81" i="8" s="1"/>
  <c r="AB81" i="8" s="1"/>
  <c r="BS81" i="8"/>
  <c r="BR81" i="8"/>
  <c r="BW81" i="8"/>
  <c r="DB82" i="8"/>
  <c r="DA82" i="8"/>
  <c r="CS82" i="8"/>
  <c r="CW82" i="8" s="1"/>
  <c r="BX76" i="8"/>
  <c r="CY77" i="8"/>
  <c r="BN79" i="8"/>
  <c r="BO79" i="8" s="1"/>
  <c r="BX80" i="8"/>
  <c r="CY81" i="8"/>
  <c r="CY85" i="8"/>
  <c r="CX76" i="8"/>
  <c r="CX80" i="8"/>
  <c r="CX84" i="8"/>
  <c r="AA52" i="8"/>
  <c r="BU58" i="8"/>
  <c r="BT58" i="8"/>
  <c r="BQ58" i="8"/>
  <c r="BM52" i="8"/>
  <c r="BO52" i="8" s="1"/>
  <c r="BC52" i="8"/>
  <c r="CT52" i="8"/>
  <c r="CV52" i="8" s="1"/>
  <c r="CW52" i="8" s="1"/>
  <c r="CJ52" i="8"/>
  <c r="CL52" i="8" s="1"/>
  <c r="DI59" i="8"/>
  <c r="DH59" i="8"/>
  <c r="AA62" i="8"/>
  <c r="BD52" i="8"/>
  <c r="BH52" i="8"/>
  <c r="CO52" i="8"/>
  <c r="BN53" i="8"/>
  <c r="BO53" i="8" s="1"/>
  <c r="BP53" i="8" s="1"/>
  <c r="BD53" i="8"/>
  <c r="BE53" i="8" s="1"/>
  <c r="BI53" i="8" s="1"/>
  <c r="AA65" i="8"/>
  <c r="AA54" i="8"/>
  <c r="BL54" i="8"/>
  <c r="DD51" i="8"/>
  <c r="BW51" i="8"/>
  <c r="BR54" i="8"/>
  <c r="BX54" i="8"/>
  <c r="CT54" i="8"/>
  <c r="CV54" i="8" s="1"/>
  <c r="CJ54" i="8"/>
  <c r="CL54" i="8" s="1"/>
  <c r="AA58" i="8"/>
  <c r="BN55" i="8"/>
  <c r="BD55" i="8"/>
  <c r="BE55" i="8" s="1"/>
  <c r="BH55" i="8"/>
  <c r="Y51" i="8"/>
  <c r="Z51" i="8" s="1"/>
  <c r="AB51" i="8" s="1"/>
  <c r="BS54" i="8"/>
  <c r="CO54" i="8"/>
  <c r="DB58" i="8"/>
  <c r="DA58" i="8"/>
  <c r="CX58" i="8"/>
  <c r="BX59" i="8"/>
  <c r="BS59" i="8"/>
  <c r="CL60" i="8"/>
  <c r="CP60" i="8" s="1"/>
  <c r="DD61" i="8"/>
  <c r="BW61" i="8"/>
  <c r="BL62" i="8"/>
  <c r="X66" i="8"/>
  <c r="DB50" i="8"/>
  <c r="BN51" i="8"/>
  <c r="BO51" i="8" s="1"/>
  <c r="BX52" i="8"/>
  <c r="DE52" i="8"/>
  <c r="BQ53" i="8"/>
  <c r="CX53" i="8"/>
  <c r="BC54" i="8"/>
  <c r="BE54" i="8" s="1"/>
  <c r="BR55" i="8"/>
  <c r="BN58" i="8"/>
  <c r="BD58" i="8"/>
  <c r="BE58" i="8" s="1"/>
  <c r="BI58" i="8" s="1"/>
  <c r="BH60" i="8"/>
  <c r="Y61" i="8"/>
  <c r="Z61" i="8" s="1"/>
  <c r="AB61" i="8" s="1"/>
  <c r="CV61" i="8"/>
  <c r="CW61" i="8" s="1"/>
  <c r="DA63" i="8"/>
  <c r="BH64" i="8"/>
  <c r="BM64" i="8"/>
  <c r="BO64" i="8" s="1"/>
  <c r="CL64" i="8"/>
  <c r="BM65" i="8"/>
  <c r="BT54" i="8"/>
  <c r="BU62" i="8"/>
  <c r="BT62" i="8"/>
  <c r="BQ62" i="8"/>
  <c r="Z50" i="8"/>
  <c r="AB50" i="8" s="1"/>
  <c r="BR52" i="8"/>
  <c r="AA55" i="8"/>
  <c r="BH56" i="8"/>
  <c r="CJ56" i="8"/>
  <c r="CL56" i="8" s="1"/>
  <c r="DD57" i="8"/>
  <c r="BW57" i="8"/>
  <c r="CT57" i="8"/>
  <c r="CV57" i="8" s="1"/>
  <c r="CY58" i="8"/>
  <c r="BR59" i="8"/>
  <c r="DB62" i="8"/>
  <c r="DA62" i="8"/>
  <c r="CX62" i="8"/>
  <c r="CY53" i="8"/>
  <c r="DE59" i="8"/>
  <c r="CZ59" i="8"/>
  <c r="CO64" i="8"/>
  <c r="CT64" i="8"/>
  <c r="CV64" i="8" s="1"/>
  <c r="CW64" i="8" s="1"/>
  <c r="DD65" i="8"/>
  <c r="BW65" i="8"/>
  <c r="BX50" i="8"/>
  <c r="CX51" i="8"/>
  <c r="BT53" i="8"/>
  <c r="DA53" i="8"/>
  <c r="DA54" i="8"/>
  <c r="DA55" i="8"/>
  <c r="Y57" i="8"/>
  <c r="Z57" i="8" s="1"/>
  <c r="AB57" i="8" s="1"/>
  <c r="BL58" i="8"/>
  <c r="BT59" i="8"/>
  <c r="BQ54" i="8"/>
  <c r="BX55" i="8"/>
  <c r="BO60" i="8"/>
  <c r="BN62" i="8"/>
  <c r="BO62" i="8" s="1"/>
  <c r="BD62" i="8"/>
  <c r="BE62" i="8" s="1"/>
  <c r="BX63" i="8"/>
  <c r="BS63" i="8"/>
  <c r="DE63" i="8"/>
  <c r="CZ63" i="8"/>
  <c r="BR56" i="8"/>
  <c r="BX56" i="8"/>
  <c r="CO56" i="8"/>
  <c r="CS58" i="8"/>
  <c r="BC60" i="8"/>
  <c r="BE60" i="8" s="1"/>
  <c r="BH62" i="8"/>
  <c r="BQ63" i="8"/>
  <c r="BH65" i="8"/>
  <c r="DB56" i="8"/>
  <c r="BU60" i="8"/>
  <c r="DB60" i="8"/>
  <c r="BC63" i="8"/>
  <c r="BE63" i="8" s="1"/>
  <c r="CJ63" i="8"/>
  <c r="CL63" i="8" s="1"/>
  <c r="CP63" i="8" s="1"/>
  <c r="BU64" i="8"/>
  <c r="DB64" i="8"/>
  <c r="BW56" i="8"/>
  <c r="BQ57" i="8"/>
  <c r="CX57" i="8"/>
  <c r="BQ61" i="8"/>
  <c r="CX61" i="8"/>
  <c r="BQ65" i="8"/>
  <c r="CX65" i="8"/>
  <c r="BR57" i="8"/>
  <c r="Y59" i="8"/>
  <c r="Z59" i="8" s="1"/>
  <c r="AB59" i="8" s="1"/>
  <c r="BN59" i="8"/>
  <c r="BX60" i="8"/>
  <c r="BR61" i="8"/>
  <c r="CY61" i="8"/>
  <c r="Y63" i="8"/>
  <c r="Z63" i="8" s="1"/>
  <c r="AB63" i="8" s="1"/>
  <c r="BN63" i="8"/>
  <c r="BO63" i="8" s="1"/>
  <c r="BP63" i="8" s="1"/>
  <c r="BX64" i="8"/>
  <c r="BR65" i="8"/>
  <c r="CY65" i="8"/>
  <c r="CX56" i="8"/>
  <c r="CX60" i="8"/>
  <c r="BW63" i="8"/>
  <c r="CX64" i="8"/>
  <c r="BU32" i="8"/>
  <c r="AA38" i="8"/>
  <c r="AA44" i="8"/>
  <c r="BC45" i="8"/>
  <c r="BM45" i="8"/>
  <c r="CV34" i="8"/>
  <c r="BE43" i="8"/>
  <c r="X46" i="8"/>
  <c r="CX33" i="8"/>
  <c r="CJ34" i="8"/>
  <c r="CL34" i="8" s="1"/>
  <c r="CO34" i="8"/>
  <c r="BH39" i="8"/>
  <c r="AA43" i="8"/>
  <c r="Y30" i="8"/>
  <c r="BO32" i="8"/>
  <c r="DE32" i="8"/>
  <c r="DD33" i="8"/>
  <c r="BW33" i="8"/>
  <c r="Y33" i="8"/>
  <c r="Z33" i="8" s="1"/>
  <c r="AB33" i="8" s="1"/>
  <c r="CY33" i="8"/>
  <c r="CO35" i="8"/>
  <c r="CP35" i="8" s="1"/>
  <c r="BL37" i="8"/>
  <c r="BN42" i="8"/>
  <c r="BD42" i="8"/>
  <c r="BE42" i="8" s="1"/>
  <c r="CV32" i="8"/>
  <c r="BC33" i="8"/>
  <c r="BE33" i="8" s="1"/>
  <c r="BO33" i="8"/>
  <c r="BP33" i="8" s="1"/>
  <c r="CO33" i="8"/>
  <c r="CZ33" i="8"/>
  <c r="Y36" i="8"/>
  <c r="Z36" i="8" s="1"/>
  <c r="AB36" i="8" s="1"/>
  <c r="CO36" i="8"/>
  <c r="CP36" i="8" s="1"/>
  <c r="CS37" i="8"/>
  <c r="BS38" i="8"/>
  <c r="BX38" i="8"/>
  <c r="BH42" i="8"/>
  <c r="DA30" i="8"/>
  <c r="CX30" i="8"/>
  <c r="CZ38" i="8"/>
  <c r="DE38" i="8"/>
  <c r="BC41" i="8"/>
  <c r="BM41" i="8"/>
  <c r="BT30" i="8"/>
  <c r="BQ30" i="8"/>
  <c r="DB32" i="8"/>
  <c r="BD41" i="8"/>
  <c r="BN41" i="8"/>
  <c r="BD45" i="8"/>
  <c r="BN45" i="8"/>
  <c r="CL31" i="8"/>
  <c r="CS32" i="8"/>
  <c r="CO37" i="8"/>
  <c r="BH41" i="8"/>
  <c r="BH43" i="8"/>
  <c r="BM43" i="8"/>
  <c r="DB30" i="8"/>
  <c r="BE31" i="8"/>
  <c r="CO31" i="8"/>
  <c r="BQ32" i="8"/>
  <c r="BQ33" i="8"/>
  <c r="BH30" i="8"/>
  <c r="BI30" i="8" s="1"/>
  <c r="BU30" i="8"/>
  <c r="BH31" i="8"/>
  <c r="BS31" i="8"/>
  <c r="BR32" i="8"/>
  <c r="CX32" i="8"/>
  <c r="BR33" i="8"/>
  <c r="DD34" i="8"/>
  <c r="BW34" i="8"/>
  <c r="DE35" i="8"/>
  <c r="CZ35" i="8"/>
  <c r="CT35" i="8"/>
  <c r="CV35" i="8" s="1"/>
  <c r="CS39" i="8"/>
  <c r="DD40" i="8"/>
  <c r="BW40" i="8"/>
  <c r="DD32" i="8"/>
  <c r="BW32" i="8"/>
  <c r="Y32" i="8"/>
  <c r="Z32" i="8" s="1"/>
  <c r="AB32" i="8" s="1"/>
  <c r="BX31" i="8"/>
  <c r="BL32" i="8"/>
  <c r="CL33" i="8"/>
  <c r="CP33" i="8" s="1"/>
  <c r="BO34" i="8"/>
  <c r="BP34" i="8" s="1"/>
  <c r="CO30" i="8"/>
  <c r="DA33" i="8"/>
  <c r="DD35" i="8"/>
  <c r="BW35" i="8"/>
  <c r="Y35" i="8"/>
  <c r="Z35" i="8" s="1"/>
  <c r="AB35" i="8" s="1"/>
  <c r="CT37" i="8"/>
  <c r="CV37" i="8" s="1"/>
  <c r="DD30" i="8"/>
  <c r="CY32" i="8"/>
  <c r="BS33" i="8"/>
  <c r="Y34" i="8"/>
  <c r="Z34" i="8" s="1"/>
  <c r="AB34" i="8" s="1"/>
  <c r="DE34" i="8"/>
  <c r="BM35" i="8"/>
  <c r="BC35" i="8"/>
  <c r="BE35" i="8" s="1"/>
  <c r="BO36" i="8"/>
  <c r="BP36" i="8" s="1"/>
  <c r="CT36" i="8"/>
  <c r="CV36" i="8" s="1"/>
  <c r="CW36" i="8" s="1"/>
  <c r="DA37" i="8"/>
  <c r="CX37" i="8"/>
  <c r="DB37" i="8"/>
  <c r="CY37" i="8"/>
  <c r="BC39" i="8"/>
  <c r="AA40" i="8"/>
  <c r="CP40" i="8"/>
  <c r="CS43" i="8"/>
  <c r="DD44" i="8"/>
  <c r="BW44" i="8"/>
  <c r="CS45" i="8"/>
  <c r="CY31" i="8"/>
  <c r="BT37" i="8"/>
  <c r="BQ37" i="8"/>
  <c r="DA38" i="8"/>
  <c r="BL41" i="8"/>
  <c r="DA41" i="8"/>
  <c r="CX41" i="8"/>
  <c r="DA42" i="8"/>
  <c r="BL45" i="8"/>
  <c r="DA45" i="8"/>
  <c r="CX45" i="8"/>
  <c r="BT31" i="8"/>
  <c r="DA31" i="8"/>
  <c r="CL39" i="8"/>
  <c r="CP39" i="8" s="1"/>
  <c r="CX39" i="8"/>
  <c r="BO40" i="8"/>
  <c r="BT41" i="8"/>
  <c r="BQ41" i="8"/>
  <c r="BX42" i="8"/>
  <c r="CL43" i="8"/>
  <c r="CX43" i="8"/>
  <c r="BO44" i="8"/>
  <c r="BP44" i="8" s="1"/>
  <c r="CV44" i="8"/>
  <c r="CW44" i="8" s="1"/>
  <c r="BT45" i="8"/>
  <c r="BQ45" i="8"/>
  <c r="CY39" i="8"/>
  <c r="DE42" i="8"/>
  <c r="CO43" i="8"/>
  <c r="CT43" i="8"/>
  <c r="CV43" i="8" s="1"/>
  <c r="CY43" i="8"/>
  <c r="CX36" i="8"/>
  <c r="BW39" i="8"/>
  <c r="CX40" i="8"/>
  <c r="BW43" i="8"/>
  <c r="CX44" i="8"/>
  <c r="Y25" i="8"/>
  <c r="BW21" i="8"/>
  <c r="DD20" i="8"/>
  <c r="BW20" i="8"/>
  <c r="DE21" i="8"/>
  <c r="CT24" i="8"/>
  <c r="CV24" i="8" s="1"/>
  <c r="BW24" i="8"/>
  <c r="BM25" i="8"/>
  <c r="CT23" i="8"/>
  <c r="CV23" i="8" s="1"/>
  <c r="CW23" i="8" s="1"/>
  <c r="BW22" i="8"/>
  <c r="BQ21" i="8"/>
  <c r="CX19" i="8"/>
  <c r="BU19" i="8"/>
  <c r="BQ23" i="8"/>
  <c r="BW19" i="8"/>
  <c r="CL25" i="8"/>
  <c r="DD24" i="8"/>
  <c r="BM24" i="8"/>
  <c r="CY22" i="8"/>
  <c r="BM21" i="8"/>
  <c r="BQ20" i="8"/>
  <c r="DE19" i="8"/>
  <c r="DD19" i="8"/>
  <c r="DE22" i="8"/>
  <c r="BR25" i="8"/>
  <c r="Y23" i="8"/>
  <c r="DD23" i="8"/>
  <c r="CX22" i="8"/>
  <c r="CL22" i="8"/>
  <c r="CT20" i="8"/>
  <c r="CV20" i="8" s="1"/>
  <c r="CW20" i="8" s="1"/>
  <c r="BM20" i="8"/>
  <c r="BU25" i="8"/>
  <c r="BT25" i="8"/>
  <c r="BQ25" i="8"/>
  <c r="CY25" i="8"/>
  <c r="BE23" i="8"/>
  <c r="DA25" i="8"/>
  <c r="DB25" i="8"/>
  <c r="CX24" i="8"/>
  <c r="DE25" i="8"/>
  <c r="BX24" i="8"/>
  <c r="DE23" i="8"/>
  <c r="BN25" i="8"/>
  <c r="BN24" i="8"/>
  <c r="BN23" i="8"/>
  <c r="BO23" i="8" s="1"/>
  <c r="BN22" i="8"/>
  <c r="BO22" i="8" s="1"/>
  <c r="BN21" i="8"/>
  <c r="BN20" i="8"/>
  <c r="BN19" i="8"/>
  <c r="BO19" i="8" s="1"/>
  <c r="BX25" i="8"/>
  <c r="DE24" i="8"/>
  <c r="DB24" i="8"/>
  <c r="DB23" i="8"/>
  <c r="DB22" i="8"/>
  <c r="BU21" i="8"/>
  <c r="BT24" i="8"/>
  <c r="BT23" i="8"/>
  <c r="BT22" i="8"/>
  <c r="DA21" i="8"/>
  <c r="BX23" i="8"/>
  <c r="BU24" i="8"/>
  <c r="BS24" i="8"/>
  <c r="BS23" i="8"/>
  <c r="BS22" i="8"/>
  <c r="BS21" i="8"/>
  <c r="BW16" i="8"/>
  <c r="CS16" i="8"/>
  <c r="BL15" i="8"/>
  <c r="CS15" i="8"/>
  <c r="BX16" i="8"/>
  <c r="CT16" i="8"/>
  <c r="CV16" i="8" s="1"/>
  <c r="BQ18" i="8"/>
  <c r="CO18" i="8"/>
  <c r="CS12" i="8"/>
  <c r="BL14" i="8"/>
  <c r="CO14" i="8"/>
  <c r="CX10" i="8"/>
  <c r="BM14" i="8"/>
  <c r="BX15" i="8"/>
  <c r="CT15" i="8"/>
  <c r="CV15" i="8" s="1"/>
  <c r="BX18" i="8"/>
  <c r="CS18" i="8"/>
  <c r="CO12" i="8"/>
  <c r="CJ12" i="8"/>
  <c r="CL12" i="8" s="1"/>
  <c r="BL13" i="8"/>
  <c r="BE13" i="8"/>
  <c r="Y17" i="8"/>
  <c r="CS17" i="8"/>
  <c r="DE10" i="8"/>
  <c r="DA11" i="8"/>
  <c r="BN18" i="8"/>
  <c r="BL12" i="8"/>
  <c r="CZ12" i="8"/>
  <c r="CV14" i="8"/>
  <c r="CO11" i="8"/>
  <c r="DE11" i="8"/>
  <c r="BN12" i="8"/>
  <c r="BO12" i="8" s="1"/>
  <c r="BM13" i="8"/>
  <c r="DD13" i="8"/>
  <c r="BQ14" i="8"/>
  <c r="CX14" i="8"/>
  <c r="DB15" i="8"/>
  <c r="DD16" i="8"/>
  <c r="DD17" i="8"/>
  <c r="BT18" i="8"/>
  <c r="DA18" i="8"/>
  <c r="DB10" i="8"/>
  <c r="BW13" i="8"/>
  <c r="CY11" i="8"/>
  <c r="BH12" i="8"/>
  <c r="BL18" i="8"/>
  <c r="BH16" i="8"/>
  <c r="DA15" i="8"/>
  <c r="CX18" i="8"/>
  <c r="BQ11" i="8"/>
  <c r="BU10" i="8"/>
  <c r="CS10" i="8"/>
  <c r="BR11" i="8"/>
  <c r="CS11" i="8"/>
  <c r="BC12" i="8"/>
  <c r="BE12" i="8" s="1"/>
  <c r="BQ13" i="8"/>
  <c r="BT14" i="8"/>
  <c r="DA14" i="8"/>
  <c r="BR15" i="8"/>
  <c r="CO16" i="8"/>
  <c r="DE16" i="8"/>
  <c r="DE17" i="8"/>
  <c r="DB18" i="8"/>
  <c r="BE14" i="8"/>
  <c r="Y12" i="8"/>
  <c r="CS13" i="8"/>
  <c r="Y14" i="8"/>
  <c r="BW14" i="8"/>
  <c r="CS14" i="8"/>
  <c r="CO10" i="8"/>
  <c r="BS10" i="8"/>
  <c r="BT11" i="8"/>
  <c r="BX12" i="8"/>
  <c r="BR13" i="8"/>
  <c r="DB14" i="8"/>
  <c r="CO15" i="8"/>
  <c r="DE15" i="8"/>
  <c r="BW10" i="8"/>
  <c r="BL10" i="8"/>
  <c r="BH11" i="8"/>
  <c r="BH15" i="8"/>
  <c r="BN15" i="8"/>
  <c r="BT16" i="8"/>
  <c r="BU16" i="8"/>
  <c r="BQ16" i="8"/>
  <c r="BN16" i="8"/>
  <c r="DB17" i="8"/>
  <c r="CY17" i="8"/>
  <c r="CX17" i="8"/>
  <c r="BM11" i="8"/>
  <c r="BC11" i="8"/>
  <c r="BE11" i="8" s="1"/>
  <c r="Y10" i="14"/>
  <c r="BX10" i="8"/>
  <c r="DD10" i="8"/>
  <c r="DB16" i="8"/>
  <c r="DA16" i="8"/>
  <c r="CY16" i="8"/>
  <c r="CX16" i="8"/>
  <c r="DE18" i="8"/>
  <c r="CZ18" i="8"/>
  <c r="CJ10" i="8"/>
  <c r="CL10" i="8" s="1"/>
  <c r="Y11" i="8"/>
  <c r="DD11" i="8"/>
  <c r="BW11" i="8"/>
  <c r="DE14" i="8"/>
  <c r="CZ14" i="8"/>
  <c r="BX11" i="8"/>
  <c r="BH13" i="8"/>
  <c r="BN13" i="8"/>
  <c r="CJ17" i="8"/>
  <c r="CL17" i="8" s="1"/>
  <c r="DA17" i="8"/>
  <c r="BU17" i="8"/>
  <c r="BT17" i="8"/>
  <c r="BQ17" i="8"/>
  <c r="CZ13" i="8"/>
  <c r="BW15" i="8"/>
  <c r="BD10" i="8"/>
  <c r="BE10" i="8" s="1"/>
  <c r="BN10" i="8"/>
  <c r="BO10" i="8" s="1"/>
  <c r="BQ10" i="8"/>
  <c r="BN11" i="8"/>
  <c r="BS12" i="8"/>
  <c r="DB12" i="8"/>
  <c r="CX12" i="8"/>
  <c r="DA12" i="8"/>
  <c r="BM15" i="8"/>
  <c r="DD15" i="8"/>
  <c r="CY13" i="8"/>
  <c r="CX13" i="8"/>
  <c r="DB13" i="8"/>
  <c r="BU12" i="8"/>
  <c r="BQ12" i="8"/>
  <c r="CT11" i="8"/>
  <c r="CV11" i="8" s="1"/>
  <c r="CJ11" i="8"/>
  <c r="CL11" i="8" s="1"/>
  <c r="BT12" i="8"/>
  <c r="BH14" i="8"/>
  <c r="BN14" i="8"/>
  <c r="BQ15" i="8"/>
  <c r="BU15" i="8"/>
  <c r="BT15" i="8"/>
  <c r="BH18" i="8"/>
  <c r="BM18" i="8"/>
  <c r="BC18" i="8"/>
  <c r="BE18" i="8" s="1"/>
  <c r="BM16" i="8"/>
  <c r="BC16" i="8"/>
  <c r="BE16" i="8" s="1"/>
  <c r="BL17" i="8"/>
  <c r="CO17" i="8"/>
  <c r="CV12" i="8"/>
  <c r="BS13" i="8"/>
  <c r="BR16" i="8"/>
  <c r="BR17" i="8"/>
  <c r="BT13" i="8"/>
  <c r="BR14" i="8"/>
  <c r="BX14" i="8"/>
  <c r="BN17" i="8"/>
  <c r="BO17" i="8" s="1"/>
  <c r="BD17" i="8"/>
  <c r="BS17" i="8"/>
  <c r="CY15" i="8"/>
  <c r="BH17" i="8"/>
  <c r="CY10" i="8"/>
  <c r="DD18" i="8"/>
  <c r="BW18" i="8"/>
  <c r="BS18" i="8"/>
  <c r="CV18" i="8"/>
  <c r="BW12" i="8"/>
  <c r="N536" i="7"/>
  <c r="O536" i="7" s="1"/>
  <c r="M536" i="7"/>
  <c r="N532" i="7"/>
  <c r="O532" i="7" s="1"/>
  <c r="L532" i="7"/>
  <c r="M532" i="7" s="1"/>
  <c r="N519" i="7"/>
  <c r="L519" i="7"/>
  <c r="N501" i="7"/>
  <c r="O501" i="7" s="1"/>
  <c r="L501" i="7"/>
  <c r="M501" i="7" s="1"/>
  <c r="N499" i="7"/>
  <c r="L499" i="7"/>
  <c r="N497" i="7"/>
  <c r="L497" i="7"/>
  <c r="N495" i="7"/>
  <c r="O495" i="7" s="1"/>
  <c r="L495" i="7"/>
  <c r="M495" i="7" s="1"/>
  <c r="N482" i="7"/>
  <c r="N478" i="7"/>
  <c r="N476" i="7"/>
  <c r="N473" i="7"/>
  <c r="N470" i="7"/>
  <c r="N467" i="7"/>
  <c r="N464" i="7"/>
  <c r="N461" i="7"/>
  <c r="N458" i="7"/>
  <c r="N454" i="7"/>
  <c r="N451" i="7"/>
  <c r="N448" i="7"/>
  <c r="N444" i="7"/>
  <c r="N441" i="7"/>
  <c r="N438" i="7"/>
  <c r="N436" i="7"/>
  <c r="N431" i="7"/>
  <c r="N427" i="7"/>
  <c r="N423" i="7"/>
  <c r="AN419" i="7"/>
  <c r="AM419" i="7"/>
  <c r="AF419" i="7"/>
  <c r="AA419" i="7"/>
  <c r="Z419" i="7"/>
  <c r="X419" i="7" s="1"/>
  <c r="V419" i="7" s="1"/>
  <c r="Y419" i="7"/>
  <c r="W419" i="7"/>
  <c r="U419" i="7"/>
  <c r="T419" i="7"/>
  <c r="I419" i="7"/>
  <c r="H419" i="7"/>
  <c r="E419" i="7"/>
  <c r="AC419" i="7" s="1"/>
  <c r="D419" i="7"/>
  <c r="AB419" i="7" s="1"/>
  <c r="AN416" i="7"/>
  <c r="AM416" i="7"/>
  <c r="AF416" i="7"/>
  <c r="AA416" i="7"/>
  <c r="Z416" i="7"/>
  <c r="X416" i="7" s="1"/>
  <c r="V416" i="7" s="1"/>
  <c r="Y416" i="7"/>
  <c r="W416" i="7"/>
  <c r="U416" i="7"/>
  <c r="T416" i="7"/>
  <c r="I416" i="7"/>
  <c r="H416" i="7"/>
  <c r="E416" i="7"/>
  <c r="AC416" i="7" s="1"/>
  <c r="D416" i="7"/>
  <c r="AN414" i="7"/>
  <c r="AM414" i="7"/>
  <c r="AF414" i="7"/>
  <c r="AA414" i="7"/>
  <c r="Z414" i="7"/>
  <c r="X414" i="7" s="1"/>
  <c r="V414" i="7" s="1"/>
  <c r="Y414" i="7"/>
  <c r="W414" i="7"/>
  <c r="U414" i="7"/>
  <c r="T414" i="7"/>
  <c r="I414" i="7"/>
  <c r="H414" i="7"/>
  <c r="E414" i="7"/>
  <c r="AC414" i="7" s="1"/>
  <c r="D414" i="7"/>
  <c r="AB414" i="7" s="1"/>
  <c r="AN411" i="7"/>
  <c r="AM411" i="7"/>
  <c r="AF411" i="7"/>
  <c r="AA411" i="7"/>
  <c r="Z411" i="7"/>
  <c r="Y411" i="7"/>
  <c r="X411" i="7" s="1"/>
  <c r="V411" i="7" s="1"/>
  <c r="W411" i="7"/>
  <c r="U411" i="7"/>
  <c r="T411" i="7"/>
  <c r="I411" i="7"/>
  <c r="E411" i="7"/>
  <c r="AC411" i="7" s="1"/>
  <c r="D411" i="7"/>
  <c r="AB411" i="7" s="1"/>
  <c r="AN409" i="7"/>
  <c r="AM409" i="7"/>
  <c r="AF409" i="7"/>
  <c r="AA409" i="7"/>
  <c r="Z409" i="7"/>
  <c r="Y409" i="7"/>
  <c r="D410" i="7" s="1"/>
  <c r="H409" i="7" s="1"/>
  <c r="W409" i="7"/>
  <c r="U409" i="7"/>
  <c r="T409" i="7"/>
  <c r="I409" i="7"/>
  <c r="E409" i="7"/>
  <c r="AC409" i="7" s="1"/>
  <c r="D409" i="7"/>
  <c r="AB409" i="7" s="1"/>
  <c r="AN405" i="7"/>
  <c r="AM405" i="7"/>
  <c r="AF405" i="7"/>
  <c r="AA405" i="7"/>
  <c r="Z405" i="7"/>
  <c r="D406" i="7" s="1"/>
  <c r="H405" i="7" s="1"/>
  <c r="Y405" i="7"/>
  <c r="W405" i="7"/>
  <c r="U405" i="7"/>
  <c r="T405" i="7"/>
  <c r="I405" i="7"/>
  <c r="E405" i="7"/>
  <c r="AC405" i="7" s="1"/>
  <c r="D405" i="7"/>
  <c r="AN403" i="7"/>
  <c r="AM403" i="7"/>
  <c r="AF403" i="7"/>
  <c r="AA403" i="7"/>
  <c r="Z403" i="7"/>
  <c r="X403" i="7" s="1"/>
  <c r="V403" i="7" s="1"/>
  <c r="Y403" i="7"/>
  <c r="W403" i="7"/>
  <c r="U403" i="7"/>
  <c r="T403" i="7"/>
  <c r="I403" i="7"/>
  <c r="E403" i="7"/>
  <c r="AC403" i="7" s="1"/>
  <c r="D403" i="7"/>
  <c r="AB403" i="7" s="1"/>
  <c r="AN401" i="7"/>
  <c r="AM401" i="7"/>
  <c r="AF401" i="7"/>
  <c r="AA401" i="7"/>
  <c r="Z401" i="7"/>
  <c r="Y401" i="7"/>
  <c r="X401" i="7" s="1"/>
  <c r="V401" i="7" s="1"/>
  <c r="W401" i="7"/>
  <c r="U401" i="7"/>
  <c r="T401" i="7"/>
  <c r="I401" i="7"/>
  <c r="E401" i="7"/>
  <c r="D401" i="7"/>
  <c r="AB401" i="7" s="1"/>
  <c r="AN398" i="7"/>
  <c r="AM398" i="7"/>
  <c r="AF398" i="7"/>
  <c r="AA398" i="7"/>
  <c r="Z398" i="7"/>
  <c r="X398" i="7" s="1"/>
  <c r="V398" i="7" s="1"/>
  <c r="Y398" i="7"/>
  <c r="W398" i="7"/>
  <c r="U398" i="7"/>
  <c r="T398" i="7"/>
  <c r="I398" i="7"/>
  <c r="E398" i="7"/>
  <c r="AC398" i="7" s="1"/>
  <c r="D398" i="7"/>
  <c r="AB398" i="7" s="1"/>
  <c r="AN396" i="7"/>
  <c r="AM396" i="7"/>
  <c r="AF396" i="7"/>
  <c r="AA396" i="7"/>
  <c r="Z396" i="7"/>
  <c r="X396" i="7" s="1"/>
  <c r="V396" i="7" s="1"/>
  <c r="Y396" i="7"/>
  <c r="W396" i="7"/>
  <c r="U396" i="7"/>
  <c r="T396" i="7"/>
  <c r="I396" i="7"/>
  <c r="E396" i="7"/>
  <c r="AC396" i="7" s="1"/>
  <c r="D396" i="7"/>
  <c r="AB396" i="7" s="1"/>
  <c r="G376" i="7"/>
  <c r="AN375" i="7"/>
  <c r="AM375" i="7"/>
  <c r="AF375" i="7"/>
  <c r="AA375" i="7"/>
  <c r="Z375" i="7"/>
  <c r="Y375" i="7"/>
  <c r="D376" i="7" s="1"/>
  <c r="H375" i="7" s="1"/>
  <c r="W375" i="7"/>
  <c r="U375" i="7"/>
  <c r="T375" i="7"/>
  <c r="I375" i="7"/>
  <c r="E375" i="7"/>
  <c r="AC375" i="7" s="1"/>
  <c r="D375" i="7"/>
  <c r="AB375" i="7" s="1"/>
  <c r="G374" i="7"/>
  <c r="AN373" i="7"/>
  <c r="AM373" i="7"/>
  <c r="AF373" i="7"/>
  <c r="AA373" i="7"/>
  <c r="Z373" i="7"/>
  <c r="Y373" i="7"/>
  <c r="X373" i="7" s="1"/>
  <c r="V373" i="7" s="1"/>
  <c r="W373" i="7"/>
  <c r="U373" i="7"/>
  <c r="T373" i="7"/>
  <c r="I373" i="7"/>
  <c r="E373" i="7"/>
  <c r="AC373" i="7" s="1"/>
  <c r="D373" i="7"/>
  <c r="AB373" i="7" s="1"/>
  <c r="G371" i="7"/>
  <c r="AN370" i="7"/>
  <c r="AM370" i="7"/>
  <c r="AF370" i="7"/>
  <c r="AA370" i="7"/>
  <c r="Z370" i="7"/>
  <c r="D371" i="7" s="1"/>
  <c r="H370" i="7" s="1"/>
  <c r="Y370" i="7"/>
  <c r="W370" i="7"/>
  <c r="U370" i="7"/>
  <c r="T370" i="7"/>
  <c r="I370" i="7"/>
  <c r="E370" i="7"/>
  <c r="AC370" i="7" s="1"/>
  <c r="D370" i="7"/>
  <c r="AB370" i="7" s="1"/>
  <c r="G369" i="7"/>
  <c r="AN368" i="7"/>
  <c r="AM368" i="7"/>
  <c r="AF368" i="7"/>
  <c r="AA368" i="7"/>
  <c r="Z368" i="7"/>
  <c r="D369" i="7" s="1"/>
  <c r="H368" i="7" s="1"/>
  <c r="Y368" i="7"/>
  <c r="W368" i="7"/>
  <c r="U368" i="7"/>
  <c r="T368" i="7"/>
  <c r="I368" i="7"/>
  <c r="E368" i="7"/>
  <c r="AC368" i="7" s="1"/>
  <c r="D368" i="7"/>
  <c r="AB368" i="7" s="1"/>
  <c r="G366" i="7"/>
  <c r="AN365" i="7"/>
  <c r="AM365" i="7"/>
  <c r="AF365" i="7"/>
  <c r="AA365" i="7"/>
  <c r="Z365" i="7"/>
  <c r="D366" i="7" s="1"/>
  <c r="H365" i="7" s="1"/>
  <c r="Y365" i="7"/>
  <c r="W365" i="7"/>
  <c r="U365" i="7"/>
  <c r="T365" i="7"/>
  <c r="I365" i="7"/>
  <c r="E365" i="7"/>
  <c r="AC365" i="7" s="1"/>
  <c r="D365" i="7"/>
  <c r="G364" i="7"/>
  <c r="AN363" i="7"/>
  <c r="AM363" i="7"/>
  <c r="AF363" i="7"/>
  <c r="AA363" i="7"/>
  <c r="Z363" i="7"/>
  <c r="X363" i="7" s="1"/>
  <c r="V363" i="7" s="1"/>
  <c r="Y363" i="7"/>
  <c r="W363" i="7"/>
  <c r="U363" i="7"/>
  <c r="T363" i="7"/>
  <c r="I363" i="7"/>
  <c r="E363" i="7"/>
  <c r="AC363" i="7" s="1"/>
  <c r="D363" i="7"/>
  <c r="AB363" i="7" s="1"/>
  <c r="Q348" i="7"/>
  <c r="G347" i="7"/>
  <c r="AN346" i="7"/>
  <c r="AM346" i="7"/>
  <c r="AF346" i="7"/>
  <c r="AA346" i="7"/>
  <c r="Z346" i="7"/>
  <c r="Y346" i="7"/>
  <c r="D347" i="7" s="1"/>
  <c r="H346" i="7" s="1"/>
  <c r="W346" i="7"/>
  <c r="U346" i="7"/>
  <c r="T346" i="7"/>
  <c r="I346" i="7"/>
  <c r="E346" i="7"/>
  <c r="AC346" i="7" s="1"/>
  <c r="D346" i="7"/>
  <c r="AB346" i="7" s="1"/>
  <c r="AA202" i="8" l="1"/>
  <c r="AB202" i="8"/>
  <c r="AA225" i="8"/>
  <c r="AB225" i="8"/>
  <c r="AA216" i="8"/>
  <c r="AB216" i="8"/>
  <c r="BP171" i="8"/>
  <c r="BE132" i="8"/>
  <c r="AA122" i="8"/>
  <c r="AB122" i="8"/>
  <c r="AA101" i="8"/>
  <c r="AB101" i="8"/>
  <c r="CW176" i="8"/>
  <c r="AA162" i="8"/>
  <c r="AB162" i="8"/>
  <c r="AA137" i="8"/>
  <c r="AB137" i="8"/>
  <c r="AA142" i="8"/>
  <c r="AB142" i="8"/>
  <c r="AA182" i="8"/>
  <c r="AB182" i="8"/>
  <c r="AA75" i="8"/>
  <c r="AB75" i="8"/>
  <c r="AA31" i="8"/>
  <c r="AB31" i="8"/>
  <c r="BP121" i="8"/>
  <c r="AA96" i="8"/>
  <c r="AB96" i="8"/>
  <c r="CW95" i="8"/>
  <c r="AA76" i="8"/>
  <c r="AB76" i="8"/>
  <c r="AA37" i="8"/>
  <c r="AB37" i="8"/>
  <c r="CW19" i="8"/>
  <c r="DH19" i="8" s="1"/>
  <c r="AA118" i="8"/>
  <c r="AB118" i="8"/>
  <c r="CP174" i="8"/>
  <c r="AA91" i="8"/>
  <c r="AB91" i="8"/>
  <c r="CW152" i="8"/>
  <c r="AA80" i="8"/>
  <c r="AB80" i="8"/>
  <c r="AA181" i="8"/>
  <c r="AB181" i="8"/>
  <c r="BP101" i="8"/>
  <c r="CP137" i="8"/>
  <c r="BP213" i="8"/>
  <c r="CB213" i="8" s="1"/>
  <c r="CP82" i="8"/>
  <c r="BI44" i="8"/>
  <c r="CW38" i="8"/>
  <c r="DI38" i="8" s="1"/>
  <c r="G287" i="7"/>
  <c r="G287" i="15"/>
  <c r="G302" i="7"/>
  <c r="G302" i="15"/>
  <c r="AF379" i="8"/>
  <c r="AJ379" i="8"/>
  <c r="AG379" i="8" s="1"/>
  <c r="AF353" i="8"/>
  <c r="AF366" i="8" s="1"/>
  <c r="AJ353" i="8"/>
  <c r="AG353" i="8" s="1"/>
  <c r="AF333" i="8"/>
  <c r="AF346" i="8" s="1"/>
  <c r="AJ333" i="8"/>
  <c r="AG333" i="8" s="1"/>
  <c r="K499" i="15"/>
  <c r="O499" i="15" s="1"/>
  <c r="M497" i="15"/>
  <c r="CP16" i="8"/>
  <c r="BI24" i="8"/>
  <c r="BI23" i="8"/>
  <c r="M497" i="7"/>
  <c r="O497" i="7"/>
  <c r="CP20" i="8"/>
  <c r="BI21" i="8"/>
  <c r="CP21" i="8"/>
  <c r="CW13" i="8"/>
  <c r="DI13" i="8" s="1"/>
  <c r="G45" i="7"/>
  <c r="X26" i="14"/>
  <c r="Z25" i="8"/>
  <c r="Z25" i="14" s="1"/>
  <c r="Y25" i="14"/>
  <c r="Z24" i="8"/>
  <c r="Y24" i="14"/>
  <c r="Z23" i="8"/>
  <c r="AA23" i="8" s="1"/>
  <c r="AA23" i="14" s="1"/>
  <c r="Y23" i="14"/>
  <c r="Z22" i="8"/>
  <c r="Z22" i="14" s="1"/>
  <c r="Y22" i="14"/>
  <c r="Z21" i="8"/>
  <c r="AA21" i="8" s="1"/>
  <c r="Y21" i="14"/>
  <c r="Z20" i="8"/>
  <c r="Y20" i="14"/>
  <c r="Z19" i="8"/>
  <c r="Y19" i="14"/>
  <c r="Z18" i="8"/>
  <c r="Y18" i="14"/>
  <c r="Z17" i="8"/>
  <c r="Z17" i="14" s="1"/>
  <c r="Y17" i="14"/>
  <c r="Z16" i="8"/>
  <c r="Y16" i="14"/>
  <c r="Z15" i="8"/>
  <c r="Y15" i="14"/>
  <c r="Z14" i="8"/>
  <c r="AA14" i="8" s="1"/>
  <c r="AA14" i="14" s="1"/>
  <c r="Y14" i="14"/>
  <c r="Z13" i="8"/>
  <c r="Y13" i="14"/>
  <c r="M499" i="7"/>
  <c r="O499" i="7"/>
  <c r="Z12" i="8"/>
  <c r="AA12" i="8" s="1"/>
  <c r="AA12" i="14" s="1"/>
  <c r="Y12" i="14"/>
  <c r="Z11" i="8"/>
  <c r="AA11" i="8" s="1"/>
  <c r="AA11" i="14" s="1"/>
  <c r="Y11" i="14"/>
  <c r="CP22" i="8"/>
  <c r="BI19" i="8"/>
  <c r="CP23" i="8"/>
  <c r="G47" i="7"/>
  <c r="U302" i="7"/>
  <c r="AA302" i="7"/>
  <c r="Z302" i="7"/>
  <c r="Y302" i="7"/>
  <c r="AN302" i="7"/>
  <c r="AF302" i="7"/>
  <c r="AM302" i="7"/>
  <c r="AA287" i="7"/>
  <c r="Z287" i="7"/>
  <c r="U287" i="7"/>
  <c r="Y287" i="7"/>
  <c r="AN287" i="7"/>
  <c r="AM287" i="7"/>
  <c r="AF287" i="7"/>
  <c r="AE286" i="8"/>
  <c r="AF282" i="8"/>
  <c r="AF286" i="8" s="1"/>
  <c r="BI15" i="8"/>
  <c r="CP25" i="8"/>
  <c r="CP24" i="8"/>
  <c r="AA78" i="8"/>
  <c r="AA120" i="8"/>
  <c r="AD286" i="8"/>
  <c r="DK218" i="8"/>
  <c r="DK181" i="8"/>
  <c r="DF181" i="8"/>
  <c r="G44" i="7"/>
  <c r="G46" i="7"/>
  <c r="AO390" i="8"/>
  <c r="AN390" i="8"/>
  <c r="AL391" i="8"/>
  <c r="AL393" i="8"/>
  <c r="AG390" i="8"/>
  <c r="AG406" i="8" s="1"/>
  <c r="AQ390" i="8" s="1"/>
  <c r="C388" i="8" s="1"/>
  <c r="AS390" i="8"/>
  <c r="AE386" i="8"/>
  <c r="AK370" i="8"/>
  <c r="AJ370" i="8"/>
  <c r="AJ386" i="8" s="1"/>
  <c r="AF386" i="8"/>
  <c r="AI386" i="8"/>
  <c r="AO350" i="8"/>
  <c r="AN350" i="8"/>
  <c r="AL351" i="8"/>
  <c r="AL353" i="8"/>
  <c r="AJ366" i="8"/>
  <c r="AS350" i="8" s="1"/>
  <c r="AG350" i="8"/>
  <c r="AG366" i="8" s="1"/>
  <c r="AQ350" i="8" s="1"/>
  <c r="AJ346" i="8"/>
  <c r="AS330" i="8" s="1"/>
  <c r="AG330" i="8"/>
  <c r="AG346" i="8" s="1"/>
  <c r="AQ330" i="8" s="1"/>
  <c r="AO330" i="8"/>
  <c r="AN330" i="8"/>
  <c r="AL331" i="8"/>
  <c r="AL333" i="8"/>
  <c r="AE326" i="8"/>
  <c r="AF326" i="8"/>
  <c r="AK310" i="8"/>
  <c r="AJ310" i="8"/>
  <c r="AJ326" i="8" s="1"/>
  <c r="AI326" i="8"/>
  <c r="AG310" i="8"/>
  <c r="AG326" i="8" s="1"/>
  <c r="AQ310" i="8" s="1"/>
  <c r="AE306" i="8"/>
  <c r="AK290" i="8"/>
  <c r="AJ290" i="8"/>
  <c r="AF306" i="8"/>
  <c r="AJ282" i="8"/>
  <c r="AG282" i="8" s="1"/>
  <c r="AK270" i="8"/>
  <c r="AG270" i="8"/>
  <c r="AE266" i="8"/>
  <c r="AK250" i="8"/>
  <c r="AJ250" i="8"/>
  <c r="AJ266" i="8" s="1"/>
  <c r="AF266" i="8"/>
  <c r="AI266" i="8"/>
  <c r="AS250" i="8" s="1"/>
  <c r="AI246" i="8"/>
  <c r="AE246" i="8"/>
  <c r="AK230" i="8"/>
  <c r="AJ230" i="8"/>
  <c r="AJ241" i="8"/>
  <c r="AG241" i="8" s="1"/>
  <c r="BI10" i="8"/>
  <c r="CW10" i="8"/>
  <c r="DI10" i="8" s="1"/>
  <c r="CB38" i="8"/>
  <c r="CA38" i="8"/>
  <c r="DI30" i="8"/>
  <c r="DH30" i="8"/>
  <c r="DI53" i="8"/>
  <c r="DH53" i="8"/>
  <c r="AA39" i="8"/>
  <c r="CW24" i="8"/>
  <c r="DH24" i="8" s="1"/>
  <c r="BP133" i="8"/>
  <c r="CW163" i="8"/>
  <c r="AA198" i="8"/>
  <c r="CW225" i="8"/>
  <c r="BO155" i="8"/>
  <c r="CP190" i="8"/>
  <c r="CP38" i="8"/>
  <c r="BP130" i="8"/>
  <c r="CP92" i="8"/>
  <c r="CW115" i="8"/>
  <c r="CP195" i="8"/>
  <c r="CP83" i="8"/>
  <c r="BI33" i="8"/>
  <c r="CW134" i="8"/>
  <c r="AA60" i="8"/>
  <c r="BE82" i="8"/>
  <c r="BI130" i="8"/>
  <c r="BP99" i="8"/>
  <c r="CB99" i="8" s="1"/>
  <c r="CP118" i="8"/>
  <c r="CP58" i="8"/>
  <c r="CP50" i="8"/>
  <c r="CP62" i="8"/>
  <c r="BP61" i="8"/>
  <c r="CB61" i="8" s="1"/>
  <c r="CP154" i="8"/>
  <c r="CP210" i="8"/>
  <c r="BI160" i="8"/>
  <c r="CP111" i="8"/>
  <c r="BO143" i="8"/>
  <c r="BP143" i="8" s="1"/>
  <c r="BI32" i="8"/>
  <c r="CW105" i="8"/>
  <c r="CP32" i="8"/>
  <c r="BI84" i="8"/>
  <c r="BO43" i="8"/>
  <c r="BP43" i="8" s="1"/>
  <c r="CW71" i="8"/>
  <c r="CP13" i="8"/>
  <c r="CW83" i="8"/>
  <c r="BI173" i="8"/>
  <c r="DI56" i="8"/>
  <c r="BI193" i="8"/>
  <c r="CW200" i="8"/>
  <c r="CB198" i="8"/>
  <c r="CW216" i="8"/>
  <c r="DI216" i="8" s="1"/>
  <c r="BO172" i="8"/>
  <c r="BP172" i="8" s="1"/>
  <c r="CA172" i="8" s="1"/>
  <c r="BP60" i="8"/>
  <c r="DI50" i="8"/>
  <c r="BE71" i="8"/>
  <c r="BI71" i="8" s="1"/>
  <c r="CW156" i="8"/>
  <c r="DH156" i="8" s="1"/>
  <c r="CW203" i="8"/>
  <c r="BE92" i="8"/>
  <c r="CP121" i="8"/>
  <c r="CW60" i="8"/>
  <c r="CP122" i="8"/>
  <c r="DK38" i="8"/>
  <c r="AA136" i="8"/>
  <c r="DJ136" i="8" s="1"/>
  <c r="BE17" i="8"/>
  <c r="BI17" i="8" s="1"/>
  <c r="BP64" i="8"/>
  <c r="CP81" i="8"/>
  <c r="BI104" i="8"/>
  <c r="BP115" i="8"/>
  <c r="CW155" i="8"/>
  <c r="CP41" i="8"/>
  <c r="BI34" i="8"/>
  <c r="BP104" i="8"/>
  <c r="CD104" i="8" s="1"/>
  <c r="DF218" i="8"/>
  <c r="BI79" i="8"/>
  <c r="BO55" i="8"/>
  <c r="BP55" i="8" s="1"/>
  <c r="CW178" i="8"/>
  <c r="CW191" i="8"/>
  <c r="CW125" i="8"/>
  <c r="DI125" i="8" s="1"/>
  <c r="CW31" i="8"/>
  <c r="DH31" i="8" s="1"/>
  <c r="DK132" i="8"/>
  <c r="CP65" i="8"/>
  <c r="CW192" i="8"/>
  <c r="CW122" i="8"/>
  <c r="BO216" i="8"/>
  <c r="BP223" i="8"/>
  <c r="BP211" i="8"/>
  <c r="CC218" i="8"/>
  <c r="CW205" i="8"/>
  <c r="DI205" i="8" s="1"/>
  <c r="BP137" i="8"/>
  <c r="AC137" i="8" s="1"/>
  <c r="CW18" i="8"/>
  <c r="DI18" i="8" s="1"/>
  <c r="CW12" i="8"/>
  <c r="DI12" i="8" s="1"/>
  <c r="BP51" i="8"/>
  <c r="BO80" i="8"/>
  <c r="BP80" i="8" s="1"/>
  <c r="DF118" i="8"/>
  <c r="DL118" i="8" s="1"/>
  <c r="CP131" i="8"/>
  <c r="BO177" i="8"/>
  <c r="BP177" i="8" s="1"/>
  <c r="BP181" i="8"/>
  <c r="CD181" i="8" s="1"/>
  <c r="CP204" i="8"/>
  <c r="CP214" i="8"/>
  <c r="BE151" i="8"/>
  <c r="BP30" i="8"/>
  <c r="BI197" i="8"/>
  <c r="CW22" i="8"/>
  <c r="DI22" i="8" s="1"/>
  <c r="BI13" i="8"/>
  <c r="BO58" i="8"/>
  <c r="BP58" i="8" s="1"/>
  <c r="CC58" i="8" s="1"/>
  <c r="BP52" i="8"/>
  <c r="CW131" i="8"/>
  <c r="BI150" i="8"/>
  <c r="CW153" i="8"/>
  <c r="CW97" i="8"/>
  <c r="CW117" i="8"/>
  <c r="AA64" i="8"/>
  <c r="BY64" i="8" s="1"/>
  <c r="CE64" i="8" s="1"/>
  <c r="DH75" i="8"/>
  <c r="CW139" i="8"/>
  <c r="CP141" i="8"/>
  <c r="BI219" i="8"/>
  <c r="BE174" i="8"/>
  <c r="BI174" i="8" s="1"/>
  <c r="BP40" i="8"/>
  <c r="BP102" i="8"/>
  <c r="CD102" i="8" s="1"/>
  <c r="BO131" i="8"/>
  <c r="BP131" i="8" s="1"/>
  <c r="BO193" i="8"/>
  <c r="BP193" i="8" s="1"/>
  <c r="CD193" i="8" s="1"/>
  <c r="BO195" i="8"/>
  <c r="BP195" i="8" s="1"/>
  <c r="CW144" i="8"/>
  <c r="BI211" i="8"/>
  <c r="BP90" i="8"/>
  <c r="BP50" i="8"/>
  <c r="CA50" i="8" s="1"/>
  <c r="CW21" i="8"/>
  <c r="CP112" i="8"/>
  <c r="DK112" i="8" s="1"/>
  <c r="CW35" i="8"/>
  <c r="DH35" i="8" s="1"/>
  <c r="BO65" i="8"/>
  <c r="BP65" i="8" s="1"/>
  <c r="BP54" i="8"/>
  <c r="BP79" i="8"/>
  <c r="BE137" i="8"/>
  <c r="DJ225" i="8"/>
  <c r="BO217" i="8"/>
  <c r="BP217" i="8" s="1"/>
  <c r="CB217" i="8" s="1"/>
  <c r="CW193" i="8"/>
  <c r="DI193" i="8" s="1"/>
  <c r="BI158" i="8"/>
  <c r="CP165" i="8"/>
  <c r="BI50" i="8"/>
  <c r="BI133" i="8"/>
  <c r="BE57" i="8"/>
  <c r="BI57" i="8" s="1"/>
  <c r="BI25" i="8"/>
  <c r="DI162" i="8"/>
  <c r="BP199" i="8"/>
  <c r="CB199" i="8" s="1"/>
  <c r="DH216" i="8"/>
  <c r="CP52" i="8"/>
  <c r="CW17" i="8"/>
  <c r="DI17" i="8" s="1"/>
  <c r="BO45" i="8"/>
  <c r="BP45" i="8" s="1"/>
  <c r="BP93" i="8"/>
  <c r="BP95" i="8"/>
  <c r="CC95" i="8" s="1"/>
  <c r="CW114" i="8"/>
  <c r="DI114" i="8" s="1"/>
  <c r="BI178" i="8"/>
  <c r="BO134" i="8"/>
  <c r="BP134" i="8" s="1"/>
  <c r="CW41" i="8"/>
  <c r="BI22" i="8"/>
  <c r="CP156" i="8"/>
  <c r="DK156" i="8" s="1"/>
  <c r="CW197" i="8"/>
  <c r="DJ197" i="8" s="1"/>
  <c r="CP12" i="8"/>
  <c r="BE98" i="8"/>
  <c r="BI98" i="8" s="1"/>
  <c r="CW123" i="8"/>
  <c r="CW222" i="8"/>
  <c r="BE191" i="8"/>
  <c r="BI191" i="8" s="1"/>
  <c r="BI192" i="8"/>
  <c r="BP125" i="8"/>
  <c r="CB125" i="8" s="1"/>
  <c r="BI95" i="8"/>
  <c r="CP194" i="8"/>
  <c r="BO184" i="8"/>
  <c r="BP184" i="8" s="1"/>
  <c r="CA184" i="8" s="1"/>
  <c r="BO157" i="8"/>
  <c r="BP157" i="8" s="1"/>
  <c r="BP98" i="8"/>
  <c r="BP120" i="8"/>
  <c r="CP222" i="8"/>
  <c r="BI132" i="8"/>
  <c r="CW76" i="8"/>
  <c r="CA170" i="8"/>
  <c r="CB170" i="8"/>
  <c r="CW184" i="8"/>
  <c r="DI133" i="8"/>
  <c r="DH133" i="8"/>
  <c r="DI42" i="8"/>
  <c r="DH42" i="8"/>
  <c r="DI71" i="8"/>
  <c r="DH71" i="8"/>
  <c r="AA42" i="8"/>
  <c r="BO77" i="8"/>
  <c r="BP77" i="8" s="1"/>
  <c r="CP104" i="8"/>
  <c r="DK104" i="8" s="1"/>
  <c r="BE122" i="8"/>
  <c r="BI122" i="8" s="1"/>
  <c r="BI131" i="8"/>
  <c r="BO162" i="8"/>
  <c r="BP162" i="8" s="1"/>
  <c r="BE222" i="8"/>
  <c r="DL181" i="8"/>
  <c r="BP158" i="8"/>
  <c r="BI171" i="8"/>
  <c r="CP143" i="8"/>
  <c r="DK165" i="8"/>
  <c r="DK174" i="8"/>
  <c r="BI212" i="8"/>
  <c r="CW63" i="8"/>
  <c r="BI195" i="8"/>
  <c r="BE51" i="8"/>
  <c r="BI51" i="8" s="1"/>
  <c r="CP105" i="8"/>
  <c r="DK105" i="8" s="1"/>
  <c r="BE41" i="8"/>
  <c r="BI41" i="8" s="1"/>
  <c r="AA56" i="8"/>
  <c r="CC56" i="8" s="1"/>
  <c r="DK102" i="8"/>
  <c r="AA41" i="8"/>
  <c r="DK44" i="8"/>
  <c r="CW58" i="8"/>
  <c r="DJ58" i="8" s="1"/>
  <c r="CP139" i="8"/>
  <c r="CW165" i="8"/>
  <c r="DI165" i="8" s="1"/>
  <c r="BO165" i="8"/>
  <c r="BP165" i="8" s="1"/>
  <c r="CP152" i="8"/>
  <c r="DK178" i="8"/>
  <c r="CD170" i="8"/>
  <c r="BI204" i="8"/>
  <c r="BP203" i="8"/>
  <c r="BE200" i="8"/>
  <c r="BI200" i="8" s="1"/>
  <c r="BO205" i="8"/>
  <c r="BP205" i="8" s="1"/>
  <c r="CA205" i="8" s="1"/>
  <c r="BI203" i="8"/>
  <c r="BP160" i="8"/>
  <c r="BP164" i="8"/>
  <c r="BO117" i="8"/>
  <c r="BP117" i="8" s="1"/>
  <c r="CP15" i="8"/>
  <c r="BP19" i="8"/>
  <c r="CB19" i="8" s="1"/>
  <c r="CW45" i="8"/>
  <c r="DH45" i="8" s="1"/>
  <c r="CP37" i="8"/>
  <c r="DK37" i="8" s="1"/>
  <c r="BP119" i="8"/>
  <c r="CP197" i="8"/>
  <c r="DK197" i="8" s="1"/>
  <c r="BO194" i="8"/>
  <c r="BI183" i="8"/>
  <c r="BI134" i="8"/>
  <c r="DK53" i="8"/>
  <c r="CP75" i="8"/>
  <c r="DK75" i="8" s="1"/>
  <c r="CW62" i="8"/>
  <c r="DJ62" i="8" s="1"/>
  <c r="CP73" i="8"/>
  <c r="DK73" i="8" s="1"/>
  <c r="CW25" i="8"/>
  <c r="DH25" i="8" s="1"/>
  <c r="CW54" i="8"/>
  <c r="CP120" i="8"/>
  <c r="DK120" i="8" s="1"/>
  <c r="DK116" i="8"/>
  <c r="BP155" i="8"/>
  <c r="CD158" i="8"/>
  <c r="CP202" i="8"/>
  <c r="DK202" i="8" s="1"/>
  <c r="BO103" i="8"/>
  <c r="BP103" i="8" s="1"/>
  <c r="BI37" i="8"/>
  <c r="CP31" i="8"/>
  <c r="DK31" i="8" s="1"/>
  <c r="BO59" i="8"/>
  <c r="BP59" i="8" s="1"/>
  <c r="BP182" i="8"/>
  <c r="CA182" i="8" s="1"/>
  <c r="CP164" i="8"/>
  <c r="DK164" i="8" s="1"/>
  <c r="BE176" i="8"/>
  <c r="BI176" i="8" s="1"/>
  <c r="CW137" i="8"/>
  <c r="BP57" i="8"/>
  <c r="BP70" i="8"/>
  <c r="CB70" i="8" s="1"/>
  <c r="CP55" i="8"/>
  <c r="DK55" i="8" s="1"/>
  <c r="BP214" i="8"/>
  <c r="BE94" i="8"/>
  <c r="BI94" i="8" s="1"/>
  <c r="BE143" i="8"/>
  <c r="BI143" i="8" s="1"/>
  <c r="BO145" i="8"/>
  <c r="BP145" i="8" s="1"/>
  <c r="CD145" i="8" s="1"/>
  <c r="BI139" i="8"/>
  <c r="CP179" i="8"/>
  <c r="DH140" i="8"/>
  <c r="DI140" i="8"/>
  <c r="BP32" i="8"/>
  <c r="CB32" i="8" s="1"/>
  <c r="CP64" i="8"/>
  <c r="DK64" i="8" s="1"/>
  <c r="BP62" i="8"/>
  <c r="BO100" i="8"/>
  <c r="BP100" i="8" s="1"/>
  <c r="BI118" i="8"/>
  <c r="DK204" i="8"/>
  <c r="CP158" i="8"/>
  <c r="DK158" i="8" s="1"/>
  <c r="BO94" i="8"/>
  <c r="BP94" i="8" s="1"/>
  <c r="CA94" i="8" s="1"/>
  <c r="BO35" i="8"/>
  <c r="BP35" i="8" s="1"/>
  <c r="CA35" i="8" s="1"/>
  <c r="CP85" i="8"/>
  <c r="CP161" i="8"/>
  <c r="DK40" i="8"/>
  <c r="CW180" i="8"/>
  <c r="DI180" i="8" s="1"/>
  <c r="BI155" i="8"/>
  <c r="DK162" i="8"/>
  <c r="DK65" i="8"/>
  <c r="BI99" i="8"/>
  <c r="BI103" i="8"/>
  <c r="BI92" i="8"/>
  <c r="CP59" i="8"/>
  <c r="CP56" i="8"/>
  <c r="BO18" i="8"/>
  <c r="BP18" i="8" s="1"/>
  <c r="CA18" i="8" s="1"/>
  <c r="BI12" i="8"/>
  <c r="BI60" i="8"/>
  <c r="BI102" i="8"/>
  <c r="BO161" i="8"/>
  <c r="CW159" i="8"/>
  <c r="BI172" i="8"/>
  <c r="CB172" i="8"/>
  <c r="CP224" i="8"/>
  <c r="CW210" i="8"/>
  <c r="DK225" i="8"/>
  <c r="BP216" i="8"/>
  <c r="CD216" i="8" s="1"/>
  <c r="BO151" i="8"/>
  <c r="CP219" i="8"/>
  <c r="DK219" i="8" s="1"/>
  <c r="BP176" i="8"/>
  <c r="CA176" i="8" s="1"/>
  <c r="CW164" i="8"/>
  <c r="BI115" i="8"/>
  <c r="CW51" i="8"/>
  <c r="BO85" i="8"/>
  <c r="BP85" i="8" s="1"/>
  <c r="CB85" i="8" s="1"/>
  <c r="BO25" i="8"/>
  <c r="BP25" i="8" s="1"/>
  <c r="BI31" i="8"/>
  <c r="CW15" i="8"/>
  <c r="DI15" i="8" s="1"/>
  <c r="CP114" i="8"/>
  <c r="BE113" i="8"/>
  <c r="BI113" i="8" s="1"/>
  <c r="CW135" i="8"/>
  <c r="BI163" i="8"/>
  <c r="CP184" i="8"/>
  <c r="CW181" i="8"/>
  <c r="DK195" i="8"/>
  <c r="CP213" i="8"/>
  <c r="CP203" i="8"/>
  <c r="BP111" i="8"/>
  <c r="CA111" i="8" s="1"/>
  <c r="CW177" i="8"/>
  <c r="DI177" i="8" s="1"/>
  <c r="DJ218" i="8"/>
  <c r="CP157" i="8"/>
  <c r="DK157" i="8" s="1"/>
  <c r="BO114" i="8"/>
  <c r="BP114" i="8" s="1"/>
  <c r="CW204" i="8"/>
  <c r="CA213" i="8"/>
  <c r="DJ53" i="8"/>
  <c r="DM53" i="8" s="1"/>
  <c r="DK74" i="8"/>
  <c r="BE136" i="8"/>
  <c r="BI136" i="8" s="1"/>
  <c r="CP175" i="8"/>
  <c r="CP180" i="8"/>
  <c r="CD204" i="8"/>
  <c r="BI214" i="8"/>
  <c r="CP171" i="8"/>
  <c r="DK171" i="8" s="1"/>
  <c r="BP194" i="8"/>
  <c r="CP172" i="8"/>
  <c r="BI112" i="8"/>
  <c r="DK142" i="8"/>
  <c r="DK122" i="8"/>
  <c r="CW85" i="8"/>
  <c r="BE164" i="8"/>
  <c r="BI164" i="8" s="1"/>
  <c r="BE100" i="8"/>
  <c r="BI100" i="8" s="1"/>
  <c r="DK95" i="8"/>
  <c r="DK98" i="8"/>
  <c r="BE180" i="8"/>
  <c r="BI180" i="8" s="1"/>
  <c r="CW160" i="8"/>
  <c r="DH160" i="8" s="1"/>
  <c r="CW143" i="8"/>
  <c r="DI143" i="8" s="1"/>
  <c r="BI20" i="8"/>
  <c r="BI61" i="8"/>
  <c r="DK118" i="8"/>
  <c r="X346" i="7"/>
  <c r="V346" i="7" s="1"/>
  <c r="F419" i="7"/>
  <c r="S419" i="7" s="1"/>
  <c r="Q419" i="7" s="1"/>
  <c r="X365" i="7"/>
  <c r="V365" i="7" s="1"/>
  <c r="F405" i="7"/>
  <c r="S405" i="7" s="1"/>
  <c r="CA125" i="8"/>
  <c r="CA56" i="8"/>
  <c r="CB56" i="8"/>
  <c r="DI33" i="8"/>
  <c r="DH33" i="8"/>
  <c r="DH213" i="8"/>
  <c r="DI213" i="8"/>
  <c r="DH20" i="8"/>
  <c r="DI20" i="8"/>
  <c r="DI190" i="8"/>
  <c r="DH190" i="8"/>
  <c r="DH192" i="8"/>
  <c r="DI192" i="8"/>
  <c r="CB92" i="8"/>
  <c r="CA92" i="8"/>
  <c r="BP31" i="8"/>
  <c r="CB31" i="8" s="1"/>
  <c r="CW39" i="8"/>
  <c r="DI39" i="8" s="1"/>
  <c r="AA45" i="8"/>
  <c r="DK45" i="8" s="1"/>
  <c r="BI63" i="8"/>
  <c r="BI56" i="8"/>
  <c r="CA61" i="8"/>
  <c r="BI74" i="8"/>
  <c r="BI70" i="8"/>
  <c r="DI72" i="8"/>
  <c r="Z106" i="8"/>
  <c r="Y106" i="8"/>
  <c r="DK93" i="8"/>
  <c r="DI104" i="8"/>
  <c r="BY142" i="8"/>
  <c r="CE142" i="8" s="1"/>
  <c r="AI142" i="8" s="1"/>
  <c r="DK130" i="8"/>
  <c r="CP159" i="8"/>
  <c r="DK159" i="8" s="1"/>
  <c r="DJ162" i="8"/>
  <c r="CD164" i="8"/>
  <c r="BO153" i="8"/>
  <c r="BP153" i="8" s="1"/>
  <c r="BO179" i="8"/>
  <c r="BP179" i="8" s="1"/>
  <c r="CB179" i="8" s="1"/>
  <c r="CP177" i="8"/>
  <c r="CP192" i="8"/>
  <c r="AC202" i="8"/>
  <c r="DK191" i="8"/>
  <c r="BI217" i="8"/>
  <c r="BO224" i="8"/>
  <c r="BP224" i="8" s="1"/>
  <c r="CA224" i="8" s="1"/>
  <c r="CW211" i="8"/>
  <c r="DI211" i="8" s="1"/>
  <c r="BI210" i="8"/>
  <c r="CP196" i="8"/>
  <c r="BI216" i="8"/>
  <c r="CP117" i="8"/>
  <c r="BI123" i="8"/>
  <c r="CW65" i="8"/>
  <c r="CW142" i="8"/>
  <c r="CP96" i="8"/>
  <c r="DK96" i="8" s="1"/>
  <c r="BP78" i="8"/>
  <c r="CW70" i="8"/>
  <c r="BI54" i="8"/>
  <c r="AA131" i="8"/>
  <c r="Z186" i="8"/>
  <c r="CP170" i="8"/>
  <c r="DK170" i="8" s="1"/>
  <c r="BE202" i="8"/>
  <c r="BI202" i="8" s="1"/>
  <c r="CP18" i="8"/>
  <c r="BO20" i="8"/>
  <c r="BP20" i="8" s="1"/>
  <c r="CB20" i="8" s="1"/>
  <c r="CP30" i="8"/>
  <c r="BO41" i="8"/>
  <c r="BO42" i="8"/>
  <c r="BP42" i="8" s="1"/>
  <c r="CB42" i="8" s="1"/>
  <c r="CD38" i="8"/>
  <c r="DH38" i="8"/>
  <c r="BY53" i="8"/>
  <c r="CE53" i="8" s="1"/>
  <c r="AI53" i="8" s="1"/>
  <c r="CD53" i="8"/>
  <c r="BY75" i="8"/>
  <c r="CE75" i="8" s="1"/>
  <c r="AI75" i="8" s="1"/>
  <c r="BE73" i="8"/>
  <c r="BI73" i="8" s="1"/>
  <c r="BE80" i="8"/>
  <c r="BI80" i="8" s="1"/>
  <c r="BO91" i="8"/>
  <c r="CP100" i="8"/>
  <c r="AA92" i="8"/>
  <c r="DJ92" i="8" s="1"/>
  <c r="DH125" i="8"/>
  <c r="AA113" i="8"/>
  <c r="DF113" i="8" s="1"/>
  <c r="DL113" i="8" s="1"/>
  <c r="CP136" i="8"/>
  <c r="BE162" i="8"/>
  <c r="BI162" i="8" s="1"/>
  <c r="DH151" i="8"/>
  <c r="BE175" i="8"/>
  <c r="BI175" i="8" s="1"/>
  <c r="BP178" i="8"/>
  <c r="CD178" i="8" s="1"/>
  <c r="CD202" i="8"/>
  <c r="CA197" i="8"/>
  <c r="DK212" i="8"/>
  <c r="CW182" i="8"/>
  <c r="AA214" i="8"/>
  <c r="BP151" i="8"/>
  <c r="CW172" i="8"/>
  <c r="CP42" i="8"/>
  <c r="CP97" i="8"/>
  <c r="AA221" i="8"/>
  <c r="BI90" i="8"/>
  <c r="BP173" i="8"/>
  <c r="BE161" i="8"/>
  <c r="BI161" i="8" s="1"/>
  <c r="DI94" i="8"/>
  <c r="DH94" i="8"/>
  <c r="BI11" i="8"/>
  <c r="CW16" i="8"/>
  <c r="DH16" i="8" s="1"/>
  <c r="BO21" i="8"/>
  <c r="BP21" i="8" s="1"/>
  <c r="CB21" i="8" s="1"/>
  <c r="BP37" i="8"/>
  <c r="CD37" i="8" s="1"/>
  <c r="DF53" i="8"/>
  <c r="DL53" i="8" s="1"/>
  <c r="DH55" i="8"/>
  <c r="BO73" i="8"/>
  <c r="BP73" i="8" s="1"/>
  <c r="BI111" i="8"/>
  <c r="BI120" i="8"/>
  <c r="BE140" i="8"/>
  <c r="BI140" i="8" s="1"/>
  <c r="AA138" i="8"/>
  <c r="DF138" i="8" s="1"/>
  <c r="DL138" i="8" s="1"/>
  <c r="AA185" i="8"/>
  <c r="DK185" i="8" s="1"/>
  <c r="CP215" i="8"/>
  <c r="CA218" i="8"/>
  <c r="AA222" i="8"/>
  <c r="BY222" i="8"/>
  <c r="CE222" i="8" s="1"/>
  <c r="AI222" i="8" s="1"/>
  <c r="CW179" i="8"/>
  <c r="CP223" i="8"/>
  <c r="BO191" i="8"/>
  <c r="BP191" i="8" s="1"/>
  <c r="BO132" i="8"/>
  <c r="BP132" i="8" s="1"/>
  <c r="BI215" i="8"/>
  <c r="CP79" i="8"/>
  <c r="CP134" i="8"/>
  <c r="BE114" i="8"/>
  <c r="BI114" i="8" s="1"/>
  <c r="BP76" i="8"/>
  <c r="CD76" i="8" s="1"/>
  <c r="BI145" i="8"/>
  <c r="BE93" i="8"/>
  <c r="BI93" i="8" s="1"/>
  <c r="BI144" i="8"/>
  <c r="BY202" i="8"/>
  <c r="CE202" i="8" s="1"/>
  <c r="BI35" i="8"/>
  <c r="CW34" i="8"/>
  <c r="DI34" i="8" s="1"/>
  <c r="DK76" i="8"/>
  <c r="CP90" i="8"/>
  <c r="DK90" i="8" s="1"/>
  <c r="DI96" i="8"/>
  <c r="CA99" i="8"/>
  <c r="BI135" i="8"/>
  <c r="BO141" i="8"/>
  <c r="BP141" i="8" s="1"/>
  <c r="CB141" i="8" s="1"/>
  <c r="BO140" i="8"/>
  <c r="BP140" i="8" s="1"/>
  <c r="AC142" i="8"/>
  <c r="BI151" i="8"/>
  <c r="BE165" i="8"/>
  <c r="BI165" i="8" s="1"/>
  <c r="CW161" i="8"/>
  <c r="DJ161" i="8" s="1"/>
  <c r="BO180" i="8"/>
  <c r="BP180" i="8" s="1"/>
  <c r="CA180" i="8" s="1"/>
  <c r="DK198" i="8"/>
  <c r="CD218" i="8"/>
  <c r="BI220" i="8"/>
  <c r="BO221" i="8"/>
  <c r="BP221" i="8" s="1"/>
  <c r="CB221" i="8" s="1"/>
  <c r="BE221" i="8"/>
  <c r="BI221" i="8" s="1"/>
  <c r="AC218" i="8"/>
  <c r="BY218" i="8"/>
  <c r="CE218" i="8" s="1"/>
  <c r="AI218" i="8" s="1"/>
  <c r="BY219" i="8"/>
  <c r="CE219" i="8" s="1"/>
  <c r="AI219" i="8" s="1"/>
  <c r="DF219" i="8"/>
  <c r="DL219" i="8" s="1"/>
  <c r="BO174" i="8"/>
  <c r="BP174" i="8" s="1"/>
  <c r="CP115" i="8"/>
  <c r="DK115" i="8" s="1"/>
  <c r="BI38" i="8"/>
  <c r="DF132" i="8"/>
  <c r="DL132" i="8" s="1"/>
  <c r="BY132" i="8"/>
  <c r="CE132" i="8" s="1"/>
  <c r="AI132" i="8" s="1"/>
  <c r="BP212" i="8"/>
  <c r="AC212" i="8" s="1"/>
  <c r="CP125" i="8"/>
  <c r="DK125" i="8" s="1"/>
  <c r="CD78" i="8"/>
  <c r="CW101" i="8"/>
  <c r="BY37" i="8"/>
  <c r="CE37" i="8" s="1"/>
  <c r="BE45" i="8"/>
  <c r="BI45" i="8" s="1"/>
  <c r="CP54" i="8"/>
  <c r="DK54" i="8" s="1"/>
  <c r="BP74" i="8"/>
  <c r="CC74" i="8" s="1"/>
  <c r="CW154" i="8"/>
  <c r="DH154" i="8" s="1"/>
  <c r="CP151" i="8"/>
  <c r="BP22" i="8"/>
  <c r="BE39" i="8"/>
  <c r="BI39" i="8" s="1"/>
  <c r="BI65" i="8"/>
  <c r="CW57" i="8"/>
  <c r="DI57" i="8" s="1"/>
  <c r="BO14" i="8"/>
  <c r="BP14" i="8" s="1"/>
  <c r="CB14" i="8" s="1"/>
  <c r="CW14" i="8"/>
  <c r="BP23" i="8"/>
  <c r="CA23" i="8" s="1"/>
  <c r="DK39" i="8"/>
  <c r="BE52" i="8"/>
  <c r="BI52" i="8" s="1"/>
  <c r="CW102" i="8"/>
  <c r="DH102" i="8" s="1"/>
  <c r="BP97" i="8"/>
  <c r="CB97" i="8" s="1"/>
  <c r="DK91" i="8"/>
  <c r="CW118" i="8"/>
  <c r="BP135" i="8"/>
  <c r="CD135" i="8" s="1"/>
  <c r="BO136" i="8"/>
  <c r="BP136" i="8" s="1"/>
  <c r="CB136" i="8" s="1"/>
  <c r="BE154" i="8"/>
  <c r="BI154" i="8" s="1"/>
  <c r="CW170" i="8"/>
  <c r="DI170" i="8" s="1"/>
  <c r="DK199" i="8"/>
  <c r="CP193" i="8"/>
  <c r="DK193" i="8" s="1"/>
  <c r="BP220" i="8"/>
  <c r="CA220" i="8" s="1"/>
  <c r="CP216" i="8"/>
  <c r="DK216" i="8" s="1"/>
  <c r="CP220" i="8"/>
  <c r="BP156" i="8"/>
  <c r="BE179" i="8"/>
  <c r="BI179" i="8" s="1"/>
  <c r="BI125" i="8"/>
  <c r="CW121" i="8"/>
  <c r="BI117" i="8"/>
  <c r="AA82" i="8"/>
  <c r="CD82" i="8" s="1"/>
  <c r="CP135" i="8"/>
  <c r="DK135" i="8" s="1"/>
  <c r="Y26" i="8"/>
  <c r="AG368" i="7"/>
  <c r="D402" i="7"/>
  <c r="H401" i="7" s="1"/>
  <c r="F401" i="7" s="1"/>
  <c r="S401" i="7" s="1"/>
  <c r="Q401" i="7" s="1"/>
  <c r="N401" i="7" s="1"/>
  <c r="O401" i="7" s="1"/>
  <c r="AD409" i="7"/>
  <c r="F370" i="7"/>
  <c r="Q367" i="7" s="1"/>
  <c r="D399" i="7"/>
  <c r="H398" i="7" s="1"/>
  <c r="F398" i="7" s="1"/>
  <c r="S398" i="7" s="1"/>
  <c r="Q398" i="7" s="1"/>
  <c r="F414" i="7"/>
  <c r="S414" i="7" s="1"/>
  <c r="Q414" i="7" s="1"/>
  <c r="DH211" i="8"/>
  <c r="DI219" i="8"/>
  <c r="DJ219" i="8"/>
  <c r="DH219" i="8"/>
  <c r="CA211" i="8"/>
  <c r="CB211" i="8"/>
  <c r="CB219" i="8"/>
  <c r="AC219" i="8"/>
  <c r="CA219" i="8"/>
  <c r="CC219" i="8"/>
  <c r="CD219" i="8"/>
  <c r="CB224" i="8"/>
  <c r="CB215" i="8"/>
  <c r="CA215" i="8"/>
  <c r="DI215" i="8"/>
  <c r="DH215" i="8"/>
  <c r="CB223" i="8"/>
  <c r="CA223" i="8"/>
  <c r="DI217" i="8"/>
  <c r="DH217" i="8"/>
  <c r="CA210" i="8"/>
  <c r="CB210" i="8"/>
  <c r="DI221" i="8"/>
  <c r="DH221" i="8"/>
  <c r="AA223" i="8"/>
  <c r="BI218" i="8"/>
  <c r="DI225" i="8"/>
  <c r="DH225" i="8"/>
  <c r="BO225" i="8"/>
  <c r="BP225" i="8" s="1"/>
  <c r="AC225" i="8" s="1"/>
  <c r="AA211" i="8"/>
  <c r="CP221" i="8"/>
  <c r="DH220" i="8"/>
  <c r="DI220" i="8"/>
  <c r="BE225" i="8"/>
  <c r="BI225" i="8" s="1"/>
  <c r="DL218" i="8"/>
  <c r="DF212" i="8"/>
  <c r="DL212" i="8" s="1"/>
  <c r="BY212" i="8"/>
  <c r="CE212" i="8" s="1"/>
  <c r="DJ212" i="8"/>
  <c r="CC212" i="8"/>
  <c r="AA215" i="8"/>
  <c r="BY225" i="8"/>
  <c r="CE225" i="8" s="1"/>
  <c r="AA217" i="8"/>
  <c r="DI222" i="8"/>
  <c r="DH222" i="8"/>
  <c r="AA213" i="8"/>
  <c r="CD213" i="8" s="1"/>
  <c r="DI210" i="8"/>
  <c r="DH210" i="8"/>
  <c r="Y226" i="8"/>
  <c r="Z210" i="8"/>
  <c r="AB210" i="8" s="1"/>
  <c r="DI223" i="8"/>
  <c r="DH223" i="8"/>
  <c r="BI223" i="8"/>
  <c r="DH224" i="8"/>
  <c r="DI224" i="8"/>
  <c r="BI222" i="8"/>
  <c r="AA220" i="8"/>
  <c r="DH218" i="8"/>
  <c r="DI218" i="8"/>
  <c r="BI213" i="8"/>
  <c r="AC222" i="8"/>
  <c r="CB222" i="8"/>
  <c r="CA222" i="8"/>
  <c r="AA224" i="8"/>
  <c r="DK224" i="8" s="1"/>
  <c r="BI224" i="8"/>
  <c r="CP217" i="8"/>
  <c r="CP211" i="8"/>
  <c r="DH214" i="8"/>
  <c r="DI214" i="8"/>
  <c r="CA194" i="8"/>
  <c r="CB194" i="8"/>
  <c r="DI195" i="8"/>
  <c r="DH195" i="8"/>
  <c r="CB190" i="8"/>
  <c r="CA190" i="8"/>
  <c r="DI203" i="8"/>
  <c r="DH203" i="8"/>
  <c r="AA196" i="8"/>
  <c r="BO201" i="8"/>
  <c r="BP201" i="8" s="1"/>
  <c r="BE196" i="8"/>
  <c r="BI196" i="8" s="1"/>
  <c r="CP200" i="8"/>
  <c r="BI194" i="8"/>
  <c r="AC204" i="8"/>
  <c r="DF204" i="8"/>
  <c r="DL204" i="8" s="1"/>
  <c r="BY204" i="8"/>
  <c r="CE204" i="8" s="1"/>
  <c r="DJ204" i="8"/>
  <c r="CC204" i="8"/>
  <c r="DI201" i="8"/>
  <c r="DH201" i="8"/>
  <c r="AA201" i="8"/>
  <c r="DK201" i="8" s="1"/>
  <c r="DI191" i="8"/>
  <c r="DH191" i="8"/>
  <c r="AA192" i="8"/>
  <c r="CD192" i="8" s="1"/>
  <c r="CB203" i="8"/>
  <c r="CA203" i="8"/>
  <c r="DH194" i="8"/>
  <c r="DI194" i="8"/>
  <c r="BE201" i="8"/>
  <c r="BI201" i="8" s="1"/>
  <c r="AA205" i="8"/>
  <c r="DK205" i="8" s="1"/>
  <c r="BO196" i="8"/>
  <c r="BP196" i="8" s="1"/>
  <c r="AA200" i="8"/>
  <c r="CD198" i="8"/>
  <c r="AA203" i="8"/>
  <c r="CD203" i="8" s="1"/>
  <c r="BO200" i="8"/>
  <c r="BP200" i="8" s="1"/>
  <c r="DF193" i="8"/>
  <c r="DL193" i="8" s="1"/>
  <c r="BY193" i="8"/>
  <c r="CE193" i="8" s="1"/>
  <c r="CW199" i="8"/>
  <c r="DJ199" i="8" s="1"/>
  <c r="DF195" i="8"/>
  <c r="DL195" i="8" s="1"/>
  <c r="CC195" i="8"/>
  <c r="AC195" i="8"/>
  <c r="DJ195" i="8"/>
  <c r="BY195" i="8"/>
  <c r="CE195" i="8" s="1"/>
  <c r="CA192" i="8"/>
  <c r="CB192" i="8"/>
  <c r="DF197" i="8"/>
  <c r="DL197" i="8" s="1"/>
  <c r="CC197" i="8"/>
  <c r="BY197" i="8"/>
  <c r="CE197" i="8" s="1"/>
  <c r="AC197" i="8"/>
  <c r="DH200" i="8"/>
  <c r="DI200" i="8"/>
  <c r="DI197" i="8"/>
  <c r="CB195" i="8"/>
  <c r="CA195" i="8"/>
  <c r="CB202" i="8"/>
  <c r="CA202" i="8"/>
  <c r="BY198" i="8"/>
  <c r="CE198" i="8" s="1"/>
  <c r="DJ198" i="8"/>
  <c r="DF198" i="8"/>
  <c r="DL198" i="8" s="1"/>
  <c r="AC198" i="8"/>
  <c r="CC198" i="8"/>
  <c r="CF198" i="8" s="1"/>
  <c r="AD198" i="8" s="1"/>
  <c r="AE198" i="8" s="1"/>
  <c r="DJ191" i="8"/>
  <c r="DF191" i="8"/>
  <c r="DL191" i="8" s="1"/>
  <c r="BY191" i="8"/>
  <c r="CE191" i="8" s="1"/>
  <c r="BY199" i="8"/>
  <c r="CE199" i="8" s="1"/>
  <c r="DF199" i="8"/>
  <c r="DL199" i="8" s="1"/>
  <c r="CD197" i="8"/>
  <c r="CW196" i="8"/>
  <c r="DI202" i="8"/>
  <c r="DH202" i="8"/>
  <c r="CA204" i="8"/>
  <c r="CB204" i="8"/>
  <c r="BI198" i="8"/>
  <c r="AA194" i="8"/>
  <c r="DK194" i="8" s="1"/>
  <c r="DH198" i="8"/>
  <c r="DI198" i="8"/>
  <c r="Y206" i="8"/>
  <c r="Z190" i="8"/>
  <c r="AB190" i="8" s="1"/>
  <c r="CD195" i="8"/>
  <c r="CB171" i="8"/>
  <c r="CA171" i="8"/>
  <c r="CB185" i="8"/>
  <c r="CA185" i="8"/>
  <c r="DH171" i="8"/>
  <c r="DI171" i="8"/>
  <c r="CD182" i="8"/>
  <c r="CC182" i="8"/>
  <c r="AC182" i="8"/>
  <c r="DI185" i="8"/>
  <c r="DH185" i="8"/>
  <c r="BI177" i="8"/>
  <c r="DH180" i="8"/>
  <c r="AA175" i="8"/>
  <c r="AA180" i="8"/>
  <c r="DK180" i="8" s="1"/>
  <c r="DF171" i="8"/>
  <c r="DL171" i="8" s="1"/>
  <c r="DJ171" i="8"/>
  <c r="CC171" i="8"/>
  <c r="AC171" i="8"/>
  <c r="BY171" i="8"/>
  <c r="CE171" i="8" s="1"/>
  <c r="DF170" i="8"/>
  <c r="DL170" i="8" s="1"/>
  <c r="AC170" i="8"/>
  <c r="CC170" i="8"/>
  <c r="BY170" i="8"/>
  <c r="CE170" i="8" s="1"/>
  <c r="BO175" i="8"/>
  <c r="BP175" i="8" s="1"/>
  <c r="DI178" i="8"/>
  <c r="DH178" i="8"/>
  <c r="DF185" i="8"/>
  <c r="DL185" i="8" s="1"/>
  <c r="DI181" i="8"/>
  <c r="DH181" i="8"/>
  <c r="AA183" i="8"/>
  <c r="DK183" i="8" s="1"/>
  <c r="DH183" i="8"/>
  <c r="DI183" i="8"/>
  <c r="AA172" i="8"/>
  <c r="DI173" i="8"/>
  <c r="DH173" i="8"/>
  <c r="DH176" i="8"/>
  <c r="DI176" i="8"/>
  <c r="DF176" i="8"/>
  <c r="DL176" i="8" s="1"/>
  <c r="BY176" i="8"/>
  <c r="CE176" i="8" s="1"/>
  <c r="DJ176" i="8"/>
  <c r="AA173" i="8"/>
  <c r="AA177" i="8"/>
  <c r="CW174" i="8"/>
  <c r="DJ174" i="8" s="1"/>
  <c r="BY174" i="8"/>
  <c r="CE174" i="8" s="1"/>
  <c r="DF174" i="8"/>
  <c r="DL174" i="8" s="1"/>
  <c r="BY182" i="8"/>
  <c r="CE182" i="8" s="1"/>
  <c r="BY181" i="8"/>
  <c r="CE181" i="8" s="1"/>
  <c r="AA179" i="8"/>
  <c r="AA184" i="8"/>
  <c r="DJ178" i="8"/>
  <c r="DF178" i="8"/>
  <c r="DL178" i="8" s="1"/>
  <c r="BY178" i="8"/>
  <c r="CE178" i="8" s="1"/>
  <c r="DJ181" i="8"/>
  <c r="Y186" i="8"/>
  <c r="CB183" i="8"/>
  <c r="CA183" i="8"/>
  <c r="DI175" i="8"/>
  <c r="DH175" i="8"/>
  <c r="BI182" i="8"/>
  <c r="CD185" i="8"/>
  <c r="DH184" i="8"/>
  <c r="DI184" i="8"/>
  <c r="BI184" i="8"/>
  <c r="DK176" i="8"/>
  <c r="CD171" i="8"/>
  <c r="DI155" i="8"/>
  <c r="DH155" i="8"/>
  <c r="DH152" i="8"/>
  <c r="DI152" i="8"/>
  <c r="DH163" i="8"/>
  <c r="DI163" i="8"/>
  <c r="CA160" i="8"/>
  <c r="CB160" i="8"/>
  <c r="CA152" i="8"/>
  <c r="CB152" i="8"/>
  <c r="DI154" i="8"/>
  <c r="CB162" i="8"/>
  <c r="CA162" i="8"/>
  <c r="CD162" i="8"/>
  <c r="BY154" i="8"/>
  <c r="CE154" i="8" s="1"/>
  <c r="DF154" i="8"/>
  <c r="DL154" i="8" s="1"/>
  <c r="DJ154" i="8"/>
  <c r="DJ157" i="8"/>
  <c r="DF157" i="8"/>
  <c r="DL157" i="8" s="1"/>
  <c r="BY157" i="8"/>
  <c r="CE157" i="8" s="1"/>
  <c r="DF165" i="8"/>
  <c r="DL165" i="8" s="1"/>
  <c r="BY165" i="8"/>
  <c r="CE165" i="8" s="1"/>
  <c r="AA155" i="8"/>
  <c r="CD155" i="8" s="1"/>
  <c r="DI157" i="8"/>
  <c r="DH157" i="8"/>
  <c r="BO154" i="8"/>
  <c r="BP154" i="8" s="1"/>
  <c r="CC154" i="8" s="1"/>
  <c r="BE153" i="8"/>
  <c r="BI153" i="8" s="1"/>
  <c r="DK161" i="8"/>
  <c r="BP159" i="8"/>
  <c r="CC159" i="8" s="1"/>
  <c r="DI158" i="8"/>
  <c r="DH158" i="8"/>
  <c r="Z150" i="8"/>
  <c r="AB150" i="8" s="1"/>
  <c r="Y166" i="8"/>
  <c r="CA164" i="8"/>
  <c r="CB164" i="8"/>
  <c r="DI153" i="8"/>
  <c r="DH153" i="8"/>
  <c r="AA151" i="8"/>
  <c r="DK151" i="8" s="1"/>
  <c r="CA155" i="8"/>
  <c r="CB155" i="8"/>
  <c r="AA160" i="8"/>
  <c r="DK160" i="8" s="1"/>
  <c r="CP155" i="8"/>
  <c r="BP163" i="8"/>
  <c r="AC163" i="8" s="1"/>
  <c r="AC152" i="8"/>
  <c r="DF152" i="8"/>
  <c r="DL152" i="8" s="1"/>
  <c r="BY152" i="8"/>
  <c r="CE152" i="8" s="1"/>
  <c r="CC152" i="8"/>
  <c r="DJ152" i="8"/>
  <c r="CD152" i="8"/>
  <c r="BP161" i="8"/>
  <c r="CW150" i="8"/>
  <c r="CB153" i="8"/>
  <c r="CA153" i="8"/>
  <c r="AC164" i="8"/>
  <c r="DF164" i="8"/>
  <c r="DL164" i="8" s="1"/>
  <c r="BY164" i="8"/>
  <c r="CE164" i="8" s="1"/>
  <c r="DJ164" i="8"/>
  <c r="CC164" i="8"/>
  <c r="DK152" i="8"/>
  <c r="DJ159" i="8"/>
  <c r="BY159" i="8"/>
  <c r="CE159" i="8" s="1"/>
  <c r="DF159" i="8"/>
  <c r="DL159" i="8" s="1"/>
  <c r="DJ163" i="8"/>
  <c r="BY163" i="8"/>
  <c r="CE163" i="8" s="1"/>
  <c r="DF163" i="8"/>
  <c r="DL163" i="8" s="1"/>
  <c r="DH164" i="8"/>
  <c r="DI164" i="8"/>
  <c r="AA153" i="8"/>
  <c r="DK153" i="8" s="1"/>
  <c r="CA150" i="8"/>
  <c r="CB150" i="8"/>
  <c r="DK154" i="8"/>
  <c r="DF156" i="8"/>
  <c r="DL156" i="8" s="1"/>
  <c r="BY156" i="8"/>
  <c r="CE156" i="8" s="1"/>
  <c r="BI159" i="8"/>
  <c r="DF161" i="8"/>
  <c r="DL161" i="8" s="1"/>
  <c r="BY161" i="8"/>
  <c r="CE161" i="8" s="1"/>
  <c r="CP163" i="8"/>
  <c r="DK163" i="8" s="1"/>
  <c r="CC162" i="8"/>
  <c r="AC162" i="8"/>
  <c r="DH159" i="8"/>
  <c r="DI159" i="8"/>
  <c r="BY158" i="8"/>
  <c r="CE158" i="8" s="1"/>
  <c r="AC158" i="8"/>
  <c r="DJ158" i="8"/>
  <c r="DF158" i="8"/>
  <c r="DL158" i="8" s="1"/>
  <c r="CC158" i="8"/>
  <c r="CB133" i="8"/>
  <c r="CA133" i="8"/>
  <c r="DH144" i="8"/>
  <c r="DI144" i="8"/>
  <c r="DH136" i="8"/>
  <c r="DI136" i="8"/>
  <c r="CA140" i="8"/>
  <c r="CB140" i="8"/>
  <c r="CB139" i="8"/>
  <c r="CA139" i="8"/>
  <c r="DI139" i="8"/>
  <c r="DH139" i="8"/>
  <c r="CB131" i="8"/>
  <c r="CA131" i="8"/>
  <c r="DI130" i="8"/>
  <c r="DH130" i="8"/>
  <c r="Y146" i="8"/>
  <c r="DI134" i="8"/>
  <c r="DH134" i="8"/>
  <c r="DJ145" i="8"/>
  <c r="DF145" i="8"/>
  <c r="DL145" i="8" s="1"/>
  <c r="BY145" i="8"/>
  <c r="CE145" i="8" s="1"/>
  <c r="BE141" i="8"/>
  <c r="BI141" i="8" s="1"/>
  <c r="BY136" i="8"/>
  <c r="CE136" i="8" s="1"/>
  <c r="BP138" i="8"/>
  <c r="CB137" i="8"/>
  <c r="CP144" i="8"/>
  <c r="BI137" i="8"/>
  <c r="CA142" i="8"/>
  <c r="CB142" i="8"/>
  <c r="DI137" i="8"/>
  <c r="DH137" i="8"/>
  <c r="DK145" i="8"/>
  <c r="AA140" i="8"/>
  <c r="DK140" i="8" s="1"/>
  <c r="DI141" i="8"/>
  <c r="DH141" i="8"/>
  <c r="CB143" i="8"/>
  <c r="CA143" i="8"/>
  <c r="DJ133" i="8"/>
  <c r="DM133" i="8" s="1"/>
  <c r="CC133" i="8"/>
  <c r="DF133" i="8"/>
  <c r="DL133" i="8" s="1"/>
  <c r="BY133" i="8"/>
  <c r="CE133" i="8" s="1"/>
  <c r="AC133" i="8"/>
  <c r="DI132" i="8"/>
  <c r="DH132" i="8"/>
  <c r="AA144" i="8"/>
  <c r="CD144" i="8" s="1"/>
  <c r="AA143" i="8"/>
  <c r="CD143" i="8" s="1"/>
  <c r="CD142" i="8"/>
  <c r="DJ137" i="8"/>
  <c r="DF137" i="8"/>
  <c r="DL137" i="8" s="1"/>
  <c r="BY137" i="8"/>
  <c r="CE137" i="8" s="1"/>
  <c r="AA134" i="8"/>
  <c r="DJ130" i="8"/>
  <c r="BY130" i="8"/>
  <c r="CE130" i="8" s="1"/>
  <c r="DF130" i="8"/>
  <c r="DL130" i="8" s="1"/>
  <c r="DF135" i="8"/>
  <c r="DL135" i="8" s="1"/>
  <c r="BY135" i="8"/>
  <c r="CE135" i="8" s="1"/>
  <c r="AC135" i="8"/>
  <c r="CC135" i="8"/>
  <c r="DJ135" i="8"/>
  <c r="DH135" i="8"/>
  <c r="DI135" i="8"/>
  <c r="AA139" i="8"/>
  <c r="DK139" i="8" s="1"/>
  <c r="CA134" i="8"/>
  <c r="CB134" i="8"/>
  <c r="DJ131" i="8"/>
  <c r="CA144" i="8"/>
  <c r="CB144" i="8"/>
  <c r="Z146" i="8"/>
  <c r="DI138" i="8"/>
  <c r="DH138" i="8"/>
  <c r="CA135" i="8"/>
  <c r="DI131" i="8"/>
  <c r="DH131" i="8"/>
  <c r="AA141" i="8"/>
  <c r="DK141" i="8" s="1"/>
  <c r="DJ132" i="8"/>
  <c r="DK137" i="8"/>
  <c r="CD133" i="8"/>
  <c r="DH124" i="8"/>
  <c r="DI124" i="8"/>
  <c r="DH120" i="8"/>
  <c r="DI120" i="8"/>
  <c r="CB115" i="8"/>
  <c r="CA115" i="8"/>
  <c r="CA120" i="8"/>
  <c r="CB120" i="8"/>
  <c r="CD120" i="8"/>
  <c r="DI123" i="8"/>
  <c r="DH123" i="8"/>
  <c r="CA124" i="8"/>
  <c r="CB124" i="8"/>
  <c r="CA116" i="8"/>
  <c r="CB116" i="8"/>
  <c r="CD116" i="8"/>
  <c r="DH116" i="8"/>
  <c r="DI116" i="8"/>
  <c r="CA119" i="8"/>
  <c r="CB119" i="8"/>
  <c r="CA122" i="8"/>
  <c r="CB122" i="8"/>
  <c r="DI122" i="8"/>
  <c r="DH122" i="8"/>
  <c r="AC120" i="8"/>
  <c r="DF120" i="8"/>
  <c r="DL120" i="8" s="1"/>
  <c r="BY120" i="8"/>
  <c r="CE120" i="8" s="1"/>
  <c r="DJ120" i="8"/>
  <c r="CC120" i="8"/>
  <c r="BP118" i="8"/>
  <c r="AC118" i="8" s="1"/>
  <c r="DF115" i="8"/>
  <c r="DL115" i="8" s="1"/>
  <c r="CC115" i="8"/>
  <c r="AC115" i="8"/>
  <c r="DJ115" i="8"/>
  <c r="BY115" i="8"/>
  <c r="CE115" i="8" s="1"/>
  <c r="CD125" i="8"/>
  <c r="Y126" i="8"/>
  <c r="Z110" i="8"/>
  <c r="AB110" i="8" s="1"/>
  <c r="CB123" i="8"/>
  <c r="CA123" i="8"/>
  <c r="BI121" i="8"/>
  <c r="AC116" i="8"/>
  <c r="DF116" i="8"/>
  <c r="DL116" i="8" s="1"/>
  <c r="BY116" i="8"/>
  <c r="CE116" i="8" s="1"/>
  <c r="DJ116" i="8"/>
  <c r="CC116" i="8"/>
  <c r="CB110" i="8"/>
  <c r="CA110" i="8"/>
  <c r="CB112" i="8"/>
  <c r="CA112" i="8"/>
  <c r="BI124" i="8"/>
  <c r="DJ113" i="8"/>
  <c r="AA117" i="8"/>
  <c r="DK117" i="8" s="1"/>
  <c r="DI113" i="8"/>
  <c r="DH113" i="8"/>
  <c r="CP113" i="8"/>
  <c r="DH118" i="8"/>
  <c r="DI118" i="8"/>
  <c r="AA119" i="8"/>
  <c r="DK119" i="8" s="1"/>
  <c r="CD115" i="8"/>
  <c r="AC112" i="8"/>
  <c r="DF112" i="8"/>
  <c r="DL112" i="8" s="1"/>
  <c r="BY112" i="8"/>
  <c r="CE112" i="8" s="1"/>
  <c r="DJ112" i="8"/>
  <c r="DM112" i="8" s="1"/>
  <c r="CC112" i="8"/>
  <c r="AA121" i="8"/>
  <c r="DH119" i="8"/>
  <c r="DI119" i="8"/>
  <c r="AA124" i="8"/>
  <c r="CD124" i="8" s="1"/>
  <c r="DH110" i="8"/>
  <c r="DI110" i="8"/>
  <c r="CB121" i="8"/>
  <c r="CA121" i="8"/>
  <c r="DI115" i="8"/>
  <c r="DH115" i="8"/>
  <c r="DI111" i="8"/>
  <c r="DH111" i="8"/>
  <c r="CB111" i="8"/>
  <c r="AA114" i="8"/>
  <c r="DJ125" i="8"/>
  <c r="CC125" i="8"/>
  <c r="AC125" i="8"/>
  <c r="DF125" i="8"/>
  <c r="DL125" i="8" s="1"/>
  <c r="BY125" i="8"/>
  <c r="CE125" i="8" s="1"/>
  <c r="DJ122" i="8"/>
  <c r="CC122" i="8"/>
  <c r="AC122" i="8"/>
  <c r="DF122" i="8"/>
  <c r="DL122" i="8" s="1"/>
  <c r="BY122" i="8"/>
  <c r="CE122" i="8" s="1"/>
  <c r="CD112" i="8"/>
  <c r="CP124" i="8"/>
  <c r="AA123" i="8"/>
  <c r="AA111" i="8"/>
  <c r="CD122" i="8"/>
  <c r="BO113" i="8"/>
  <c r="BP113" i="8" s="1"/>
  <c r="CB98" i="8"/>
  <c r="CA98" i="8"/>
  <c r="DI92" i="8"/>
  <c r="DH92" i="8"/>
  <c r="DI103" i="8"/>
  <c r="DH103" i="8"/>
  <c r="DI105" i="8"/>
  <c r="DH105" i="8"/>
  <c r="DH100" i="8"/>
  <c r="DI100" i="8"/>
  <c r="DH93" i="8"/>
  <c r="DI93" i="8"/>
  <c r="CA93" i="8"/>
  <c r="CB93" i="8"/>
  <c r="DI90" i="8"/>
  <c r="DH90" i="8"/>
  <c r="DF92" i="8"/>
  <c r="DL92" i="8" s="1"/>
  <c r="BP91" i="8"/>
  <c r="CB105" i="8"/>
  <c r="CA105" i="8"/>
  <c r="DJ98" i="8"/>
  <c r="CC98" i="8"/>
  <c r="DF98" i="8"/>
  <c r="DL98" i="8" s="1"/>
  <c r="BY98" i="8"/>
  <c r="CE98" i="8" s="1"/>
  <c r="AC98" i="8"/>
  <c r="DJ105" i="8"/>
  <c r="CC105" i="8"/>
  <c r="AC105" i="8"/>
  <c r="DF105" i="8"/>
  <c r="DL105" i="8" s="1"/>
  <c r="BY105" i="8"/>
  <c r="CE105" i="8" s="1"/>
  <c r="CD93" i="8"/>
  <c r="DI95" i="8"/>
  <c r="DH95" i="8"/>
  <c r="CA102" i="8"/>
  <c r="AA100" i="8"/>
  <c r="DI91" i="8"/>
  <c r="DH91" i="8"/>
  <c r="AC90" i="8"/>
  <c r="DF90" i="8"/>
  <c r="DL90" i="8" s="1"/>
  <c r="BY90" i="8"/>
  <c r="CE90" i="8" s="1"/>
  <c r="DJ90" i="8"/>
  <c r="CC90" i="8"/>
  <c r="DI97" i="8"/>
  <c r="DH97" i="8"/>
  <c r="CA104" i="8"/>
  <c r="CB104" i="8"/>
  <c r="AA103" i="8"/>
  <c r="DK103" i="8" s="1"/>
  <c r="CD103" i="8"/>
  <c r="BE96" i="8"/>
  <c r="BI96" i="8" s="1"/>
  <c r="DI98" i="8"/>
  <c r="DH98" i="8"/>
  <c r="DJ95" i="8"/>
  <c r="BY95" i="8"/>
  <c r="CE95" i="8" s="1"/>
  <c r="DF95" i="8"/>
  <c r="DL95" i="8" s="1"/>
  <c r="CB103" i="8"/>
  <c r="CA103" i="8"/>
  <c r="DI101" i="8"/>
  <c r="DH101" i="8"/>
  <c r="DJ101" i="8"/>
  <c r="CC101" i="8"/>
  <c r="AC101" i="8"/>
  <c r="DF101" i="8"/>
  <c r="DL101" i="8" s="1"/>
  <c r="BY101" i="8"/>
  <c r="CE101" i="8" s="1"/>
  <c r="DK101" i="8"/>
  <c r="CD101" i="8"/>
  <c r="AA94" i="8"/>
  <c r="DK94" i="8" s="1"/>
  <c r="CB101" i="8"/>
  <c r="CA101" i="8"/>
  <c r="DI99" i="8"/>
  <c r="DH99" i="8"/>
  <c r="DJ93" i="8"/>
  <c r="CC93" i="8"/>
  <c r="DF93" i="8"/>
  <c r="DL93" i="8" s="1"/>
  <c r="BY93" i="8"/>
  <c r="CE93" i="8" s="1"/>
  <c r="AC93" i="8"/>
  <c r="DF91" i="8"/>
  <c r="DL91" i="8" s="1"/>
  <c r="BY91" i="8"/>
  <c r="CE91" i="8" s="1"/>
  <c r="DJ91" i="8"/>
  <c r="AA99" i="8"/>
  <c r="DF96" i="8"/>
  <c r="DL96" i="8" s="1"/>
  <c r="BY96" i="8"/>
  <c r="CE96" i="8" s="1"/>
  <c r="DJ96" i="8"/>
  <c r="CD105" i="8"/>
  <c r="DJ102" i="8"/>
  <c r="DF102" i="8"/>
  <c r="DL102" i="8" s="1"/>
  <c r="BY102" i="8"/>
  <c r="CE102" i="8" s="1"/>
  <c r="BO96" i="8"/>
  <c r="BP96" i="8" s="1"/>
  <c r="CC96" i="8" s="1"/>
  <c r="AA97" i="8"/>
  <c r="DK97" i="8" s="1"/>
  <c r="CD90" i="8"/>
  <c r="CD98" i="8"/>
  <c r="BE91" i="8"/>
  <c r="BI91" i="8" s="1"/>
  <c r="CB90" i="8"/>
  <c r="CA90" i="8"/>
  <c r="AC104" i="8"/>
  <c r="DF104" i="8"/>
  <c r="DL104" i="8" s="1"/>
  <c r="BY104" i="8"/>
  <c r="CE104" i="8" s="1"/>
  <c r="DJ104" i="8"/>
  <c r="CC104" i="8"/>
  <c r="CA80" i="8"/>
  <c r="CB80" i="8"/>
  <c r="DI85" i="8"/>
  <c r="DH85" i="8"/>
  <c r="DI73" i="8"/>
  <c r="DH73" i="8"/>
  <c r="CB82" i="8"/>
  <c r="CA82" i="8"/>
  <c r="DH79" i="8"/>
  <c r="DI79" i="8"/>
  <c r="CB77" i="8"/>
  <c r="CA77" i="8"/>
  <c r="CB83" i="8"/>
  <c r="CA83" i="8"/>
  <c r="DI83" i="8"/>
  <c r="DH83" i="8"/>
  <c r="DH80" i="8"/>
  <c r="DI80" i="8"/>
  <c r="AA85" i="8"/>
  <c r="DK85" i="8" s="1"/>
  <c r="CA84" i="8"/>
  <c r="CB84" i="8"/>
  <c r="CA70" i="8"/>
  <c r="AC76" i="8"/>
  <c r="DF76" i="8"/>
  <c r="DL76" i="8" s="1"/>
  <c r="BY76" i="8"/>
  <c r="CE76" i="8" s="1"/>
  <c r="CC76" i="8"/>
  <c r="DJ76" i="8"/>
  <c r="CD77" i="8"/>
  <c r="DK77" i="8"/>
  <c r="BI76" i="8"/>
  <c r="AA84" i="8"/>
  <c r="CD84" i="8" s="1"/>
  <c r="DH76" i="8"/>
  <c r="DI76" i="8"/>
  <c r="BO72" i="8"/>
  <c r="BP72" i="8" s="1"/>
  <c r="CB81" i="8"/>
  <c r="CA81" i="8"/>
  <c r="DI70" i="8"/>
  <c r="DH70" i="8"/>
  <c r="Z86" i="8"/>
  <c r="AA70" i="8"/>
  <c r="DK71" i="8"/>
  <c r="AA81" i="8"/>
  <c r="CD81" i="8" s="1"/>
  <c r="AC80" i="8"/>
  <c r="DF80" i="8"/>
  <c r="DL80" i="8" s="1"/>
  <c r="BY80" i="8"/>
  <c r="CE80" i="8" s="1"/>
  <c r="CD80" i="8"/>
  <c r="CC80" i="8"/>
  <c r="DK80" i="8"/>
  <c r="DJ80" i="8"/>
  <c r="CA71" i="8"/>
  <c r="CB71" i="8"/>
  <c r="DJ77" i="8"/>
  <c r="CC77" i="8"/>
  <c r="AC77" i="8"/>
  <c r="DF77" i="8"/>
  <c r="DL77" i="8" s="1"/>
  <c r="BY77" i="8"/>
  <c r="CE77" i="8" s="1"/>
  <c r="CA78" i="8"/>
  <c r="CB78" i="8"/>
  <c r="BI82" i="8"/>
  <c r="DI78" i="8"/>
  <c r="DH78" i="8"/>
  <c r="DJ75" i="8"/>
  <c r="AA79" i="8"/>
  <c r="DH84" i="8"/>
  <c r="DI84" i="8"/>
  <c r="BI72" i="8"/>
  <c r="BI81" i="8"/>
  <c r="DJ74" i="8"/>
  <c r="BY74" i="8"/>
  <c r="CE74" i="8" s="1"/>
  <c r="DF74" i="8"/>
  <c r="DL74" i="8" s="1"/>
  <c r="Y86" i="8"/>
  <c r="DF73" i="8"/>
  <c r="DL73" i="8" s="1"/>
  <c r="BY73" i="8"/>
  <c r="CE73" i="8" s="1"/>
  <c r="DJ73" i="8"/>
  <c r="DJ78" i="8"/>
  <c r="CC78" i="8"/>
  <c r="DF78" i="8"/>
  <c r="DL78" i="8" s="1"/>
  <c r="BY78" i="8"/>
  <c r="CE78" i="8" s="1"/>
  <c r="AC78" i="8"/>
  <c r="AA72" i="8"/>
  <c r="DH74" i="8"/>
  <c r="DI74" i="8"/>
  <c r="DH82" i="8"/>
  <c r="DI82" i="8"/>
  <c r="CA79" i="8"/>
  <c r="CB79" i="8"/>
  <c r="AA83" i="8"/>
  <c r="DK83" i="8" s="1"/>
  <c r="CC71" i="8"/>
  <c r="DJ71" i="8"/>
  <c r="AC71" i="8"/>
  <c r="BY71" i="8"/>
  <c r="CE71" i="8" s="1"/>
  <c r="DF71" i="8"/>
  <c r="DL71" i="8" s="1"/>
  <c r="DK78" i="8"/>
  <c r="BO75" i="8"/>
  <c r="BP75" i="8" s="1"/>
  <c r="BE75" i="8"/>
  <c r="BI75" i="8" s="1"/>
  <c r="DI81" i="8"/>
  <c r="DH81" i="8"/>
  <c r="CD71" i="8"/>
  <c r="DI52" i="8"/>
  <c r="DH52" i="8"/>
  <c r="CB55" i="8"/>
  <c r="CA55" i="8"/>
  <c r="CD55" i="8"/>
  <c r="CA64" i="8"/>
  <c r="CB64" i="8"/>
  <c r="CD64" i="8"/>
  <c r="CB51" i="8"/>
  <c r="CA51" i="8"/>
  <c r="DH64" i="8"/>
  <c r="DI64" i="8"/>
  <c r="DF58" i="8"/>
  <c r="DL58" i="8" s="1"/>
  <c r="BY58" i="8"/>
  <c r="CE58" i="8" s="1"/>
  <c r="CB65" i="8"/>
  <c r="CA65" i="8"/>
  <c r="CA60" i="8"/>
  <c r="CB60" i="8"/>
  <c r="BI55" i="8"/>
  <c r="CA53" i="8"/>
  <c r="CB53" i="8"/>
  <c r="DF52" i="8"/>
  <c r="DL52" i="8" s="1"/>
  <c r="DJ52" i="8"/>
  <c r="CC52" i="8"/>
  <c r="BY52" i="8"/>
  <c r="CE52" i="8" s="1"/>
  <c r="AC52" i="8"/>
  <c r="DI54" i="8"/>
  <c r="DH54" i="8"/>
  <c r="CB52" i="8"/>
  <c r="CA52" i="8"/>
  <c r="AC53" i="8"/>
  <c r="DJ65" i="8"/>
  <c r="CC65" i="8"/>
  <c r="AC65" i="8"/>
  <c r="DF65" i="8"/>
  <c r="DL65" i="8" s="1"/>
  <c r="BY65" i="8"/>
  <c r="CE65" i="8" s="1"/>
  <c r="CD65" i="8"/>
  <c r="CB62" i="8"/>
  <c r="CA62" i="8"/>
  <c r="CC62" i="8"/>
  <c r="DF62" i="8"/>
  <c r="DL62" i="8" s="1"/>
  <c r="BY62" i="8"/>
  <c r="CE62" i="8" s="1"/>
  <c r="AC62" i="8"/>
  <c r="BI62" i="8"/>
  <c r="Y66" i="8"/>
  <c r="AC64" i="8"/>
  <c r="CD60" i="8"/>
  <c r="DK58" i="8"/>
  <c r="AC54" i="8"/>
  <c r="BY54" i="8"/>
  <c r="CE54" i="8" s="1"/>
  <c r="DJ54" i="8"/>
  <c r="DF54" i="8"/>
  <c r="DL54" i="8" s="1"/>
  <c r="CC54" i="8"/>
  <c r="CD52" i="8"/>
  <c r="AA61" i="8"/>
  <c r="DK61" i="8" s="1"/>
  <c r="CA59" i="8"/>
  <c r="DI63" i="8"/>
  <c r="DH63" i="8"/>
  <c r="AA51" i="8"/>
  <c r="CD51" i="8" s="1"/>
  <c r="CD54" i="8"/>
  <c r="CC53" i="8"/>
  <c r="DK52" i="8"/>
  <c r="AC56" i="8"/>
  <c r="AA63" i="8"/>
  <c r="DK63" i="8" s="1"/>
  <c r="DI61" i="8"/>
  <c r="DH61" i="8"/>
  <c r="DI58" i="8"/>
  <c r="BY55" i="8"/>
  <c r="CE55" i="8" s="1"/>
  <c r="AC55" i="8"/>
  <c r="DJ55" i="8"/>
  <c r="DF55" i="8"/>
  <c r="DL55" i="8" s="1"/>
  <c r="CC55" i="8"/>
  <c r="CD62" i="8"/>
  <c r="AA59" i="8"/>
  <c r="CB63" i="8"/>
  <c r="CA63" i="8"/>
  <c r="Z66" i="8"/>
  <c r="AA50" i="8"/>
  <c r="DK50" i="8" s="1"/>
  <c r="AA57" i="8"/>
  <c r="DK57" i="8" s="1"/>
  <c r="BI64" i="8"/>
  <c r="CB54" i="8"/>
  <c r="CA54" i="8"/>
  <c r="DK62" i="8"/>
  <c r="CA40" i="8"/>
  <c r="CB40" i="8"/>
  <c r="CD40" i="8"/>
  <c r="CA43" i="8"/>
  <c r="CB43" i="8"/>
  <c r="CD43" i="8"/>
  <c r="DH44" i="8"/>
  <c r="DI44" i="8"/>
  <c r="DH36" i="8"/>
  <c r="DI36" i="8"/>
  <c r="CA39" i="8"/>
  <c r="CB39" i="8"/>
  <c r="CD39" i="8"/>
  <c r="CB33" i="8"/>
  <c r="CA33" i="8"/>
  <c r="BY42" i="8"/>
  <c r="CE42" i="8" s="1"/>
  <c r="DJ42" i="8"/>
  <c r="AC42" i="8"/>
  <c r="CA31" i="8"/>
  <c r="CA44" i="8"/>
  <c r="CB44" i="8"/>
  <c r="AA33" i="8"/>
  <c r="DK33" i="8" s="1"/>
  <c r="CD31" i="8"/>
  <c r="AA36" i="8"/>
  <c r="CD36" i="8" s="1"/>
  <c r="CD44" i="8"/>
  <c r="CA34" i="8"/>
  <c r="CB34" i="8"/>
  <c r="CW43" i="8"/>
  <c r="DJ43" i="8" s="1"/>
  <c r="CW32" i="8"/>
  <c r="DJ41" i="8"/>
  <c r="DF41" i="8"/>
  <c r="DL41" i="8" s="1"/>
  <c r="BY41" i="8"/>
  <c r="CE41" i="8" s="1"/>
  <c r="BI42" i="8"/>
  <c r="BY43" i="8"/>
  <c r="CE43" i="8" s="1"/>
  <c r="CC43" i="8"/>
  <c r="DF43" i="8"/>
  <c r="DL43" i="8" s="1"/>
  <c r="AC43" i="8"/>
  <c r="AC37" i="8"/>
  <c r="DJ39" i="8"/>
  <c r="BY39" i="8"/>
  <c r="CE39" i="8" s="1"/>
  <c r="CC39" i="8"/>
  <c r="DF39" i="8"/>
  <c r="DL39" i="8" s="1"/>
  <c r="AC39" i="8"/>
  <c r="AA35" i="8"/>
  <c r="CW37" i="8"/>
  <c r="AC44" i="8"/>
  <c r="DF44" i="8"/>
  <c r="DL44" i="8" s="1"/>
  <c r="BY44" i="8"/>
  <c r="CE44" i="8" s="1"/>
  <c r="DJ44" i="8"/>
  <c r="CC44" i="8"/>
  <c r="AA34" i="8"/>
  <c r="CD34" i="8" s="1"/>
  <c r="BI43" i="8"/>
  <c r="BP41" i="8"/>
  <c r="CC41" i="8" s="1"/>
  <c r="DH40" i="8"/>
  <c r="DI40" i="8"/>
  <c r="CB37" i="8"/>
  <c r="CA37" i="8"/>
  <c r="CA36" i="8"/>
  <c r="CB36" i="8"/>
  <c r="CP34" i="8"/>
  <c r="CP43" i="8"/>
  <c r="DK43" i="8" s="1"/>
  <c r="AC40" i="8"/>
  <c r="DF40" i="8"/>
  <c r="DL40" i="8" s="1"/>
  <c r="BY40" i="8"/>
  <c r="CE40" i="8" s="1"/>
  <c r="DJ40" i="8"/>
  <c r="CC40" i="8"/>
  <c r="AA32" i="8"/>
  <c r="CD32" i="8" s="1"/>
  <c r="Y46" i="8"/>
  <c r="Z30" i="8"/>
  <c r="AB30" i="8" s="1"/>
  <c r="BY38" i="8"/>
  <c r="CE38" i="8" s="1"/>
  <c r="AC38" i="8"/>
  <c r="CC38" i="8"/>
  <c r="DJ38" i="8"/>
  <c r="DF38" i="8"/>
  <c r="DL38" i="8" s="1"/>
  <c r="DJ31" i="8"/>
  <c r="CC31" i="8"/>
  <c r="BY31" i="8"/>
  <c r="CE31" i="8" s="1"/>
  <c r="DF31" i="8"/>
  <c r="DL31" i="8" s="1"/>
  <c r="AC31" i="8"/>
  <c r="DH23" i="8"/>
  <c r="DI23" i="8"/>
  <c r="BO24" i="8"/>
  <c r="BP24" i="8" s="1"/>
  <c r="DI19" i="8"/>
  <c r="CA19" i="8"/>
  <c r="CP11" i="8"/>
  <c r="CP17" i="8"/>
  <c r="BP12" i="8"/>
  <c r="CB12" i="8" s="1"/>
  <c r="CP10" i="8"/>
  <c r="CP14" i="8"/>
  <c r="BP17" i="8"/>
  <c r="BI16" i="8"/>
  <c r="BI14" i="8"/>
  <c r="BO13" i="8"/>
  <c r="BP13" i="8" s="1"/>
  <c r="CW11" i="8"/>
  <c r="DI11" i="8" s="1"/>
  <c r="BO11" i="8"/>
  <c r="BP11" i="8" s="1"/>
  <c r="CB11" i="8" s="1"/>
  <c r="BP10" i="8"/>
  <c r="BO16" i="8"/>
  <c r="BP16" i="8" s="1"/>
  <c r="BO15" i="8"/>
  <c r="BP15" i="8" s="1"/>
  <c r="BI18" i="8"/>
  <c r="DH15" i="8"/>
  <c r="F368" i="7"/>
  <c r="S368" i="7" s="1"/>
  <c r="F365" i="7"/>
  <c r="S365" i="7" s="1"/>
  <c r="Q365" i="7" s="1"/>
  <c r="L365" i="7" s="1"/>
  <c r="M365" i="7" s="1"/>
  <c r="F346" i="7"/>
  <c r="Q345" i="7" s="1"/>
  <c r="D397" i="7"/>
  <c r="H396" i="7" s="1"/>
  <c r="F396" i="7" s="1"/>
  <c r="S396" i="7" s="1"/>
  <c r="Q396" i="7" s="1"/>
  <c r="AD370" i="7"/>
  <c r="AG373" i="7"/>
  <c r="X405" i="7"/>
  <c r="V405" i="7" s="1"/>
  <c r="X368" i="7"/>
  <c r="V368" i="7" s="1"/>
  <c r="D404" i="7"/>
  <c r="H403" i="7" s="1"/>
  <c r="F403" i="7" s="1"/>
  <c r="S403" i="7" s="1"/>
  <c r="Q403" i="7" s="1"/>
  <c r="N403" i="7" s="1"/>
  <c r="O403" i="7" s="1"/>
  <c r="F416" i="7"/>
  <c r="S416" i="7" s="1"/>
  <c r="Q416" i="7" s="1"/>
  <c r="L416" i="7" s="1"/>
  <c r="M416" i="7" s="1"/>
  <c r="AL409" i="7"/>
  <c r="AK346" i="7"/>
  <c r="AG346" i="7"/>
  <c r="AI363" i="7"/>
  <c r="AJ363" i="7"/>
  <c r="AD363" i="7"/>
  <c r="AD346" i="7"/>
  <c r="D364" i="7"/>
  <c r="H363" i="7" s="1"/>
  <c r="F363" i="7" s="1"/>
  <c r="S363" i="7" s="1"/>
  <c r="Q363" i="7" s="1"/>
  <c r="N363" i="7" s="1"/>
  <c r="O363" i="7" s="1"/>
  <c r="AD419" i="7"/>
  <c r="AG363" i="7"/>
  <c r="F375" i="7"/>
  <c r="S375" i="7" s="1"/>
  <c r="AD396" i="7"/>
  <c r="AB416" i="7"/>
  <c r="AL416" i="7" s="1"/>
  <c r="AD368" i="7"/>
  <c r="AB405" i="7"/>
  <c r="AL405" i="7" s="1"/>
  <c r="AB365" i="7"/>
  <c r="AG365" i="7" s="1"/>
  <c r="AG375" i="7"/>
  <c r="AD403" i="7"/>
  <c r="F409" i="7"/>
  <c r="S409" i="7" s="1"/>
  <c r="AL411" i="7"/>
  <c r="X375" i="7"/>
  <c r="V375" i="7" s="1"/>
  <c r="AL398" i="7"/>
  <c r="X370" i="7"/>
  <c r="V370" i="7" s="1"/>
  <c r="AC401" i="7"/>
  <c r="AH370" i="7"/>
  <c r="AG370" i="7"/>
  <c r="AD373" i="7"/>
  <c r="AJ373" i="7"/>
  <c r="AI373" i="7"/>
  <c r="AH373" i="7"/>
  <c r="AL414" i="7"/>
  <c r="AD414" i="7"/>
  <c r="AL419" i="7"/>
  <c r="AL403" i="7"/>
  <c r="AD398" i="7"/>
  <c r="AH375" i="7"/>
  <c r="AD375" i="7"/>
  <c r="AJ375" i="7"/>
  <c r="AI375" i="7"/>
  <c r="AL396" i="7"/>
  <c r="AD411" i="7"/>
  <c r="AH346" i="7"/>
  <c r="AH368" i="7"/>
  <c r="AI370" i="7"/>
  <c r="D412" i="7"/>
  <c r="H411" i="7" s="1"/>
  <c r="F411" i="7" s="1"/>
  <c r="S411" i="7" s="1"/>
  <c r="Q411" i="7" s="1"/>
  <c r="AI346" i="7"/>
  <c r="AH363" i="7"/>
  <c r="AI368" i="7"/>
  <c r="AJ370" i="7"/>
  <c r="AJ346" i="7"/>
  <c r="AJ368" i="7"/>
  <c r="X409" i="7"/>
  <c r="V409" i="7" s="1"/>
  <c r="D374" i="7"/>
  <c r="H373" i="7" s="1"/>
  <c r="F373" i="7" s="1"/>
  <c r="S373" i="7" s="1"/>
  <c r="Q373" i="7" s="1"/>
  <c r="AC60" i="8" l="1"/>
  <c r="G212" i="7"/>
  <c r="G212" i="15"/>
  <c r="G227" i="7"/>
  <c r="G227" i="15"/>
  <c r="G242" i="7"/>
  <c r="G242" i="15"/>
  <c r="G257" i="7"/>
  <c r="G257" i="15"/>
  <c r="I272" i="15"/>
  <c r="C308" i="8"/>
  <c r="G272" i="7"/>
  <c r="G272" i="15"/>
  <c r="G288" i="7"/>
  <c r="G288" i="15"/>
  <c r="E288" i="7"/>
  <c r="E288" i="15"/>
  <c r="E289" i="7"/>
  <c r="X287" i="7" s="1"/>
  <c r="V287" i="7" s="1"/>
  <c r="E289" i="15"/>
  <c r="X287" i="15" s="1"/>
  <c r="V287" i="15" s="1"/>
  <c r="I289" i="7"/>
  <c r="W287" i="7" s="1"/>
  <c r="I289" i="15"/>
  <c r="W287" i="15" s="1"/>
  <c r="AP330" i="8"/>
  <c r="E290" i="15" s="1"/>
  <c r="I287" i="15"/>
  <c r="C328" i="8"/>
  <c r="AP350" i="8"/>
  <c r="E305" i="15" s="1"/>
  <c r="I302" i="15"/>
  <c r="C348" i="8"/>
  <c r="G303" i="7"/>
  <c r="G303" i="15"/>
  <c r="E303" i="7"/>
  <c r="E303" i="15"/>
  <c r="E304" i="7"/>
  <c r="X302" i="7" s="1"/>
  <c r="V302" i="7" s="1"/>
  <c r="E304" i="15"/>
  <c r="X302" i="15" s="1"/>
  <c r="V302" i="15" s="1"/>
  <c r="I304" i="7"/>
  <c r="W302" i="7" s="1"/>
  <c r="I304" i="15"/>
  <c r="W302" i="15" s="1"/>
  <c r="G317" i="7"/>
  <c r="G317" i="15"/>
  <c r="AM302" i="15"/>
  <c r="AF302" i="15"/>
  <c r="AA302" i="15"/>
  <c r="Z302" i="15"/>
  <c r="U302" i="15"/>
  <c r="Y302" i="15"/>
  <c r="AN302" i="15"/>
  <c r="AA287" i="15"/>
  <c r="AN287" i="15"/>
  <c r="AM287" i="15"/>
  <c r="Y287" i="15"/>
  <c r="U287" i="15"/>
  <c r="AF287" i="15"/>
  <c r="Z287" i="15"/>
  <c r="DF75" i="8"/>
  <c r="DL75" i="8" s="1"/>
  <c r="DF182" i="8"/>
  <c r="DL182" i="8" s="1"/>
  <c r="DK182" i="8"/>
  <c r="DH18" i="8"/>
  <c r="CA20" i="8"/>
  <c r="M499" i="15"/>
  <c r="DH12" i="8"/>
  <c r="DI25" i="8"/>
  <c r="DH13" i="8"/>
  <c r="AB17" i="8"/>
  <c r="AB17" i="14" s="1"/>
  <c r="DH17" i="8"/>
  <c r="AB25" i="8"/>
  <c r="AB25" i="14" s="1"/>
  <c r="AA17" i="8"/>
  <c r="DK17" i="8" s="1"/>
  <c r="AA25" i="8"/>
  <c r="CD25" i="8" s="1"/>
  <c r="DH10" i="8"/>
  <c r="AB22" i="8"/>
  <c r="AB22" i="14" s="1"/>
  <c r="AA22" i="8"/>
  <c r="AC22" i="8" s="1"/>
  <c r="AC22" i="14" s="1"/>
  <c r="Y26" i="14"/>
  <c r="AB24" i="8"/>
  <c r="AB24" i="14" s="1"/>
  <c r="Z24" i="14"/>
  <c r="AA24" i="8"/>
  <c r="CD24" i="8" s="1"/>
  <c r="AB23" i="8"/>
  <c r="AB23" i="14" s="1"/>
  <c r="Z23" i="14"/>
  <c r="AA21" i="14"/>
  <c r="AB21" i="8"/>
  <c r="DJ21" i="8" s="1"/>
  <c r="Z21" i="14"/>
  <c r="AB20" i="8"/>
  <c r="AB20" i="14" s="1"/>
  <c r="Z20" i="14"/>
  <c r="AA20" i="8"/>
  <c r="AB19" i="8"/>
  <c r="AB19" i="14" s="1"/>
  <c r="Z19" i="14"/>
  <c r="AA19" i="8"/>
  <c r="AB18" i="8"/>
  <c r="AB18" i="14" s="1"/>
  <c r="Z18" i="14"/>
  <c r="AA18" i="8"/>
  <c r="AC18" i="8" s="1"/>
  <c r="AC18" i="14" s="1"/>
  <c r="AB16" i="8"/>
  <c r="AB16" i="14" s="1"/>
  <c r="Z16" i="14"/>
  <c r="AA16" i="8"/>
  <c r="CD16" i="8" s="1"/>
  <c r="AB15" i="8"/>
  <c r="AB15" i="14" s="1"/>
  <c r="Z15" i="14"/>
  <c r="AA15" i="8"/>
  <c r="AC15" i="8" s="1"/>
  <c r="AC15" i="14" s="1"/>
  <c r="AB14" i="8"/>
  <c r="AB14" i="14" s="1"/>
  <c r="Z14" i="14"/>
  <c r="AB13" i="8"/>
  <c r="AB13" i="14" s="1"/>
  <c r="Z13" i="14"/>
  <c r="AA13" i="8"/>
  <c r="AC13" i="8" s="1"/>
  <c r="AC13" i="14" s="1"/>
  <c r="AB12" i="8"/>
  <c r="AB12" i="14" s="1"/>
  <c r="Z12" i="14"/>
  <c r="AB11" i="8"/>
  <c r="AB11" i="14" s="1"/>
  <c r="Z11" i="14"/>
  <c r="DK21" i="8"/>
  <c r="DI21" i="8"/>
  <c r="AP390" i="8"/>
  <c r="AM317" i="7"/>
  <c r="U317" i="7"/>
  <c r="AA317" i="7"/>
  <c r="Z317" i="7"/>
  <c r="AN317" i="7"/>
  <c r="Y317" i="7"/>
  <c r="AF317" i="7"/>
  <c r="AC302" i="7"/>
  <c r="F309" i="7"/>
  <c r="AB302" i="7"/>
  <c r="E309" i="7"/>
  <c r="F294" i="7"/>
  <c r="AC287" i="7"/>
  <c r="AB287" i="7"/>
  <c r="E294" i="7"/>
  <c r="Z272" i="7"/>
  <c r="Y272" i="7"/>
  <c r="AN272" i="7"/>
  <c r="AM272" i="7"/>
  <c r="AF272" i="7"/>
  <c r="U272" i="7"/>
  <c r="AA272" i="7"/>
  <c r="AN257" i="7"/>
  <c r="AM257" i="7"/>
  <c r="AF257" i="7"/>
  <c r="U257" i="7"/>
  <c r="Y257" i="7"/>
  <c r="AA257" i="7"/>
  <c r="Z257" i="7"/>
  <c r="AF242" i="7"/>
  <c r="U242" i="7"/>
  <c r="AN242" i="7"/>
  <c r="AM242" i="7"/>
  <c r="AA242" i="7"/>
  <c r="Z242" i="7"/>
  <c r="Y242" i="7"/>
  <c r="AJ286" i="8"/>
  <c r="AS270" i="8" s="1"/>
  <c r="AV270" i="8" s="1"/>
  <c r="AA227" i="7"/>
  <c r="Z227" i="7"/>
  <c r="Y227" i="7"/>
  <c r="AN227" i="7"/>
  <c r="AM227" i="7"/>
  <c r="AF227" i="7"/>
  <c r="U227" i="7"/>
  <c r="AJ246" i="8"/>
  <c r="Z212" i="7"/>
  <c r="Y212" i="7"/>
  <c r="AN212" i="7"/>
  <c r="AM212" i="7"/>
  <c r="AA212" i="7"/>
  <c r="AF212" i="7"/>
  <c r="U212" i="7"/>
  <c r="AJ198" i="8"/>
  <c r="AF198" i="8"/>
  <c r="CD23" i="8"/>
  <c r="CB23" i="8"/>
  <c r="DF56" i="8"/>
  <c r="DL56" i="8" s="1"/>
  <c r="BY56" i="8"/>
  <c r="CE56" i="8" s="1"/>
  <c r="AI56" i="8" s="1"/>
  <c r="CD56" i="8"/>
  <c r="DJ56" i="8"/>
  <c r="DK56" i="8"/>
  <c r="BY118" i="8"/>
  <c r="CE118" i="8" s="1"/>
  <c r="DJ118" i="8"/>
  <c r="AG370" i="8"/>
  <c r="AG386" i="8" s="1"/>
  <c r="AQ370" i="8" s="1"/>
  <c r="AS370" i="8"/>
  <c r="I302" i="7"/>
  <c r="I287" i="7"/>
  <c r="I272" i="7"/>
  <c r="D271" i="7" s="1"/>
  <c r="AG286" i="8"/>
  <c r="AQ270" i="8" s="1"/>
  <c r="AF246" i="8"/>
  <c r="DF225" i="8"/>
  <c r="DL225" i="8" s="1"/>
  <c r="DJ185" i="8"/>
  <c r="BY185" i="8"/>
  <c r="CE185" i="8" s="1"/>
  <c r="DK92" i="8"/>
  <c r="AC92" i="8"/>
  <c r="CC82" i="8"/>
  <c r="AC82" i="8"/>
  <c r="AV390" i="8"/>
  <c r="AT390" i="8"/>
  <c r="AV370" i="8"/>
  <c r="AT370" i="8"/>
  <c r="AN370" i="8"/>
  <c r="AL371" i="8"/>
  <c r="E318" i="15" s="1"/>
  <c r="AL373" i="8"/>
  <c r="AO370" i="8"/>
  <c r="AT350" i="8"/>
  <c r="AV350" i="8"/>
  <c r="E305" i="7"/>
  <c r="G305" i="7" s="1"/>
  <c r="AL359" i="8"/>
  <c r="AL355" i="8" s="1"/>
  <c r="AV330" i="8"/>
  <c r="AT330" i="8"/>
  <c r="AS310" i="8"/>
  <c r="AO310" i="8"/>
  <c r="AN310" i="8"/>
  <c r="AL311" i="8"/>
  <c r="AL313" i="8"/>
  <c r="AJ306" i="8"/>
  <c r="AS290" i="8" s="1"/>
  <c r="AG290" i="8"/>
  <c r="AG306" i="8" s="1"/>
  <c r="AQ290" i="8" s="1"/>
  <c r="AO290" i="8"/>
  <c r="AN290" i="8"/>
  <c r="AL291" i="8"/>
  <c r="E258" i="15" s="1"/>
  <c r="AL293" i="8"/>
  <c r="AO270" i="8"/>
  <c r="AN270" i="8"/>
  <c r="AL273" i="8"/>
  <c r="AL271" i="8"/>
  <c r="E243" i="15" s="1"/>
  <c r="AG250" i="8"/>
  <c r="AG266" i="8" s="1"/>
  <c r="AQ250" i="8" s="1"/>
  <c r="AV250" i="8"/>
  <c r="AT250" i="8"/>
  <c r="AN250" i="8"/>
  <c r="AL251" i="8"/>
  <c r="E228" i="15" s="1"/>
  <c r="AL253" i="8"/>
  <c r="AO250" i="8"/>
  <c r="AN230" i="8"/>
  <c r="AL231" i="8"/>
  <c r="AL233" i="8"/>
  <c r="AO230" i="8"/>
  <c r="AG230" i="8"/>
  <c r="AG246" i="8" s="1"/>
  <c r="AQ230" i="8" s="1"/>
  <c r="AS230" i="8"/>
  <c r="CA45" i="8"/>
  <c r="CC45" i="8"/>
  <c r="CB45" i="8"/>
  <c r="DF136" i="8"/>
  <c r="DL136" i="8" s="1"/>
  <c r="DH21" i="8"/>
  <c r="CB130" i="8"/>
  <c r="CA130" i="8"/>
  <c r="AC136" i="8"/>
  <c r="DI160" i="8"/>
  <c r="DH22" i="8"/>
  <c r="CB50" i="8"/>
  <c r="CB102" i="8"/>
  <c r="DK113" i="8"/>
  <c r="DM113" i="8" s="1"/>
  <c r="DN113" i="8" s="1"/>
  <c r="DJ156" i="8"/>
  <c r="AC130" i="8"/>
  <c r="CC60" i="8"/>
  <c r="CF60" i="8" s="1"/>
  <c r="AD60" i="8" s="1"/>
  <c r="AE60" i="8" s="1"/>
  <c r="AC102" i="8"/>
  <c r="CC130" i="8"/>
  <c r="CC142" i="8"/>
  <c r="CF142" i="8" s="1"/>
  <c r="AC185" i="8"/>
  <c r="CB182" i="8"/>
  <c r="DM212" i="8"/>
  <c r="DN212" i="8" s="1"/>
  <c r="CD211" i="8"/>
  <c r="DJ60" i="8"/>
  <c r="CD113" i="8"/>
  <c r="DK136" i="8"/>
  <c r="CA136" i="8"/>
  <c r="DK131" i="8"/>
  <c r="DM131" i="8" s="1"/>
  <c r="CB94" i="8"/>
  <c r="DK41" i="8"/>
  <c r="DH60" i="8"/>
  <c r="DI60" i="8"/>
  <c r="BY60" i="8"/>
  <c r="CE60" i="8" s="1"/>
  <c r="CC102" i="8"/>
  <c r="CA95" i="8"/>
  <c r="DI156" i="8"/>
  <c r="CD212" i="8"/>
  <c r="DK60" i="8"/>
  <c r="CD130" i="8"/>
  <c r="CB22" i="8"/>
  <c r="CB95" i="8"/>
  <c r="CB205" i="8"/>
  <c r="CA22" i="8"/>
  <c r="DF60" i="8"/>
  <c r="DL60" i="8" s="1"/>
  <c r="BY113" i="8"/>
  <c r="CE113" i="8" s="1"/>
  <c r="AI113" i="8" s="1"/>
  <c r="DI24" i="8"/>
  <c r="DH197" i="8"/>
  <c r="CC202" i="8"/>
  <c r="CF202" i="8" s="1"/>
  <c r="AD202" i="8" s="1"/>
  <c r="AE202" i="8" s="1"/>
  <c r="DI31" i="8"/>
  <c r="CF170" i="8"/>
  <c r="AD170" i="8" s="1"/>
  <c r="AE170" i="8" s="1"/>
  <c r="CB177" i="8"/>
  <c r="CA177" i="8"/>
  <c r="CB25" i="8"/>
  <c r="AC21" i="8"/>
  <c r="AC21" i="14" s="1"/>
  <c r="DH34" i="8"/>
  <c r="DF45" i="8"/>
  <c r="DL45" i="8" s="1"/>
  <c r="DI45" i="8"/>
  <c r="DF64" i="8"/>
  <c r="DL64" i="8" s="1"/>
  <c r="AC95" i="8"/>
  <c r="DI102" i="8"/>
  <c r="CC131" i="8"/>
  <c r="CC137" i="8"/>
  <c r="CA137" i="8"/>
  <c r="CD177" i="8"/>
  <c r="CC181" i="8"/>
  <c r="DI16" i="8"/>
  <c r="DK11" i="8"/>
  <c r="CA32" i="8"/>
  <c r="CA42" i="8"/>
  <c r="DM75" i="8"/>
  <c r="CD95" i="8"/>
  <c r="CF95" i="8" s="1"/>
  <c r="AD95" i="8" s="1"/>
  <c r="AE95" i="8" s="1"/>
  <c r="CD160" i="8"/>
  <c r="CA181" i="8"/>
  <c r="DH205" i="8"/>
  <c r="CA216" i="8"/>
  <c r="DM162" i="8"/>
  <c r="DI117" i="8"/>
  <c r="DH117" i="8"/>
  <c r="AC25" i="8"/>
  <c r="AC25" i="14" s="1"/>
  <c r="DH39" i="8"/>
  <c r="DM39" i="8" s="1"/>
  <c r="DN39" i="8" s="1"/>
  <c r="CD131" i="8"/>
  <c r="DH165" i="8"/>
  <c r="CB181" i="8"/>
  <c r="CB216" i="8"/>
  <c r="CD217" i="8"/>
  <c r="CF38" i="8"/>
  <c r="AD38" i="8" s="1"/>
  <c r="AE38" i="8" s="1"/>
  <c r="CD45" i="8"/>
  <c r="CB35" i="8"/>
  <c r="CC64" i="8"/>
  <c r="CF64" i="8" s="1"/>
  <c r="AD64" i="8" s="1"/>
  <c r="AE64" i="8" s="1"/>
  <c r="BY131" i="8"/>
  <c r="CE131" i="8" s="1"/>
  <c r="AI131" i="8" s="1"/>
  <c r="DJ165" i="8"/>
  <c r="DH177" i="8"/>
  <c r="CB184" i="8"/>
  <c r="CB30" i="8"/>
  <c r="CA30" i="8"/>
  <c r="DJ45" i="8"/>
  <c r="CA25" i="8"/>
  <c r="AC45" i="8"/>
  <c r="DJ64" i="8"/>
  <c r="DM64" i="8" s="1"/>
  <c r="CA85" i="8"/>
  <c r="CD111" i="8"/>
  <c r="AC131" i="8"/>
  <c r="CD137" i="8"/>
  <c r="CF137" i="8" s="1"/>
  <c r="AD137" i="8" s="1"/>
  <c r="AE137" i="8" s="1"/>
  <c r="CC222" i="8"/>
  <c r="CA217" i="8"/>
  <c r="CA21" i="8"/>
  <c r="BY45" i="8"/>
  <c r="CE45" i="8" s="1"/>
  <c r="DF131" i="8"/>
  <c r="DL131" i="8" s="1"/>
  <c r="DK184" i="8"/>
  <c r="DJ142" i="8"/>
  <c r="AC181" i="8"/>
  <c r="CD157" i="8"/>
  <c r="AC157" i="8"/>
  <c r="CB157" i="8"/>
  <c r="CA157" i="8"/>
  <c r="CC157" i="8"/>
  <c r="CC165" i="8"/>
  <c r="CB165" i="8"/>
  <c r="CD165" i="8"/>
  <c r="CD14" i="8"/>
  <c r="DH58" i="8"/>
  <c r="CF125" i="8"/>
  <c r="AD125" i="8" s="1"/>
  <c r="AE125" i="8" s="1"/>
  <c r="AF125" i="8" s="1"/>
  <c r="DH193" i="8"/>
  <c r="CD199" i="8"/>
  <c r="CD59" i="8"/>
  <c r="DH161" i="8"/>
  <c r="CA11" i="8"/>
  <c r="DK143" i="8"/>
  <c r="DI161" i="8"/>
  <c r="DM161" i="8" s="1"/>
  <c r="DN161" i="8" s="1"/>
  <c r="CC199" i="8"/>
  <c r="AC216" i="8"/>
  <c r="CA14" i="8"/>
  <c r="DI35" i="8"/>
  <c r="AC199" i="8"/>
  <c r="DJ193" i="8"/>
  <c r="CA199" i="8"/>
  <c r="CD200" i="8"/>
  <c r="CD42" i="8"/>
  <c r="DH114" i="8"/>
  <c r="DH143" i="8"/>
  <c r="CA179" i="8"/>
  <c r="DI41" i="8"/>
  <c r="DH41" i="8"/>
  <c r="CC176" i="8"/>
  <c r="DJ202" i="8"/>
  <c r="DM202" i="8" s="1"/>
  <c r="DK192" i="8"/>
  <c r="DK211" i="8"/>
  <c r="DN53" i="8"/>
  <c r="CA100" i="8"/>
  <c r="CB100" i="8"/>
  <c r="CB117" i="8"/>
  <c r="CA117" i="8"/>
  <c r="AC138" i="8"/>
  <c r="CA221" i="8"/>
  <c r="CD176" i="8"/>
  <c r="DM31" i="8"/>
  <c r="DF37" i="8"/>
  <c r="DL37" i="8" s="1"/>
  <c r="DK42" i="8"/>
  <c r="DM42" i="8" s="1"/>
  <c r="DF42" i="8"/>
  <c r="DL42" i="8" s="1"/>
  <c r="CB59" i="8"/>
  <c r="CA165" i="8"/>
  <c r="CD180" i="8"/>
  <c r="DK215" i="8"/>
  <c r="CB214" i="8"/>
  <c r="CA214" i="8"/>
  <c r="CB145" i="8"/>
  <c r="CA145" i="8"/>
  <c r="DK32" i="8"/>
  <c r="CC42" i="8"/>
  <c r="DM56" i="8"/>
  <c r="DN56" i="8" s="1"/>
  <c r="CF56" i="8"/>
  <c r="AD56" i="8" s="1"/>
  <c r="AE56" i="8" s="1"/>
  <c r="CF53" i="8"/>
  <c r="AD53" i="8" s="1"/>
  <c r="AE53" i="8" s="1"/>
  <c r="AF53" i="8" s="1"/>
  <c r="DK111" i="8"/>
  <c r="CB135" i="8"/>
  <c r="CD153" i="8"/>
  <c r="AC159" i="8"/>
  <c r="AC165" i="8"/>
  <c r="DM178" i="8"/>
  <c r="DN178" i="8" s="1"/>
  <c r="DM71" i="8"/>
  <c r="CB57" i="8"/>
  <c r="CA57" i="8"/>
  <c r="AC145" i="8"/>
  <c r="AC176" i="8"/>
  <c r="CB176" i="8"/>
  <c r="CD201" i="8"/>
  <c r="CC37" i="8"/>
  <c r="CF37" i="8" s="1"/>
  <c r="AD37" i="8" s="1"/>
  <c r="AE37" i="8" s="1"/>
  <c r="CD114" i="8"/>
  <c r="DK59" i="8"/>
  <c r="DM104" i="8"/>
  <c r="DN104" i="8" s="1"/>
  <c r="CA97" i="8"/>
  <c r="CD141" i="8"/>
  <c r="CD140" i="8"/>
  <c r="CC145" i="8"/>
  <c r="CD179" i="8"/>
  <c r="CC225" i="8"/>
  <c r="BY82" i="8"/>
  <c r="CE82" i="8" s="1"/>
  <c r="CB158" i="8"/>
  <c r="CA158" i="8"/>
  <c r="CF158" i="8" s="1"/>
  <c r="DK84" i="8"/>
  <c r="DJ222" i="8"/>
  <c r="CF218" i="8"/>
  <c r="AD218" i="8" s="1"/>
  <c r="AE218" i="8" s="1"/>
  <c r="DH62" i="8"/>
  <c r="DI62" i="8"/>
  <c r="CB73" i="8"/>
  <c r="AC73" i="8"/>
  <c r="CA73" i="8"/>
  <c r="DM77" i="8"/>
  <c r="AC96" i="8"/>
  <c r="CD119" i="8"/>
  <c r="CD224" i="8"/>
  <c r="CD33" i="8"/>
  <c r="AB106" i="8"/>
  <c r="DK124" i="8"/>
  <c r="CF197" i="8"/>
  <c r="AD197" i="8" s="1"/>
  <c r="AE197" i="8" s="1"/>
  <c r="AF197" i="8" s="1"/>
  <c r="CB220" i="8"/>
  <c r="DF142" i="8"/>
  <c r="DL142" i="8" s="1"/>
  <c r="DH51" i="8"/>
  <c r="DI51" i="8"/>
  <c r="CD58" i="8"/>
  <c r="DK81" i="8"/>
  <c r="CD159" i="8"/>
  <c r="DM96" i="8"/>
  <c r="DN96" i="8" s="1"/>
  <c r="DI204" i="8"/>
  <c r="DH204" i="8"/>
  <c r="CF145" i="8"/>
  <c r="AD145" i="8" s="1"/>
  <c r="AE145" i="8" s="1"/>
  <c r="AF145" i="8" s="1"/>
  <c r="CD175" i="8"/>
  <c r="CB114" i="8"/>
  <c r="CA114" i="8"/>
  <c r="DM145" i="8"/>
  <c r="DN145" i="8" s="1"/>
  <c r="CD72" i="8"/>
  <c r="DM38" i="8"/>
  <c r="DN38" i="8" s="1"/>
  <c r="Q368" i="7"/>
  <c r="L368" i="7" s="1"/>
  <c r="M368" i="7" s="1"/>
  <c r="S370" i="7"/>
  <c r="Q370" i="7" s="1"/>
  <c r="N370" i="7" s="1"/>
  <c r="O370" i="7" s="1"/>
  <c r="CA174" i="8"/>
  <c r="CB174" i="8"/>
  <c r="CD174" i="8"/>
  <c r="CC174" i="8"/>
  <c r="AC174" i="8"/>
  <c r="CA191" i="8"/>
  <c r="CB191" i="8"/>
  <c r="CD191" i="8"/>
  <c r="CC191" i="8"/>
  <c r="AC191" i="8"/>
  <c r="CB156" i="8"/>
  <c r="CA156" i="8"/>
  <c r="CF62" i="8"/>
  <c r="AD62" i="8" s="1"/>
  <c r="AE62" i="8" s="1"/>
  <c r="DM55" i="8"/>
  <c r="DN55" i="8" s="1"/>
  <c r="DJ138" i="8"/>
  <c r="CB178" i="8"/>
  <c r="CD63" i="8"/>
  <c r="CC73" i="8"/>
  <c r="CB74" i="8"/>
  <c r="CC92" i="8"/>
  <c r="DM92" i="8"/>
  <c r="DN92" i="8" s="1"/>
  <c r="DM125" i="8"/>
  <c r="DN125" i="8" s="1"/>
  <c r="AC113" i="8"/>
  <c r="CD163" i="8"/>
  <c r="CD151" i="8"/>
  <c r="CD156" i="8"/>
  <c r="CC185" i="8"/>
  <c r="CF185" i="8" s="1"/>
  <c r="AD185" i="8" s="1"/>
  <c r="AE185" i="8" s="1"/>
  <c r="DK221" i="8"/>
  <c r="DM225" i="8"/>
  <c r="DN225" i="8" s="1"/>
  <c r="DJ82" i="8"/>
  <c r="DF82" i="8"/>
  <c r="DL82" i="8" s="1"/>
  <c r="CF135" i="8"/>
  <c r="AD135" i="8" s="1"/>
  <c r="AE135" i="8" s="1"/>
  <c r="DH179" i="8"/>
  <c r="DI179" i="8"/>
  <c r="CD74" i="8"/>
  <c r="CC138" i="8"/>
  <c r="BY162" i="8"/>
  <c r="CE162" i="8" s="1"/>
  <c r="CC156" i="8"/>
  <c r="AC178" i="8"/>
  <c r="CA178" i="8"/>
  <c r="DK138" i="8"/>
  <c r="AC221" i="8"/>
  <c r="CD221" i="8"/>
  <c r="DF221" i="8"/>
  <c r="DL221" i="8" s="1"/>
  <c r="BY221" i="8"/>
  <c r="CE221" i="8" s="1"/>
  <c r="AI221" i="8" s="1"/>
  <c r="DH65" i="8"/>
  <c r="DI65" i="8"/>
  <c r="CD41" i="8"/>
  <c r="AC41" i="8"/>
  <c r="CA74" i="8"/>
  <c r="CD92" i="8"/>
  <c r="BY92" i="8"/>
  <c r="CE92" i="8" s="1"/>
  <c r="AI92" i="8" s="1"/>
  <c r="DM137" i="8"/>
  <c r="DN137" i="8" s="1"/>
  <c r="DM154" i="8"/>
  <c r="CC178" i="8"/>
  <c r="DF222" i="8"/>
  <c r="DL222" i="8" s="1"/>
  <c r="DK222" i="8"/>
  <c r="CD222" i="8"/>
  <c r="DH182" i="8"/>
  <c r="DJ182" i="8"/>
  <c r="DI182" i="8"/>
  <c r="CD21" i="8"/>
  <c r="AC74" i="8"/>
  <c r="DM115" i="8"/>
  <c r="DN115" i="8" s="1"/>
  <c r="AB146" i="8"/>
  <c r="AC156" i="8"/>
  <c r="DM164" i="8"/>
  <c r="DN164" i="8" s="1"/>
  <c r="CD154" i="8"/>
  <c r="DM163" i="8"/>
  <c r="DN163" i="8" s="1"/>
  <c r="CD184" i="8"/>
  <c r="DK175" i="8"/>
  <c r="CF182" i="8"/>
  <c r="AD182" i="8" s="1"/>
  <c r="AE182" i="8" s="1"/>
  <c r="CF171" i="8"/>
  <c r="AD171" i="8" s="1"/>
  <c r="AE171" i="8" s="1"/>
  <c r="CF204" i="8"/>
  <c r="AD204" i="8" s="1"/>
  <c r="AE204" i="8" s="1"/>
  <c r="DM195" i="8"/>
  <c r="DN195" i="8" s="1"/>
  <c r="DJ221" i="8"/>
  <c r="CC221" i="8"/>
  <c r="CD73" i="8"/>
  <c r="DJ216" i="8"/>
  <c r="DM216" i="8" s="1"/>
  <c r="BY216" i="8"/>
  <c r="CE216" i="8" s="1"/>
  <c r="AI216" i="8" s="1"/>
  <c r="DF216" i="8"/>
  <c r="DL216" i="8" s="1"/>
  <c r="CC216" i="8"/>
  <c r="DK82" i="8"/>
  <c r="CD94" i="8"/>
  <c r="DM130" i="8"/>
  <c r="DN130" i="8" s="1"/>
  <c r="DM165" i="8"/>
  <c r="DN165" i="8" s="1"/>
  <c r="AA186" i="8"/>
  <c r="CB180" i="8"/>
  <c r="DJ170" i="8"/>
  <c r="DM198" i="8"/>
  <c r="DN198" i="8" s="1"/>
  <c r="CA193" i="8"/>
  <c r="DM219" i="8"/>
  <c r="DN219" i="8" s="1"/>
  <c r="DI121" i="8"/>
  <c r="DH121" i="8"/>
  <c r="CB132" i="8"/>
  <c r="CA132" i="8"/>
  <c r="AC132" i="8"/>
  <c r="CD132" i="8"/>
  <c r="CC132" i="8"/>
  <c r="DF202" i="8"/>
  <c r="DL202" i="8" s="1"/>
  <c r="CF162" i="8"/>
  <c r="AD162" i="8" s="1"/>
  <c r="AE162" i="8" s="1"/>
  <c r="CC214" i="8"/>
  <c r="BY214" i="8"/>
  <c r="CE214" i="8" s="1"/>
  <c r="DK214" i="8"/>
  <c r="CD214" i="8"/>
  <c r="DJ214" i="8"/>
  <c r="AC214" i="8"/>
  <c r="DF214" i="8"/>
  <c r="DL214" i="8" s="1"/>
  <c r="DH142" i="8"/>
  <c r="DI142" i="8"/>
  <c r="CB18" i="8"/>
  <c r="CF54" i="8"/>
  <c r="AD54" i="8" s="1"/>
  <c r="AE54" i="8" s="1"/>
  <c r="CD50" i="8"/>
  <c r="DH57" i="8"/>
  <c r="CD83" i="8"/>
  <c r="CF104" i="8"/>
  <c r="AD104" i="8" s="1"/>
  <c r="AE104" i="8" s="1"/>
  <c r="CC113" i="8"/>
  <c r="CA141" i="8"/>
  <c r="BY138" i="8"/>
  <c r="CE138" i="8" s="1"/>
  <c r="AI138" i="8" s="1"/>
  <c r="DM132" i="8"/>
  <c r="DN132" i="8" s="1"/>
  <c r="DF162" i="8"/>
  <c r="DL162" i="8" s="1"/>
  <c r="DK155" i="8"/>
  <c r="AB186" i="8"/>
  <c r="DM185" i="8"/>
  <c r="DN185" i="8" s="1"/>
  <c r="DH170" i="8"/>
  <c r="CD194" i="8"/>
  <c r="CB193" i="8"/>
  <c r="AC193" i="8"/>
  <c r="DH14" i="8"/>
  <c r="DI14" i="8"/>
  <c r="DH172" i="8"/>
  <c r="DI172" i="8"/>
  <c r="DN31" i="8"/>
  <c r="CF90" i="8"/>
  <c r="AD90" i="8" s="1"/>
  <c r="AE90" i="8" s="1"/>
  <c r="CC118" i="8"/>
  <c r="CD136" i="8"/>
  <c r="DK144" i="8"/>
  <c r="CC136" i="8"/>
  <c r="CC193" i="8"/>
  <c r="CA212" i="8"/>
  <c r="CB212" i="8"/>
  <c r="CF212" i="8" s="1"/>
  <c r="CA76" i="8"/>
  <c r="CB76" i="8"/>
  <c r="CA173" i="8"/>
  <c r="CB173" i="8"/>
  <c r="CA151" i="8"/>
  <c r="CB151" i="8"/>
  <c r="S346" i="7"/>
  <c r="Q346" i="7" s="1"/>
  <c r="L346" i="7" s="1"/>
  <c r="M346" i="7" s="1"/>
  <c r="Q375" i="7"/>
  <c r="L375" i="7" s="1"/>
  <c r="M375" i="7" s="1"/>
  <c r="L403" i="7"/>
  <c r="M403" i="7" s="1"/>
  <c r="Q405" i="7"/>
  <c r="N405" i="7" s="1"/>
  <c r="O405" i="7" s="1"/>
  <c r="AD405" i="7"/>
  <c r="L363" i="7"/>
  <c r="M363" i="7" s="1"/>
  <c r="AI225" i="8"/>
  <c r="AC220" i="8"/>
  <c r="DF220" i="8"/>
  <c r="DL220" i="8" s="1"/>
  <c r="BY220" i="8"/>
  <c r="CE220" i="8" s="1"/>
  <c r="DJ220" i="8"/>
  <c r="CC220" i="8"/>
  <c r="AC213" i="8"/>
  <c r="DF213" i="8"/>
  <c r="DL213" i="8" s="1"/>
  <c r="DJ213" i="8"/>
  <c r="CC213" i="8"/>
  <c r="CF213" i="8" s="1"/>
  <c r="AD213" i="8" s="1"/>
  <c r="AE213" i="8" s="1"/>
  <c r="BY213" i="8"/>
  <c r="CE213" i="8" s="1"/>
  <c r="Z226" i="8"/>
  <c r="AB226" i="8"/>
  <c r="AA210" i="8"/>
  <c r="CD210" i="8" s="1"/>
  <c r="DJ215" i="8"/>
  <c r="BY215" i="8"/>
  <c r="CE215" i="8" s="1"/>
  <c r="AC215" i="8"/>
  <c r="DF215" i="8"/>
  <c r="DL215" i="8" s="1"/>
  <c r="CC215" i="8"/>
  <c r="DF223" i="8"/>
  <c r="DL223" i="8" s="1"/>
  <c r="DJ223" i="8"/>
  <c r="CC223" i="8"/>
  <c r="AC223" i="8"/>
  <c r="BY223" i="8"/>
  <c r="CE223" i="8" s="1"/>
  <c r="DK220" i="8"/>
  <c r="DK213" i="8"/>
  <c r="CF219" i="8"/>
  <c r="DJ217" i="8"/>
  <c r="CC217" i="8"/>
  <c r="DF217" i="8"/>
  <c r="DL217" i="8" s="1"/>
  <c r="AC217" i="8"/>
  <c r="BY217" i="8"/>
  <c r="CE217" i="8" s="1"/>
  <c r="AC224" i="8"/>
  <c r="DF224" i="8"/>
  <c r="DL224" i="8" s="1"/>
  <c r="BY224" i="8"/>
  <c r="CE224" i="8" s="1"/>
  <c r="CC224" i="8"/>
  <c r="DJ224" i="8"/>
  <c r="DM224" i="8" s="1"/>
  <c r="DK217" i="8"/>
  <c r="DF211" i="8"/>
  <c r="DL211" i="8" s="1"/>
  <c r="AC211" i="8"/>
  <c r="BY211" i="8"/>
  <c r="CE211" i="8" s="1"/>
  <c r="DJ211" i="8"/>
  <c r="CC211" i="8"/>
  <c r="AI212" i="8"/>
  <c r="DK223" i="8"/>
  <c r="CD220" i="8"/>
  <c r="CF220" i="8" s="1"/>
  <c r="AD220" i="8" s="1"/>
  <c r="AE220" i="8" s="1"/>
  <c r="DM218" i="8"/>
  <c r="DN218" i="8" s="1"/>
  <c r="CD215" i="8"/>
  <c r="CB225" i="8"/>
  <c r="CA225" i="8"/>
  <c r="CD225" i="8"/>
  <c r="CD223" i="8"/>
  <c r="CG218" i="8"/>
  <c r="CB196" i="8"/>
  <c r="CA196" i="8"/>
  <c r="AI198" i="8"/>
  <c r="CG198" i="8"/>
  <c r="AI199" i="8"/>
  <c r="AI197" i="8"/>
  <c r="DI199" i="8"/>
  <c r="DH199" i="8"/>
  <c r="AI191" i="8"/>
  <c r="AI195" i="8"/>
  <c r="Z206" i="8"/>
  <c r="AA190" i="8"/>
  <c r="CD190" i="8" s="1"/>
  <c r="AB206" i="8"/>
  <c r="AC194" i="8"/>
  <c r="DF194" i="8"/>
  <c r="DL194" i="8" s="1"/>
  <c r="BY194" i="8"/>
  <c r="CE194" i="8" s="1"/>
  <c r="DJ194" i="8"/>
  <c r="DM194" i="8" s="1"/>
  <c r="CC194" i="8"/>
  <c r="AC200" i="8"/>
  <c r="DF200" i="8"/>
  <c r="DL200" i="8" s="1"/>
  <c r="BY200" i="8"/>
  <c r="CE200" i="8" s="1"/>
  <c r="DJ200" i="8"/>
  <c r="CC200" i="8"/>
  <c r="CD205" i="8"/>
  <c r="CB201" i="8"/>
  <c r="CA201" i="8"/>
  <c r="AI202" i="8"/>
  <c r="DF196" i="8"/>
  <c r="DL196" i="8" s="1"/>
  <c r="BY196" i="8"/>
  <c r="CE196" i="8" s="1"/>
  <c r="DJ196" i="8"/>
  <c r="AC196" i="8"/>
  <c r="CC196" i="8"/>
  <c r="DI196" i="8"/>
  <c r="DH196" i="8"/>
  <c r="CF195" i="8"/>
  <c r="AD195" i="8" s="1"/>
  <c r="AE195" i="8" s="1"/>
  <c r="DJ203" i="8"/>
  <c r="BY203" i="8"/>
  <c r="CE203" i="8" s="1"/>
  <c r="CC203" i="8"/>
  <c r="CF203" i="8" s="1"/>
  <c r="AD203" i="8" s="1"/>
  <c r="AE203" i="8" s="1"/>
  <c r="AC203" i="8"/>
  <c r="DF203" i="8"/>
  <c r="DL203" i="8" s="1"/>
  <c r="CA200" i="8"/>
  <c r="CB200" i="8"/>
  <c r="DM191" i="8"/>
  <c r="DN191" i="8" s="1"/>
  <c r="DJ205" i="8"/>
  <c r="DM205" i="8" s="1"/>
  <c r="CC205" i="8"/>
  <c r="AC205" i="8"/>
  <c r="DF205" i="8"/>
  <c r="DL205" i="8" s="1"/>
  <c r="BY205" i="8"/>
  <c r="CE205" i="8" s="1"/>
  <c r="AI204" i="8"/>
  <c r="AI193" i="8"/>
  <c r="DK203" i="8"/>
  <c r="DK200" i="8"/>
  <c r="DF192" i="8"/>
  <c r="DL192" i="8" s="1"/>
  <c r="CC192" i="8"/>
  <c r="CF192" i="8" s="1"/>
  <c r="AD192" i="8" s="1"/>
  <c r="AE192" i="8" s="1"/>
  <c r="BY192" i="8"/>
  <c r="CE192" i="8" s="1"/>
  <c r="AC192" i="8"/>
  <c r="DJ192" i="8"/>
  <c r="DJ201" i="8"/>
  <c r="DM201" i="8" s="1"/>
  <c r="CC201" i="8"/>
  <c r="AC201" i="8"/>
  <c r="DF201" i="8"/>
  <c r="DL201" i="8" s="1"/>
  <c r="BY201" i="8"/>
  <c r="CE201" i="8" s="1"/>
  <c r="CD196" i="8"/>
  <c r="DM197" i="8"/>
  <c r="DN197" i="8" s="1"/>
  <c r="DK196" i="8"/>
  <c r="DM193" i="8"/>
  <c r="DN193" i="8" s="1"/>
  <c r="AI176" i="8"/>
  <c r="AI178" i="8"/>
  <c r="DK173" i="8"/>
  <c r="DK172" i="8"/>
  <c r="DJ175" i="8"/>
  <c r="DM175" i="8" s="1"/>
  <c r="DF175" i="8"/>
  <c r="DL175" i="8" s="1"/>
  <c r="CC175" i="8"/>
  <c r="AC175" i="8"/>
  <c r="BY175" i="8"/>
  <c r="CE175" i="8" s="1"/>
  <c r="CD173" i="8"/>
  <c r="DM181" i="8"/>
  <c r="DN181" i="8" s="1"/>
  <c r="CF176" i="8"/>
  <c r="AD176" i="8" s="1"/>
  <c r="AE176" i="8" s="1"/>
  <c r="CB175" i="8"/>
  <c r="CA175" i="8"/>
  <c r="DJ177" i="8"/>
  <c r="CC177" i="8"/>
  <c r="AC177" i="8"/>
  <c r="BY177" i="8"/>
  <c r="CE177" i="8" s="1"/>
  <c r="DF177" i="8"/>
  <c r="DL177" i="8" s="1"/>
  <c r="AI181" i="8"/>
  <c r="AI171" i="8"/>
  <c r="AC180" i="8"/>
  <c r="DF180" i="8"/>
  <c r="DL180" i="8" s="1"/>
  <c r="BY180" i="8"/>
  <c r="CE180" i="8" s="1"/>
  <c r="CC180" i="8"/>
  <c r="DJ180" i="8"/>
  <c r="DM180" i="8" s="1"/>
  <c r="DM171" i="8"/>
  <c r="DN171" i="8" s="1"/>
  <c r="CC173" i="8"/>
  <c r="BY173" i="8"/>
  <c r="CE173" i="8" s="1"/>
  <c r="DF173" i="8"/>
  <c r="DL173" i="8" s="1"/>
  <c r="AC173" i="8"/>
  <c r="DJ173" i="8"/>
  <c r="AC172" i="8"/>
  <c r="DF172" i="8"/>
  <c r="DL172" i="8" s="1"/>
  <c r="BY172" i="8"/>
  <c r="CE172" i="8" s="1"/>
  <c r="DJ172" i="8"/>
  <c r="CC172" i="8"/>
  <c r="AI170" i="8"/>
  <c r="DJ179" i="8"/>
  <c r="CC179" i="8"/>
  <c r="AC179" i="8"/>
  <c r="BY179" i="8"/>
  <c r="CE179" i="8" s="1"/>
  <c r="DF179" i="8"/>
  <c r="DL179" i="8" s="1"/>
  <c r="DF183" i="8"/>
  <c r="DL183" i="8" s="1"/>
  <c r="CC183" i="8"/>
  <c r="DJ183" i="8"/>
  <c r="DM183" i="8" s="1"/>
  <c r="AC183" i="8"/>
  <c r="BY183" i="8"/>
  <c r="CE183" i="8" s="1"/>
  <c r="AI174" i="8"/>
  <c r="DM176" i="8"/>
  <c r="DN176" i="8" s="1"/>
  <c r="DK179" i="8"/>
  <c r="AI182" i="8"/>
  <c r="DK177" i="8"/>
  <c r="AC184" i="8"/>
  <c r="DF184" i="8"/>
  <c r="DL184" i="8" s="1"/>
  <c r="BY184" i="8"/>
  <c r="CE184" i="8" s="1"/>
  <c r="DJ184" i="8"/>
  <c r="CC184" i="8"/>
  <c r="CF184" i="8" s="1"/>
  <c r="AD184" i="8" s="1"/>
  <c r="AE184" i="8" s="1"/>
  <c r="DI174" i="8"/>
  <c r="DH174" i="8"/>
  <c r="CD172" i="8"/>
  <c r="CD183" i="8"/>
  <c r="AI185" i="8"/>
  <c r="AI152" i="8"/>
  <c r="AI157" i="8"/>
  <c r="AI162" i="8"/>
  <c r="AI161" i="8"/>
  <c r="AI158" i="8"/>
  <c r="AI163" i="8"/>
  <c r="Z166" i="8"/>
  <c r="AA150" i="8"/>
  <c r="DK150" i="8" s="1"/>
  <c r="AB166" i="8"/>
  <c r="DM158" i="8"/>
  <c r="DN158" i="8" s="1"/>
  <c r="CA163" i="8"/>
  <c r="CB163" i="8"/>
  <c r="CF164" i="8"/>
  <c r="AD164" i="8" s="1"/>
  <c r="AE164" i="8" s="1"/>
  <c r="CC163" i="8"/>
  <c r="CA154" i="8"/>
  <c r="CB154" i="8"/>
  <c r="DM152" i="8"/>
  <c r="DN152" i="8" s="1"/>
  <c r="AI159" i="8"/>
  <c r="AI164" i="8"/>
  <c r="CB161" i="8"/>
  <c r="CA161" i="8"/>
  <c r="CC151" i="8"/>
  <c r="AC151" i="8"/>
  <c r="DJ151" i="8"/>
  <c r="DM151" i="8" s="1"/>
  <c r="BY151" i="8"/>
  <c r="CE151" i="8" s="1"/>
  <c r="DF151" i="8"/>
  <c r="DL151" i="8" s="1"/>
  <c r="CC153" i="8"/>
  <c r="AC153" i="8"/>
  <c r="DJ153" i="8"/>
  <c r="DM153" i="8" s="1"/>
  <c r="BY153" i="8"/>
  <c r="CE153" i="8" s="1"/>
  <c r="DF153" i="8"/>
  <c r="DL153" i="8" s="1"/>
  <c r="CC161" i="8"/>
  <c r="AI154" i="8"/>
  <c r="DN154" i="8"/>
  <c r="DM159" i="8"/>
  <c r="DN159" i="8" s="1"/>
  <c r="CA159" i="8"/>
  <c r="CB159" i="8"/>
  <c r="DM157" i="8"/>
  <c r="DN157" i="8" s="1"/>
  <c r="CF152" i="8"/>
  <c r="AD152" i="8" s="1"/>
  <c r="AE152" i="8" s="1"/>
  <c r="AI165" i="8"/>
  <c r="AC161" i="8"/>
  <c r="DF155" i="8"/>
  <c r="DL155" i="8" s="1"/>
  <c r="BY155" i="8"/>
  <c r="CE155" i="8" s="1"/>
  <c r="AC155" i="8"/>
  <c r="CC155" i="8"/>
  <c r="CF155" i="8" s="1"/>
  <c r="AD155" i="8" s="1"/>
  <c r="AE155" i="8" s="1"/>
  <c r="DJ155" i="8"/>
  <c r="DM155" i="8" s="1"/>
  <c r="CD161" i="8"/>
  <c r="AI156" i="8"/>
  <c r="DI150" i="8"/>
  <c r="DH150" i="8"/>
  <c r="AC160" i="8"/>
  <c r="DF160" i="8"/>
  <c r="DL160" i="8" s="1"/>
  <c r="BY160" i="8"/>
  <c r="CE160" i="8" s="1"/>
  <c r="DJ160" i="8"/>
  <c r="DM160" i="8" s="1"/>
  <c r="CC160" i="8"/>
  <c r="AC154" i="8"/>
  <c r="AI135" i="8"/>
  <c r="AI133" i="8"/>
  <c r="AI145" i="8"/>
  <c r="DM135" i="8"/>
  <c r="DN135" i="8" s="1"/>
  <c r="DK134" i="8"/>
  <c r="AI137" i="8"/>
  <c r="AI130" i="8"/>
  <c r="AI136" i="8"/>
  <c r="CD139" i="8"/>
  <c r="AC140" i="8"/>
  <c r="DF140" i="8"/>
  <c r="DL140" i="8" s="1"/>
  <c r="BY140" i="8"/>
  <c r="CE140" i="8" s="1"/>
  <c r="DJ140" i="8"/>
  <c r="DM140" i="8" s="1"/>
  <c r="CC140" i="8"/>
  <c r="DJ141" i="8"/>
  <c r="DM141" i="8" s="1"/>
  <c r="CC141" i="8"/>
  <c r="AC141" i="8"/>
  <c r="DF141" i="8"/>
  <c r="DL141" i="8" s="1"/>
  <c r="BY141" i="8"/>
  <c r="CE141" i="8" s="1"/>
  <c r="DJ143" i="8"/>
  <c r="DM143" i="8" s="1"/>
  <c r="CC143" i="8"/>
  <c r="CF143" i="8" s="1"/>
  <c r="AD143" i="8" s="1"/>
  <c r="AE143" i="8" s="1"/>
  <c r="DF143" i="8"/>
  <c r="DL143" i="8" s="1"/>
  <c r="BY143" i="8"/>
  <c r="CE143" i="8" s="1"/>
  <c r="AC143" i="8"/>
  <c r="AC144" i="8"/>
  <c r="DF144" i="8"/>
  <c r="DL144" i="8" s="1"/>
  <c r="BY144" i="8"/>
  <c r="CE144" i="8" s="1"/>
  <c r="DJ144" i="8"/>
  <c r="DM144" i="8" s="1"/>
  <c r="CC144" i="8"/>
  <c r="CF144" i="8" s="1"/>
  <c r="AD144" i="8" s="1"/>
  <c r="AE144" i="8" s="1"/>
  <c r="CB138" i="8"/>
  <c r="CA138" i="8"/>
  <c r="CD138" i="8"/>
  <c r="DJ139" i="8"/>
  <c r="DM139" i="8" s="1"/>
  <c r="CC139" i="8"/>
  <c r="DF139" i="8"/>
  <c r="DL139" i="8" s="1"/>
  <c r="BY139" i="8"/>
  <c r="CE139" i="8" s="1"/>
  <c r="AC139" i="8"/>
  <c r="AC134" i="8"/>
  <c r="BY134" i="8"/>
  <c r="CE134" i="8" s="1"/>
  <c r="DJ134" i="8"/>
  <c r="CC134" i="8"/>
  <c r="DF134" i="8"/>
  <c r="DL134" i="8" s="1"/>
  <c r="DN133" i="8"/>
  <c r="CF133" i="8"/>
  <c r="AD133" i="8" s="1"/>
  <c r="AE133" i="8" s="1"/>
  <c r="AA146" i="8"/>
  <c r="CD134" i="8"/>
  <c r="DM136" i="8"/>
  <c r="DN136" i="8" s="1"/>
  <c r="AI120" i="8"/>
  <c r="Z126" i="8"/>
  <c r="AA110" i="8"/>
  <c r="DK110" i="8" s="1"/>
  <c r="AB126" i="8"/>
  <c r="CF120" i="8"/>
  <c r="AD120" i="8" s="1"/>
  <c r="AE120" i="8" s="1"/>
  <c r="CD118" i="8"/>
  <c r="DJ121" i="8"/>
  <c r="CC121" i="8"/>
  <c r="AC121" i="8"/>
  <c r="DF121" i="8"/>
  <c r="DL121" i="8" s="1"/>
  <c r="BY121" i="8"/>
  <c r="CE121" i="8" s="1"/>
  <c r="DK121" i="8"/>
  <c r="DM118" i="8"/>
  <c r="DN118" i="8" s="1"/>
  <c r="CD117" i="8"/>
  <c r="AI115" i="8"/>
  <c r="DJ123" i="8"/>
  <c r="CC123" i="8"/>
  <c r="DF123" i="8"/>
  <c r="DL123" i="8" s="1"/>
  <c r="AC123" i="8"/>
  <c r="BY123" i="8"/>
  <c r="CE123" i="8" s="1"/>
  <c r="AI112" i="8"/>
  <c r="AI122" i="8"/>
  <c r="DF111" i="8"/>
  <c r="DL111" i="8" s="1"/>
  <c r="BY111" i="8"/>
  <c r="CE111" i="8" s="1"/>
  <c r="AC111" i="8"/>
  <c r="DJ111" i="8"/>
  <c r="CC111" i="8"/>
  <c r="CF111" i="8" s="1"/>
  <c r="AD111" i="8" s="1"/>
  <c r="AE111" i="8" s="1"/>
  <c r="DN112" i="8"/>
  <c r="DM116" i="8"/>
  <c r="DN116" i="8" s="1"/>
  <c r="DM120" i="8"/>
  <c r="DN120" i="8" s="1"/>
  <c r="CB113" i="8"/>
  <c r="CA113" i="8"/>
  <c r="CD123" i="8"/>
  <c r="AI125" i="8"/>
  <c r="CF122" i="8"/>
  <c r="AD122" i="8" s="1"/>
  <c r="AE122" i="8" s="1"/>
  <c r="CF116" i="8"/>
  <c r="AD116" i="8" s="1"/>
  <c r="AE116" i="8" s="1"/>
  <c r="AI116" i="8"/>
  <c r="CF112" i="8"/>
  <c r="AD112" i="8" s="1"/>
  <c r="AE112" i="8" s="1"/>
  <c r="CA118" i="8"/>
  <c r="CB118" i="8"/>
  <c r="DF119" i="8"/>
  <c r="DL119" i="8" s="1"/>
  <c r="BY119" i="8"/>
  <c r="CE119" i="8" s="1"/>
  <c r="DJ119" i="8"/>
  <c r="DM119" i="8" s="1"/>
  <c r="CC119" i="8"/>
  <c r="AC119" i="8"/>
  <c r="DJ117" i="8"/>
  <c r="DM117" i="8" s="1"/>
  <c r="CC117" i="8"/>
  <c r="AC117" i="8"/>
  <c r="DF117" i="8"/>
  <c r="DL117" i="8" s="1"/>
  <c r="BY117" i="8"/>
  <c r="CE117" i="8" s="1"/>
  <c r="DM122" i="8"/>
  <c r="DN122" i="8" s="1"/>
  <c r="AI118" i="8"/>
  <c r="DF114" i="8"/>
  <c r="DL114" i="8" s="1"/>
  <c r="BY114" i="8"/>
  <c r="CE114" i="8" s="1"/>
  <c r="DJ114" i="8"/>
  <c r="CC114" i="8"/>
  <c r="AC114" i="8"/>
  <c r="CD121" i="8"/>
  <c r="DK123" i="8"/>
  <c r="DK114" i="8"/>
  <c r="AC124" i="8"/>
  <c r="DF124" i="8"/>
  <c r="DL124" i="8" s="1"/>
  <c r="BY124" i="8"/>
  <c r="CE124" i="8" s="1"/>
  <c r="DJ124" i="8"/>
  <c r="CC124" i="8"/>
  <c r="CF124" i="8" s="1"/>
  <c r="AD124" i="8" s="1"/>
  <c r="AE124" i="8" s="1"/>
  <c r="CF115" i="8"/>
  <c r="AD115" i="8" s="1"/>
  <c r="AE115" i="8" s="1"/>
  <c r="AI101" i="8"/>
  <c r="AC100" i="8"/>
  <c r="DF100" i="8"/>
  <c r="DL100" i="8" s="1"/>
  <c r="BY100" i="8"/>
  <c r="CE100" i="8" s="1"/>
  <c r="DJ100" i="8"/>
  <c r="CC100" i="8"/>
  <c r="AA106" i="8"/>
  <c r="CF105" i="8"/>
  <c r="AD105" i="8" s="1"/>
  <c r="AE105" i="8" s="1"/>
  <c r="CD99" i="8"/>
  <c r="DM102" i="8"/>
  <c r="DN102" i="8" s="1"/>
  <c r="DJ97" i="8"/>
  <c r="DM97" i="8" s="1"/>
  <c r="CC97" i="8"/>
  <c r="AC97" i="8"/>
  <c r="DF97" i="8"/>
  <c r="DL97" i="8" s="1"/>
  <c r="BY97" i="8"/>
  <c r="CE97" i="8" s="1"/>
  <c r="DK99" i="8"/>
  <c r="DF94" i="8"/>
  <c r="DL94" i="8" s="1"/>
  <c r="AC94" i="8"/>
  <c r="BY94" i="8"/>
  <c r="CE94" i="8" s="1"/>
  <c r="DJ94" i="8"/>
  <c r="DM94" i="8" s="1"/>
  <c r="CC94" i="8"/>
  <c r="CF94" i="8" s="1"/>
  <c r="AD94" i="8" s="1"/>
  <c r="AE94" i="8" s="1"/>
  <c r="DM101" i="8"/>
  <c r="DN101" i="8" s="1"/>
  <c r="DM105" i="8"/>
  <c r="DN105" i="8" s="1"/>
  <c r="CB91" i="8"/>
  <c r="CA91" i="8"/>
  <c r="CA96" i="8"/>
  <c r="CB96" i="8"/>
  <c r="CD96" i="8"/>
  <c r="CC91" i="8"/>
  <c r="AI102" i="8"/>
  <c r="AI95" i="8"/>
  <c r="AI104" i="8"/>
  <c r="AI91" i="8"/>
  <c r="DM93" i="8"/>
  <c r="DN93" i="8" s="1"/>
  <c r="AI96" i="8"/>
  <c r="BY103" i="8"/>
  <c r="CE103" i="8" s="1"/>
  <c r="DJ103" i="8"/>
  <c r="DM103" i="8" s="1"/>
  <c r="AC103" i="8"/>
  <c r="DF103" i="8"/>
  <c r="DL103" i="8" s="1"/>
  <c r="CC103" i="8"/>
  <c r="CF103" i="8" s="1"/>
  <c r="AD103" i="8" s="1"/>
  <c r="AE103" i="8" s="1"/>
  <c r="AI90" i="8"/>
  <c r="CD100" i="8"/>
  <c r="DM95" i="8"/>
  <c r="DN95" i="8" s="1"/>
  <c r="AI105" i="8"/>
  <c r="AI98" i="8"/>
  <c r="CF98" i="8"/>
  <c r="AD98" i="8" s="1"/>
  <c r="AE98" i="8" s="1"/>
  <c r="AC99" i="8"/>
  <c r="DF99" i="8"/>
  <c r="DL99" i="8" s="1"/>
  <c r="BY99" i="8"/>
  <c r="CE99" i="8" s="1"/>
  <c r="DJ99" i="8"/>
  <c r="CC99" i="8"/>
  <c r="CD91" i="8"/>
  <c r="CF93" i="8"/>
  <c r="AD93" i="8" s="1"/>
  <c r="AE93" i="8" s="1"/>
  <c r="AC91" i="8"/>
  <c r="DM91" i="8"/>
  <c r="DN91" i="8" s="1"/>
  <c r="DM98" i="8"/>
  <c r="DN98" i="8" s="1"/>
  <c r="CF102" i="8"/>
  <c r="AD102" i="8" s="1"/>
  <c r="AE102" i="8" s="1"/>
  <c r="CD97" i="8"/>
  <c r="AI93" i="8"/>
  <c r="CF101" i="8"/>
  <c r="AD101" i="8" s="1"/>
  <c r="AE101" i="8" s="1"/>
  <c r="DK100" i="8"/>
  <c r="DM90" i="8"/>
  <c r="DN90" i="8" s="1"/>
  <c r="AI76" i="8"/>
  <c r="AI71" i="8"/>
  <c r="CB75" i="8"/>
  <c r="CA75" i="8"/>
  <c r="CC75" i="8"/>
  <c r="CD75" i="8"/>
  <c r="AC75" i="8"/>
  <c r="DF79" i="8"/>
  <c r="DL79" i="8" s="1"/>
  <c r="BY79" i="8"/>
  <c r="CE79" i="8" s="1"/>
  <c r="CC79" i="8"/>
  <c r="AC79" i="8"/>
  <c r="DJ79" i="8"/>
  <c r="DM74" i="8"/>
  <c r="DN74" i="8" s="1"/>
  <c r="CF71" i="8"/>
  <c r="AD71" i="8" s="1"/>
  <c r="AE71" i="8" s="1"/>
  <c r="AC84" i="8"/>
  <c r="DF84" i="8"/>
  <c r="DL84" i="8" s="1"/>
  <c r="BY84" i="8"/>
  <c r="CE84" i="8" s="1"/>
  <c r="CC84" i="8"/>
  <c r="CF84" i="8" s="1"/>
  <c r="AD84" i="8" s="1"/>
  <c r="AE84" i="8" s="1"/>
  <c r="DJ84" i="8"/>
  <c r="AC83" i="8"/>
  <c r="DF83" i="8"/>
  <c r="DL83" i="8" s="1"/>
  <c r="CC83" i="8"/>
  <c r="CF83" i="8" s="1"/>
  <c r="AD83" i="8" s="1"/>
  <c r="AE83" i="8" s="1"/>
  <c r="DJ83" i="8"/>
  <c r="DM83" i="8" s="1"/>
  <c r="BY83" i="8"/>
  <c r="CE83" i="8" s="1"/>
  <c r="DK79" i="8"/>
  <c r="DM78" i="8"/>
  <c r="DN78" i="8" s="1"/>
  <c r="AB86" i="8"/>
  <c r="CB72" i="8"/>
  <c r="CA72" i="8"/>
  <c r="CD85" i="8"/>
  <c r="DN71" i="8"/>
  <c r="CF82" i="8"/>
  <c r="AD82" i="8" s="1"/>
  <c r="AE82" i="8" s="1"/>
  <c r="DN75" i="8"/>
  <c r="DM80" i="8"/>
  <c r="DN80" i="8" s="1"/>
  <c r="CF78" i="8"/>
  <c r="AD78" i="8" s="1"/>
  <c r="AE78" i="8" s="1"/>
  <c r="AA86" i="8"/>
  <c r="CC70" i="8"/>
  <c r="AC70" i="8"/>
  <c r="BY70" i="8"/>
  <c r="CE70" i="8" s="1"/>
  <c r="DJ70" i="8"/>
  <c r="DF70" i="8"/>
  <c r="DL70" i="8" s="1"/>
  <c r="AI78" i="8"/>
  <c r="CD79" i="8"/>
  <c r="AI77" i="8"/>
  <c r="CD70" i="8"/>
  <c r="DM73" i="8"/>
  <c r="DN73" i="8" s="1"/>
  <c r="AI74" i="8"/>
  <c r="CF77" i="8"/>
  <c r="AD77" i="8" s="1"/>
  <c r="AE77" i="8" s="1"/>
  <c r="AC72" i="8"/>
  <c r="DF72" i="8"/>
  <c r="DL72" i="8" s="1"/>
  <c r="CC72" i="8"/>
  <c r="DJ72" i="8"/>
  <c r="BY72" i="8"/>
  <c r="CE72" i="8" s="1"/>
  <c r="AI80" i="8"/>
  <c r="DJ85" i="8"/>
  <c r="DM85" i="8" s="1"/>
  <c r="CC85" i="8"/>
  <c r="AC85" i="8"/>
  <c r="DF85" i="8"/>
  <c r="DL85" i="8" s="1"/>
  <c r="BY85" i="8"/>
  <c r="CE85" i="8" s="1"/>
  <c r="AI73" i="8"/>
  <c r="DK72" i="8"/>
  <c r="AI82" i="8"/>
  <c r="DN77" i="8"/>
  <c r="DJ81" i="8"/>
  <c r="CC81" i="8"/>
  <c r="CF81" i="8" s="1"/>
  <c r="AD81" i="8" s="1"/>
  <c r="AE81" i="8" s="1"/>
  <c r="AC81" i="8"/>
  <c r="BY81" i="8"/>
  <c r="CE81" i="8" s="1"/>
  <c r="DF81" i="8"/>
  <c r="DL81" i="8" s="1"/>
  <c r="DK70" i="8"/>
  <c r="DM76" i="8"/>
  <c r="DN76" i="8" s="1"/>
  <c r="CF80" i="8"/>
  <c r="AD80" i="8" s="1"/>
  <c r="AE80" i="8" s="1"/>
  <c r="AI54" i="8"/>
  <c r="CG54" i="8"/>
  <c r="AI55" i="8"/>
  <c r="AI65" i="8"/>
  <c r="AI60" i="8"/>
  <c r="AI58" i="8"/>
  <c r="AI64" i="8"/>
  <c r="CD57" i="8"/>
  <c r="DK51" i="8"/>
  <c r="CF55" i="8"/>
  <c r="AD55" i="8" s="1"/>
  <c r="AE55" i="8" s="1"/>
  <c r="DJ63" i="8"/>
  <c r="DM63" i="8" s="1"/>
  <c r="CC63" i="8"/>
  <c r="DF63" i="8"/>
  <c r="DL63" i="8" s="1"/>
  <c r="AC63" i="8"/>
  <c r="BY63" i="8"/>
  <c r="CE63" i="8" s="1"/>
  <c r="CF52" i="8"/>
  <c r="AD52" i="8" s="1"/>
  <c r="AE52" i="8" s="1"/>
  <c r="CG62" i="8"/>
  <c r="AI62" i="8"/>
  <c r="DJ57" i="8"/>
  <c r="DM57" i="8" s="1"/>
  <c r="CC57" i="8"/>
  <c r="AC57" i="8"/>
  <c r="DF57" i="8"/>
  <c r="DL57" i="8" s="1"/>
  <c r="BY57" i="8"/>
  <c r="CE57" i="8" s="1"/>
  <c r="DM54" i="8"/>
  <c r="DN54" i="8" s="1"/>
  <c r="CF65" i="8"/>
  <c r="AD65" i="8" s="1"/>
  <c r="AE65" i="8" s="1"/>
  <c r="AI52" i="8"/>
  <c r="AA66" i="8"/>
  <c r="AC50" i="8"/>
  <c r="DF50" i="8"/>
  <c r="DL50" i="8" s="1"/>
  <c r="BY50" i="8"/>
  <c r="CE50" i="8" s="1"/>
  <c r="DJ50" i="8"/>
  <c r="DM50" i="8" s="1"/>
  <c r="CC50" i="8"/>
  <c r="CB58" i="8"/>
  <c r="CA58" i="8"/>
  <c r="AB66" i="8"/>
  <c r="AC59" i="8"/>
  <c r="DJ59" i="8"/>
  <c r="DM59" i="8" s="1"/>
  <c r="DF59" i="8"/>
  <c r="DL59" i="8" s="1"/>
  <c r="CC59" i="8"/>
  <c r="BY59" i="8"/>
  <c r="CE59" i="8" s="1"/>
  <c r="DM58" i="8"/>
  <c r="DN58" i="8" s="1"/>
  <c r="DJ61" i="8"/>
  <c r="DM61" i="8" s="1"/>
  <c r="CC61" i="8"/>
  <c r="AC61" i="8"/>
  <c r="DF61" i="8"/>
  <c r="DL61" i="8" s="1"/>
  <c r="BY61" i="8"/>
  <c r="CE61" i="8" s="1"/>
  <c r="DM52" i="8"/>
  <c r="DN52" i="8" s="1"/>
  <c r="DF51" i="8"/>
  <c r="DL51" i="8" s="1"/>
  <c r="BY51" i="8"/>
  <c r="CE51" i="8" s="1"/>
  <c r="AC51" i="8"/>
  <c r="DJ51" i="8"/>
  <c r="CC51" i="8"/>
  <c r="CF51" i="8" s="1"/>
  <c r="AD51" i="8" s="1"/>
  <c r="AE51" i="8" s="1"/>
  <c r="CD61" i="8"/>
  <c r="AC58" i="8"/>
  <c r="AI44" i="8"/>
  <c r="AI31" i="8"/>
  <c r="AI45" i="8"/>
  <c r="AC34" i="8"/>
  <c r="DJ34" i="8"/>
  <c r="BY34" i="8"/>
  <c r="CE34" i="8" s="1"/>
  <c r="DF34" i="8"/>
  <c r="DL34" i="8" s="1"/>
  <c r="CC34" i="8"/>
  <c r="CF34" i="8" s="1"/>
  <c r="AD34" i="8" s="1"/>
  <c r="AE34" i="8" s="1"/>
  <c r="Z46" i="8"/>
  <c r="AB46" i="8"/>
  <c r="AA30" i="8"/>
  <c r="DK30" i="8" s="1"/>
  <c r="DI37" i="8"/>
  <c r="DH37" i="8"/>
  <c r="DJ37" i="8"/>
  <c r="AI39" i="8"/>
  <c r="CF40" i="8"/>
  <c r="AD40" i="8" s="1"/>
  <c r="AE40" i="8" s="1"/>
  <c r="BY35" i="8"/>
  <c r="CE35" i="8" s="1"/>
  <c r="AC35" i="8"/>
  <c r="DJ35" i="8"/>
  <c r="DF35" i="8"/>
  <c r="DL35" i="8" s="1"/>
  <c r="CC35" i="8"/>
  <c r="AI43" i="8"/>
  <c r="DH32" i="8"/>
  <c r="DI32" i="8"/>
  <c r="AI38" i="8"/>
  <c r="AI40" i="8"/>
  <c r="AI37" i="8"/>
  <c r="AI42" i="8"/>
  <c r="DM44" i="8"/>
  <c r="DN44" i="8" s="1"/>
  <c r="AI41" i="8"/>
  <c r="CF44" i="8"/>
  <c r="AD44" i="8" s="1"/>
  <c r="AE44" i="8" s="1"/>
  <c r="CF43" i="8"/>
  <c r="AD43" i="8" s="1"/>
  <c r="AE43" i="8" s="1"/>
  <c r="CD35" i="8"/>
  <c r="AC36" i="8"/>
  <c r="DF36" i="8"/>
  <c r="DL36" i="8" s="1"/>
  <c r="BY36" i="8"/>
  <c r="CE36" i="8" s="1"/>
  <c r="DJ36" i="8"/>
  <c r="CC36" i="8"/>
  <c r="CF36" i="8" s="1"/>
  <c r="AD36" i="8" s="1"/>
  <c r="AE36" i="8" s="1"/>
  <c r="CF31" i="8"/>
  <c r="AD31" i="8" s="1"/>
  <c r="AE31" i="8" s="1"/>
  <c r="CF39" i="8"/>
  <c r="AD39" i="8" s="1"/>
  <c r="AE39" i="8" s="1"/>
  <c r="DM40" i="8"/>
  <c r="DN40" i="8" s="1"/>
  <c r="DK34" i="8"/>
  <c r="DI43" i="8"/>
  <c r="DH43" i="8"/>
  <c r="DJ32" i="8"/>
  <c r="CC32" i="8"/>
  <c r="DF32" i="8"/>
  <c r="DL32" i="8" s="1"/>
  <c r="BY32" i="8"/>
  <c r="CE32" i="8" s="1"/>
  <c r="AC32" i="8"/>
  <c r="CB41" i="8"/>
  <c r="CA41" i="8"/>
  <c r="DK35" i="8"/>
  <c r="DK36" i="8"/>
  <c r="DF33" i="8"/>
  <c r="DL33" i="8" s="1"/>
  <c r="CC33" i="8"/>
  <c r="AC33" i="8"/>
  <c r="DJ33" i="8"/>
  <c r="DM33" i="8" s="1"/>
  <c r="BY33" i="8"/>
  <c r="CE33" i="8" s="1"/>
  <c r="DK23" i="8"/>
  <c r="CB24" i="8"/>
  <c r="CA24" i="8"/>
  <c r="AC23" i="8"/>
  <c r="AC23" i="14" s="1"/>
  <c r="CD11" i="8"/>
  <c r="CA12" i="8"/>
  <c r="DH11" i="8"/>
  <c r="AC12" i="8"/>
  <c r="AC12" i="14" s="1"/>
  <c r="DK12" i="8"/>
  <c r="CA13" i="8"/>
  <c r="CD12" i="8"/>
  <c r="CB17" i="8"/>
  <c r="DK14" i="8"/>
  <c r="CB13" i="8"/>
  <c r="CA17" i="8"/>
  <c r="AC14" i="8"/>
  <c r="AC14" i="14" s="1"/>
  <c r="CB16" i="8"/>
  <c r="CA16" i="8"/>
  <c r="CB15" i="8"/>
  <c r="CA15" i="8"/>
  <c r="CA10" i="8"/>
  <c r="CB10" i="8"/>
  <c r="AC11" i="8"/>
  <c r="AC11" i="14" s="1"/>
  <c r="N365" i="7"/>
  <c r="O365" i="7" s="1"/>
  <c r="AD416" i="7"/>
  <c r="N416" i="7"/>
  <c r="O416" i="7" s="1"/>
  <c r="AL401" i="7"/>
  <c r="AD401" i="7"/>
  <c r="L401" i="7"/>
  <c r="M401" i="7" s="1"/>
  <c r="AH365" i="7"/>
  <c r="AI365" i="7"/>
  <c r="AJ365" i="7"/>
  <c r="AD365" i="7"/>
  <c r="N411" i="7"/>
  <c r="O411" i="7" s="1"/>
  <c r="L411" i="7"/>
  <c r="M411" i="7" s="1"/>
  <c r="N373" i="7"/>
  <c r="O373" i="7" s="1"/>
  <c r="L373" i="7"/>
  <c r="M373" i="7" s="1"/>
  <c r="L398" i="7"/>
  <c r="M398" i="7" s="1"/>
  <c r="N398" i="7"/>
  <c r="O398" i="7" s="1"/>
  <c r="Q409" i="7"/>
  <c r="N414" i="7"/>
  <c r="O414" i="7" s="1"/>
  <c r="L414" i="7"/>
  <c r="M414" i="7" s="1"/>
  <c r="N396" i="7"/>
  <c r="O396" i="7" s="1"/>
  <c r="L396" i="7"/>
  <c r="M396" i="7" s="1"/>
  <c r="N419" i="7"/>
  <c r="O419" i="7" s="1"/>
  <c r="L419" i="7"/>
  <c r="M419" i="7" s="1"/>
  <c r="CF199" i="8" l="1"/>
  <c r="AD199" i="8" s="1"/>
  <c r="AE199" i="8" s="1"/>
  <c r="DN131" i="8"/>
  <c r="DM156" i="8"/>
  <c r="DN156" i="8" s="1"/>
  <c r="CF45" i="8"/>
  <c r="AD45" i="8" s="1"/>
  <c r="AE45" i="8" s="1"/>
  <c r="AP230" i="8"/>
  <c r="E215" i="15" s="1"/>
  <c r="I212" i="15"/>
  <c r="C228" i="8"/>
  <c r="I214" i="7"/>
  <c r="W212" i="7" s="1"/>
  <c r="I214" i="15"/>
  <c r="W212" i="15" s="1"/>
  <c r="G213" i="7"/>
  <c r="G213" i="15"/>
  <c r="E213" i="7"/>
  <c r="E213" i="15"/>
  <c r="E214" i="7"/>
  <c r="X212" i="7" s="1"/>
  <c r="V212" i="7" s="1"/>
  <c r="E214" i="15"/>
  <c r="X212" i="15" s="1"/>
  <c r="V212" i="15" s="1"/>
  <c r="I229" i="7"/>
  <c r="W227" i="7" s="1"/>
  <c r="I229" i="15"/>
  <c r="W227" i="15" s="1"/>
  <c r="G228" i="7"/>
  <c r="G228" i="15"/>
  <c r="E234" i="15"/>
  <c r="AB227" i="15"/>
  <c r="E229" i="7"/>
  <c r="X227" i="7" s="1"/>
  <c r="V227" i="7" s="1"/>
  <c r="E229" i="15"/>
  <c r="X227" i="15" s="1"/>
  <c r="V227" i="15" s="1"/>
  <c r="AP250" i="8"/>
  <c r="E230" i="15" s="1"/>
  <c r="I227" i="15"/>
  <c r="C248" i="8"/>
  <c r="AB242" i="15"/>
  <c r="E249" i="15"/>
  <c r="G243" i="7"/>
  <c r="G243" i="15"/>
  <c r="E244" i="7"/>
  <c r="X242" i="7" s="1"/>
  <c r="V242" i="7" s="1"/>
  <c r="E244" i="15"/>
  <c r="X242" i="15" s="1"/>
  <c r="V242" i="15" s="1"/>
  <c r="I244" i="7"/>
  <c r="W242" i="7" s="1"/>
  <c r="I244" i="15"/>
  <c r="W242" i="15" s="1"/>
  <c r="G258" i="7"/>
  <c r="G258" i="15"/>
  <c r="E264" i="15"/>
  <c r="AB257" i="15"/>
  <c r="E259" i="7"/>
  <c r="X257" i="7" s="1"/>
  <c r="V257" i="7" s="1"/>
  <c r="E259" i="15"/>
  <c r="X257" i="15" s="1"/>
  <c r="V257" i="15" s="1"/>
  <c r="I259" i="7"/>
  <c r="W257" i="7" s="1"/>
  <c r="I259" i="15"/>
  <c r="W257" i="15" s="1"/>
  <c r="I257" i="15"/>
  <c r="C288" i="8"/>
  <c r="AP310" i="8"/>
  <c r="E275" i="15" s="1"/>
  <c r="G273" i="15"/>
  <c r="E273" i="15"/>
  <c r="E274" i="7"/>
  <c r="X272" i="7" s="1"/>
  <c r="V272" i="7" s="1"/>
  <c r="E274" i="15"/>
  <c r="X272" i="15" s="1"/>
  <c r="V272" i="15" s="1"/>
  <c r="I274" i="7"/>
  <c r="W272" i="7" s="1"/>
  <c r="I274" i="15"/>
  <c r="W272" i="15" s="1"/>
  <c r="I303" i="7"/>
  <c r="I303" i="15"/>
  <c r="I319" i="7"/>
  <c r="W317" i="7" s="1"/>
  <c r="I319" i="15"/>
  <c r="W317" i="15" s="1"/>
  <c r="G318" i="7"/>
  <c r="G318" i="15"/>
  <c r="E324" i="15"/>
  <c r="AB317" i="15"/>
  <c r="E319" i="7"/>
  <c r="X317" i="7" s="1"/>
  <c r="V317" i="7" s="1"/>
  <c r="E319" i="15"/>
  <c r="X317" i="15" s="1"/>
  <c r="V317" i="15" s="1"/>
  <c r="AP270" i="8"/>
  <c r="E245" i="15" s="1"/>
  <c r="I242" i="15"/>
  <c r="C268" i="8"/>
  <c r="AP370" i="8"/>
  <c r="E320" i="15" s="1"/>
  <c r="I317" i="15"/>
  <c r="C368" i="8"/>
  <c r="AN317" i="15"/>
  <c r="AA317" i="15"/>
  <c r="Y317" i="15"/>
  <c r="U317" i="15"/>
  <c r="AF317" i="15"/>
  <c r="AM317" i="15"/>
  <c r="Z317" i="15"/>
  <c r="E309" i="15"/>
  <c r="AB302" i="15"/>
  <c r="F309" i="15"/>
  <c r="AC302" i="15"/>
  <c r="AD302" i="15" s="1"/>
  <c r="G305" i="15"/>
  <c r="D301" i="15" s="1"/>
  <c r="D310" i="15"/>
  <c r="T302" i="15"/>
  <c r="R302" i="15"/>
  <c r="S302" i="15" s="1"/>
  <c r="Q302" i="15" s="1"/>
  <c r="L302" i="15" s="1"/>
  <c r="M302" i="15" s="1"/>
  <c r="I305" i="15"/>
  <c r="D295" i="15"/>
  <c r="R287" i="15"/>
  <c r="I290" i="15"/>
  <c r="G290" i="15"/>
  <c r="D286" i="15" s="1"/>
  <c r="T287" i="15"/>
  <c r="E294" i="15"/>
  <c r="AB287" i="15"/>
  <c r="F294" i="15"/>
  <c r="AC287" i="15"/>
  <c r="AD287" i="15" s="1"/>
  <c r="AM272" i="15"/>
  <c r="AN272" i="15"/>
  <c r="AF272" i="15"/>
  <c r="AA272" i="15"/>
  <c r="Z272" i="15"/>
  <c r="Y272" i="15"/>
  <c r="U272" i="15"/>
  <c r="G275" i="15"/>
  <c r="R272" i="15"/>
  <c r="D271" i="15"/>
  <c r="I275" i="15"/>
  <c r="T272" i="15"/>
  <c r="D280" i="15"/>
  <c r="G280" i="15" s="1"/>
  <c r="U257" i="15"/>
  <c r="AA257" i="15"/>
  <c r="AF257" i="15"/>
  <c r="Y257" i="15"/>
  <c r="AN257" i="15"/>
  <c r="Z257" i="15"/>
  <c r="AM257" i="15"/>
  <c r="AM242" i="15"/>
  <c r="AN242" i="15"/>
  <c r="AF242" i="15"/>
  <c r="Z242" i="15"/>
  <c r="Y242" i="15"/>
  <c r="U242" i="15"/>
  <c r="AA242" i="15"/>
  <c r="AM227" i="15"/>
  <c r="AF227" i="15"/>
  <c r="Y227" i="15"/>
  <c r="AA227" i="15"/>
  <c r="AN227" i="15"/>
  <c r="Z227" i="15"/>
  <c r="U227" i="15"/>
  <c r="AN212" i="15"/>
  <c r="AA212" i="15"/>
  <c r="AF212" i="15"/>
  <c r="U212" i="15"/>
  <c r="AM212" i="15"/>
  <c r="Z212" i="15"/>
  <c r="Y212" i="15"/>
  <c r="AC17" i="8"/>
  <c r="AC17" i="14" s="1"/>
  <c r="CC25" i="8"/>
  <c r="CF25" i="8" s="1"/>
  <c r="AD25" i="8" s="1"/>
  <c r="CC24" i="8"/>
  <c r="CC23" i="8"/>
  <c r="CF23" i="8" s="1"/>
  <c r="AD23" i="8" s="1"/>
  <c r="CD18" i="8"/>
  <c r="DF14" i="8"/>
  <c r="DL14" i="8" s="1"/>
  <c r="BY14" i="8"/>
  <c r="CE14" i="8" s="1"/>
  <c r="AI14" i="8" s="1"/>
  <c r="AI14" i="14" s="1"/>
  <c r="CC14" i="8"/>
  <c r="CF14" i="8" s="1"/>
  <c r="DJ14" i="8"/>
  <c r="DM14" i="8" s="1"/>
  <c r="DJ25" i="8"/>
  <c r="CC12" i="8"/>
  <c r="CF12" i="8" s="1"/>
  <c r="BY12" i="8"/>
  <c r="CE12" i="8" s="1"/>
  <c r="AI12" i="8" s="1"/>
  <c r="AI12" i="14" s="1"/>
  <c r="BY17" i="8"/>
  <c r="CE17" i="8" s="1"/>
  <c r="AI17" i="8" s="1"/>
  <c r="AI17" i="14" s="1"/>
  <c r="DJ12" i="8"/>
  <c r="DM12" i="8" s="1"/>
  <c r="DF17" i="8"/>
  <c r="DL17" i="8" s="1"/>
  <c r="DF12" i="8"/>
  <c r="DL12" i="8" s="1"/>
  <c r="CC17" i="8"/>
  <c r="CD17" i="8"/>
  <c r="DJ23" i="8"/>
  <c r="DM23" i="8" s="1"/>
  <c r="DF23" i="8"/>
  <c r="DL23" i="8" s="1"/>
  <c r="CC11" i="8"/>
  <c r="CF11" i="8" s="1"/>
  <c r="AD11" i="8" s="1"/>
  <c r="DJ11" i="8"/>
  <c r="DM11" i="8" s="1"/>
  <c r="CD15" i="8"/>
  <c r="CC15" i="8"/>
  <c r="DF11" i="8"/>
  <c r="DL11" i="8" s="1"/>
  <c r="BY11" i="8"/>
  <c r="CE11" i="8" s="1"/>
  <c r="AI11" i="8" s="1"/>
  <c r="AI11" i="14" s="1"/>
  <c r="DJ22" i="8"/>
  <c r="AA25" i="14"/>
  <c r="DK25" i="8"/>
  <c r="CC22" i="8"/>
  <c r="BY23" i="8"/>
  <c r="CE23" i="8" s="1"/>
  <c r="AI23" i="8" s="1"/>
  <c r="AI23" i="14" s="1"/>
  <c r="CD22" i="8"/>
  <c r="BY25" i="8"/>
  <c r="CE25" i="8" s="1"/>
  <c r="AI25" i="8" s="1"/>
  <c r="AI25" i="14" s="1"/>
  <c r="AA17" i="14"/>
  <c r="DJ17" i="8"/>
  <c r="DM17" i="8" s="1"/>
  <c r="DF25" i="8"/>
  <c r="DL25" i="8" s="1"/>
  <c r="CC21" i="8"/>
  <c r="CF21" i="8" s="1"/>
  <c r="AD21" i="8" s="1"/>
  <c r="DM21" i="8"/>
  <c r="CC18" i="8"/>
  <c r="CF18" i="8" s="1"/>
  <c r="AD18" i="8" s="1"/>
  <c r="DJ24" i="8"/>
  <c r="AA22" i="14"/>
  <c r="DF22" i="8"/>
  <c r="DL22" i="8" s="1"/>
  <c r="BY22" i="8"/>
  <c r="CE22" i="8" s="1"/>
  <c r="AI22" i="8" s="1"/>
  <c r="AI22" i="14" s="1"/>
  <c r="DK22" i="8"/>
  <c r="CC16" i="8"/>
  <c r="CF16" i="8" s="1"/>
  <c r="AD16" i="8" s="1"/>
  <c r="AC16" i="8"/>
  <c r="AC16" i="14" s="1"/>
  <c r="CD13" i="8"/>
  <c r="AA24" i="14"/>
  <c r="BY24" i="8"/>
  <c r="CE24" i="8" s="1"/>
  <c r="AI24" i="8" s="1"/>
  <c r="AI24" i="14" s="1"/>
  <c r="DF24" i="8"/>
  <c r="DL24" i="8" s="1"/>
  <c r="DK24" i="8"/>
  <c r="AC24" i="8"/>
  <c r="AC24" i="14" s="1"/>
  <c r="AB21" i="14"/>
  <c r="BY21" i="8"/>
  <c r="CE21" i="8" s="1"/>
  <c r="AI21" i="8" s="1"/>
  <c r="AI21" i="14" s="1"/>
  <c r="DF21" i="8"/>
  <c r="DL21" i="8" s="1"/>
  <c r="AA20" i="14"/>
  <c r="DK20" i="8"/>
  <c r="DJ20" i="8"/>
  <c r="CC20" i="8"/>
  <c r="BY20" i="8"/>
  <c r="CE20" i="8" s="1"/>
  <c r="AI20" i="8" s="1"/>
  <c r="AI20" i="14" s="1"/>
  <c r="DF20" i="8"/>
  <c r="DL20" i="8" s="1"/>
  <c r="CD20" i="8"/>
  <c r="AC20" i="8"/>
  <c r="AC20" i="14" s="1"/>
  <c r="AA19" i="14"/>
  <c r="DJ19" i="8"/>
  <c r="DF19" i="8"/>
  <c r="DL19" i="8" s="1"/>
  <c r="AC19" i="8"/>
  <c r="AC19" i="14" s="1"/>
  <c r="BY19" i="8"/>
  <c r="CE19" i="8" s="1"/>
  <c r="AI19" i="8" s="1"/>
  <c r="AI19" i="14" s="1"/>
  <c r="CC19" i="8"/>
  <c r="DK19" i="8"/>
  <c r="CD19" i="8"/>
  <c r="AA18" i="14"/>
  <c r="BY18" i="8"/>
  <c r="CE18" i="8" s="1"/>
  <c r="AI18" i="8" s="1"/>
  <c r="AI18" i="14" s="1"/>
  <c r="DF18" i="8"/>
  <c r="DL18" i="8" s="1"/>
  <c r="DJ18" i="8"/>
  <c r="DK18" i="8"/>
  <c r="AA16" i="14"/>
  <c r="DF16" i="8"/>
  <c r="DL16" i="8" s="1"/>
  <c r="BY16" i="8"/>
  <c r="CE16" i="8" s="1"/>
  <c r="AI16" i="8" s="1"/>
  <c r="AI16" i="14" s="1"/>
  <c r="DK16" i="8"/>
  <c r="DJ16" i="8"/>
  <c r="AA15" i="14"/>
  <c r="DK15" i="8"/>
  <c r="DJ15" i="8"/>
  <c r="DF15" i="8"/>
  <c r="DL15" i="8" s="1"/>
  <c r="BY15" i="8"/>
  <c r="CE15" i="8" s="1"/>
  <c r="AI15" i="8" s="1"/>
  <c r="AI15" i="14" s="1"/>
  <c r="AA13" i="14"/>
  <c r="DK13" i="8"/>
  <c r="DJ13" i="8"/>
  <c r="DF13" i="8"/>
  <c r="DL13" i="8" s="1"/>
  <c r="BY13" i="8"/>
  <c r="CE13" i="8" s="1"/>
  <c r="AI13" i="8" s="1"/>
  <c r="AI13" i="14" s="1"/>
  <c r="CC13" i="8"/>
  <c r="AD302" i="7"/>
  <c r="D301" i="7"/>
  <c r="AC317" i="7"/>
  <c r="F324" i="7"/>
  <c r="T302" i="7"/>
  <c r="R302" i="7"/>
  <c r="D310" i="7"/>
  <c r="S302" i="7"/>
  <c r="Q302" i="7" s="1"/>
  <c r="L302" i="7" s="1"/>
  <c r="M302" i="7" s="1"/>
  <c r="R287" i="7"/>
  <c r="D295" i="7"/>
  <c r="T287" i="7"/>
  <c r="AD287" i="7"/>
  <c r="D280" i="7"/>
  <c r="R272" i="7"/>
  <c r="T272" i="7"/>
  <c r="F264" i="7"/>
  <c r="AC257" i="7"/>
  <c r="AP290" i="8"/>
  <c r="E260" i="15" s="1"/>
  <c r="F249" i="7"/>
  <c r="AC242" i="7"/>
  <c r="AT270" i="8"/>
  <c r="F234" i="7"/>
  <c r="AC227" i="7"/>
  <c r="E219" i="7"/>
  <c r="AB212" i="7"/>
  <c r="AC212" i="7"/>
  <c r="F219" i="7"/>
  <c r="AJ213" i="8"/>
  <c r="AF213" i="8"/>
  <c r="AJ218" i="8"/>
  <c r="AG218" i="8" s="1"/>
  <c r="AF218" i="8"/>
  <c r="AJ220" i="8"/>
  <c r="AF220" i="8"/>
  <c r="AJ192" i="8"/>
  <c r="AF192" i="8"/>
  <c r="AJ203" i="8"/>
  <c r="AF203" i="8"/>
  <c r="AJ195" i="8"/>
  <c r="AF195" i="8"/>
  <c r="AJ199" i="8"/>
  <c r="AF199" i="8"/>
  <c r="AJ202" i="8"/>
  <c r="AF202" i="8"/>
  <c r="AJ204" i="8"/>
  <c r="AF204" i="8"/>
  <c r="AJ171" i="8"/>
  <c r="AF171" i="8"/>
  <c r="AJ185" i="8"/>
  <c r="AF185" i="8"/>
  <c r="AJ170" i="8"/>
  <c r="AF170" i="8"/>
  <c r="AJ182" i="8"/>
  <c r="AG182" i="8" s="1"/>
  <c r="AF182" i="8"/>
  <c r="AJ176" i="8"/>
  <c r="AF176" i="8"/>
  <c r="AJ184" i="8"/>
  <c r="AF184" i="8"/>
  <c r="CG170" i="8"/>
  <c r="AJ155" i="8"/>
  <c r="AF155" i="8"/>
  <c r="AJ164" i="8"/>
  <c r="AF164" i="8"/>
  <c r="AJ162" i="8"/>
  <c r="AF162" i="8"/>
  <c r="AJ152" i="8"/>
  <c r="AG152" i="8" s="1"/>
  <c r="AF152" i="8"/>
  <c r="AJ144" i="8"/>
  <c r="AF144" i="8"/>
  <c r="AJ143" i="8"/>
  <c r="AF143" i="8"/>
  <c r="AJ137" i="8"/>
  <c r="AF137" i="8"/>
  <c r="AJ135" i="8"/>
  <c r="AF135" i="8"/>
  <c r="AJ133" i="8"/>
  <c r="AF133" i="8"/>
  <c r="DN64" i="8"/>
  <c r="CF42" i="8"/>
  <c r="AD42" i="8" s="1"/>
  <c r="AE42" i="8" s="1"/>
  <c r="AJ40" i="8"/>
  <c r="AF40" i="8"/>
  <c r="AJ38" i="8"/>
  <c r="AG38" i="8" s="1"/>
  <c r="AF38" i="8"/>
  <c r="AJ45" i="8"/>
  <c r="AF45" i="8"/>
  <c r="AJ37" i="8"/>
  <c r="AF37" i="8"/>
  <c r="AJ39" i="8"/>
  <c r="AF39" i="8"/>
  <c r="AJ43" i="8"/>
  <c r="AG43" i="8" s="1"/>
  <c r="AF43" i="8"/>
  <c r="AJ34" i="8"/>
  <c r="AF34" i="8"/>
  <c r="AJ31" i="8"/>
  <c r="AG31" i="8" s="1"/>
  <c r="AF31" i="8"/>
  <c r="AJ44" i="8"/>
  <c r="AF44" i="8"/>
  <c r="AJ36" i="8"/>
  <c r="AF36" i="8"/>
  <c r="AJ60" i="8"/>
  <c r="AF60" i="8"/>
  <c r="AJ64" i="8"/>
  <c r="AF64" i="8"/>
  <c r="AJ56" i="8"/>
  <c r="AG56" i="8" s="1"/>
  <c r="AF56" i="8"/>
  <c r="AJ65" i="8"/>
  <c r="AG65" i="8" s="1"/>
  <c r="AF65" i="8"/>
  <c r="AJ54" i="8"/>
  <c r="AF54" i="8"/>
  <c r="AJ62" i="8"/>
  <c r="AF62" i="8"/>
  <c r="AJ51" i="8"/>
  <c r="AF51" i="8"/>
  <c r="AJ52" i="8"/>
  <c r="AG52" i="8" s="1"/>
  <c r="AF52" i="8"/>
  <c r="CF63" i="8"/>
  <c r="AD63" i="8" s="1"/>
  <c r="AE63" i="8" s="1"/>
  <c r="AJ55" i="8"/>
  <c r="AF55" i="8"/>
  <c r="AJ84" i="8"/>
  <c r="AF84" i="8"/>
  <c r="AJ80" i="8"/>
  <c r="AG80" i="8" s="1"/>
  <c r="AF80" i="8"/>
  <c r="AJ71" i="8"/>
  <c r="AF71" i="8"/>
  <c r="AJ78" i="8"/>
  <c r="AF78" i="8"/>
  <c r="AJ83" i="8"/>
  <c r="AF83" i="8"/>
  <c r="AJ81" i="8"/>
  <c r="AF81" i="8"/>
  <c r="AJ77" i="8"/>
  <c r="AF77" i="8"/>
  <c r="AJ82" i="8"/>
  <c r="AF82" i="8"/>
  <c r="AJ102" i="8"/>
  <c r="AF102" i="8"/>
  <c r="AJ93" i="8"/>
  <c r="AF93" i="8"/>
  <c r="AJ94" i="8"/>
  <c r="AF94" i="8"/>
  <c r="AJ101" i="8"/>
  <c r="AF101" i="8"/>
  <c r="DM99" i="8"/>
  <c r="AJ95" i="8"/>
  <c r="AF95" i="8"/>
  <c r="AJ103" i="8"/>
  <c r="AF103" i="8"/>
  <c r="AJ105" i="8"/>
  <c r="AF105" i="8"/>
  <c r="AJ104" i="8"/>
  <c r="AF104" i="8"/>
  <c r="AJ98" i="8"/>
  <c r="AF98" i="8"/>
  <c r="AJ90" i="8"/>
  <c r="AF90" i="8"/>
  <c r="AJ120" i="8"/>
  <c r="AF120" i="8"/>
  <c r="AJ116" i="8"/>
  <c r="AF116" i="8"/>
  <c r="AJ111" i="8"/>
  <c r="AF111" i="8"/>
  <c r="AJ112" i="8"/>
  <c r="AG112" i="8" s="1"/>
  <c r="AF112" i="8"/>
  <c r="AJ122" i="8"/>
  <c r="AF122" i="8"/>
  <c r="AJ115" i="8"/>
  <c r="AF115" i="8"/>
  <c r="AJ124" i="8"/>
  <c r="AF124" i="8"/>
  <c r="AL399" i="8"/>
  <c r="AL395" i="8" s="1"/>
  <c r="E320" i="7"/>
  <c r="E318" i="7"/>
  <c r="I317" i="7"/>
  <c r="I305" i="7"/>
  <c r="AL339" i="8"/>
  <c r="AL335" i="8" s="1"/>
  <c r="E290" i="7"/>
  <c r="G273" i="7"/>
  <c r="E273" i="7"/>
  <c r="E260" i="7"/>
  <c r="E258" i="7"/>
  <c r="I257" i="7"/>
  <c r="I242" i="7"/>
  <c r="E245" i="7"/>
  <c r="E243" i="7"/>
  <c r="I227" i="7"/>
  <c r="E230" i="7"/>
  <c r="E228" i="7"/>
  <c r="I212" i="7"/>
  <c r="DM215" i="8"/>
  <c r="CF217" i="8"/>
  <c r="AD217" i="8" s="1"/>
  <c r="AE217" i="8" s="1"/>
  <c r="DM211" i="8"/>
  <c r="DN211" i="8" s="1"/>
  <c r="DM192" i="8"/>
  <c r="AJ197" i="8"/>
  <c r="DM184" i="8"/>
  <c r="DN184" i="8" s="1"/>
  <c r="CF177" i="8"/>
  <c r="AD177" i="8" s="1"/>
  <c r="AE177" i="8" s="1"/>
  <c r="CF157" i="8"/>
  <c r="AD157" i="8" s="1"/>
  <c r="AE157" i="8" s="1"/>
  <c r="CF153" i="8"/>
  <c r="AD153" i="8" s="1"/>
  <c r="AE153" i="8" s="1"/>
  <c r="AJ145" i="8"/>
  <c r="AG145" i="8" s="1"/>
  <c r="CF131" i="8"/>
  <c r="AD131" i="8" s="1"/>
  <c r="AE131" i="8" s="1"/>
  <c r="DM111" i="8"/>
  <c r="DN111" i="8" s="1"/>
  <c r="AJ125" i="8"/>
  <c r="AG125" i="8" s="1"/>
  <c r="DM124" i="8"/>
  <c r="DN124" i="8" s="1"/>
  <c r="CG104" i="8"/>
  <c r="DM60" i="8"/>
  <c r="DN60" i="8" s="1"/>
  <c r="AJ53" i="8"/>
  <c r="AG53" i="8" s="1"/>
  <c r="CG38" i="8"/>
  <c r="AL379" i="8"/>
  <c r="AL375" i="8" s="1"/>
  <c r="E275" i="7"/>
  <c r="G275" i="7" s="1"/>
  <c r="AL319" i="8"/>
  <c r="AL315" i="8" s="1"/>
  <c r="AV310" i="8"/>
  <c r="AT310" i="8"/>
  <c r="AL299" i="8"/>
  <c r="AL295" i="8" s="1"/>
  <c r="AV290" i="8"/>
  <c r="AT290" i="8"/>
  <c r="AL259" i="8"/>
  <c r="AL255" i="8" s="1"/>
  <c r="AV230" i="8"/>
  <c r="AT230" i="8"/>
  <c r="N346" i="7"/>
  <c r="O346" i="7" s="1"/>
  <c r="N368" i="7"/>
  <c r="O368" i="7" s="1"/>
  <c r="DM34" i="8"/>
  <c r="DM222" i="8"/>
  <c r="DM41" i="8"/>
  <c r="DN41" i="8" s="1"/>
  <c r="CF222" i="8"/>
  <c r="AD222" i="8" s="1"/>
  <c r="AE222" i="8" s="1"/>
  <c r="AF222" i="8" s="1"/>
  <c r="CF181" i="8"/>
  <c r="AD181" i="8" s="1"/>
  <c r="AE181" i="8" s="1"/>
  <c r="DM45" i="8"/>
  <c r="DN45" i="8" s="1"/>
  <c r="DM79" i="8"/>
  <c r="DN79" i="8" s="1"/>
  <c r="CF130" i="8"/>
  <c r="DN162" i="8"/>
  <c r="CF32" i="8"/>
  <c r="AD32" i="8" s="1"/>
  <c r="AE32" i="8" s="1"/>
  <c r="CG125" i="8"/>
  <c r="CF211" i="8"/>
  <c r="AD211" i="8" s="1"/>
  <c r="AE211" i="8" s="1"/>
  <c r="CF216" i="8"/>
  <c r="CG162" i="8"/>
  <c r="DM138" i="8"/>
  <c r="DN138" i="8" s="1"/>
  <c r="DM204" i="8"/>
  <c r="DN204" i="8" s="1"/>
  <c r="CF165" i="8"/>
  <c r="AD165" i="8" s="1"/>
  <c r="AE165" i="8" s="1"/>
  <c r="DM62" i="8"/>
  <c r="DN62" i="8" s="1"/>
  <c r="CF59" i="8"/>
  <c r="AD59" i="8" s="1"/>
  <c r="AE59" i="8" s="1"/>
  <c r="CF33" i="8"/>
  <c r="AD33" i="8" s="1"/>
  <c r="AE33" i="8" s="1"/>
  <c r="CG56" i="8"/>
  <c r="DM100" i="8"/>
  <c r="CF160" i="8"/>
  <c r="AD160" i="8" s="1"/>
  <c r="AE160" i="8" s="1"/>
  <c r="CF191" i="8"/>
  <c r="AD191" i="8" s="1"/>
  <c r="AE191" i="8" s="1"/>
  <c r="DN42" i="8"/>
  <c r="DM170" i="8"/>
  <c r="DN170" i="8" s="1"/>
  <c r="CF194" i="8"/>
  <c r="AD194" i="8" s="1"/>
  <c r="AE194" i="8" s="1"/>
  <c r="CG53" i="8"/>
  <c r="CF114" i="8"/>
  <c r="AD114" i="8" s="1"/>
  <c r="AE114" i="8" s="1"/>
  <c r="CG171" i="8"/>
  <c r="DM142" i="8"/>
  <c r="DN142" i="8" s="1"/>
  <c r="CF224" i="8"/>
  <c r="AD224" i="8" s="1"/>
  <c r="AE224" i="8" s="1"/>
  <c r="AF224" i="8" s="1"/>
  <c r="DM84" i="8"/>
  <c r="DN84" i="8" s="1"/>
  <c r="DN222" i="8"/>
  <c r="CF178" i="8"/>
  <c r="AD178" i="8" s="1"/>
  <c r="AE178" i="8" s="1"/>
  <c r="CF179" i="8"/>
  <c r="AD179" i="8" s="1"/>
  <c r="AE179" i="8" s="1"/>
  <c r="CF136" i="8"/>
  <c r="AD136" i="8" s="1"/>
  <c r="AE136" i="8" s="1"/>
  <c r="DM214" i="8"/>
  <c r="DN214" i="8" s="1"/>
  <c r="DM82" i="8"/>
  <c r="DN82" i="8" s="1"/>
  <c r="DM221" i="8"/>
  <c r="DN221" i="8" s="1"/>
  <c r="CF79" i="8"/>
  <c r="AD79" i="8" s="1"/>
  <c r="AE79" i="8" s="1"/>
  <c r="CF119" i="8"/>
  <c r="AD119" i="8" s="1"/>
  <c r="AE119" i="8" s="1"/>
  <c r="CG182" i="8"/>
  <c r="AD158" i="8"/>
  <c r="AE158" i="8" s="1"/>
  <c r="CG158" i="8"/>
  <c r="CF97" i="8"/>
  <c r="AD97" i="8" s="1"/>
  <c r="AE97" i="8" s="1"/>
  <c r="CF61" i="8"/>
  <c r="AD61" i="8" s="1"/>
  <c r="AE61" i="8" s="1"/>
  <c r="DM65" i="8"/>
  <c r="DN65" i="8" s="1"/>
  <c r="CF57" i="8"/>
  <c r="AD57" i="8" s="1"/>
  <c r="AE57" i="8" s="1"/>
  <c r="AF57" i="8" s="1"/>
  <c r="DM81" i="8"/>
  <c r="DN81" i="8" s="1"/>
  <c r="CF85" i="8"/>
  <c r="AD85" i="8" s="1"/>
  <c r="AE85" i="8" s="1"/>
  <c r="AF85" i="8" s="1"/>
  <c r="CF139" i="8"/>
  <c r="AD139" i="8" s="1"/>
  <c r="AE139" i="8" s="1"/>
  <c r="CF140" i="8"/>
  <c r="AD140" i="8" s="1"/>
  <c r="AE140" i="8" s="1"/>
  <c r="DM174" i="8"/>
  <c r="DN174" i="8" s="1"/>
  <c r="CF134" i="8"/>
  <c r="AD134" i="8" s="1"/>
  <c r="AE134" i="8" s="1"/>
  <c r="CF180" i="8"/>
  <c r="AD180" i="8" s="1"/>
  <c r="AE180" i="8" s="1"/>
  <c r="AF180" i="8" s="1"/>
  <c r="CG195" i="8"/>
  <c r="CF70" i="8"/>
  <c r="AD70" i="8" s="1"/>
  <c r="AE70" i="8" s="1"/>
  <c r="DM203" i="8"/>
  <c r="DN203" i="8" s="1"/>
  <c r="CF50" i="8"/>
  <c r="AD50" i="8" s="1"/>
  <c r="AE50" i="8" s="1"/>
  <c r="DM134" i="8"/>
  <c r="DN134" i="8" s="1"/>
  <c r="CG145" i="8"/>
  <c r="CF175" i="8"/>
  <c r="AD175" i="8" s="1"/>
  <c r="AE175" i="8" s="1"/>
  <c r="AF175" i="8" s="1"/>
  <c r="CG197" i="8"/>
  <c r="CF221" i="8"/>
  <c r="AD221" i="8" s="1"/>
  <c r="AE221" i="8" s="1"/>
  <c r="CF74" i="8"/>
  <c r="CG74" i="8" s="1"/>
  <c r="CF92" i="8"/>
  <c r="AD92" i="8" s="1"/>
  <c r="AE92" i="8" s="1"/>
  <c r="AF92" i="8" s="1"/>
  <c r="CG131" i="8"/>
  <c r="DM35" i="8"/>
  <c r="DM200" i="8"/>
  <c r="DN200" i="8" s="1"/>
  <c r="DM223" i="8"/>
  <c r="DN223" i="8" s="1"/>
  <c r="CF76" i="8"/>
  <c r="DN202" i="8"/>
  <c r="CF41" i="8"/>
  <c r="AD41" i="8" s="1"/>
  <c r="AE41" i="8" s="1"/>
  <c r="AF41" i="8" s="1"/>
  <c r="DM43" i="8"/>
  <c r="DN43" i="8" s="1"/>
  <c r="CF73" i="8"/>
  <c r="CG73" i="8" s="1"/>
  <c r="CF141" i="8"/>
  <c r="AD141" i="8" s="1"/>
  <c r="AE141" i="8" s="1"/>
  <c r="CF35" i="8"/>
  <c r="AD35" i="8" s="1"/>
  <c r="AE35" i="8" s="1"/>
  <c r="AF35" i="8" s="1"/>
  <c r="DN59" i="8"/>
  <c r="CG65" i="8"/>
  <c r="DM70" i="8"/>
  <c r="DN70" i="8" s="1"/>
  <c r="DN141" i="8"/>
  <c r="DK190" i="8"/>
  <c r="DM220" i="8"/>
  <c r="CG40" i="8"/>
  <c r="DM114" i="8"/>
  <c r="DN114" i="8" s="1"/>
  <c r="DN153" i="8"/>
  <c r="DM72" i="8"/>
  <c r="DN72" i="8" s="1"/>
  <c r="AC106" i="8"/>
  <c r="DM182" i="8"/>
  <c r="DN182" i="8" s="1"/>
  <c r="N375" i="7"/>
  <c r="O375" i="7" s="1"/>
  <c r="L405" i="7"/>
  <c r="M405" i="7" s="1"/>
  <c r="AD216" i="8"/>
  <c r="AE216" i="8" s="1"/>
  <c r="CG216" i="8"/>
  <c r="AD212" i="8"/>
  <c r="AE212" i="8" s="1"/>
  <c r="CG212" i="8"/>
  <c r="DN194" i="8"/>
  <c r="DM179" i="8"/>
  <c r="DN179" i="8" s="1"/>
  <c r="CF225" i="8"/>
  <c r="AD225" i="8" s="1"/>
  <c r="AE225" i="8" s="1"/>
  <c r="AF225" i="8" s="1"/>
  <c r="CF132" i="8"/>
  <c r="CF117" i="8"/>
  <c r="AD117" i="8" s="1"/>
  <c r="AE117" i="8" s="1"/>
  <c r="AF117" i="8" s="1"/>
  <c r="DM173" i="8"/>
  <c r="DN173" i="8" s="1"/>
  <c r="CF205" i="8"/>
  <c r="AD205" i="8" s="1"/>
  <c r="AE205" i="8" s="1"/>
  <c r="AF205" i="8" s="1"/>
  <c r="CF214" i="8"/>
  <c r="AD214" i="8" s="1"/>
  <c r="AE214" i="8" s="1"/>
  <c r="CD30" i="8"/>
  <c r="CG44" i="8"/>
  <c r="DM51" i="8"/>
  <c r="DN51" i="8" s="1"/>
  <c r="CG55" i="8"/>
  <c r="CG82" i="8"/>
  <c r="AG104" i="8"/>
  <c r="CF123" i="8"/>
  <c r="AD123" i="8" s="1"/>
  <c r="AE123" i="8" s="1"/>
  <c r="CF151" i="8"/>
  <c r="AD151" i="8" s="1"/>
  <c r="AE151" i="8" s="1"/>
  <c r="CF183" i="8"/>
  <c r="AD183" i="8" s="1"/>
  <c r="AE183" i="8" s="1"/>
  <c r="CG202" i="8"/>
  <c r="CF215" i="8"/>
  <c r="AD215" i="8" s="1"/>
  <c r="AE215" i="8" s="1"/>
  <c r="DM217" i="8"/>
  <c r="DN217" i="8" s="1"/>
  <c r="DN220" i="8"/>
  <c r="CG90" i="8"/>
  <c r="AC146" i="8"/>
  <c r="CF113" i="8"/>
  <c r="AD113" i="8" s="1"/>
  <c r="AE113" i="8" s="1"/>
  <c r="AF113" i="8" s="1"/>
  <c r="DM123" i="8"/>
  <c r="DN123" i="8" s="1"/>
  <c r="CD110" i="8"/>
  <c r="DM177" i="8"/>
  <c r="DN177" i="8" s="1"/>
  <c r="CG178" i="8"/>
  <c r="DN216" i="8"/>
  <c r="CG105" i="8"/>
  <c r="CF91" i="8"/>
  <c r="AD91" i="8" s="1"/>
  <c r="AE91" i="8" s="1"/>
  <c r="AF91" i="8" s="1"/>
  <c r="CF100" i="8"/>
  <c r="AD100" i="8" s="1"/>
  <c r="AE100" i="8" s="1"/>
  <c r="CG120" i="8"/>
  <c r="AG135" i="8"/>
  <c r="CF172" i="8"/>
  <c r="AD172" i="8" s="1"/>
  <c r="AE172" i="8" s="1"/>
  <c r="CF156" i="8"/>
  <c r="CF223" i="8"/>
  <c r="AD223" i="8" s="1"/>
  <c r="AE223" i="8" s="1"/>
  <c r="AF223" i="8" s="1"/>
  <c r="CF159" i="8"/>
  <c r="AD159" i="8" s="1"/>
  <c r="AE159" i="8" s="1"/>
  <c r="AF159" i="8" s="1"/>
  <c r="CD150" i="8"/>
  <c r="AC186" i="8"/>
  <c r="CG222" i="8"/>
  <c r="AI214" i="8"/>
  <c r="CG214" i="8"/>
  <c r="DN33" i="8"/>
  <c r="CG45" i="8"/>
  <c r="DN63" i="8"/>
  <c r="CF24" i="8"/>
  <c r="AD24" i="8" s="1"/>
  <c r="DM36" i="8"/>
  <c r="DN36" i="8" s="1"/>
  <c r="CG37" i="8"/>
  <c r="CG43" i="8"/>
  <c r="CG39" i="8"/>
  <c r="CG80" i="8"/>
  <c r="CF99" i="8"/>
  <c r="AD99" i="8" s="1"/>
  <c r="AE99" i="8" s="1"/>
  <c r="CG115" i="8"/>
  <c r="CF121" i="8"/>
  <c r="AD121" i="8" s="1"/>
  <c r="AE121" i="8" s="1"/>
  <c r="CG137" i="8"/>
  <c r="CG135" i="8"/>
  <c r="CG176" i="8"/>
  <c r="CG204" i="8"/>
  <c r="CG199" i="8"/>
  <c r="CF193" i="8"/>
  <c r="CF174" i="8"/>
  <c r="L370" i="7"/>
  <c r="M370" i="7" s="1"/>
  <c r="AI211" i="8"/>
  <c r="AA226" i="8"/>
  <c r="CC210" i="8"/>
  <c r="CF210" i="8" s="1"/>
  <c r="AD210" i="8" s="1"/>
  <c r="AC210" i="8"/>
  <c r="AC226" i="8" s="1"/>
  <c r="DJ210" i="8"/>
  <c r="BY210" i="8"/>
  <c r="CE210" i="8" s="1"/>
  <c r="DF210" i="8"/>
  <c r="DL210" i="8" s="1"/>
  <c r="CG213" i="8"/>
  <c r="AI213" i="8"/>
  <c r="AI224" i="8"/>
  <c r="AI215" i="8"/>
  <c r="CG220" i="8"/>
  <c r="AI220" i="8"/>
  <c r="AD219" i="8"/>
  <c r="AE219" i="8" s="1"/>
  <c r="CG219" i="8"/>
  <c r="CG217" i="8"/>
  <c r="AI217" i="8"/>
  <c r="DN224" i="8"/>
  <c r="AI223" i="8"/>
  <c r="DN215" i="8"/>
  <c r="DK210" i="8"/>
  <c r="DM213" i="8"/>
  <c r="DN213" i="8" s="1"/>
  <c r="CG194" i="8"/>
  <c r="AI194" i="8"/>
  <c r="AI196" i="8"/>
  <c r="AG195" i="8"/>
  <c r="AI192" i="8"/>
  <c r="CG192" i="8"/>
  <c r="DM196" i="8"/>
  <c r="DN196" i="8" s="1"/>
  <c r="AG202" i="8"/>
  <c r="AG204" i="8"/>
  <c r="CF201" i="8"/>
  <c r="AD201" i="8" s="1"/>
  <c r="AE201" i="8" s="1"/>
  <c r="AG197" i="8"/>
  <c r="AG198" i="8"/>
  <c r="DN205" i="8"/>
  <c r="AG199" i="8"/>
  <c r="AI200" i="8"/>
  <c r="AI201" i="8"/>
  <c r="DN201" i="8"/>
  <c r="DN192" i="8"/>
  <c r="CG203" i="8"/>
  <c r="AI203" i="8"/>
  <c r="CF196" i="8"/>
  <c r="AD196" i="8" s="1"/>
  <c r="AE196" i="8" s="1"/>
  <c r="AI205" i="8"/>
  <c r="CF200" i="8"/>
  <c r="AD200" i="8" s="1"/>
  <c r="AE200" i="8" s="1"/>
  <c r="AA206" i="8"/>
  <c r="DF190" i="8"/>
  <c r="DL190" i="8" s="1"/>
  <c r="CC190" i="8"/>
  <c r="CF190" i="8" s="1"/>
  <c r="AD190" i="8" s="1"/>
  <c r="AC190" i="8"/>
  <c r="AC206" i="8" s="1"/>
  <c r="DJ190" i="8"/>
  <c r="BY190" i="8"/>
  <c r="CE190" i="8" s="1"/>
  <c r="DM199" i="8"/>
  <c r="DN199" i="8" s="1"/>
  <c r="AG185" i="8"/>
  <c r="AI180" i="8"/>
  <c r="CG185" i="8"/>
  <c r="AG170" i="8"/>
  <c r="DN180" i="8"/>
  <c r="AI173" i="8"/>
  <c r="AI175" i="8"/>
  <c r="CG179" i="8"/>
  <c r="AI179" i="8"/>
  <c r="DM172" i="8"/>
  <c r="DN172" i="8" s="1"/>
  <c r="CF173" i="8"/>
  <c r="AD173" i="8" s="1"/>
  <c r="AE173" i="8" s="1"/>
  <c r="AG171" i="8"/>
  <c r="DN183" i="8"/>
  <c r="CG184" i="8"/>
  <c r="AI184" i="8"/>
  <c r="AI172" i="8"/>
  <c r="DN175" i="8"/>
  <c r="AI183" i="8"/>
  <c r="CG177" i="8"/>
  <c r="AI177" i="8"/>
  <c r="AG176" i="8"/>
  <c r="AI151" i="8"/>
  <c r="CG157" i="8"/>
  <c r="AI160" i="8"/>
  <c r="CG160" i="8"/>
  <c r="CG155" i="8"/>
  <c r="AI155" i="8"/>
  <c r="AG164" i="8"/>
  <c r="AA166" i="8"/>
  <c r="DJ150" i="8"/>
  <c r="DM150" i="8" s="1"/>
  <c r="BY150" i="8"/>
  <c r="CE150" i="8" s="1"/>
  <c r="CC150" i="8"/>
  <c r="DF150" i="8"/>
  <c r="DL150" i="8" s="1"/>
  <c r="AC150" i="8"/>
  <c r="AC166" i="8" s="1"/>
  <c r="CG165" i="8"/>
  <c r="CG153" i="8"/>
  <c r="AI153" i="8"/>
  <c r="DN160" i="8"/>
  <c r="CG152" i="8"/>
  <c r="CF154" i="8"/>
  <c r="CF163" i="8"/>
  <c r="AG162" i="8"/>
  <c r="DN155" i="8"/>
  <c r="CF161" i="8"/>
  <c r="DN151" i="8"/>
  <c r="CG164" i="8"/>
  <c r="AD142" i="8"/>
  <c r="AE142" i="8" s="1"/>
  <c r="CG142" i="8"/>
  <c r="AG133" i="8"/>
  <c r="CG144" i="8"/>
  <c r="AI144" i="8"/>
  <c r="DN144" i="8"/>
  <c r="AI139" i="8"/>
  <c r="AG137" i="8"/>
  <c r="DN139" i="8"/>
  <c r="CG143" i="8"/>
  <c r="AI143" i="8"/>
  <c r="DN143" i="8"/>
  <c r="AI134" i="8"/>
  <c r="AI141" i="8"/>
  <c r="CG140" i="8"/>
  <c r="AI140" i="8"/>
  <c r="DN140" i="8"/>
  <c r="CF138" i="8"/>
  <c r="CG133" i="8"/>
  <c r="AI123" i="8"/>
  <c r="CF118" i="8"/>
  <c r="CG112" i="8"/>
  <c r="AI121" i="8"/>
  <c r="CG111" i="8"/>
  <c r="AI111" i="8"/>
  <c r="AG122" i="8"/>
  <c r="AI117" i="8"/>
  <c r="AI119" i="8"/>
  <c r="AA126" i="8"/>
  <c r="DJ110" i="8"/>
  <c r="DM110" i="8" s="1"/>
  <c r="CC110" i="8"/>
  <c r="CF110" i="8" s="1"/>
  <c r="AD110" i="8" s="1"/>
  <c r="AC110" i="8"/>
  <c r="AC126" i="8" s="1"/>
  <c r="DF110" i="8"/>
  <c r="DL110" i="8" s="1"/>
  <c r="BY110" i="8"/>
  <c r="CE110" i="8" s="1"/>
  <c r="AI114" i="8"/>
  <c r="CG114" i="8"/>
  <c r="AG116" i="8"/>
  <c r="CG122" i="8"/>
  <c r="DM121" i="8"/>
  <c r="DN121" i="8" s="1"/>
  <c r="CG124" i="8"/>
  <c r="AI124" i="8"/>
  <c r="DN117" i="8"/>
  <c r="DN119" i="8"/>
  <c r="CG116" i="8"/>
  <c r="AG115" i="8"/>
  <c r="AG120" i="8"/>
  <c r="CG103" i="8"/>
  <c r="AI103" i="8"/>
  <c r="CG93" i="8"/>
  <c r="DN99" i="8"/>
  <c r="CF96" i="8"/>
  <c r="DN94" i="8"/>
  <c r="CG95" i="8"/>
  <c r="AI100" i="8"/>
  <c r="CG101" i="8"/>
  <c r="DN103" i="8"/>
  <c r="AG93" i="8"/>
  <c r="AG102" i="8"/>
  <c r="AG98" i="8"/>
  <c r="CG102" i="8"/>
  <c r="AI97" i="8"/>
  <c r="AG105" i="8"/>
  <c r="DN100" i="8"/>
  <c r="AG95" i="8"/>
  <c r="AG101" i="8"/>
  <c r="CG94" i="8"/>
  <c r="AI94" i="8"/>
  <c r="CG99" i="8"/>
  <c r="AI99" i="8"/>
  <c r="CG98" i="8"/>
  <c r="DN97" i="8"/>
  <c r="AG78" i="8"/>
  <c r="CG83" i="8"/>
  <c r="AI83" i="8"/>
  <c r="DN85" i="8"/>
  <c r="AG71" i="8"/>
  <c r="DN83" i="8"/>
  <c r="CG81" i="8"/>
  <c r="AI81" i="8"/>
  <c r="AI70" i="8"/>
  <c r="AG82" i="8"/>
  <c r="CG84" i="8"/>
  <c r="AI84" i="8"/>
  <c r="AI72" i="8"/>
  <c r="CF72" i="8"/>
  <c r="AD72" i="8" s="1"/>
  <c r="AE72" i="8" s="1"/>
  <c r="AG77" i="8"/>
  <c r="AC86" i="8"/>
  <c r="AI85" i="8"/>
  <c r="CG78" i="8"/>
  <c r="CF75" i="8"/>
  <c r="CG77" i="8"/>
  <c r="CG79" i="8"/>
  <c r="AI79" i="8"/>
  <c r="CG71" i="8"/>
  <c r="AG64" i="8"/>
  <c r="CF58" i="8"/>
  <c r="AG62" i="8"/>
  <c r="AC66" i="8"/>
  <c r="AI59" i="8"/>
  <c r="CG52" i="8"/>
  <c r="CG64" i="8"/>
  <c r="CG60" i="8"/>
  <c r="AI61" i="8"/>
  <c r="CG61" i="8"/>
  <c r="AI57" i="8"/>
  <c r="AG55" i="8"/>
  <c r="AG60" i="8"/>
  <c r="CG51" i="8"/>
  <c r="AI51" i="8"/>
  <c r="DN57" i="8"/>
  <c r="CG63" i="8"/>
  <c r="AI63" i="8"/>
  <c r="AG54" i="8"/>
  <c r="DN61" i="8"/>
  <c r="AI50" i="8"/>
  <c r="DN50" i="8"/>
  <c r="CG34" i="8"/>
  <c r="AI34" i="8"/>
  <c r="DN35" i="8"/>
  <c r="AI33" i="8"/>
  <c r="AG39" i="8"/>
  <c r="AG45" i="8"/>
  <c r="DM37" i="8"/>
  <c r="DN37" i="8" s="1"/>
  <c r="CG31" i="8"/>
  <c r="DN34" i="8"/>
  <c r="AA46" i="8"/>
  <c r="DJ30" i="8"/>
  <c r="DM30" i="8" s="1"/>
  <c r="CC30" i="8"/>
  <c r="DF30" i="8"/>
  <c r="DL30" i="8" s="1"/>
  <c r="BY30" i="8"/>
  <c r="CE30" i="8" s="1"/>
  <c r="AC30" i="8"/>
  <c r="AC46" i="8" s="1"/>
  <c r="AG37" i="8"/>
  <c r="AI35" i="8"/>
  <c r="AG44" i="8"/>
  <c r="DM32" i="8"/>
  <c r="DN32" i="8" s="1"/>
  <c r="AI32" i="8"/>
  <c r="CG32" i="8"/>
  <c r="CG36" i="8"/>
  <c r="AI36" i="8"/>
  <c r="AG40" i="8"/>
  <c r="N409" i="7"/>
  <c r="O409" i="7" s="1"/>
  <c r="L409" i="7"/>
  <c r="M409" i="7" s="1"/>
  <c r="I228" i="7" l="1"/>
  <c r="I228" i="15"/>
  <c r="I258" i="7"/>
  <c r="I258" i="15"/>
  <c r="I273" i="7"/>
  <c r="S272" i="7" s="1"/>
  <c r="Q272" i="7" s="1"/>
  <c r="I273" i="15"/>
  <c r="I318" i="7"/>
  <c r="I318" i="15"/>
  <c r="I288" i="7"/>
  <c r="S287" i="7" s="1"/>
  <c r="Q287" i="7" s="1"/>
  <c r="I288" i="15"/>
  <c r="S287" i="15" s="1"/>
  <c r="Q287" i="15" s="1"/>
  <c r="L287" i="15" s="1"/>
  <c r="M287" i="15" s="1"/>
  <c r="H295" i="15"/>
  <c r="E295" i="15"/>
  <c r="G295" i="15"/>
  <c r="F295" i="15"/>
  <c r="F310" i="15"/>
  <c r="H310" i="15"/>
  <c r="G310" i="15"/>
  <c r="E310" i="15"/>
  <c r="AG302" i="15" s="1"/>
  <c r="I320" i="15"/>
  <c r="D325" i="15"/>
  <c r="T317" i="15"/>
  <c r="R317" i="15"/>
  <c r="S317" i="15" s="1"/>
  <c r="Q317" i="15" s="1"/>
  <c r="L317" i="15" s="1"/>
  <c r="M317" i="15" s="1"/>
  <c r="G320" i="15"/>
  <c r="D316" i="15" s="1"/>
  <c r="T242" i="15"/>
  <c r="D250" i="15"/>
  <c r="G245" i="15"/>
  <c r="D241" i="15" s="1"/>
  <c r="I245" i="15"/>
  <c r="R242" i="15"/>
  <c r="AC317" i="15"/>
  <c r="AD317" i="15" s="1"/>
  <c r="F324" i="15"/>
  <c r="E279" i="15"/>
  <c r="AB272" i="15"/>
  <c r="S272" i="15"/>
  <c r="Q272" i="15" s="1"/>
  <c r="L272" i="15" s="1"/>
  <c r="M272" i="15" s="1"/>
  <c r="AC272" i="15"/>
  <c r="AD272" i="15" s="1"/>
  <c r="F279" i="15"/>
  <c r="I260" i="15"/>
  <c r="G260" i="15"/>
  <c r="D256" i="15" s="1"/>
  <c r="T257" i="15"/>
  <c r="R257" i="15"/>
  <c r="S257" i="15" s="1"/>
  <c r="Q257" i="15" s="1"/>
  <c r="L257" i="15" s="1"/>
  <c r="M257" i="15" s="1"/>
  <c r="D265" i="15"/>
  <c r="F264" i="15"/>
  <c r="AC257" i="15"/>
  <c r="AD257" i="15" s="1"/>
  <c r="F249" i="15"/>
  <c r="AC242" i="15"/>
  <c r="AD242" i="15"/>
  <c r="T227" i="15"/>
  <c r="R227" i="15"/>
  <c r="D235" i="15"/>
  <c r="G230" i="15"/>
  <c r="D226" i="15" s="1"/>
  <c r="I230" i="15"/>
  <c r="F234" i="15"/>
  <c r="AC227" i="15"/>
  <c r="AD227" i="15" s="1"/>
  <c r="AB212" i="15"/>
  <c r="E219" i="15"/>
  <c r="F219" i="15"/>
  <c r="AC212" i="15"/>
  <c r="AD212" i="15" s="1"/>
  <c r="G215" i="15"/>
  <c r="D211" i="15" s="1"/>
  <c r="R212" i="15"/>
  <c r="D220" i="15"/>
  <c r="T212" i="15"/>
  <c r="I215" i="15"/>
  <c r="DN12" i="8"/>
  <c r="DN14" i="8"/>
  <c r="CG12" i="8"/>
  <c r="DM25" i="8"/>
  <c r="DN25" i="8" s="1"/>
  <c r="CG14" i="8"/>
  <c r="CF22" i="8"/>
  <c r="AD22" i="8" s="1"/>
  <c r="AE22" i="8" s="1"/>
  <c r="AE22" i="14" s="1"/>
  <c r="DN21" i="8"/>
  <c r="CF17" i="8"/>
  <c r="AD17" i="8" s="1"/>
  <c r="AD17" i="14" s="1"/>
  <c r="CF15" i="8"/>
  <c r="AD15" i="8" s="1"/>
  <c r="AE15" i="8" s="1"/>
  <c r="AE15" i="14" s="1"/>
  <c r="DN17" i="8"/>
  <c r="DN23" i="8"/>
  <c r="DN11" i="8"/>
  <c r="DM22" i="8"/>
  <c r="DN22" i="8" s="1"/>
  <c r="CF13" i="8"/>
  <c r="AD13" i="8" s="1"/>
  <c r="AD13" i="14" s="1"/>
  <c r="DM15" i="8"/>
  <c r="DN15" i="8" s="1"/>
  <c r="CG25" i="8"/>
  <c r="CG23" i="8"/>
  <c r="DM13" i="8"/>
  <c r="DN13" i="8" s="1"/>
  <c r="DM16" i="8"/>
  <c r="DN16" i="8" s="1"/>
  <c r="AD14" i="8"/>
  <c r="AE14" i="8" s="1"/>
  <c r="AE14" i="14" s="1"/>
  <c r="DM24" i="8"/>
  <c r="DN24" i="8" s="1"/>
  <c r="DM20" i="8"/>
  <c r="DN20" i="8" s="1"/>
  <c r="CG24" i="8"/>
  <c r="CG18" i="8"/>
  <c r="CG21" i="8"/>
  <c r="CF19" i="8"/>
  <c r="AE25" i="8"/>
  <c r="AE25" i="14" s="1"/>
  <c r="AD25" i="14"/>
  <c r="AE24" i="8"/>
  <c r="AE24" i="14" s="1"/>
  <c r="AD24" i="14"/>
  <c r="AE23" i="8"/>
  <c r="AE23" i="14" s="1"/>
  <c r="AD23" i="14"/>
  <c r="AE21" i="8"/>
  <c r="AE21" i="14" s="1"/>
  <c r="AD21" i="14"/>
  <c r="CF20" i="8"/>
  <c r="DM19" i="8"/>
  <c r="DN19" i="8" s="1"/>
  <c r="DM18" i="8"/>
  <c r="DN18" i="8" s="1"/>
  <c r="AE18" i="8"/>
  <c r="AE18" i="14" s="1"/>
  <c r="AD18" i="14"/>
  <c r="AE16" i="8"/>
  <c r="AE16" i="14" s="1"/>
  <c r="AD16" i="14"/>
  <c r="AE11" i="8"/>
  <c r="AE11" i="14" s="1"/>
  <c r="AD11" i="14"/>
  <c r="G245" i="7"/>
  <c r="D241" i="7" s="1"/>
  <c r="G260" i="7"/>
  <c r="D256" i="7" s="1"/>
  <c r="G230" i="7"/>
  <c r="D226" i="7"/>
  <c r="D325" i="7"/>
  <c r="T317" i="7"/>
  <c r="R317" i="7"/>
  <c r="S317" i="7" s="1"/>
  <c r="Q317" i="7" s="1"/>
  <c r="AB317" i="7"/>
  <c r="AD317" i="7" s="1"/>
  <c r="E324" i="7"/>
  <c r="G320" i="7"/>
  <c r="D316" i="7" s="1"/>
  <c r="H310" i="7"/>
  <c r="F310" i="7"/>
  <c r="E310" i="7"/>
  <c r="G310" i="7"/>
  <c r="H295" i="7"/>
  <c r="F295" i="7"/>
  <c r="E295" i="7"/>
  <c r="G295" i="7"/>
  <c r="E279" i="7"/>
  <c r="AB272" i="7"/>
  <c r="F279" i="7"/>
  <c r="AC272" i="7"/>
  <c r="AD272" i="7" s="1"/>
  <c r="G280" i="7"/>
  <c r="D265" i="7"/>
  <c r="T257" i="7"/>
  <c r="R257" i="7"/>
  <c r="S257" i="7" s="1"/>
  <c r="E264" i="7"/>
  <c r="AB257" i="7"/>
  <c r="AD257" i="7" s="1"/>
  <c r="E249" i="7"/>
  <c r="AB242" i="7"/>
  <c r="AD242" i="7" s="1"/>
  <c r="T242" i="7"/>
  <c r="R242" i="7"/>
  <c r="D250" i="7"/>
  <c r="AB227" i="7"/>
  <c r="AD227" i="7" s="1"/>
  <c r="E234" i="7"/>
  <c r="R227" i="7"/>
  <c r="D235" i="7"/>
  <c r="T227" i="7"/>
  <c r="S227" i="7"/>
  <c r="Q227" i="7" s="1"/>
  <c r="T212" i="7"/>
  <c r="D220" i="7"/>
  <c r="R212" i="7"/>
  <c r="AD212" i="7"/>
  <c r="CG221" i="8"/>
  <c r="AJ215" i="8"/>
  <c r="AF215" i="8"/>
  <c r="AJ219" i="8"/>
  <c r="AF219" i="8"/>
  <c r="AJ211" i="8"/>
  <c r="AF211" i="8"/>
  <c r="AJ221" i="8"/>
  <c r="AF221" i="8"/>
  <c r="AJ214" i="8"/>
  <c r="AF214" i="8"/>
  <c r="AJ217" i="8"/>
  <c r="AF217" i="8"/>
  <c r="AJ212" i="8"/>
  <c r="AF212" i="8"/>
  <c r="AJ216" i="8"/>
  <c r="AF216" i="8"/>
  <c r="CG211" i="8"/>
  <c r="AJ191" i="8"/>
  <c r="AG191" i="8" s="1"/>
  <c r="AF191" i="8"/>
  <c r="AJ196" i="8"/>
  <c r="AF196" i="8"/>
  <c r="AJ201" i="8"/>
  <c r="AF201" i="8"/>
  <c r="CG201" i="8"/>
  <c r="AJ200" i="8"/>
  <c r="AF200" i="8"/>
  <c r="AJ194" i="8"/>
  <c r="AF194" i="8"/>
  <c r="AJ177" i="8"/>
  <c r="AF177" i="8"/>
  <c r="AJ179" i="8"/>
  <c r="AF179" i="8"/>
  <c r="AJ183" i="8"/>
  <c r="AF183" i="8"/>
  <c r="AJ178" i="8"/>
  <c r="AG178" i="8" s="1"/>
  <c r="AF178" i="8"/>
  <c r="AJ181" i="8"/>
  <c r="AF181" i="8"/>
  <c r="AJ172" i="8"/>
  <c r="AG172" i="8" s="1"/>
  <c r="AF172" i="8"/>
  <c r="AJ173" i="8"/>
  <c r="AF173" i="8"/>
  <c r="CG151" i="8"/>
  <c r="AJ165" i="8"/>
  <c r="AG165" i="8" s="1"/>
  <c r="AF165" i="8"/>
  <c r="AJ153" i="8"/>
  <c r="AF153" i="8"/>
  <c r="AJ160" i="8"/>
  <c r="AG160" i="8" s="1"/>
  <c r="AF160" i="8"/>
  <c r="AJ157" i="8"/>
  <c r="AG157" i="8" s="1"/>
  <c r="AF157" i="8"/>
  <c r="AJ151" i="8"/>
  <c r="AF151" i="8"/>
  <c r="AJ158" i="8"/>
  <c r="AF158" i="8"/>
  <c r="AJ142" i="8"/>
  <c r="AF142" i="8"/>
  <c r="AJ131" i="8"/>
  <c r="AG131" i="8" s="1"/>
  <c r="AF131" i="8"/>
  <c r="AJ134" i="8"/>
  <c r="AF134" i="8"/>
  <c r="AJ141" i="8"/>
  <c r="AF141" i="8"/>
  <c r="AJ140" i="8"/>
  <c r="AF140" i="8"/>
  <c r="AJ139" i="8"/>
  <c r="AF139" i="8"/>
  <c r="AJ136" i="8"/>
  <c r="AG136" i="8" s="1"/>
  <c r="AF136" i="8"/>
  <c r="CG91" i="8"/>
  <c r="CG42" i="8"/>
  <c r="I290" i="7"/>
  <c r="G290" i="7"/>
  <c r="D286" i="7" s="1"/>
  <c r="CG11" i="8"/>
  <c r="AD12" i="8"/>
  <c r="AF25" i="8"/>
  <c r="AF25" i="14" s="1"/>
  <c r="AJ21" i="8"/>
  <c r="I275" i="7"/>
  <c r="AJ33" i="8"/>
  <c r="AF33" i="8"/>
  <c r="AJ32" i="8"/>
  <c r="AF32" i="8"/>
  <c r="AJ42" i="8"/>
  <c r="AG42" i="8" s="1"/>
  <c r="AF42" i="8"/>
  <c r="AJ59" i="8"/>
  <c r="AF59" i="8"/>
  <c r="AJ61" i="8"/>
  <c r="AF61" i="8"/>
  <c r="AJ63" i="8"/>
  <c r="AF63" i="8"/>
  <c r="AJ50" i="8"/>
  <c r="AG50" i="8" s="1"/>
  <c r="AF50" i="8"/>
  <c r="AJ72" i="8"/>
  <c r="AF72" i="8"/>
  <c r="AJ79" i="8"/>
  <c r="AF79" i="8"/>
  <c r="AJ70" i="8"/>
  <c r="AF70" i="8"/>
  <c r="AJ99" i="8"/>
  <c r="AF99" i="8"/>
  <c r="AJ97" i="8"/>
  <c r="AF97" i="8"/>
  <c r="AJ100" i="8"/>
  <c r="AF100" i="8"/>
  <c r="AJ121" i="8"/>
  <c r="AF121" i="8"/>
  <c r="AJ123" i="8"/>
  <c r="AF123" i="8"/>
  <c r="AJ119" i="8"/>
  <c r="AF119" i="8"/>
  <c r="CG119" i="8"/>
  <c r="AJ114" i="8"/>
  <c r="AG114" i="8" s="1"/>
  <c r="AF114" i="8"/>
  <c r="I320" i="7"/>
  <c r="L287" i="7"/>
  <c r="M287" i="7" s="1"/>
  <c r="L272" i="7"/>
  <c r="M272" i="7" s="1"/>
  <c r="I260" i="7"/>
  <c r="AL279" i="8"/>
  <c r="AL275" i="8" s="1"/>
  <c r="I245" i="7"/>
  <c r="I230" i="7"/>
  <c r="AL239" i="8"/>
  <c r="AL235" i="8" s="1"/>
  <c r="E215" i="7"/>
  <c r="AJ225" i="8"/>
  <c r="AJ222" i="8"/>
  <c r="AG222" i="8" s="1"/>
  <c r="AJ224" i="8"/>
  <c r="AG224" i="8" s="1"/>
  <c r="AJ223" i="8"/>
  <c r="CG191" i="8"/>
  <c r="AJ205" i="8"/>
  <c r="AG205" i="8" s="1"/>
  <c r="AJ180" i="8"/>
  <c r="AG180" i="8" s="1"/>
  <c r="AJ175" i="8"/>
  <c r="CG181" i="8"/>
  <c r="AJ159" i="8"/>
  <c r="AG159" i="8" s="1"/>
  <c r="CG136" i="8"/>
  <c r="CG134" i="8"/>
  <c r="AJ113" i="8"/>
  <c r="CG123" i="8"/>
  <c r="AJ117" i="8"/>
  <c r="AG117" i="8" s="1"/>
  <c r="AJ91" i="8"/>
  <c r="AG91" i="8" s="1"/>
  <c r="AJ92" i="8"/>
  <c r="AG92" i="8" s="1"/>
  <c r="AD74" i="8"/>
  <c r="AE74" i="8" s="1"/>
  <c r="AF74" i="8" s="1"/>
  <c r="AJ85" i="8"/>
  <c r="AG85" i="8" s="1"/>
  <c r="CG57" i="8"/>
  <c r="AJ57" i="8"/>
  <c r="AG57" i="8" s="1"/>
  <c r="AJ41" i="8"/>
  <c r="AG41" i="8" s="1"/>
  <c r="CG33" i="8"/>
  <c r="AJ35" i="8"/>
  <c r="AG35" i="8" s="1"/>
  <c r="AG33" i="8"/>
  <c r="CF30" i="8"/>
  <c r="AD30" i="8" s="1"/>
  <c r="AD46" i="8" s="1"/>
  <c r="CG59" i="8"/>
  <c r="CG85" i="8"/>
  <c r="AD130" i="8"/>
  <c r="AE130" i="8" s="1"/>
  <c r="CG130" i="8"/>
  <c r="CG50" i="8"/>
  <c r="CG224" i="8"/>
  <c r="CG139" i="8"/>
  <c r="CG41" i="8"/>
  <c r="CG97" i="8"/>
  <c r="CG223" i="8"/>
  <c r="CG205" i="8"/>
  <c r="CG215" i="8"/>
  <c r="AG223" i="8"/>
  <c r="AG181" i="8"/>
  <c r="CG70" i="8"/>
  <c r="CG225" i="8"/>
  <c r="AG225" i="8"/>
  <c r="AG51" i="8"/>
  <c r="AG79" i="8"/>
  <c r="CG159" i="8"/>
  <c r="CF150" i="8"/>
  <c r="AD150" i="8" s="1"/>
  <c r="AE150" i="8" s="1"/>
  <c r="AG123" i="8"/>
  <c r="AG211" i="8"/>
  <c r="CG92" i="8"/>
  <c r="AG121" i="8"/>
  <c r="AG175" i="8"/>
  <c r="DM190" i="8"/>
  <c r="CG35" i="8"/>
  <c r="AG63" i="8"/>
  <c r="CG121" i="8"/>
  <c r="AG220" i="8"/>
  <c r="AG213" i="8"/>
  <c r="CG141" i="8"/>
  <c r="AG203" i="8"/>
  <c r="CG180" i="8"/>
  <c r="DN190" i="8"/>
  <c r="AD73" i="8"/>
  <c r="AE73" i="8" s="1"/>
  <c r="AG144" i="8"/>
  <c r="AI106" i="8"/>
  <c r="CG172" i="8"/>
  <c r="CG175" i="8"/>
  <c r="AG158" i="8"/>
  <c r="AG183" i="8"/>
  <c r="AD76" i="8"/>
  <c r="AE76" i="8" s="1"/>
  <c r="CG76" i="8"/>
  <c r="AG151" i="8"/>
  <c r="AG32" i="8"/>
  <c r="AG111" i="8"/>
  <c r="AG177" i="8"/>
  <c r="AG119" i="8"/>
  <c r="AG153" i="8"/>
  <c r="CG183" i="8"/>
  <c r="AG61" i="8"/>
  <c r="AD132" i="8"/>
  <c r="AE132" i="8" s="1"/>
  <c r="CG132" i="8"/>
  <c r="DN30" i="8"/>
  <c r="CG72" i="8"/>
  <c r="DN110" i="8"/>
  <c r="AG134" i="8"/>
  <c r="AG184" i="8"/>
  <c r="AD156" i="8"/>
  <c r="AE156" i="8" s="1"/>
  <c r="CG156" i="8"/>
  <c r="AG214" i="8"/>
  <c r="AG100" i="8"/>
  <c r="AG140" i="8"/>
  <c r="AG192" i="8"/>
  <c r="AG212" i="8"/>
  <c r="AG83" i="8"/>
  <c r="AG97" i="8"/>
  <c r="CG100" i="8"/>
  <c r="CG117" i="8"/>
  <c r="AG113" i="8"/>
  <c r="AG155" i="8"/>
  <c r="AG179" i="8"/>
  <c r="AD174" i="8"/>
  <c r="AE174" i="8" s="1"/>
  <c r="AF174" i="8" s="1"/>
  <c r="CG174" i="8"/>
  <c r="AG99" i="8"/>
  <c r="CG113" i="8"/>
  <c r="DN150" i="8"/>
  <c r="AD193" i="8"/>
  <c r="AE193" i="8" s="1"/>
  <c r="CG193" i="8"/>
  <c r="AG216" i="8"/>
  <c r="AD226" i="8"/>
  <c r="AE210" i="8"/>
  <c r="AG219" i="8"/>
  <c r="AG215" i="8"/>
  <c r="AI210" i="8"/>
  <c r="CG210" i="8"/>
  <c r="AG221" i="8"/>
  <c r="AG217" i="8"/>
  <c r="DM210" i="8"/>
  <c r="DN210" i="8" s="1"/>
  <c r="AE190" i="8"/>
  <c r="CG190" i="8"/>
  <c r="AI190" i="8"/>
  <c r="AG201" i="8"/>
  <c r="AG196" i="8"/>
  <c r="AG200" i="8"/>
  <c r="CG200" i="8"/>
  <c r="CG196" i="8"/>
  <c r="AG194" i="8"/>
  <c r="CG173" i="8"/>
  <c r="AI186" i="8"/>
  <c r="AI150" i="8"/>
  <c r="AD163" i="8"/>
  <c r="AE163" i="8" s="1"/>
  <c r="CG163" i="8"/>
  <c r="AD154" i="8"/>
  <c r="AE154" i="8" s="1"/>
  <c r="CG154" i="8"/>
  <c r="AD161" i="8"/>
  <c r="AE161" i="8" s="1"/>
  <c r="CG161" i="8"/>
  <c r="AG143" i="8"/>
  <c r="AG141" i="8"/>
  <c r="AG139" i="8"/>
  <c r="AG142" i="8"/>
  <c r="AI146" i="8"/>
  <c r="AD138" i="8"/>
  <c r="CG138" i="8"/>
  <c r="CG110" i="8"/>
  <c r="AI110" i="8"/>
  <c r="AD118" i="8"/>
  <c r="AE118" i="8" s="1"/>
  <c r="CG118" i="8"/>
  <c r="AG124" i="8"/>
  <c r="AE110" i="8"/>
  <c r="AD96" i="8"/>
  <c r="CG96" i="8"/>
  <c r="AG94" i="8"/>
  <c r="AG90" i="8"/>
  <c r="AG103" i="8"/>
  <c r="AI86" i="8"/>
  <c r="AG81" i="8"/>
  <c r="AG84" i="8"/>
  <c r="AG72" i="8"/>
  <c r="AD75" i="8"/>
  <c r="CG75" i="8"/>
  <c r="AD58" i="8"/>
  <c r="CG58" i="8"/>
  <c r="AI66" i="8"/>
  <c r="AG59" i="8"/>
  <c r="CG30" i="8"/>
  <c r="AI30" i="8"/>
  <c r="AG36" i="8"/>
  <c r="AG34" i="8"/>
  <c r="AE30" i="8"/>
  <c r="CG16" i="8"/>
  <c r="I213" i="7" l="1"/>
  <c r="S212" i="7" s="1"/>
  <c r="Q212" i="7" s="1"/>
  <c r="I213" i="15"/>
  <c r="S212" i="15" s="1"/>
  <c r="Q212" i="15" s="1"/>
  <c r="L212" i="15" s="1"/>
  <c r="M212" i="15" s="1"/>
  <c r="I243" i="7"/>
  <c r="S242" i="7" s="1"/>
  <c r="I243" i="15"/>
  <c r="S242" i="15" s="1"/>
  <c r="Q242" i="15" s="1"/>
  <c r="L242" i="15" s="1"/>
  <c r="M242" i="15" s="1"/>
  <c r="H220" i="15"/>
  <c r="F220" i="15"/>
  <c r="E220" i="15"/>
  <c r="AG212" i="15" s="1"/>
  <c r="G220" i="15"/>
  <c r="F235" i="15"/>
  <c r="E235" i="15"/>
  <c r="G235" i="15"/>
  <c r="H235" i="15"/>
  <c r="G265" i="15"/>
  <c r="H265" i="15"/>
  <c r="E265" i="15"/>
  <c r="F265" i="15"/>
  <c r="F250" i="15"/>
  <c r="H250" i="15"/>
  <c r="G250" i="15"/>
  <c r="E250" i="15"/>
  <c r="AG242" i="15" s="1"/>
  <c r="G325" i="15"/>
  <c r="E325" i="15"/>
  <c r="H325" i="15"/>
  <c r="F325" i="15"/>
  <c r="AG287" i="15"/>
  <c r="S227" i="15"/>
  <c r="Q227" i="15" s="1"/>
  <c r="L227" i="15" s="1"/>
  <c r="M227" i="15" s="1"/>
  <c r="AF21" i="8"/>
  <c r="AF21" i="14" s="1"/>
  <c r="CG17" i="8"/>
  <c r="CG22" i="8"/>
  <c r="AE13" i="8"/>
  <c r="AE13" i="14" s="1"/>
  <c r="CG15" i="8"/>
  <c r="AD15" i="14"/>
  <c r="CG13" i="8"/>
  <c r="AE17" i="8"/>
  <c r="AE17" i="14" s="1"/>
  <c r="AD22" i="14"/>
  <c r="AF22" i="8"/>
  <c r="AF22" i="14" s="1"/>
  <c r="AF16" i="8"/>
  <c r="AF16" i="14" s="1"/>
  <c r="AF24" i="8"/>
  <c r="AF24" i="14" s="1"/>
  <c r="AF11" i="8"/>
  <c r="AF11" i="14" s="1"/>
  <c r="AF18" i="8"/>
  <c r="AF18" i="14" s="1"/>
  <c r="AF15" i="8"/>
  <c r="AF15" i="14" s="1"/>
  <c r="AF13" i="8"/>
  <c r="AF13" i="14" s="1"/>
  <c r="AF14" i="8"/>
  <c r="AF14" i="14" s="1"/>
  <c r="AD14" i="14"/>
  <c r="AF23" i="8"/>
  <c r="AF23" i="14" s="1"/>
  <c r="AJ23" i="8"/>
  <c r="AJ23" i="14" s="1"/>
  <c r="AJ25" i="8"/>
  <c r="AG25" i="8" s="1"/>
  <c r="AG25" i="14" s="1"/>
  <c r="AJ22" i="8"/>
  <c r="AG22" i="8" s="1"/>
  <c r="AG22" i="14" s="1"/>
  <c r="AJ18" i="8"/>
  <c r="AJ18" i="14" s="1"/>
  <c r="AJ16" i="8"/>
  <c r="AJ16" i="14" s="1"/>
  <c r="AJ24" i="8"/>
  <c r="AJ24" i="14" s="1"/>
  <c r="AD19" i="8"/>
  <c r="CG19" i="8"/>
  <c r="AJ15" i="8"/>
  <c r="AG15" i="8" s="1"/>
  <c r="AG15" i="14" s="1"/>
  <c r="AJ11" i="8"/>
  <c r="AG11" i="8" s="1"/>
  <c r="AG11" i="14" s="1"/>
  <c r="AG21" i="8"/>
  <c r="AG21" i="14" s="1"/>
  <c r="AJ21" i="14"/>
  <c r="AD20" i="8"/>
  <c r="CG20" i="8"/>
  <c r="AJ14" i="8"/>
  <c r="AE12" i="8"/>
  <c r="AF12" i="8" s="1"/>
  <c r="AF12" i="14" s="1"/>
  <c r="AD12" i="14"/>
  <c r="Q242" i="7"/>
  <c r="Q257" i="7"/>
  <c r="AG287" i="7"/>
  <c r="AG302" i="7"/>
  <c r="H325" i="7"/>
  <c r="F325" i="7"/>
  <c r="E325" i="7"/>
  <c r="G325" i="7"/>
  <c r="H265" i="7"/>
  <c r="F265" i="7"/>
  <c r="E265" i="7"/>
  <c r="G265" i="7"/>
  <c r="H250" i="7"/>
  <c r="F250" i="7"/>
  <c r="E250" i="7"/>
  <c r="G250" i="7"/>
  <c r="H235" i="7"/>
  <c r="F235" i="7"/>
  <c r="E235" i="7"/>
  <c r="G235" i="7"/>
  <c r="H220" i="7"/>
  <c r="F220" i="7"/>
  <c r="G220" i="7"/>
  <c r="E220" i="7"/>
  <c r="AJ210" i="8"/>
  <c r="AF210" i="8"/>
  <c r="AJ193" i="8"/>
  <c r="AF193" i="8"/>
  <c r="AJ190" i="8"/>
  <c r="AF190" i="8"/>
  <c r="AJ154" i="8"/>
  <c r="AF154" i="8"/>
  <c r="AJ150" i="8"/>
  <c r="AF150" i="8"/>
  <c r="AJ156" i="8"/>
  <c r="AF156" i="8"/>
  <c r="AJ161" i="8"/>
  <c r="AF161" i="8"/>
  <c r="AJ163" i="8"/>
  <c r="AF163" i="8"/>
  <c r="AJ132" i="8"/>
  <c r="AF132" i="8"/>
  <c r="AJ130" i="8"/>
  <c r="AF130" i="8"/>
  <c r="I215" i="7"/>
  <c r="G215" i="7"/>
  <c r="D211" i="7" s="1"/>
  <c r="L257" i="7"/>
  <c r="M257" i="7" s="1"/>
  <c r="L227" i="7"/>
  <c r="M227" i="7" s="1"/>
  <c r="L317" i="7"/>
  <c r="M317" i="7" s="1"/>
  <c r="AJ30" i="8"/>
  <c r="AJ46" i="8" s="1"/>
  <c r="AF30" i="8"/>
  <c r="AJ73" i="8"/>
  <c r="AF73" i="8"/>
  <c r="AJ76" i="8"/>
  <c r="AF76" i="8"/>
  <c r="AJ118" i="8"/>
  <c r="AG118" i="8" s="1"/>
  <c r="AF118" i="8"/>
  <c r="AJ110" i="8"/>
  <c r="AG110" i="8" s="1"/>
  <c r="AF110" i="8"/>
  <c r="L212" i="7"/>
  <c r="M212" i="7" s="1"/>
  <c r="AK170" i="8"/>
  <c r="AJ174" i="8"/>
  <c r="AJ74" i="8"/>
  <c r="AG74" i="8" s="1"/>
  <c r="AG130" i="8"/>
  <c r="CG150" i="8"/>
  <c r="AD126" i="8"/>
  <c r="AD186" i="8"/>
  <c r="AE186" i="8"/>
  <c r="AG73" i="8"/>
  <c r="AG76" i="8"/>
  <c r="AD206" i="8"/>
  <c r="AG132" i="8"/>
  <c r="AG156" i="8"/>
  <c r="AO170" i="8"/>
  <c r="AL173" i="8"/>
  <c r="AL171" i="8"/>
  <c r="AG193" i="8"/>
  <c r="AF186" i="8"/>
  <c r="AG174" i="8"/>
  <c r="AE226" i="8"/>
  <c r="AK210" i="8"/>
  <c r="G197" i="15" s="1"/>
  <c r="AJ226" i="8"/>
  <c r="AF226" i="8"/>
  <c r="AI226" i="8"/>
  <c r="AG210" i="8"/>
  <c r="AG226" i="8" s="1"/>
  <c r="AQ210" i="8" s="1"/>
  <c r="AI206" i="8"/>
  <c r="AE206" i="8"/>
  <c r="AK190" i="8"/>
  <c r="AN170" i="8"/>
  <c r="AG173" i="8"/>
  <c r="AE166" i="8"/>
  <c r="AK150" i="8"/>
  <c r="AG150" i="8"/>
  <c r="AG163" i="8"/>
  <c r="AD166" i="8"/>
  <c r="AG154" i="8"/>
  <c r="AG161" i="8"/>
  <c r="AI166" i="8"/>
  <c r="AE138" i="8"/>
  <c r="AD146" i="8"/>
  <c r="AE126" i="8"/>
  <c r="AK110" i="8"/>
  <c r="AI126" i="8"/>
  <c r="AE96" i="8"/>
  <c r="AD106" i="8"/>
  <c r="AE75" i="8"/>
  <c r="AD86" i="8"/>
  <c r="AG70" i="8"/>
  <c r="AE58" i="8"/>
  <c r="AD66" i="8"/>
  <c r="AI46" i="8"/>
  <c r="AE46" i="8"/>
  <c r="AK30" i="8"/>
  <c r="CJ10" i="1"/>
  <c r="CH11" i="1"/>
  <c r="CH12" i="1"/>
  <c r="CH13" i="1"/>
  <c r="CX13" i="1" s="1"/>
  <c r="CH14" i="1"/>
  <c r="CX14" i="1" s="1"/>
  <c r="CH15" i="1"/>
  <c r="CZ15" i="1" s="1"/>
  <c r="CH16" i="1"/>
  <c r="CH17" i="1"/>
  <c r="CW17" i="1" s="1"/>
  <c r="CH18" i="1"/>
  <c r="CZ18" i="1" s="1"/>
  <c r="CH10" i="1"/>
  <c r="CZ10" i="1" s="1"/>
  <c r="CG11" i="1"/>
  <c r="CG12" i="1"/>
  <c r="CG13" i="1"/>
  <c r="DD13" i="1" s="1"/>
  <c r="CG14" i="1"/>
  <c r="DD14" i="1" s="1"/>
  <c r="CG15" i="1"/>
  <c r="CY15" i="1" s="1"/>
  <c r="CG16" i="1"/>
  <c r="DD16" i="1" s="1"/>
  <c r="CG17" i="1"/>
  <c r="CY17" i="1" s="1"/>
  <c r="CG18" i="1"/>
  <c r="DD18" i="1" s="1"/>
  <c r="CG10" i="1"/>
  <c r="DD10" i="1" s="1"/>
  <c r="W11" i="1"/>
  <c r="W24" i="1" s="1"/>
  <c r="W12" i="1"/>
  <c r="W25" i="1" s="1"/>
  <c r="W13" i="1"/>
  <c r="W26" i="1" s="1"/>
  <c r="W14" i="1"/>
  <c r="W27" i="1" s="1"/>
  <c r="W15" i="1"/>
  <c r="W28" i="1" s="1"/>
  <c r="W16" i="1"/>
  <c r="W17" i="1"/>
  <c r="W30" i="1" s="1"/>
  <c r="W18" i="1"/>
  <c r="W31" i="1" s="1"/>
  <c r="W10" i="1"/>
  <c r="W23" i="1" s="1"/>
  <c r="V11" i="1"/>
  <c r="V12" i="1"/>
  <c r="V25" i="1" s="1"/>
  <c r="V13" i="1"/>
  <c r="V26" i="1" s="1"/>
  <c r="V14" i="1"/>
  <c r="V27" i="1" s="1"/>
  <c r="V15" i="1"/>
  <c r="V16" i="1"/>
  <c r="V17" i="1"/>
  <c r="V30" i="1" s="1"/>
  <c r="V18" i="1"/>
  <c r="V31" i="1" s="1"/>
  <c r="V10" i="1"/>
  <c r="V23" i="1" s="1"/>
  <c r="U31" i="1"/>
  <c r="CQ31" i="1" s="1"/>
  <c r="T31" i="1"/>
  <c r="S31" i="1"/>
  <c r="R31" i="1"/>
  <c r="Q31" i="1"/>
  <c r="BJ31" i="1" s="1"/>
  <c r="P31" i="1"/>
  <c r="O31" i="1"/>
  <c r="CJ31" i="1" s="1"/>
  <c r="N31" i="1"/>
  <c r="M31" i="1"/>
  <c r="L31" i="1"/>
  <c r="K31" i="1"/>
  <c r="J31" i="1"/>
  <c r="I31" i="1"/>
  <c r="DB31" i="1" s="1"/>
  <c r="H31" i="1"/>
  <c r="G31" i="1"/>
  <c r="F31" i="1"/>
  <c r="E31" i="1"/>
  <c r="D31" i="1"/>
  <c r="U30" i="1"/>
  <c r="CQ30" i="1" s="1"/>
  <c r="T30" i="1"/>
  <c r="CP30" i="1" s="1"/>
  <c r="S30" i="1"/>
  <c r="R30" i="1"/>
  <c r="Q30" i="1"/>
  <c r="BJ30" i="1" s="1"/>
  <c r="P30" i="1"/>
  <c r="BI30" i="1" s="1"/>
  <c r="O30" i="1"/>
  <c r="CM30" i="1" s="1"/>
  <c r="N30" i="1"/>
  <c r="M30" i="1"/>
  <c r="L30" i="1"/>
  <c r="K30" i="1"/>
  <c r="J30" i="1"/>
  <c r="I30" i="1"/>
  <c r="DB30" i="1" s="1"/>
  <c r="H30" i="1"/>
  <c r="G30" i="1"/>
  <c r="F30" i="1"/>
  <c r="E30" i="1"/>
  <c r="D30" i="1"/>
  <c r="W29" i="1"/>
  <c r="V29" i="1"/>
  <c r="U29" i="1"/>
  <c r="CQ29" i="1" s="1"/>
  <c r="T29" i="1"/>
  <c r="S29" i="1"/>
  <c r="R29" i="1"/>
  <c r="Q29" i="1"/>
  <c r="BJ29" i="1" s="1"/>
  <c r="P29" i="1"/>
  <c r="O29" i="1"/>
  <c r="CT29" i="1" s="1"/>
  <c r="N29" i="1"/>
  <c r="M29" i="1"/>
  <c r="L29" i="1"/>
  <c r="K29" i="1"/>
  <c r="J29" i="1"/>
  <c r="I29" i="1"/>
  <c r="H29" i="1"/>
  <c r="G29" i="1"/>
  <c r="F29" i="1"/>
  <c r="E29" i="1"/>
  <c r="D29" i="1"/>
  <c r="V28" i="1"/>
  <c r="U28" i="1"/>
  <c r="CQ28" i="1" s="1"/>
  <c r="T28" i="1"/>
  <c r="S28" i="1"/>
  <c r="R28" i="1"/>
  <c r="Q28" i="1"/>
  <c r="BJ28" i="1" s="1"/>
  <c r="P28" i="1"/>
  <c r="BI28" i="1" s="1"/>
  <c r="O28" i="1"/>
  <c r="CJ28" i="1" s="1"/>
  <c r="N28" i="1"/>
  <c r="M28" i="1"/>
  <c r="L28" i="1"/>
  <c r="K28" i="1"/>
  <c r="J28" i="1"/>
  <c r="I28" i="1"/>
  <c r="BU28" i="1" s="1"/>
  <c r="H28" i="1"/>
  <c r="G28" i="1"/>
  <c r="F28" i="1"/>
  <c r="E28" i="1"/>
  <c r="D28" i="1"/>
  <c r="U27" i="1"/>
  <c r="CQ27" i="1" s="1"/>
  <c r="T27" i="1"/>
  <c r="CP27" i="1" s="1"/>
  <c r="S27" i="1"/>
  <c r="R27" i="1"/>
  <c r="Q27" i="1"/>
  <c r="BJ27" i="1" s="1"/>
  <c r="P27" i="1"/>
  <c r="O27" i="1"/>
  <c r="CJ27" i="1" s="1"/>
  <c r="N27" i="1"/>
  <c r="M27" i="1"/>
  <c r="L27" i="1"/>
  <c r="K27" i="1"/>
  <c r="J27" i="1"/>
  <c r="I27" i="1"/>
  <c r="DB27" i="1" s="1"/>
  <c r="H27" i="1"/>
  <c r="G27" i="1"/>
  <c r="F27" i="1"/>
  <c r="E27" i="1"/>
  <c r="D27" i="1"/>
  <c r="U26" i="1"/>
  <c r="CQ26" i="1" s="1"/>
  <c r="T26" i="1"/>
  <c r="S26" i="1"/>
  <c r="R26" i="1"/>
  <c r="Q26" i="1"/>
  <c r="BJ26" i="1" s="1"/>
  <c r="P26" i="1"/>
  <c r="O26" i="1"/>
  <c r="BF26" i="1" s="1"/>
  <c r="N26" i="1"/>
  <c r="M26" i="1"/>
  <c r="L26" i="1"/>
  <c r="K26" i="1"/>
  <c r="J26" i="1"/>
  <c r="I26" i="1"/>
  <c r="H26" i="1"/>
  <c r="G26" i="1"/>
  <c r="F26" i="1"/>
  <c r="E26" i="1"/>
  <c r="D26" i="1"/>
  <c r="U25" i="1"/>
  <c r="CQ25" i="1" s="1"/>
  <c r="T25" i="1"/>
  <c r="CP25" i="1" s="1"/>
  <c r="S25" i="1"/>
  <c r="R25" i="1"/>
  <c r="Q25" i="1"/>
  <c r="BJ25" i="1" s="1"/>
  <c r="P25" i="1"/>
  <c r="BI25" i="1" s="1"/>
  <c r="O25" i="1"/>
  <c r="N25" i="1"/>
  <c r="M25" i="1"/>
  <c r="L25" i="1"/>
  <c r="K25" i="1"/>
  <c r="J25" i="1"/>
  <c r="I25" i="1"/>
  <c r="DB25" i="1" s="1"/>
  <c r="H25" i="1"/>
  <c r="G25" i="1"/>
  <c r="F25" i="1"/>
  <c r="E25" i="1"/>
  <c r="D25" i="1"/>
  <c r="V24" i="1"/>
  <c r="U24" i="1"/>
  <c r="CQ24" i="1" s="1"/>
  <c r="T24" i="1"/>
  <c r="S24" i="1"/>
  <c r="R24" i="1"/>
  <c r="Q24" i="1"/>
  <c r="BJ24" i="1" s="1"/>
  <c r="P24" i="1"/>
  <c r="BI24" i="1" s="1"/>
  <c r="O24" i="1"/>
  <c r="CT24" i="1" s="1"/>
  <c r="N24" i="1"/>
  <c r="M24" i="1"/>
  <c r="L24" i="1"/>
  <c r="K24" i="1"/>
  <c r="J24" i="1"/>
  <c r="I24" i="1"/>
  <c r="H24" i="1"/>
  <c r="G24" i="1"/>
  <c r="F24" i="1"/>
  <c r="E24" i="1"/>
  <c r="D24" i="1"/>
  <c r="AQ23" i="1"/>
  <c r="AL23" i="1"/>
  <c r="U23" i="1"/>
  <c r="CQ23" i="1" s="1"/>
  <c r="T23" i="1"/>
  <c r="CP23" i="1" s="1"/>
  <c r="S23" i="1"/>
  <c r="R23" i="1"/>
  <c r="Q23" i="1"/>
  <c r="BJ23" i="1" s="1"/>
  <c r="P23" i="1"/>
  <c r="BI23" i="1" s="1"/>
  <c r="O23" i="1"/>
  <c r="BF23" i="1" s="1"/>
  <c r="N23" i="1"/>
  <c r="M23" i="1"/>
  <c r="L23" i="1"/>
  <c r="K23" i="1"/>
  <c r="J23" i="1"/>
  <c r="I23" i="1"/>
  <c r="BU23" i="1" s="1"/>
  <c r="H23" i="1"/>
  <c r="G23" i="1"/>
  <c r="F23" i="1"/>
  <c r="E23" i="1"/>
  <c r="D23" i="1"/>
  <c r="DB18" i="1"/>
  <c r="CT18" i="1"/>
  <c r="CQ18" i="1"/>
  <c r="CP18" i="1"/>
  <c r="CM18" i="1"/>
  <c r="CL18" i="1"/>
  <c r="CJ18" i="1"/>
  <c r="BU18" i="1"/>
  <c r="BJ18" i="1"/>
  <c r="BI18" i="1"/>
  <c r="BF18" i="1"/>
  <c r="BE18" i="1"/>
  <c r="BG18" i="1" s="1"/>
  <c r="BA18" i="1"/>
  <c r="AZ18" i="1"/>
  <c r="BW18" i="1" s="1"/>
  <c r="X18" i="1"/>
  <c r="BV18" i="1" s="1"/>
  <c r="DB17" i="1"/>
  <c r="CT17" i="1"/>
  <c r="CQ17" i="1"/>
  <c r="CP17" i="1"/>
  <c r="CM17" i="1"/>
  <c r="CL17" i="1"/>
  <c r="CJ17" i="1"/>
  <c r="BU17" i="1"/>
  <c r="BJ17" i="1"/>
  <c r="BI17" i="1"/>
  <c r="BF17" i="1"/>
  <c r="BM17" i="1" s="1"/>
  <c r="BE17" i="1"/>
  <c r="BA17" i="1"/>
  <c r="BS17" i="1" s="1"/>
  <c r="AZ17" i="1"/>
  <c r="BQ17" i="1" s="1"/>
  <c r="X17" i="1"/>
  <c r="DC17" i="1" s="1"/>
  <c r="DB16" i="1"/>
  <c r="CT16" i="1"/>
  <c r="CQ16" i="1"/>
  <c r="CP16" i="1"/>
  <c r="CM16" i="1"/>
  <c r="CL16" i="1"/>
  <c r="CS16" i="1" s="1"/>
  <c r="CU16" i="1" s="1"/>
  <c r="CJ16" i="1"/>
  <c r="BU16" i="1"/>
  <c r="BJ16" i="1"/>
  <c r="BI16" i="1"/>
  <c r="BF16" i="1"/>
  <c r="BC16" i="1" s="1"/>
  <c r="BE16" i="1"/>
  <c r="BA16" i="1"/>
  <c r="BS16" i="1" s="1"/>
  <c r="AZ16" i="1"/>
  <c r="BR16" i="1" s="1"/>
  <c r="X16" i="1"/>
  <c r="DC16" i="1" s="1"/>
  <c r="DB15" i="1"/>
  <c r="DA15" i="1"/>
  <c r="CW15" i="1"/>
  <c r="CT15" i="1"/>
  <c r="CQ15" i="1"/>
  <c r="CP15" i="1"/>
  <c r="CM15" i="1"/>
  <c r="CL15" i="1"/>
  <c r="CJ15" i="1"/>
  <c r="BU15" i="1"/>
  <c r="BJ15" i="1"/>
  <c r="BI15" i="1"/>
  <c r="BF15" i="1"/>
  <c r="BE15" i="1"/>
  <c r="BG15" i="1" s="1"/>
  <c r="BA15" i="1"/>
  <c r="BT15" i="1" s="1"/>
  <c r="AZ15" i="1"/>
  <c r="BR15" i="1" s="1"/>
  <c r="X15" i="1"/>
  <c r="BV15" i="1" s="1"/>
  <c r="DB14" i="1"/>
  <c r="CW14" i="1"/>
  <c r="CT14" i="1"/>
  <c r="CQ14" i="1"/>
  <c r="CP14" i="1"/>
  <c r="CM14" i="1"/>
  <c r="CL14" i="1"/>
  <c r="CJ14" i="1"/>
  <c r="BU14" i="1"/>
  <c r="BJ14" i="1"/>
  <c r="BI14" i="1"/>
  <c r="BF14" i="1"/>
  <c r="BE14" i="1"/>
  <c r="BA14" i="1"/>
  <c r="BP14" i="1" s="1"/>
  <c r="AZ14" i="1"/>
  <c r="BR14" i="1" s="1"/>
  <c r="X14" i="1"/>
  <c r="Y14" i="1" s="1"/>
  <c r="Z14" i="1" s="1"/>
  <c r="DB13" i="1"/>
  <c r="CZ13" i="1"/>
  <c r="CT13" i="1"/>
  <c r="CQ13" i="1"/>
  <c r="CP13" i="1"/>
  <c r="CM13" i="1"/>
  <c r="CL13" i="1"/>
  <c r="CJ13" i="1"/>
  <c r="DA13" i="1"/>
  <c r="BU13" i="1"/>
  <c r="BJ13" i="1"/>
  <c r="BI13" i="1"/>
  <c r="BF13" i="1"/>
  <c r="BC13" i="1" s="1"/>
  <c r="BE13" i="1"/>
  <c r="BG13" i="1" s="1"/>
  <c r="BA13" i="1"/>
  <c r="BT13" i="1" s="1"/>
  <c r="AZ13" i="1"/>
  <c r="BW13" i="1" s="1"/>
  <c r="X13" i="1"/>
  <c r="DC13" i="1" s="1"/>
  <c r="DD12" i="1"/>
  <c r="DB12" i="1"/>
  <c r="DA12" i="1"/>
  <c r="CZ12" i="1"/>
  <c r="CW12" i="1"/>
  <c r="CT12" i="1"/>
  <c r="CQ12" i="1"/>
  <c r="CP12" i="1"/>
  <c r="CM12" i="1"/>
  <c r="CL12" i="1"/>
  <c r="CJ12" i="1"/>
  <c r="CX12" i="1"/>
  <c r="CY12" i="1"/>
  <c r="BU12" i="1"/>
  <c r="BJ12" i="1"/>
  <c r="BI12" i="1"/>
  <c r="BF12" i="1"/>
  <c r="BC12" i="1" s="1"/>
  <c r="BE12" i="1"/>
  <c r="BA12" i="1"/>
  <c r="BS12" i="1" s="1"/>
  <c r="AZ12" i="1"/>
  <c r="BR12" i="1" s="1"/>
  <c r="X12" i="1"/>
  <c r="DC12" i="1" s="1"/>
  <c r="DB11" i="1"/>
  <c r="CT11" i="1"/>
  <c r="CQ11" i="1"/>
  <c r="CP11" i="1"/>
  <c r="CM11" i="1"/>
  <c r="CL11" i="1"/>
  <c r="CJ11" i="1"/>
  <c r="CY11" i="1"/>
  <c r="BU11" i="1"/>
  <c r="BJ11" i="1"/>
  <c r="BI11" i="1"/>
  <c r="BF11" i="1"/>
  <c r="BC11" i="1" s="1"/>
  <c r="BE11" i="1"/>
  <c r="BA11" i="1"/>
  <c r="BP11" i="1" s="1"/>
  <c r="AZ11" i="1"/>
  <c r="BW11" i="1" s="1"/>
  <c r="X11" i="1"/>
  <c r="DB10" i="1"/>
  <c r="CT10" i="1"/>
  <c r="CQ10" i="1"/>
  <c r="CP10" i="1"/>
  <c r="CM10" i="1"/>
  <c r="CL10" i="1"/>
  <c r="BU10" i="1"/>
  <c r="BL10" i="1"/>
  <c r="BJ10" i="1"/>
  <c r="BI10" i="1"/>
  <c r="BF10" i="1"/>
  <c r="BE10" i="1"/>
  <c r="BB10" i="1"/>
  <c r="BA10" i="1"/>
  <c r="BT10" i="1" s="1"/>
  <c r="AZ10" i="1"/>
  <c r="BW10" i="1" s="1"/>
  <c r="X10" i="1"/>
  <c r="Y10" i="1" s="1"/>
  <c r="Z10" i="1" s="1"/>
  <c r="AA10" i="1" s="1"/>
  <c r="BK10" i="1" l="1"/>
  <c r="CR10" i="1"/>
  <c r="BK11" i="1"/>
  <c r="CR11" i="1"/>
  <c r="BK12" i="1"/>
  <c r="CR12" i="1"/>
  <c r="BK13" i="1"/>
  <c r="CR13" i="1"/>
  <c r="BK14" i="1"/>
  <c r="CR14" i="1"/>
  <c r="BK15" i="1"/>
  <c r="CR15" i="1"/>
  <c r="BK16" i="1"/>
  <c r="CR16" i="1"/>
  <c r="BK17" i="1"/>
  <c r="CR17" i="1"/>
  <c r="BK18" i="1"/>
  <c r="CR18" i="1"/>
  <c r="BK23" i="1"/>
  <c r="CR23" i="1"/>
  <c r="BK24" i="1"/>
  <c r="BK25" i="1"/>
  <c r="CR25" i="1"/>
  <c r="CR27" i="1"/>
  <c r="BK28" i="1"/>
  <c r="BK30" i="1"/>
  <c r="CR30" i="1"/>
  <c r="G62" i="7"/>
  <c r="G62" i="15"/>
  <c r="G122" i="7"/>
  <c r="G122" i="15"/>
  <c r="G152" i="15"/>
  <c r="G152" i="7"/>
  <c r="E169" i="7"/>
  <c r="X167" i="7" s="1"/>
  <c r="V167" i="7" s="1"/>
  <c r="E169" i="15"/>
  <c r="X167" i="15" s="1"/>
  <c r="V167" i="15" s="1"/>
  <c r="G182" i="7"/>
  <c r="G182" i="15"/>
  <c r="I197" i="15"/>
  <c r="C208" i="8"/>
  <c r="U197" i="15"/>
  <c r="Z197" i="15"/>
  <c r="AN197" i="15"/>
  <c r="Y197" i="15"/>
  <c r="AF197" i="15"/>
  <c r="AM197" i="15"/>
  <c r="AA197" i="15"/>
  <c r="E168" i="7"/>
  <c r="E168" i="15"/>
  <c r="G168" i="7"/>
  <c r="G168" i="15"/>
  <c r="I169" i="7"/>
  <c r="W167" i="7" s="1"/>
  <c r="I169" i="15"/>
  <c r="W167" i="15" s="1"/>
  <c r="G167" i="7"/>
  <c r="G167" i="15"/>
  <c r="AG317" i="15"/>
  <c r="AG257" i="15"/>
  <c r="AG227" i="15"/>
  <c r="AJ17" i="8"/>
  <c r="AJ17" i="14" s="1"/>
  <c r="AJ13" i="8"/>
  <c r="AJ13" i="14" s="1"/>
  <c r="AF17" i="8"/>
  <c r="AF17" i="14" s="1"/>
  <c r="AG16" i="8"/>
  <c r="AG16" i="14" s="1"/>
  <c r="AG23" i="8"/>
  <c r="AG23" i="14" s="1"/>
  <c r="AJ25" i="14"/>
  <c r="AG18" i="8"/>
  <c r="AG18" i="14" s="1"/>
  <c r="AJ11" i="14"/>
  <c r="AG24" i="8"/>
  <c r="AG24" i="14" s="1"/>
  <c r="AJ22" i="14"/>
  <c r="AJ15" i="14"/>
  <c r="AD19" i="14"/>
  <c r="AE19" i="8"/>
  <c r="AE20" i="8"/>
  <c r="AF20" i="8" s="1"/>
  <c r="AF20" i="14" s="1"/>
  <c r="AD20" i="14"/>
  <c r="AG14" i="8"/>
  <c r="AG14" i="14" s="1"/>
  <c r="AJ14" i="14"/>
  <c r="AJ12" i="8"/>
  <c r="AE12" i="14"/>
  <c r="AG212" i="7"/>
  <c r="AG242" i="7"/>
  <c r="AG317" i="7"/>
  <c r="AG257" i="7"/>
  <c r="AG227" i="7"/>
  <c r="AM182" i="7"/>
  <c r="AF182" i="7"/>
  <c r="U182" i="7"/>
  <c r="AA182" i="7"/>
  <c r="AN182" i="7"/>
  <c r="Z182" i="7"/>
  <c r="Y182" i="7"/>
  <c r="AC167" i="7"/>
  <c r="F174" i="7"/>
  <c r="AB167" i="7"/>
  <c r="E174" i="7"/>
  <c r="AA167" i="7"/>
  <c r="Z167" i="7"/>
  <c r="Y167" i="7"/>
  <c r="AN167" i="7"/>
  <c r="AF167" i="7"/>
  <c r="U167" i="7"/>
  <c r="AM167" i="7"/>
  <c r="AJ138" i="8"/>
  <c r="AF138" i="8"/>
  <c r="AM122" i="7"/>
  <c r="AA122" i="7"/>
  <c r="Z122" i="7"/>
  <c r="Y122" i="7"/>
  <c r="AN122" i="7"/>
  <c r="AF122" i="7"/>
  <c r="U122" i="7"/>
  <c r="U62" i="7"/>
  <c r="Y62" i="7"/>
  <c r="Z62" i="7"/>
  <c r="AA62" i="7"/>
  <c r="AF62" i="7"/>
  <c r="AM62" i="7"/>
  <c r="AN62" i="7"/>
  <c r="AF46" i="8"/>
  <c r="AJ58" i="8"/>
  <c r="AF58" i="8"/>
  <c r="AJ75" i="8"/>
  <c r="AF75" i="8"/>
  <c r="AJ96" i="8"/>
  <c r="AF96" i="8"/>
  <c r="AF106" i="8" s="1"/>
  <c r="AO210" i="8"/>
  <c r="G197" i="7"/>
  <c r="I197" i="7"/>
  <c r="AF206" i="8"/>
  <c r="AS210" i="8"/>
  <c r="AT210" i="8" s="1"/>
  <c r="AG166" i="8"/>
  <c r="AQ150" i="8" s="1"/>
  <c r="C148" i="8" s="1"/>
  <c r="AO110" i="8"/>
  <c r="AL113" i="8"/>
  <c r="AL111" i="8"/>
  <c r="AL153" i="8"/>
  <c r="AL151" i="8"/>
  <c r="AO150" i="8"/>
  <c r="AL33" i="8"/>
  <c r="AO30" i="8"/>
  <c r="AL31" i="8"/>
  <c r="AG186" i="8"/>
  <c r="AQ170" i="8" s="1"/>
  <c r="AJ206" i="8"/>
  <c r="AS190" i="8" s="1"/>
  <c r="AL193" i="8"/>
  <c r="AO190" i="8"/>
  <c r="AL191" i="8"/>
  <c r="AJ186" i="8"/>
  <c r="AS170" i="8" s="1"/>
  <c r="AV170" i="8" s="1"/>
  <c r="AL211" i="8"/>
  <c r="AN210" i="8"/>
  <c r="AL213" i="8"/>
  <c r="AG190" i="8"/>
  <c r="AG206" i="8" s="1"/>
  <c r="AQ190" i="8" s="1"/>
  <c r="AN190" i="8"/>
  <c r="AF166" i="8"/>
  <c r="AJ166" i="8"/>
  <c r="AS150" i="8" s="1"/>
  <c r="AN150" i="8"/>
  <c r="AF146" i="8"/>
  <c r="AK130" i="8"/>
  <c r="AE146" i="8"/>
  <c r="AG126" i="8"/>
  <c r="AQ110" i="8" s="1"/>
  <c r="AF126" i="8"/>
  <c r="AN110" i="8"/>
  <c r="AJ126" i="8"/>
  <c r="AS110" i="8" s="1"/>
  <c r="AE106" i="8"/>
  <c r="AK90" i="8"/>
  <c r="AF86" i="8"/>
  <c r="AE86" i="8"/>
  <c r="AK70" i="8"/>
  <c r="AF66" i="8"/>
  <c r="AE66" i="8"/>
  <c r="AK50" i="8"/>
  <c r="AN30" i="8"/>
  <c r="AG30" i="8"/>
  <c r="AG46" i="8" s="1"/>
  <c r="AQ30" i="8" s="1"/>
  <c r="I62" i="15" s="1"/>
  <c r="AS30" i="8"/>
  <c r="AZ30" i="1"/>
  <c r="AZ25" i="1"/>
  <c r="BW25" i="1" s="1"/>
  <c r="BG16" i="1"/>
  <c r="BG11" i="1"/>
  <c r="BG12" i="1"/>
  <c r="BE28" i="1"/>
  <c r="AZ28" i="1"/>
  <c r="CI17" i="1"/>
  <c r="CK17" i="1" s="1"/>
  <c r="CN17" i="1"/>
  <c r="CL26" i="1"/>
  <c r="AZ26" i="1"/>
  <c r="BQ26" i="1" s="1"/>
  <c r="CS13" i="1"/>
  <c r="CU13" i="1" s="1"/>
  <c r="CN13" i="1"/>
  <c r="CI14" i="1"/>
  <c r="CK14" i="1" s="1"/>
  <c r="CN14" i="1"/>
  <c r="CI15" i="1"/>
  <c r="CK15" i="1" s="1"/>
  <c r="CN15" i="1"/>
  <c r="CI18" i="1"/>
  <c r="CK18" i="1" s="1"/>
  <c r="CN18" i="1"/>
  <c r="CL29" i="1"/>
  <c r="AZ29" i="1"/>
  <c r="BQ29" i="1" s="1"/>
  <c r="BL14" i="1"/>
  <c r="BG14" i="1"/>
  <c r="CI11" i="1"/>
  <c r="CK11" i="1" s="1"/>
  <c r="CN11" i="1"/>
  <c r="BB17" i="1"/>
  <c r="BG17" i="1"/>
  <c r="CL31" i="1"/>
  <c r="CS31" i="1" s="1"/>
  <c r="AZ31" i="1"/>
  <c r="BQ31" i="1" s="1"/>
  <c r="CI16" i="1"/>
  <c r="CK16" i="1" s="1"/>
  <c r="CN16" i="1"/>
  <c r="CI12" i="1"/>
  <c r="CK12" i="1" s="1"/>
  <c r="CN12" i="1"/>
  <c r="CG24" i="1"/>
  <c r="DD24" i="1" s="1"/>
  <c r="AZ24" i="1"/>
  <c r="BW24" i="1" s="1"/>
  <c r="CG27" i="1"/>
  <c r="DD27" i="1" s="1"/>
  <c r="AZ27" i="1"/>
  <c r="BW27" i="1" s="1"/>
  <c r="CW10" i="1"/>
  <c r="CX10" i="1"/>
  <c r="DA10" i="1"/>
  <c r="BL23" i="1"/>
  <c r="BE23" i="1"/>
  <c r="BG23" i="1" s="1"/>
  <c r="AZ23" i="1"/>
  <c r="BQ23" i="1" s="1"/>
  <c r="CN10" i="1"/>
  <c r="BM10" i="1"/>
  <c r="BN10" i="1" s="1"/>
  <c r="BG10" i="1"/>
  <c r="CX15" i="1"/>
  <c r="CH24" i="1"/>
  <c r="DA24" i="1" s="1"/>
  <c r="CH29" i="1"/>
  <c r="BW17" i="1"/>
  <c r="BU27" i="1"/>
  <c r="CH28" i="1"/>
  <c r="CZ28" i="1" s="1"/>
  <c r="BA30" i="1"/>
  <c r="BS30" i="1" s="1"/>
  <c r="BC10" i="1"/>
  <c r="BD10" i="1" s="1"/>
  <c r="BL13" i="1"/>
  <c r="BB14" i="1"/>
  <c r="CM29" i="1"/>
  <c r="CP29" i="1"/>
  <c r="CR29" i="1" s="1"/>
  <c r="CH30" i="1"/>
  <c r="CX30" i="1" s="1"/>
  <c r="CH26" i="1"/>
  <c r="CW26" i="1" s="1"/>
  <c r="CP24" i="1"/>
  <c r="CR24" i="1" s="1"/>
  <c r="BE26" i="1"/>
  <c r="BG26" i="1" s="1"/>
  <c r="BS10" i="1"/>
  <c r="BP15" i="1"/>
  <c r="CH31" i="1"/>
  <c r="CL25" i="1"/>
  <c r="CS12" i="1"/>
  <c r="CU12" i="1" s="1"/>
  <c r="CX17" i="1"/>
  <c r="CH27" i="1"/>
  <c r="DA27" i="1" s="1"/>
  <c r="CG29" i="1"/>
  <c r="BB13" i="1"/>
  <c r="BD13" i="1" s="1"/>
  <c r="DC18" i="1"/>
  <c r="BA25" i="1"/>
  <c r="BT25" i="1" s="1"/>
  <c r="CH25" i="1"/>
  <c r="CX25" i="1" s="1"/>
  <c r="CI29" i="1"/>
  <c r="CL23" i="1"/>
  <c r="CI23" i="1" s="1"/>
  <c r="BE25" i="1"/>
  <c r="CH23" i="1"/>
  <c r="DA23" i="1" s="1"/>
  <c r="CG26" i="1"/>
  <c r="CY26" i="1" s="1"/>
  <c r="CL28" i="1"/>
  <c r="CG25" i="1"/>
  <c r="DD25" i="1" s="1"/>
  <c r="DB28" i="1"/>
  <c r="CG23" i="1"/>
  <c r="CY23" i="1" s="1"/>
  <c r="DB23" i="1"/>
  <c r="BR10" i="1"/>
  <c r="BU25" i="1"/>
  <c r="CG31" i="1"/>
  <c r="CI13" i="1"/>
  <c r="CK13" i="1" s="1"/>
  <c r="CG30" i="1"/>
  <c r="DD30" i="1" s="1"/>
  <c r="CI10" i="1"/>
  <c r="CK10" i="1" s="1"/>
  <c r="CS10" i="1"/>
  <c r="CU10" i="1" s="1"/>
  <c r="BW12" i="1"/>
  <c r="X29" i="1"/>
  <c r="Y29" i="1" s="1"/>
  <c r="Z29" i="1" s="1"/>
  <c r="BW15" i="1"/>
  <c r="DA17" i="1"/>
  <c r="CG28" i="1"/>
  <c r="X28" i="1"/>
  <c r="Y28" i="1" s="1"/>
  <c r="Z28" i="1" s="1"/>
  <c r="CW13" i="1"/>
  <c r="CY18" i="1"/>
  <c r="CJ26" i="1"/>
  <c r="CM26" i="1"/>
  <c r="BF30" i="1"/>
  <c r="BC17" i="1"/>
  <c r="CT26" i="1"/>
  <c r="CM28" i="1"/>
  <c r="CM24" i="1"/>
  <c r="CJ30" i="1"/>
  <c r="BM26" i="1"/>
  <c r="BC26" i="1"/>
  <c r="BM13" i="1"/>
  <c r="BF28" i="1"/>
  <c r="BM16" i="1"/>
  <c r="BF24" i="1"/>
  <c r="BM11" i="1"/>
  <c r="CJ24" i="1"/>
  <c r="BF29" i="1"/>
  <c r="BC29" i="1" s="1"/>
  <c r="BQ14" i="1"/>
  <c r="BT12" i="1"/>
  <c r="CS14" i="1"/>
  <c r="CU14" i="1" s="1"/>
  <c r="BW16" i="1"/>
  <c r="BR17" i="1"/>
  <c r="BA28" i="1"/>
  <c r="BP28" i="1" s="1"/>
  <c r="BT16" i="1"/>
  <c r="BA24" i="1"/>
  <c r="BS24" i="1" s="1"/>
  <c r="BL26" i="1"/>
  <c r="BW14" i="1"/>
  <c r="DD17" i="1"/>
  <c r="BW28" i="1"/>
  <c r="BP13" i="1"/>
  <c r="BP12" i="1"/>
  <c r="BQ13" i="1"/>
  <c r="BS15" i="1"/>
  <c r="BP16" i="1"/>
  <c r="BS13" i="1"/>
  <c r="DD15" i="1"/>
  <c r="BA26" i="1"/>
  <c r="BT26" i="1" s="1"/>
  <c r="BB26" i="1"/>
  <c r="BD26" i="1" s="1"/>
  <c r="BP10" i="1"/>
  <c r="CY10" i="1"/>
  <c r="BU31" i="1"/>
  <c r="Y18" i="1"/>
  <c r="Z18" i="1" s="1"/>
  <c r="AB18" i="1" s="1"/>
  <c r="Y17" i="1"/>
  <c r="Z17" i="1" s="1"/>
  <c r="AB17" i="1" s="1"/>
  <c r="BV17" i="1"/>
  <c r="Y16" i="1"/>
  <c r="Z16" i="1" s="1"/>
  <c r="AB16" i="1" s="1"/>
  <c r="CY29" i="1"/>
  <c r="DC15" i="1"/>
  <c r="Y15" i="1"/>
  <c r="Z15" i="1" s="1"/>
  <c r="AB15" i="1" s="1"/>
  <c r="Y12" i="1"/>
  <c r="Z12" i="1" s="1"/>
  <c r="AB12" i="1" s="1"/>
  <c r="BV12" i="1"/>
  <c r="X24" i="1"/>
  <c r="BV24" i="1" s="1"/>
  <c r="CZ24" i="1"/>
  <c r="AA18" i="1"/>
  <c r="BC18" i="1"/>
  <c r="BM18" i="1"/>
  <c r="DC11" i="1"/>
  <c r="X19" i="1"/>
  <c r="Y11" i="1"/>
  <c r="Z11" i="1" s="1"/>
  <c r="DA16" i="1"/>
  <c r="CX16" i="1"/>
  <c r="CW16" i="1"/>
  <c r="CS15" i="1"/>
  <c r="CU15" i="1" s="1"/>
  <c r="DA11" i="1"/>
  <c r="CZ11" i="1"/>
  <c r="CX11" i="1"/>
  <c r="CW11" i="1"/>
  <c r="BB16" i="1"/>
  <c r="BD16" i="1" s="1"/>
  <c r="BL16" i="1"/>
  <c r="CS18" i="1"/>
  <c r="CU18" i="1" s="1"/>
  <c r="CY16" i="1"/>
  <c r="X27" i="1"/>
  <c r="BR11" i="1"/>
  <c r="BQ11" i="1"/>
  <c r="CS11" i="1"/>
  <c r="CU11" i="1" s="1"/>
  <c r="DD11" i="1"/>
  <c r="BM14" i="1"/>
  <c r="BC14" i="1"/>
  <c r="CZ16" i="1"/>
  <c r="AA14" i="1"/>
  <c r="BB15" i="1"/>
  <c r="BL15" i="1"/>
  <c r="BL17" i="1"/>
  <c r="BN17" i="1" s="1"/>
  <c r="BI29" i="1"/>
  <c r="BK29" i="1" s="1"/>
  <c r="BA29" i="1"/>
  <c r="BP29" i="1" s="1"/>
  <c r="AB29" i="1"/>
  <c r="AA29" i="1"/>
  <c r="BB12" i="1"/>
  <c r="BD12" i="1" s="1"/>
  <c r="BL12" i="1"/>
  <c r="CL27" i="1"/>
  <c r="BE27" i="1"/>
  <c r="AB10" i="1"/>
  <c r="BQ10" i="1"/>
  <c r="BV11" i="1"/>
  <c r="BM12" i="1"/>
  <c r="AB14" i="1"/>
  <c r="BM15" i="1"/>
  <c r="BC15" i="1"/>
  <c r="CY14" i="1"/>
  <c r="CP28" i="1"/>
  <c r="CR28" i="1" s="1"/>
  <c r="DC29" i="1"/>
  <c r="BT11" i="1"/>
  <c r="BS11" i="1"/>
  <c r="BR13" i="1"/>
  <c r="CY13" i="1"/>
  <c r="BV14" i="1"/>
  <c r="DA14" i="1"/>
  <c r="CZ14" i="1"/>
  <c r="BR18" i="1"/>
  <c r="BQ18" i="1"/>
  <c r="X23" i="1"/>
  <c r="BV23" i="1" s="1"/>
  <c r="CM25" i="1"/>
  <c r="BF25" i="1"/>
  <c r="CT25" i="1"/>
  <c r="CJ25" i="1"/>
  <c r="CS17" i="1"/>
  <c r="CU17" i="1" s="1"/>
  <c r="BT18" i="1"/>
  <c r="BS18" i="1"/>
  <c r="BP18" i="1"/>
  <c r="DB24" i="1"/>
  <c r="BU24" i="1"/>
  <c r="CP26" i="1"/>
  <c r="CR26" i="1" s="1"/>
  <c r="DD31" i="1"/>
  <c r="BE31" i="1"/>
  <c r="DC14" i="1"/>
  <c r="DA18" i="1"/>
  <c r="CX18" i="1"/>
  <c r="CW18" i="1"/>
  <c r="X26" i="1"/>
  <c r="BQ28" i="1"/>
  <c r="CT31" i="1"/>
  <c r="BF31" i="1"/>
  <c r="CM31" i="1"/>
  <c r="BL11" i="1"/>
  <c r="BB11" i="1"/>
  <c r="BD11" i="1" s="1"/>
  <c r="BT14" i="1"/>
  <c r="BS14" i="1"/>
  <c r="BT17" i="1"/>
  <c r="BP17" i="1"/>
  <c r="BL18" i="1"/>
  <c r="BN18" i="1" s="1"/>
  <c r="BB18" i="1"/>
  <c r="X30" i="1"/>
  <c r="Y30" i="1" s="1"/>
  <c r="Z30" i="1" s="1"/>
  <c r="BR30" i="1"/>
  <c r="BQ30" i="1"/>
  <c r="BQ16" i="1"/>
  <c r="CZ17" i="1"/>
  <c r="CJ23" i="1"/>
  <c r="CT23" i="1"/>
  <c r="BI27" i="1"/>
  <c r="BK27" i="1" s="1"/>
  <c r="BA27" i="1"/>
  <c r="BT27" i="1" s="1"/>
  <c r="BB28" i="1"/>
  <c r="CL30" i="1"/>
  <c r="BE30" i="1"/>
  <c r="BG30" i="1" s="1"/>
  <c r="BA23" i="1"/>
  <c r="BP23" i="1" s="1"/>
  <c r="CM23" i="1"/>
  <c r="X25" i="1"/>
  <c r="Y25" i="1" s="1"/>
  <c r="Z25" i="1" s="1"/>
  <c r="CW25" i="1"/>
  <c r="BP25" i="1"/>
  <c r="BL25" i="1"/>
  <c r="BB25" i="1"/>
  <c r="CP31" i="1"/>
  <c r="CR31" i="1" s="1"/>
  <c r="DA31" i="1"/>
  <c r="CM27" i="1"/>
  <c r="BF27" i="1"/>
  <c r="DB29" i="1"/>
  <c r="BU29" i="1"/>
  <c r="BV10" i="1"/>
  <c r="DC10" i="1"/>
  <c r="BQ12" i="1"/>
  <c r="Y13" i="1"/>
  <c r="Z13" i="1" s="1"/>
  <c r="BV13" i="1"/>
  <c r="BQ15" i="1"/>
  <c r="DB26" i="1"/>
  <c r="BU26" i="1"/>
  <c r="CT27" i="1"/>
  <c r="DD28" i="1"/>
  <c r="BL28" i="1"/>
  <c r="DD29" i="1"/>
  <c r="BR31" i="1"/>
  <c r="X31" i="1"/>
  <c r="BV16" i="1"/>
  <c r="CW24" i="1"/>
  <c r="BI26" i="1"/>
  <c r="BK26" i="1" s="1"/>
  <c r="BI31" i="1"/>
  <c r="BK31" i="1" s="1"/>
  <c r="BA31" i="1"/>
  <c r="BT31" i="1" s="1"/>
  <c r="CX24" i="1"/>
  <c r="BW30" i="1"/>
  <c r="BB23" i="1"/>
  <c r="CL24" i="1"/>
  <c r="BE24" i="1"/>
  <c r="CT28" i="1"/>
  <c r="CJ29" i="1"/>
  <c r="BU30" i="1"/>
  <c r="CT30" i="1"/>
  <c r="BR28" i="1"/>
  <c r="CY28" i="1"/>
  <c r="BE29" i="1"/>
  <c r="BN12" i="1" l="1"/>
  <c r="BD17" i="1"/>
  <c r="R62" i="15"/>
  <c r="T62" i="15"/>
  <c r="D70" i="15"/>
  <c r="E64" i="7"/>
  <c r="X62" i="7" s="1"/>
  <c r="V62" i="7" s="1"/>
  <c r="E64" i="15"/>
  <c r="X62" i="15" s="1"/>
  <c r="V62" i="15" s="1"/>
  <c r="G77" i="7"/>
  <c r="G77" i="15"/>
  <c r="G92" i="7"/>
  <c r="G92" i="15"/>
  <c r="G107" i="7"/>
  <c r="G107" i="15"/>
  <c r="E124" i="7"/>
  <c r="X122" i="7" s="1"/>
  <c r="V122" i="7" s="1"/>
  <c r="E124" i="15"/>
  <c r="X122" i="15" s="1"/>
  <c r="V122" i="15" s="1"/>
  <c r="AP110" i="8"/>
  <c r="E125" i="15" s="1"/>
  <c r="I122" i="15"/>
  <c r="C108" i="8"/>
  <c r="G137" i="7"/>
  <c r="G137" i="15"/>
  <c r="E154" i="7"/>
  <c r="X152" i="7" s="1"/>
  <c r="V152" i="7" s="1"/>
  <c r="E154" i="15"/>
  <c r="X152" i="15" s="1"/>
  <c r="V152" i="15" s="1"/>
  <c r="E184" i="7"/>
  <c r="X182" i="7" s="1"/>
  <c r="V182" i="7" s="1"/>
  <c r="E184" i="15"/>
  <c r="X182" i="15" s="1"/>
  <c r="V182" i="15" s="1"/>
  <c r="I182" i="15"/>
  <c r="C188" i="8"/>
  <c r="G198" i="7"/>
  <c r="G198" i="15"/>
  <c r="E199" i="7"/>
  <c r="X197" i="7" s="1"/>
  <c r="V197" i="7" s="1"/>
  <c r="E199" i="15"/>
  <c r="X197" i="15" s="1"/>
  <c r="V197" i="15" s="1"/>
  <c r="E198" i="7"/>
  <c r="E198" i="15"/>
  <c r="E183" i="7"/>
  <c r="E183" i="15"/>
  <c r="I184" i="7"/>
  <c r="W182" i="7" s="1"/>
  <c r="I184" i="15"/>
  <c r="W182" i="15" s="1"/>
  <c r="G183" i="7"/>
  <c r="G183" i="15"/>
  <c r="AP170" i="8"/>
  <c r="E170" i="15" s="1"/>
  <c r="I167" i="15"/>
  <c r="C168" i="8"/>
  <c r="E63" i="7"/>
  <c r="E69" i="7" s="1"/>
  <c r="E63" i="15"/>
  <c r="I64" i="7"/>
  <c r="W62" i="7" s="1"/>
  <c r="I64" i="15"/>
  <c r="W62" i="15" s="1"/>
  <c r="G63" i="7"/>
  <c r="F69" i="7" s="1"/>
  <c r="G63" i="15"/>
  <c r="I154" i="7"/>
  <c r="W152" i="7" s="1"/>
  <c r="I154" i="15"/>
  <c r="W152" i="15" s="1"/>
  <c r="E153" i="7"/>
  <c r="E159" i="7" s="1"/>
  <c r="E153" i="15"/>
  <c r="G153" i="7"/>
  <c r="F159" i="7" s="1"/>
  <c r="G153" i="15"/>
  <c r="E123" i="7"/>
  <c r="E129" i="7" s="1"/>
  <c r="E123" i="15"/>
  <c r="G123" i="7"/>
  <c r="F129" i="7" s="1"/>
  <c r="G123" i="15"/>
  <c r="I124" i="7"/>
  <c r="W122" i="7" s="1"/>
  <c r="I124" i="15"/>
  <c r="W122" i="15" s="1"/>
  <c r="I199" i="7"/>
  <c r="W197" i="7" s="1"/>
  <c r="I199" i="15"/>
  <c r="W197" i="15" s="1"/>
  <c r="AF167" i="15"/>
  <c r="AM167" i="15"/>
  <c r="AA167" i="15"/>
  <c r="Y167" i="15"/>
  <c r="AN167" i="15"/>
  <c r="Z167" i="15"/>
  <c r="U167" i="15"/>
  <c r="F174" i="15"/>
  <c r="AC167" i="15"/>
  <c r="E174" i="15"/>
  <c r="AB167" i="15"/>
  <c r="R197" i="15"/>
  <c r="T197" i="15"/>
  <c r="D205" i="15"/>
  <c r="AM182" i="15"/>
  <c r="AN182" i="15"/>
  <c r="AF182" i="15"/>
  <c r="AA182" i="15"/>
  <c r="Y182" i="15"/>
  <c r="U182" i="15"/>
  <c r="Z182" i="15"/>
  <c r="AN152" i="7"/>
  <c r="U152" i="7"/>
  <c r="Y152" i="7"/>
  <c r="AA152" i="7"/>
  <c r="AM152" i="7"/>
  <c r="Z152" i="7"/>
  <c r="AF152" i="7"/>
  <c r="Y152" i="15"/>
  <c r="AN152" i="15"/>
  <c r="AM152" i="15"/>
  <c r="AA152" i="15"/>
  <c r="Z152" i="15"/>
  <c r="U152" i="15"/>
  <c r="AF152" i="15"/>
  <c r="AM122" i="15"/>
  <c r="U122" i="15"/>
  <c r="Z122" i="15"/>
  <c r="Y122" i="15"/>
  <c r="AF122" i="15"/>
  <c r="AA122" i="15"/>
  <c r="AN122" i="15"/>
  <c r="AA62" i="15"/>
  <c r="U62" i="15"/>
  <c r="AM62" i="15"/>
  <c r="AN62" i="15"/>
  <c r="AF62" i="15"/>
  <c r="Y62" i="15"/>
  <c r="Z62" i="15"/>
  <c r="AG17" i="8"/>
  <c r="AG17" i="14" s="1"/>
  <c r="AG13" i="8"/>
  <c r="AG13" i="14" s="1"/>
  <c r="AF19" i="8"/>
  <c r="AF19" i="14" s="1"/>
  <c r="AE19" i="14"/>
  <c r="AJ19" i="8"/>
  <c r="AE20" i="14"/>
  <c r="AJ20" i="8"/>
  <c r="AG12" i="8"/>
  <c r="AG12" i="14" s="1"/>
  <c r="AJ12" i="14"/>
  <c r="AD167" i="7"/>
  <c r="AC197" i="7"/>
  <c r="F204" i="7"/>
  <c r="T197" i="7"/>
  <c r="D205" i="7"/>
  <c r="R197" i="7"/>
  <c r="AN197" i="7"/>
  <c r="Y197" i="7"/>
  <c r="AM197" i="7"/>
  <c r="AF197" i="7"/>
  <c r="U197" i="7"/>
  <c r="AA197" i="7"/>
  <c r="Z197" i="7"/>
  <c r="AB197" i="7"/>
  <c r="E204" i="7"/>
  <c r="AP210" i="8"/>
  <c r="E200" i="15" s="1"/>
  <c r="AP190" i="8"/>
  <c r="E185" i="15" s="1"/>
  <c r="AB182" i="7"/>
  <c r="E189" i="7"/>
  <c r="AC182" i="7"/>
  <c r="F189" i="7"/>
  <c r="AC152" i="7"/>
  <c r="AP150" i="8"/>
  <c r="E155" i="15" s="1"/>
  <c r="AB152" i="7"/>
  <c r="AM137" i="7"/>
  <c r="AF137" i="7"/>
  <c r="U137" i="7"/>
  <c r="Y137" i="7"/>
  <c r="AA137" i="7"/>
  <c r="Z137" i="7"/>
  <c r="AN137" i="7"/>
  <c r="AB122" i="7"/>
  <c r="AC122" i="7"/>
  <c r="AA107" i="7"/>
  <c r="AF107" i="7"/>
  <c r="U107" i="7"/>
  <c r="Z107" i="7"/>
  <c r="Y107" i="7"/>
  <c r="AN107" i="7"/>
  <c r="AM107" i="7"/>
  <c r="Z92" i="7"/>
  <c r="Y92" i="7"/>
  <c r="AN92" i="7"/>
  <c r="AM92" i="7"/>
  <c r="AA92" i="7"/>
  <c r="AF92" i="7"/>
  <c r="U92" i="7"/>
  <c r="AA77" i="7"/>
  <c r="Z77" i="7"/>
  <c r="AN77" i="7"/>
  <c r="AM77" i="7"/>
  <c r="AF77" i="7"/>
  <c r="U77" i="7"/>
  <c r="Y77" i="7"/>
  <c r="AP30" i="8"/>
  <c r="C28" i="8"/>
  <c r="I62" i="7"/>
  <c r="AB62" i="7"/>
  <c r="AC62" i="7"/>
  <c r="I182" i="7"/>
  <c r="I167" i="7"/>
  <c r="I122" i="7"/>
  <c r="AV210" i="8"/>
  <c r="AL53" i="8"/>
  <c r="AO50" i="8"/>
  <c r="AL51" i="8"/>
  <c r="AL93" i="8"/>
  <c r="AO90" i="8"/>
  <c r="AL91" i="8"/>
  <c r="AT170" i="8"/>
  <c r="AL133" i="8"/>
  <c r="AL131" i="8"/>
  <c r="AO130" i="8"/>
  <c r="AO70" i="8"/>
  <c r="AL73" i="8"/>
  <c r="AL71" i="8"/>
  <c r="AV190" i="8"/>
  <c r="AT190" i="8"/>
  <c r="AT150" i="8"/>
  <c r="AV150" i="8"/>
  <c r="AN130" i="8"/>
  <c r="AG138" i="8"/>
  <c r="AG146" i="8" s="1"/>
  <c r="AQ130" i="8" s="1"/>
  <c r="AJ146" i="8"/>
  <c r="AS130" i="8" s="1"/>
  <c r="AV110" i="8"/>
  <c r="AT110" i="8"/>
  <c r="AN90" i="8"/>
  <c r="AG96" i="8"/>
  <c r="AG106" i="8" s="1"/>
  <c r="AQ90" i="8" s="1"/>
  <c r="AJ106" i="8"/>
  <c r="AS90" i="8" s="1"/>
  <c r="AN70" i="8"/>
  <c r="AG75" i="8"/>
  <c r="AG86" i="8" s="1"/>
  <c r="AQ70" i="8" s="1"/>
  <c r="AJ86" i="8"/>
  <c r="AS70" i="8" s="1"/>
  <c r="AN50" i="8"/>
  <c r="AG58" i="8"/>
  <c r="AG66" i="8" s="1"/>
  <c r="AQ50" i="8" s="1"/>
  <c r="AJ66" i="8"/>
  <c r="AS50" i="8" s="1"/>
  <c r="AV30" i="8"/>
  <c r="AT30" i="8"/>
  <c r="BG29" i="1"/>
  <c r="BG27" i="1"/>
  <c r="BS28" i="1"/>
  <c r="BN15" i="1"/>
  <c r="BR25" i="1"/>
  <c r="BD14" i="1"/>
  <c r="BQ25" i="1"/>
  <c r="BT30" i="1"/>
  <c r="CX28" i="1"/>
  <c r="CY24" i="1"/>
  <c r="CK23" i="1"/>
  <c r="CN23" i="1"/>
  <c r="CS23" i="1"/>
  <c r="BG24" i="1"/>
  <c r="BD15" i="1"/>
  <c r="BN26" i="1"/>
  <c r="BG25" i="1"/>
  <c r="BN14" i="1"/>
  <c r="BG28" i="1"/>
  <c r="BN11" i="1"/>
  <c r="BG31" i="1"/>
  <c r="BN13" i="1"/>
  <c r="BD18" i="1"/>
  <c r="BN16" i="1"/>
  <c r="CK29" i="1"/>
  <c r="CU31" i="1"/>
  <c r="BW29" i="1"/>
  <c r="CI25" i="1"/>
  <c r="CK25" i="1" s="1"/>
  <c r="CN25" i="1"/>
  <c r="CY25" i="1"/>
  <c r="CI28" i="1"/>
  <c r="CK28" i="1" s="1"/>
  <c r="CN28" i="1"/>
  <c r="CZ30" i="1"/>
  <c r="CI26" i="1"/>
  <c r="CK26" i="1" s="1"/>
  <c r="CN26" i="1"/>
  <c r="CI24" i="1"/>
  <c r="CK24" i="1" s="1"/>
  <c r="CN24" i="1"/>
  <c r="BP30" i="1"/>
  <c r="CZ25" i="1"/>
  <c r="BR29" i="1"/>
  <c r="DA25" i="1"/>
  <c r="CS26" i="1"/>
  <c r="CU26" i="1" s="1"/>
  <c r="CW30" i="1"/>
  <c r="CI30" i="1"/>
  <c r="CK30" i="1" s="1"/>
  <c r="CN30" i="1"/>
  <c r="DA30" i="1"/>
  <c r="CI27" i="1"/>
  <c r="CK27" i="1" s="1"/>
  <c r="CN27" i="1"/>
  <c r="CI31" i="1"/>
  <c r="CK31" i="1" s="1"/>
  <c r="CN31" i="1"/>
  <c r="CS29" i="1"/>
  <c r="CU29" i="1" s="1"/>
  <c r="CN29" i="1"/>
  <c r="CS25" i="1"/>
  <c r="CU25" i="1" s="1"/>
  <c r="BT24" i="1"/>
  <c r="BS25" i="1"/>
  <c r="CS28" i="1"/>
  <c r="CU28" i="1" s="1"/>
  <c r="CU23" i="1"/>
  <c r="BT28" i="1"/>
  <c r="Y24" i="1"/>
  <c r="Z24" i="1" s="1"/>
  <c r="DC24" i="1"/>
  <c r="BV28" i="1"/>
  <c r="BQ27" i="1"/>
  <c r="BS26" i="1"/>
  <c r="BT29" i="1"/>
  <c r="BS31" i="1"/>
  <c r="BP26" i="1"/>
  <c r="BV29" i="1"/>
  <c r="BP31" i="1"/>
  <c r="CY30" i="1"/>
  <c r="BS29" i="1"/>
  <c r="AA28" i="1"/>
  <c r="AB28" i="1"/>
  <c r="AA15" i="1"/>
  <c r="DC28" i="1"/>
  <c r="AA17" i="1"/>
  <c r="BM30" i="1"/>
  <c r="BC30" i="1"/>
  <c r="BM29" i="1"/>
  <c r="BC28" i="1"/>
  <c r="BD28" i="1" s="1"/>
  <c r="BM28" i="1"/>
  <c r="BN28" i="1" s="1"/>
  <c r="BM24" i="1"/>
  <c r="BC24" i="1"/>
  <c r="BR24" i="1"/>
  <c r="BW31" i="1"/>
  <c r="BQ24" i="1"/>
  <c r="BP24" i="1"/>
  <c r="BR26" i="1"/>
  <c r="BR23" i="1"/>
  <c r="BS23" i="1"/>
  <c r="AA16" i="1"/>
  <c r="AB24" i="1"/>
  <c r="AA12" i="1"/>
  <c r="DE12" i="1" s="1"/>
  <c r="DK12" i="1" s="1"/>
  <c r="Z19" i="1"/>
  <c r="BV30" i="1"/>
  <c r="DC30" i="1"/>
  <c r="BX29" i="1"/>
  <c r="CD29" i="1" s="1"/>
  <c r="DE29" i="1"/>
  <c r="Y26" i="1"/>
  <c r="Z26" i="1" s="1"/>
  <c r="DC26" i="1"/>
  <c r="BV26" i="1"/>
  <c r="CX29" i="1"/>
  <c r="CW29" i="1"/>
  <c r="BM25" i="1"/>
  <c r="BN25" i="1" s="1"/>
  <c r="BC25" i="1"/>
  <c r="BD25" i="1" s="1"/>
  <c r="AB13" i="1"/>
  <c r="AA13" i="1"/>
  <c r="BT23" i="1"/>
  <c r="BC31" i="1"/>
  <c r="BM31" i="1"/>
  <c r="BW23" i="1"/>
  <c r="CZ31" i="1"/>
  <c r="DD26" i="1"/>
  <c r="DE14" i="1"/>
  <c r="DK14" i="1" s="1"/>
  <c r="BX14" i="1"/>
  <c r="CD14" i="1" s="1"/>
  <c r="AH14" i="1" s="1"/>
  <c r="BW26" i="1"/>
  <c r="BL24" i="1"/>
  <c r="BB24" i="1"/>
  <c r="BD24" i="1" s="1"/>
  <c r="CZ29" i="1"/>
  <c r="CX31" i="1"/>
  <c r="CW28" i="1"/>
  <c r="DA28" i="1"/>
  <c r="DD23" i="1"/>
  <c r="BS27" i="1"/>
  <c r="CX27" i="1"/>
  <c r="BV25" i="1"/>
  <c r="BC23" i="1"/>
  <c r="BD23" i="1" s="1"/>
  <c r="BM23" i="1"/>
  <c r="BN23" i="1" s="1"/>
  <c r="BV27" i="1"/>
  <c r="Y27" i="1"/>
  <c r="Z27" i="1" s="1"/>
  <c r="DC27" i="1"/>
  <c r="DC25" i="1"/>
  <c r="BM27" i="1"/>
  <c r="BC27" i="1"/>
  <c r="CY31" i="1"/>
  <c r="BB31" i="1"/>
  <c r="BD31" i="1" s="1"/>
  <c r="BL31" i="1"/>
  <c r="BN31" i="1" s="1"/>
  <c r="DA26" i="1"/>
  <c r="CX26" i="1"/>
  <c r="BB27" i="1"/>
  <c r="BL27" i="1"/>
  <c r="BN27" i="1" s="1"/>
  <c r="DE15" i="1"/>
  <c r="DK15" i="1" s="1"/>
  <c r="BX15" i="1"/>
  <c r="CD15" i="1" s="1"/>
  <c r="AH15" i="1" s="1"/>
  <c r="BR27" i="1"/>
  <c r="AB25" i="1"/>
  <c r="AA25" i="1"/>
  <c r="BB30" i="1"/>
  <c r="BL30" i="1"/>
  <c r="CS30" i="1"/>
  <c r="CU30" i="1" s="1"/>
  <c r="CW31" i="1"/>
  <c r="CX23" i="1"/>
  <c r="CW23" i="1"/>
  <c r="CS24" i="1"/>
  <c r="CU24" i="1" s="1"/>
  <c r="BL29" i="1"/>
  <c r="BB29" i="1"/>
  <c r="BD29" i="1" s="1"/>
  <c r="Y31" i="1"/>
  <c r="Z31" i="1" s="1"/>
  <c r="DC31" i="1"/>
  <c r="BV31" i="1"/>
  <c r="AB30" i="1"/>
  <c r="AA30" i="1"/>
  <c r="X32" i="1"/>
  <c r="Y23" i="1"/>
  <c r="CS27" i="1"/>
  <c r="CU27" i="1" s="1"/>
  <c r="DE28" i="1"/>
  <c r="BX28" i="1"/>
  <c r="DC23" i="1"/>
  <c r="CY27" i="1"/>
  <c r="CZ27" i="1"/>
  <c r="BX17" i="1"/>
  <c r="CD17" i="1" s="1"/>
  <c r="AH17" i="1" s="1"/>
  <c r="DE17" i="1"/>
  <c r="DK17" i="1" s="1"/>
  <c r="AB11" i="1"/>
  <c r="AA11" i="1"/>
  <c r="DE18" i="1"/>
  <c r="DK18" i="1" s="1"/>
  <c r="BX18" i="1"/>
  <c r="CZ26" i="1"/>
  <c r="BX16" i="1"/>
  <c r="CD16" i="1" s="1"/>
  <c r="AH16" i="1" s="1"/>
  <c r="DE16" i="1"/>
  <c r="DK16" i="1" s="1"/>
  <c r="CD18" i="1"/>
  <c r="AH18" i="1" s="1"/>
  <c r="CZ23" i="1"/>
  <c r="DA29" i="1"/>
  <c r="BP27" i="1"/>
  <c r="Y19" i="1"/>
  <c r="BX10" i="1"/>
  <c r="CD10" i="1" s="1"/>
  <c r="AH10" i="1" s="1"/>
  <c r="CW27" i="1"/>
  <c r="DE10" i="1"/>
  <c r="DK10" i="1" s="1"/>
  <c r="AA24" i="1" l="1"/>
  <c r="DE24" i="1" s="1"/>
  <c r="DK24" i="1" s="1"/>
  <c r="I152" i="15"/>
  <c r="I77" i="15"/>
  <c r="C48" i="8"/>
  <c r="E79" i="7"/>
  <c r="X77" i="7" s="1"/>
  <c r="V77" i="7" s="1"/>
  <c r="E79" i="15"/>
  <c r="X77" i="15" s="1"/>
  <c r="V77" i="15" s="1"/>
  <c r="AP70" i="8"/>
  <c r="E95" i="15" s="1"/>
  <c r="I92" i="15"/>
  <c r="C68" i="8"/>
  <c r="E94" i="7"/>
  <c r="X92" i="7" s="1"/>
  <c r="V92" i="7" s="1"/>
  <c r="E94" i="15"/>
  <c r="X92" i="15" s="1"/>
  <c r="V92" i="15" s="1"/>
  <c r="AP90" i="8"/>
  <c r="E110" i="15" s="1"/>
  <c r="I107" i="15"/>
  <c r="C88" i="8"/>
  <c r="E109" i="7"/>
  <c r="X107" i="7" s="1"/>
  <c r="V107" i="7" s="1"/>
  <c r="E109" i="15"/>
  <c r="X107" i="15" s="1"/>
  <c r="V107" i="15" s="1"/>
  <c r="I137" i="15"/>
  <c r="C128" i="8"/>
  <c r="E139" i="7"/>
  <c r="X137" i="7" s="1"/>
  <c r="V137" i="7" s="1"/>
  <c r="E139" i="15"/>
  <c r="X137" i="15" s="1"/>
  <c r="V137" i="15" s="1"/>
  <c r="E93" i="7"/>
  <c r="E99" i="7" s="1"/>
  <c r="E93" i="15"/>
  <c r="G93" i="7"/>
  <c r="F99" i="7" s="1"/>
  <c r="G93" i="15"/>
  <c r="I94" i="7"/>
  <c r="W92" i="7" s="1"/>
  <c r="I94" i="15"/>
  <c r="W92" i="15" s="1"/>
  <c r="I139" i="7"/>
  <c r="W137" i="7" s="1"/>
  <c r="I139" i="15"/>
  <c r="W137" i="15" s="1"/>
  <c r="E138" i="7"/>
  <c r="E144" i="7" s="1"/>
  <c r="E138" i="15"/>
  <c r="G138" i="7"/>
  <c r="F144" i="7" s="1"/>
  <c r="G138" i="15"/>
  <c r="E108" i="7"/>
  <c r="E114" i="7" s="1"/>
  <c r="E108" i="15"/>
  <c r="I109" i="7"/>
  <c r="W107" i="7" s="1"/>
  <c r="I109" i="15"/>
  <c r="W107" i="15" s="1"/>
  <c r="G108" i="7"/>
  <c r="F114" i="7" s="1"/>
  <c r="G108" i="15"/>
  <c r="E78" i="7"/>
  <c r="E84" i="7" s="1"/>
  <c r="E78" i="15"/>
  <c r="I79" i="7"/>
  <c r="W77" i="7" s="1"/>
  <c r="I79" i="15"/>
  <c r="W77" i="15" s="1"/>
  <c r="G78" i="7"/>
  <c r="F84" i="7" s="1"/>
  <c r="G78" i="15"/>
  <c r="E65" i="7"/>
  <c r="E65" i="15"/>
  <c r="I200" i="15"/>
  <c r="G200" i="15"/>
  <c r="D196" i="15" s="1"/>
  <c r="F205" i="15"/>
  <c r="H205" i="15"/>
  <c r="G205" i="15"/>
  <c r="E205" i="15"/>
  <c r="AG197" i="15" s="1"/>
  <c r="AD167" i="15"/>
  <c r="F129" i="15"/>
  <c r="AC122" i="15"/>
  <c r="E129" i="15"/>
  <c r="AB122" i="15"/>
  <c r="F159" i="15"/>
  <c r="AC152" i="15"/>
  <c r="E159" i="15"/>
  <c r="AB152" i="15"/>
  <c r="AD152" i="15" s="1"/>
  <c r="F69" i="15"/>
  <c r="AC62" i="15"/>
  <c r="AB62" i="15"/>
  <c r="E69" i="15"/>
  <c r="G170" i="15"/>
  <c r="D175" i="15"/>
  <c r="I170" i="15"/>
  <c r="T167" i="15"/>
  <c r="R167" i="15"/>
  <c r="D166" i="15"/>
  <c r="F189" i="15"/>
  <c r="AC182" i="15"/>
  <c r="AB182" i="15"/>
  <c r="E189" i="15"/>
  <c r="E204" i="15"/>
  <c r="AB197" i="15"/>
  <c r="F204" i="15"/>
  <c r="AC197" i="15"/>
  <c r="AD197" i="15" s="1"/>
  <c r="I185" i="15"/>
  <c r="D190" i="15"/>
  <c r="T182" i="15"/>
  <c r="G185" i="15"/>
  <c r="D181" i="15" s="1"/>
  <c r="R182" i="15"/>
  <c r="AF137" i="15"/>
  <c r="AN137" i="15"/>
  <c r="AA137" i="15"/>
  <c r="Z137" i="15"/>
  <c r="Y137" i="15"/>
  <c r="U137" i="15"/>
  <c r="AM137" i="15"/>
  <c r="D130" i="15"/>
  <c r="T122" i="15"/>
  <c r="R122" i="15"/>
  <c r="I125" i="15"/>
  <c r="G125" i="15"/>
  <c r="D121" i="15" s="1"/>
  <c r="AM107" i="15"/>
  <c r="AF107" i="15"/>
  <c r="Z107" i="15"/>
  <c r="U107" i="15"/>
  <c r="AA107" i="15"/>
  <c r="Y107" i="15"/>
  <c r="AN107" i="15"/>
  <c r="AM92" i="15"/>
  <c r="AN92" i="15"/>
  <c r="AF92" i="15"/>
  <c r="AA92" i="15"/>
  <c r="Z92" i="15"/>
  <c r="Y92" i="15"/>
  <c r="U92" i="15"/>
  <c r="AF77" i="15"/>
  <c r="AN77" i="15"/>
  <c r="AM77" i="15"/>
  <c r="AA77" i="15"/>
  <c r="Z77" i="15"/>
  <c r="Y77" i="15"/>
  <c r="U77" i="15"/>
  <c r="H70" i="15"/>
  <c r="G70" i="15"/>
  <c r="F70" i="15"/>
  <c r="E70" i="15"/>
  <c r="AG62" i="15" s="1"/>
  <c r="AG19" i="8"/>
  <c r="AG19" i="14" s="1"/>
  <c r="AJ19" i="14"/>
  <c r="AG20" i="8"/>
  <c r="AG20" i="14" s="1"/>
  <c r="AJ20" i="14"/>
  <c r="AD182" i="7"/>
  <c r="H205" i="7"/>
  <c r="E205" i="7"/>
  <c r="G205" i="7"/>
  <c r="F205" i="7"/>
  <c r="AD197" i="7"/>
  <c r="T182" i="7"/>
  <c r="R182" i="7"/>
  <c r="D190" i="7"/>
  <c r="T167" i="7"/>
  <c r="R167" i="7"/>
  <c r="D175" i="7"/>
  <c r="AD152" i="7"/>
  <c r="AB137" i="7"/>
  <c r="AC137" i="7"/>
  <c r="AP130" i="8"/>
  <c r="E140" i="15" s="1"/>
  <c r="T122" i="7"/>
  <c r="R122" i="7"/>
  <c r="D130" i="7"/>
  <c r="AD122" i="7"/>
  <c r="AC107" i="7"/>
  <c r="AB107" i="7"/>
  <c r="AB92" i="7"/>
  <c r="AC92" i="7"/>
  <c r="AB77" i="7"/>
  <c r="AC77" i="7"/>
  <c r="AP50" i="8"/>
  <c r="E80" i="15" s="1"/>
  <c r="AD62" i="7"/>
  <c r="R62" i="7"/>
  <c r="T62" i="7"/>
  <c r="G65" i="7"/>
  <c r="D61" i="7" s="1"/>
  <c r="I65" i="7"/>
  <c r="D70" i="7"/>
  <c r="I137" i="7"/>
  <c r="I107" i="7"/>
  <c r="I92" i="7"/>
  <c r="AL219" i="8"/>
  <c r="AL215" i="8" s="1"/>
  <c r="E200" i="7"/>
  <c r="AL199" i="8"/>
  <c r="AL195" i="8" s="1"/>
  <c r="E185" i="7"/>
  <c r="AL179" i="8"/>
  <c r="AL175" i="8" s="1"/>
  <c r="E170" i="7"/>
  <c r="AL159" i="8"/>
  <c r="AL155" i="8" s="1"/>
  <c r="E155" i="7"/>
  <c r="AL119" i="8"/>
  <c r="AL115" i="8" s="1"/>
  <c r="E125" i="7"/>
  <c r="I77" i="7"/>
  <c r="I152" i="7"/>
  <c r="L242" i="7"/>
  <c r="M242" i="7" s="1"/>
  <c r="AL39" i="8"/>
  <c r="AV130" i="8"/>
  <c r="AT130" i="8"/>
  <c r="AV90" i="8"/>
  <c r="AT90" i="8"/>
  <c r="AT70" i="8"/>
  <c r="AV70" i="8"/>
  <c r="AV50" i="8"/>
  <c r="AT50" i="8"/>
  <c r="BN30" i="1"/>
  <c r="BN29" i="1"/>
  <c r="BN24" i="1"/>
  <c r="BD27" i="1"/>
  <c r="BD30" i="1"/>
  <c r="CD28" i="1"/>
  <c r="BX24" i="1"/>
  <c r="CD24" i="1" s="1"/>
  <c r="BX12" i="1"/>
  <c r="CD12" i="1" s="1"/>
  <c r="AH12" i="1" s="1"/>
  <c r="DK28" i="1"/>
  <c r="AB19" i="1"/>
  <c r="BX13" i="1"/>
  <c r="CD13" i="1" s="1"/>
  <c r="AH13" i="1" s="1"/>
  <c r="DE13" i="1"/>
  <c r="DK13" i="1" s="1"/>
  <c r="DK29" i="1"/>
  <c r="DE11" i="1"/>
  <c r="DK11" i="1" s="1"/>
  <c r="BX11" i="1"/>
  <c r="CD11" i="1" s="1"/>
  <c r="AH11" i="1" s="1"/>
  <c r="AA19" i="1"/>
  <c r="AB27" i="1"/>
  <c r="AA27" i="1"/>
  <c r="Y32" i="1"/>
  <c r="Z23" i="1"/>
  <c r="DE25" i="1"/>
  <c r="DK25" i="1" s="1"/>
  <c r="BX25" i="1"/>
  <c r="CD25" i="1" s="1"/>
  <c r="AA26" i="1"/>
  <c r="AB26" i="1"/>
  <c r="BX30" i="1"/>
  <c r="CD30" i="1" s="1"/>
  <c r="DE30" i="1"/>
  <c r="DK30" i="1" s="1"/>
  <c r="AA31" i="1"/>
  <c r="AB31" i="1"/>
  <c r="I123" i="7" l="1"/>
  <c r="S122" i="7" s="1"/>
  <c r="I123" i="15"/>
  <c r="I153" i="7"/>
  <c r="I153" i="15"/>
  <c r="I168" i="7"/>
  <c r="I168" i="15"/>
  <c r="S167" i="15" s="1"/>
  <c r="Q167" i="15" s="1"/>
  <c r="L167" i="15" s="1"/>
  <c r="M167" i="15" s="1"/>
  <c r="I183" i="7"/>
  <c r="I183" i="15"/>
  <c r="I198" i="7"/>
  <c r="I198" i="15"/>
  <c r="S197" i="15" s="1"/>
  <c r="Q197" i="15" s="1"/>
  <c r="L197" i="15" s="1"/>
  <c r="M197" i="15" s="1"/>
  <c r="S122" i="15"/>
  <c r="Q122" i="15" s="1"/>
  <c r="L122" i="15" s="1"/>
  <c r="M122" i="15" s="1"/>
  <c r="G130" i="15"/>
  <c r="H130" i="15"/>
  <c r="F130" i="15"/>
  <c r="E130" i="15"/>
  <c r="AG122" i="15" s="1"/>
  <c r="S182" i="15"/>
  <c r="Q182" i="15" s="1"/>
  <c r="L182" i="15" s="1"/>
  <c r="M182" i="15" s="1"/>
  <c r="H190" i="15"/>
  <c r="G190" i="15"/>
  <c r="F190" i="15"/>
  <c r="E190" i="15"/>
  <c r="AG182" i="15" s="1"/>
  <c r="AD182" i="15"/>
  <c r="F175" i="15"/>
  <c r="H175" i="15"/>
  <c r="G175" i="15"/>
  <c r="E175" i="15"/>
  <c r="AG167" i="15" s="1"/>
  <c r="AD62" i="15"/>
  <c r="AD122" i="15"/>
  <c r="I65" i="15"/>
  <c r="G65" i="15"/>
  <c r="D61" i="15" s="1"/>
  <c r="F84" i="15"/>
  <c r="AC77" i="15"/>
  <c r="E84" i="15"/>
  <c r="AB77" i="15"/>
  <c r="F114" i="15"/>
  <c r="AC107" i="15"/>
  <c r="E114" i="15"/>
  <c r="AB107" i="15"/>
  <c r="AD107" i="15" s="1"/>
  <c r="AC137" i="15"/>
  <c r="F144" i="15"/>
  <c r="E144" i="15"/>
  <c r="AB137" i="15"/>
  <c r="AC92" i="15"/>
  <c r="F99" i="15"/>
  <c r="I95" i="15"/>
  <c r="AB92" i="15"/>
  <c r="E99" i="15"/>
  <c r="I140" i="15"/>
  <c r="R137" i="15"/>
  <c r="T137" i="15"/>
  <c r="D145" i="15"/>
  <c r="G140" i="15"/>
  <c r="D136" i="15" s="1"/>
  <c r="G110" i="15"/>
  <c r="R107" i="15"/>
  <c r="D115" i="15"/>
  <c r="T107" i="15"/>
  <c r="D106" i="15"/>
  <c r="I110" i="15"/>
  <c r="D100" i="15"/>
  <c r="T92" i="15"/>
  <c r="R92" i="15"/>
  <c r="G95" i="15"/>
  <c r="D91" i="15" s="1"/>
  <c r="I80" i="15"/>
  <c r="D85" i="15"/>
  <c r="R77" i="15"/>
  <c r="T77" i="15"/>
  <c r="G80" i="15"/>
  <c r="D76" i="15" s="1"/>
  <c r="I155" i="15"/>
  <c r="D160" i="15"/>
  <c r="T152" i="15"/>
  <c r="R152" i="15"/>
  <c r="S152" i="15" s="1"/>
  <c r="Q152" i="15" s="1"/>
  <c r="L152" i="15" s="1"/>
  <c r="M152" i="15" s="1"/>
  <c r="G155" i="15"/>
  <c r="D151" i="15" s="1"/>
  <c r="AG197" i="7"/>
  <c r="AD92" i="7"/>
  <c r="AD137" i="7"/>
  <c r="Q122" i="7"/>
  <c r="AD77" i="7"/>
  <c r="H190" i="7"/>
  <c r="F190" i="7"/>
  <c r="E190" i="7"/>
  <c r="G190" i="7"/>
  <c r="F175" i="7"/>
  <c r="E175" i="7"/>
  <c r="G175" i="7"/>
  <c r="H175" i="7"/>
  <c r="T137" i="7"/>
  <c r="R137" i="7"/>
  <c r="D145" i="7"/>
  <c r="F130" i="7"/>
  <c r="G130" i="7"/>
  <c r="E130" i="7"/>
  <c r="H130" i="7"/>
  <c r="AD107" i="7"/>
  <c r="R107" i="7"/>
  <c r="D115" i="7"/>
  <c r="T107" i="7"/>
  <c r="D100" i="7"/>
  <c r="T92" i="7"/>
  <c r="R92" i="7"/>
  <c r="G155" i="7"/>
  <c r="D151" i="7" s="1"/>
  <c r="D160" i="7"/>
  <c r="T152" i="7"/>
  <c r="R152" i="7"/>
  <c r="S152" i="7" s="1"/>
  <c r="Q152" i="7" s="1"/>
  <c r="L152" i="7" s="1"/>
  <c r="M152" i="7" s="1"/>
  <c r="D85" i="7"/>
  <c r="T77" i="7"/>
  <c r="R77" i="7"/>
  <c r="E70" i="7"/>
  <c r="F70" i="7"/>
  <c r="H70" i="7"/>
  <c r="G70" i="7"/>
  <c r="I200" i="7"/>
  <c r="G200" i="7"/>
  <c r="D196" i="7" s="1"/>
  <c r="S197" i="7"/>
  <c r="Q197" i="7" s="1"/>
  <c r="L197" i="7" s="1"/>
  <c r="M197" i="7" s="1"/>
  <c r="S182" i="7"/>
  <c r="Q182" i="7" s="1"/>
  <c r="L182" i="7" s="1"/>
  <c r="M182" i="7" s="1"/>
  <c r="I185" i="7"/>
  <c r="G185" i="7"/>
  <c r="D181" i="7" s="1"/>
  <c r="I170" i="7"/>
  <c r="G170" i="7"/>
  <c r="D166" i="7" s="1"/>
  <c r="S167" i="7"/>
  <c r="Q167" i="7" s="1"/>
  <c r="L167" i="7" s="1"/>
  <c r="M167" i="7" s="1"/>
  <c r="I125" i="7"/>
  <c r="G125" i="7"/>
  <c r="D121" i="7" s="1"/>
  <c r="L122" i="7"/>
  <c r="M122" i="7" s="1"/>
  <c r="AL99" i="8"/>
  <c r="AL95" i="8" s="1"/>
  <c r="E110" i="7"/>
  <c r="AL79" i="8"/>
  <c r="AL75" i="8" s="1"/>
  <c r="E95" i="7"/>
  <c r="AL59" i="8"/>
  <c r="AL55" i="8" s="1"/>
  <c r="E80" i="7"/>
  <c r="I155" i="7"/>
  <c r="AL139" i="8"/>
  <c r="AL135" i="8" s="1"/>
  <c r="E140" i="7"/>
  <c r="AL35" i="8"/>
  <c r="DE26" i="1"/>
  <c r="DK26" i="1" s="1"/>
  <c r="BX26" i="1"/>
  <c r="CD26" i="1" s="1"/>
  <c r="AB23" i="1"/>
  <c r="AB32" i="1" s="1"/>
  <c r="Z32" i="1"/>
  <c r="AA23" i="1"/>
  <c r="DE27" i="1"/>
  <c r="DK27" i="1" s="1"/>
  <c r="BX27" i="1"/>
  <c r="CD27" i="1" s="1"/>
  <c r="DE31" i="1"/>
  <c r="DK31" i="1" s="1"/>
  <c r="BX31" i="1"/>
  <c r="CD31" i="1" s="1"/>
  <c r="I63" i="7" l="1"/>
  <c r="S62" i="7" s="1"/>
  <c r="Q62" i="7" s="1"/>
  <c r="L62" i="7" s="1"/>
  <c r="M62" i="7" s="1"/>
  <c r="I63" i="15"/>
  <c r="S62" i="15" s="1"/>
  <c r="Q62" i="15" s="1"/>
  <c r="L62" i="15" s="1"/>
  <c r="M62" i="15" s="1"/>
  <c r="I138" i="7"/>
  <c r="I138" i="15"/>
  <c r="I78" i="7"/>
  <c r="S77" i="7" s="1"/>
  <c r="Q77" i="7" s="1"/>
  <c r="I78" i="15"/>
  <c r="I93" i="7"/>
  <c r="I93" i="15"/>
  <c r="S92" i="15" s="1"/>
  <c r="Q92" i="15" s="1"/>
  <c r="L92" i="15" s="1"/>
  <c r="M92" i="15" s="1"/>
  <c r="I108" i="7"/>
  <c r="S107" i="7" s="1"/>
  <c r="I108" i="15"/>
  <c r="S107" i="15" s="1"/>
  <c r="Q107" i="15" s="1"/>
  <c r="L107" i="15" s="1"/>
  <c r="M107" i="15" s="1"/>
  <c r="G160" i="15"/>
  <c r="H160" i="15"/>
  <c r="F160" i="15"/>
  <c r="E160" i="15"/>
  <c r="AG152" i="15" s="1"/>
  <c r="S77" i="15"/>
  <c r="Q77" i="15" s="1"/>
  <c r="L77" i="15" s="1"/>
  <c r="M77" i="15" s="1"/>
  <c r="G85" i="15"/>
  <c r="H85" i="15"/>
  <c r="F85" i="15"/>
  <c r="E85" i="15"/>
  <c r="AG77" i="15" s="1"/>
  <c r="F100" i="15"/>
  <c r="E100" i="15"/>
  <c r="G100" i="15"/>
  <c r="H100" i="15"/>
  <c r="F115" i="15"/>
  <c r="E115" i="15"/>
  <c r="G115" i="15"/>
  <c r="H115" i="15"/>
  <c r="H145" i="15"/>
  <c r="G145" i="15"/>
  <c r="E145" i="15"/>
  <c r="F145" i="15"/>
  <c r="S137" i="15"/>
  <c r="Q137" i="15" s="1"/>
  <c r="L137" i="15" s="1"/>
  <c r="M137" i="15" s="1"/>
  <c r="AD92" i="15"/>
  <c r="AD137" i="15"/>
  <c r="AD77" i="15"/>
  <c r="Q107" i="7"/>
  <c r="AG182" i="7"/>
  <c r="AG167" i="7"/>
  <c r="H145" i="7"/>
  <c r="F145" i="7"/>
  <c r="E145" i="7"/>
  <c r="G145" i="7"/>
  <c r="AG122" i="7"/>
  <c r="H115" i="7"/>
  <c r="G115" i="7"/>
  <c r="F115" i="7"/>
  <c r="E115" i="7"/>
  <c r="F100" i="7"/>
  <c r="H100" i="7"/>
  <c r="G100" i="7"/>
  <c r="E100" i="7"/>
  <c r="F85" i="7"/>
  <c r="E85" i="7"/>
  <c r="G85" i="7"/>
  <c r="H85" i="7"/>
  <c r="H160" i="7"/>
  <c r="E160" i="7"/>
  <c r="F160" i="7"/>
  <c r="G160" i="7"/>
  <c r="AG62" i="7"/>
  <c r="S137" i="7"/>
  <c r="Q137" i="7" s="1"/>
  <c r="L137" i="7" s="1"/>
  <c r="M137" i="7" s="1"/>
  <c r="I140" i="7"/>
  <c r="G140" i="7"/>
  <c r="D136" i="7" s="1"/>
  <c r="I110" i="7"/>
  <c r="G110" i="7"/>
  <c r="D106" i="7" s="1"/>
  <c r="I95" i="7"/>
  <c r="G95" i="7"/>
  <c r="D91" i="7" s="1"/>
  <c r="S92" i="7"/>
  <c r="Q92" i="7" s="1"/>
  <c r="L92" i="7" s="1"/>
  <c r="M92" i="7" s="1"/>
  <c r="I80" i="7"/>
  <c r="G80" i="7"/>
  <c r="D76" i="7" s="1"/>
  <c r="L107" i="7"/>
  <c r="M107" i="7" s="1"/>
  <c r="L77" i="7"/>
  <c r="M77" i="7" s="1"/>
  <c r="BH10" i="1"/>
  <c r="CO18" i="1"/>
  <c r="DJ18" i="1" s="1"/>
  <c r="CO16" i="1"/>
  <c r="DJ16" i="1" s="1"/>
  <c r="CV13" i="1"/>
  <c r="BH13" i="1"/>
  <c r="BH14" i="1"/>
  <c r="BH11" i="1"/>
  <c r="BH12" i="1"/>
  <c r="BH15" i="1"/>
  <c r="BO15" i="1"/>
  <c r="AC15" i="1" s="1"/>
  <c r="BO14" i="1"/>
  <c r="AC14" i="1" s="1"/>
  <c r="CV17" i="1"/>
  <c r="BH16" i="1"/>
  <c r="CV18" i="1"/>
  <c r="BO16" i="1"/>
  <c r="AC16" i="1" s="1"/>
  <c r="BO13" i="1"/>
  <c r="AC13" i="1" s="1"/>
  <c r="BO12" i="1"/>
  <c r="AC12" i="1" s="1"/>
  <c r="BO11" i="1"/>
  <c r="AC11" i="1" s="1"/>
  <c r="BO17" i="1"/>
  <c r="AC17" i="1" s="1"/>
  <c r="CV15" i="1"/>
  <c r="BH17" i="1"/>
  <c r="BH18" i="1"/>
  <c r="CV28" i="1"/>
  <c r="AC28" i="1" s="1"/>
  <c r="CV10" i="1"/>
  <c r="CV11" i="1"/>
  <c r="CV23" i="1"/>
  <c r="AC23" i="1" s="1"/>
  <c r="CV26" i="1"/>
  <c r="AC26" i="1" s="1"/>
  <c r="CO29" i="1"/>
  <c r="DJ29" i="1" s="1"/>
  <c r="CO23" i="1"/>
  <c r="DJ23" i="1" s="1"/>
  <c r="CO24" i="1"/>
  <c r="DJ24" i="1" s="1"/>
  <c r="BH28" i="1"/>
  <c r="BH24" i="1"/>
  <c r="BH31" i="1"/>
  <c r="BO30" i="1"/>
  <c r="CV30" i="1"/>
  <c r="AC30" i="1" s="1"/>
  <c r="BH25" i="1"/>
  <c r="BH29" i="1"/>
  <c r="BO27" i="1"/>
  <c r="BH27" i="1"/>
  <c r="BO24" i="1"/>
  <c r="CV24" i="1"/>
  <c r="AC24" i="1" s="1"/>
  <c r="BH23" i="1"/>
  <c r="BO25" i="1"/>
  <c r="CV27" i="1"/>
  <c r="AC27" i="1" s="1"/>
  <c r="BH30" i="1"/>
  <c r="BO28" i="1"/>
  <c r="BO29" i="1"/>
  <c r="BO23" i="1"/>
  <c r="AH19" i="1"/>
  <c r="DE23" i="1"/>
  <c r="DK23" i="1" s="1"/>
  <c r="BX23" i="1"/>
  <c r="CD23" i="1" s="1"/>
  <c r="AA32" i="1"/>
  <c r="AG137" i="15" l="1"/>
  <c r="AG107" i="15"/>
  <c r="AG92" i="15"/>
  <c r="AG92" i="7"/>
  <c r="AG137" i="7"/>
  <c r="AG77" i="7"/>
  <c r="AG107" i="7"/>
  <c r="AG152" i="7"/>
  <c r="DI23" i="1"/>
  <c r="CO25" i="1"/>
  <c r="DJ25" i="1" s="1"/>
  <c r="CV25" i="1"/>
  <c r="AC25" i="1" s="1"/>
  <c r="BH26" i="1"/>
  <c r="BO26" i="1"/>
  <c r="CB26" i="1" s="1"/>
  <c r="DG26" i="1"/>
  <c r="DH26" i="1"/>
  <c r="DI26" i="1"/>
  <c r="CO30" i="1"/>
  <c r="DJ30" i="1" s="1"/>
  <c r="DI17" i="1"/>
  <c r="DG17" i="1"/>
  <c r="DH17" i="1"/>
  <c r="CO12" i="1"/>
  <c r="DJ12" i="1" s="1"/>
  <c r="CO26" i="1"/>
  <c r="DJ26" i="1" s="1"/>
  <c r="CV14" i="1"/>
  <c r="CO15" i="1"/>
  <c r="DJ15" i="1" s="1"/>
  <c r="DG23" i="1"/>
  <c r="DH23" i="1"/>
  <c r="DI28" i="1"/>
  <c r="DH28" i="1"/>
  <c r="DG28" i="1"/>
  <c r="CA12" i="1"/>
  <c r="BZ12" i="1"/>
  <c r="CC12" i="1"/>
  <c r="CB12" i="1"/>
  <c r="DH18" i="1"/>
  <c r="DG18" i="1"/>
  <c r="DI18" i="1"/>
  <c r="CO17" i="1"/>
  <c r="DJ17" i="1" s="1"/>
  <c r="CO13" i="1"/>
  <c r="DJ13" i="1" s="1"/>
  <c r="CA23" i="1"/>
  <c r="BZ23" i="1"/>
  <c r="DG24" i="1"/>
  <c r="DI24" i="1"/>
  <c r="DH24" i="1"/>
  <c r="CB29" i="1"/>
  <c r="CC29" i="1"/>
  <c r="CA29" i="1"/>
  <c r="BZ29" i="1"/>
  <c r="CB24" i="1"/>
  <c r="CA24" i="1"/>
  <c r="BZ24" i="1"/>
  <c r="CC24" i="1"/>
  <c r="CB28" i="1"/>
  <c r="CC28" i="1"/>
  <c r="CA28" i="1"/>
  <c r="BZ28" i="1"/>
  <c r="CA14" i="1"/>
  <c r="CB14" i="1"/>
  <c r="CC14" i="1"/>
  <c r="BZ14" i="1"/>
  <c r="CO14" i="1"/>
  <c r="DJ14" i="1" s="1"/>
  <c r="DG11" i="1"/>
  <c r="DH11" i="1"/>
  <c r="DI11" i="1"/>
  <c r="CC15" i="1"/>
  <c r="CB15" i="1"/>
  <c r="CA15" i="1"/>
  <c r="BZ15" i="1"/>
  <c r="CA26" i="1"/>
  <c r="BZ26" i="1"/>
  <c r="CO31" i="1"/>
  <c r="DJ31" i="1" s="1"/>
  <c r="DG10" i="1"/>
  <c r="DH10" i="1"/>
  <c r="DI10" i="1"/>
  <c r="DI15" i="1"/>
  <c r="DH15" i="1"/>
  <c r="DG15" i="1"/>
  <c r="CA13" i="1"/>
  <c r="BZ13" i="1"/>
  <c r="CB13" i="1"/>
  <c r="CC13" i="1"/>
  <c r="CV31" i="1"/>
  <c r="AC31" i="1" s="1"/>
  <c r="CB23" i="1"/>
  <c r="CA27" i="1"/>
  <c r="CB27" i="1"/>
  <c r="BZ27" i="1"/>
  <c r="CC27" i="1"/>
  <c r="DG27" i="1"/>
  <c r="DH27" i="1"/>
  <c r="DI27" i="1"/>
  <c r="CB25" i="1"/>
  <c r="CC25" i="1"/>
  <c r="BZ25" i="1"/>
  <c r="CA25" i="1"/>
  <c r="CA17" i="1"/>
  <c r="BZ17" i="1"/>
  <c r="CC17" i="1"/>
  <c r="CB17" i="1"/>
  <c r="CB16" i="1"/>
  <c r="CA16" i="1"/>
  <c r="BZ16" i="1"/>
  <c r="CC16" i="1"/>
  <c r="CO27" i="1"/>
  <c r="DJ27" i="1" s="1"/>
  <c r="CV16" i="1"/>
  <c r="DG25" i="1"/>
  <c r="DH25" i="1"/>
  <c r="DI25" i="1"/>
  <c r="DH13" i="1"/>
  <c r="DG13" i="1"/>
  <c r="DI13" i="1"/>
  <c r="BO10" i="1"/>
  <c r="AC10" i="1" s="1"/>
  <c r="BO31" i="1"/>
  <c r="DI30" i="1"/>
  <c r="DH30" i="1"/>
  <c r="DG30" i="1"/>
  <c r="CC23" i="1"/>
  <c r="CA30" i="1"/>
  <c r="CC30" i="1"/>
  <c r="CB30" i="1"/>
  <c r="BZ30" i="1"/>
  <c r="CA11" i="1"/>
  <c r="BZ11" i="1"/>
  <c r="CB11" i="1"/>
  <c r="CC11" i="1"/>
  <c r="BO18" i="1"/>
  <c r="AC18" i="1" s="1"/>
  <c r="CV12" i="1"/>
  <c r="CO11" i="1"/>
  <c r="DJ11" i="1" s="1"/>
  <c r="CO28" i="1"/>
  <c r="DJ28" i="1" s="1"/>
  <c r="CV29" i="1"/>
  <c r="AC29" i="1" s="1"/>
  <c r="CO10" i="1"/>
  <c r="DJ10" i="1" s="1"/>
  <c r="CC26" i="1" l="1"/>
  <c r="DL23" i="1"/>
  <c r="DL30" i="1"/>
  <c r="AD30" i="1" s="1"/>
  <c r="CE23" i="1"/>
  <c r="CF23" i="1" s="1"/>
  <c r="DL13" i="1"/>
  <c r="DM13" i="1" s="1"/>
  <c r="CE15" i="1"/>
  <c r="CE25" i="1"/>
  <c r="CF25" i="1" s="1"/>
  <c r="CE27" i="1"/>
  <c r="CF27" i="1" s="1"/>
  <c r="DL26" i="1"/>
  <c r="AD26" i="1" s="1"/>
  <c r="AE26" i="1" s="1"/>
  <c r="CE30" i="1"/>
  <c r="CF30" i="1" s="1"/>
  <c r="DL24" i="1"/>
  <c r="AD24" i="1" s="1"/>
  <c r="AE24" i="1" s="1"/>
  <c r="DL17" i="1"/>
  <c r="DM17" i="1" s="1"/>
  <c r="BZ31" i="1"/>
  <c r="CB31" i="1"/>
  <c r="CA31" i="1"/>
  <c r="CC31" i="1"/>
  <c r="CB18" i="1"/>
  <c r="CA18" i="1"/>
  <c r="CC18" i="1"/>
  <c r="BZ18" i="1"/>
  <c r="DL25" i="1"/>
  <c r="AD25" i="1" s="1"/>
  <c r="AE25" i="1" s="1"/>
  <c r="DL15" i="1"/>
  <c r="DM15" i="1" s="1"/>
  <c r="CB10" i="1"/>
  <c r="BZ10" i="1"/>
  <c r="CC10" i="1"/>
  <c r="CA10" i="1"/>
  <c r="DH16" i="1"/>
  <c r="DG16" i="1"/>
  <c r="DI16" i="1"/>
  <c r="DL27" i="1"/>
  <c r="AD27" i="1" s="1"/>
  <c r="AE27" i="1" s="1"/>
  <c r="CE26" i="1"/>
  <c r="CF26" i="1" s="1"/>
  <c r="CE28" i="1"/>
  <c r="CF28" i="1" s="1"/>
  <c r="CE29" i="1"/>
  <c r="CF29" i="1" s="1"/>
  <c r="CE17" i="1"/>
  <c r="AD17" i="1" s="1"/>
  <c r="DH31" i="1"/>
  <c r="DG31" i="1"/>
  <c r="DI31" i="1"/>
  <c r="DL11" i="1"/>
  <c r="DM11" i="1" s="1"/>
  <c r="CE12" i="1"/>
  <c r="AD12" i="1" s="1"/>
  <c r="DL10" i="1"/>
  <c r="DM10" i="1" s="1"/>
  <c r="DH29" i="1"/>
  <c r="DG29" i="1"/>
  <c r="DI29" i="1"/>
  <c r="CE11" i="1"/>
  <c r="AD11" i="1" s="1"/>
  <c r="CE14" i="1"/>
  <c r="AD14" i="1" s="1"/>
  <c r="DH14" i="1"/>
  <c r="DI14" i="1"/>
  <c r="DG14" i="1"/>
  <c r="DI12" i="1"/>
  <c r="DH12" i="1"/>
  <c r="DG12" i="1"/>
  <c r="AE30" i="1"/>
  <c r="DM30" i="1"/>
  <c r="AH30" i="1" s="1"/>
  <c r="CE16" i="1"/>
  <c r="AD16" i="1" s="1"/>
  <c r="CE24" i="1"/>
  <c r="CF24" i="1" s="1"/>
  <c r="DL28" i="1"/>
  <c r="AD28" i="1" s="1"/>
  <c r="CE13" i="1"/>
  <c r="AD13" i="1" s="1"/>
  <c r="DL18" i="1"/>
  <c r="DM18" i="1" s="1"/>
  <c r="DM23" i="1"/>
  <c r="AH23" i="1" s="1"/>
  <c r="AI27" i="1" l="1"/>
  <c r="AF27" i="1"/>
  <c r="AF25" i="1"/>
  <c r="AI25" i="1"/>
  <c r="AI24" i="1"/>
  <c r="AF24" i="1"/>
  <c r="AI26" i="1"/>
  <c r="AF26" i="1"/>
  <c r="AD23" i="1"/>
  <c r="AE23" i="1" s="1"/>
  <c r="AI23" i="1" s="1"/>
  <c r="CF15" i="1"/>
  <c r="AD15" i="1"/>
  <c r="AE15" i="1" s="1"/>
  <c r="AI15" i="1" s="1"/>
  <c r="AG15" i="1" s="1"/>
  <c r="AF23" i="1"/>
  <c r="DM26" i="1"/>
  <c r="AH26" i="1" s="1"/>
  <c r="AC32" i="1"/>
  <c r="DM24" i="1"/>
  <c r="AH24" i="1" s="1"/>
  <c r="CE18" i="1"/>
  <c r="AD18" i="1" s="1"/>
  <c r="AE18" i="1" s="1"/>
  <c r="AI18" i="1" s="1"/>
  <c r="AG18" i="1" s="1"/>
  <c r="DL12" i="1"/>
  <c r="DM12" i="1" s="1"/>
  <c r="CE10" i="1"/>
  <c r="DL16" i="1"/>
  <c r="DM16" i="1" s="1"/>
  <c r="AE28" i="1"/>
  <c r="DM28" i="1"/>
  <c r="AH28" i="1" s="1"/>
  <c r="DL14" i="1"/>
  <c r="DM14" i="1" s="1"/>
  <c r="DL31" i="1"/>
  <c r="AD31" i="1" s="1"/>
  <c r="DM27" i="1"/>
  <c r="AH27" i="1" s="1"/>
  <c r="AG27" i="1" s="1"/>
  <c r="AE13" i="1"/>
  <c r="AI13" i="1" s="1"/>
  <c r="AG13" i="1" s="1"/>
  <c r="CF13" i="1"/>
  <c r="DM25" i="1"/>
  <c r="AH25" i="1" s="1"/>
  <c r="AE14" i="1"/>
  <c r="AI14" i="1" s="1"/>
  <c r="AG14" i="1" s="1"/>
  <c r="CF14" i="1"/>
  <c r="AF30" i="1"/>
  <c r="AI30" i="1"/>
  <c r="AG30" i="1" s="1"/>
  <c r="AE11" i="1"/>
  <c r="AI11" i="1" s="1"/>
  <c r="AG11" i="1" s="1"/>
  <c r="CF11" i="1"/>
  <c r="AE12" i="1"/>
  <c r="AI12" i="1" s="1"/>
  <c r="AG12" i="1" s="1"/>
  <c r="CF12" i="1"/>
  <c r="AE17" i="1"/>
  <c r="AI17" i="1" s="1"/>
  <c r="AG17" i="1" s="1"/>
  <c r="CF17" i="1"/>
  <c r="AE16" i="1"/>
  <c r="AI16" i="1" s="1"/>
  <c r="AG16" i="1" s="1"/>
  <c r="CF16" i="1"/>
  <c r="AC19" i="1"/>
  <c r="CE31" i="1"/>
  <c r="CF31" i="1" s="1"/>
  <c r="DL29" i="1"/>
  <c r="AD29" i="1" s="1"/>
  <c r="AF15" i="1"/>
  <c r="AG23" i="1"/>
  <c r="AG26" i="1" l="1"/>
  <c r="AG24" i="1"/>
  <c r="AG25" i="1"/>
  <c r="CF18" i="1"/>
  <c r="CF10" i="1"/>
  <c r="AD10" i="1"/>
  <c r="AD19" i="1" s="1"/>
  <c r="AF17" i="1"/>
  <c r="AF14" i="1"/>
  <c r="DM29" i="1"/>
  <c r="AH29" i="1" s="1"/>
  <c r="AE29" i="1"/>
  <c r="AE31" i="1"/>
  <c r="DM31" i="1"/>
  <c r="AH31" i="1" s="1"/>
  <c r="AH32" i="1" s="1"/>
  <c r="AF12" i="1"/>
  <c r="AF18" i="1"/>
  <c r="AF13" i="1"/>
  <c r="AF11" i="1"/>
  <c r="AF28" i="1"/>
  <c r="AI28" i="1"/>
  <c r="AG28" i="1" s="1"/>
  <c r="AD32" i="1"/>
  <c r="AF16" i="1"/>
  <c r="AN23" i="1" l="1"/>
  <c r="AE10" i="1"/>
  <c r="AI10" i="1" s="1"/>
  <c r="AG10" i="1" s="1"/>
  <c r="AF31" i="1"/>
  <c r="AI31" i="1"/>
  <c r="AG31" i="1" s="1"/>
  <c r="AF29" i="1"/>
  <c r="AF32" i="1" s="1"/>
  <c r="AI29" i="1"/>
  <c r="AG29" i="1" s="1"/>
  <c r="AG32" i="1" s="1"/>
  <c r="AP23" i="1" s="1"/>
  <c r="AE32" i="1"/>
  <c r="AF10" i="1"/>
  <c r="AF19" i="1" s="1"/>
  <c r="AM23" i="1" l="1"/>
  <c r="AE19" i="1"/>
  <c r="AJ10" i="1"/>
  <c r="AG19" i="1"/>
  <c r="AI19" i="1"/>
  <c r="AR10" i="1" s="1"/>
  <c r="AI32" i="1"/>
  <c r="AV23" i="1" s="1"/>
  <c r="AK13" i="1" l="1"/>
  <c r="AK11" i="1"/>
  <c r="AK24" i="1" s="1"/>
  <c r="AK26" i="1"/>
  <c r="AP10" i="1"/>
  <c r="AN10" i="1"/>
  <c r="AS10" i="1"/>
  <c r="AU10" i="1"/>
  <c r="AX23" i="1"/>
  <c r="AY23" i="1" s="1"/>
  <c r="AW23" i="1"/>
  <c r="AO10" i="1"/>
  <c r="AO23" i="1"/>
  <c r="AK15" i="1" l="1"/>
  <c r="AK28" i="1" s="1"/>
  <c r="W10" i="8" l="1"/>
  <c r="W10" i="14" s="1"/>
  <c r="S10" i="14"/>
  <c r="Z26" i="8"/>
  <c r="Z10" i="14"/>
  <c r="Z26" i="14" s="1"/>
  <c r="AC10" i="8"/>
  <c r="AC26" i="8" l="1"/>
  <c r="AC10" i="14"/>
  <c r="AC26" i="14" s="1"/>
  <c r="DJ10" i="8"/>
  <c r="AA10" i="14"/>
  <c r="AA26" i="14" s="1"/>
  <c r="CC10" i="8"/>
  <c r="DF10" i="8"/>
  <c r="DL10" i="8" s="1"/>
  <c r="AA26" i="8"/>
  <c r="BY10" i="8"/>
  <c r="CE10" i="8" s="1"/>
  <c r="AI10" i="8" s="1"/>
  <c r="DK10" i="8"/>
  <c r="CD10" i="8"/>
  <c r="AB26" i="8"/>
  <c r="AB10" i="14"/>
  <c r="AB26" i="14" s="1"/>
  <c r="AI10" i="14" l="1"/>
  <c r="AI26" i="14" s="1"/>
  <c r="AI26" i="8"/>
  <c r="CF10" i="8"/>
  <c r="DM10" i="8"/>
  <c r="DN10" i="8" s="1"/>
  <c r="CG10" i="8" l="1"/>
  <c r="AD10" i="8"/>
  <c r="AD26" i="8" l="1"/>
  <c r="AD10" i="14"/>
  <c r="AD26" i="14" s="1"/>
  <c r="AE10" i="8"/>
  <c r="AJ10" i="8" l="1"/>
  <c r="AE10" i="14"/>
  <c r="AE26" i="14" s="1"/>
  <c r="AK10" i="8"/>
  <c r="AE26" i="8"/>
  <c r="AN10" i="8" l="1"/>
  <c r="AO10" i="8"/>
  <c r="K486" i="7"/>
  <c r="K486" i="15"/>
  <c r="AF10" i="14"/>
  <c r="AF26" i="14" s="1"/>
  <c r="K490" i="15"/>
  <c r="K490" i="7"/>
  <c r="K488" i="15"/>
  <c r="AF26" i="8"/>
  <c r="K488" i="7"/>
  <c r="G35" i="15"/>
  <c r="AL11" i="8"/>
  <c r="G35" i="7"/>
  <c r="AL13" i="8"/>
  <c r="AK10" i="14"/>
  <c r="AJ10" i="14"/>
  <c r="AJ26" i="14" s="1"/>
  <c r="AJ26" i="8"/>
  <c r="AS10" i="8" s="1"/>
  <c r="AT10" i="8" s="1"/>
  <c r="AG10" i="8"/>
  <c r="M486" i="15" l="1"/>
  <c r="O486" i="15"/>
  <c r="M486" i="7"/>
  <c r="O486" i="7"/>
  <c r="AG10" i="14"/>
  <c r="AG26" i="14" s="1"/>
  <c r="AG26" i="8"/>
  <c r="AQ10" i="8" s="1"/>
  <c r="E36" i="15"/>
  <c r="E36" i="7"/>
  <c r="AL11" i="14"/>
  <c r="E50" i="15"/>
  <c r="E50" i="7"/>
  <c r="G36" i="7"/>
  <c r="G50" i="15"/>
  <c r="F53" i="15" s="1"/>
  <c r="G50" i="7"/>
  <c r="F53" i="7" s="1"/>
  <c r="AL13" i="14"/>
  <c r="G36" i="15"/>
  <c r="AT10" i="14"/>
  <c r="AV10" i="8"/>
  <c r="AV10" i="14" s="1"/>
  <c r="AS10" i="14"/>
  <c r="AM35" i="15"/>
  <c r="U35" i="15"/>
  <c r="AF35" i="15"/>
  <c r="Z35" i="15"/>
  <c r="AA35" i="15"/>
  <c r="Y35" i="15"/>
  <c r="AN35" i="15"/>
  <c r="O488" i="7"/>
  <c r="M488" i="7"/>
  <c r="K482" i="15"/>
  <c r="K441" i="15"/>
  <c r="K458" i="7"/>
  <c r="K478" i="15"/>
  <c r="K482" i="7"/>
  <c r="K441" i="7"/>
  <c r="K458" i="15"/>
  <c r="K454" i="15"/>
  <c r="K454" i="7"/>
  <c r="K478" i="7"/>
  <c r="O488" i="15"/>
  <c r="M488" i="15"/>
  <c r="M490" i="7"/>
  <c r="O490" i="7"/>
  <c r="M490" i="15"/>
  <c r="O490" i="15"/>
  <c r="I37" i="7"/>
  <c r="AO10" i="14"/>
  <c r="I37" i="15"/>
  <c r="E37" i="7"/>
  <c r="X35" i="7" s="1"/>
  <c r="V35" i="7" s="1"/>
  <c r="AN10" i="14"/>
  <c r="E37" i="15"/>
  <c r="X35" i="15" s="1"/>
  <c r="V35" i="15" s="1"/>
  <c r="Y35" i="7"/>
  <c r="AM35" i="7"/>
  <c r="AA35" i="7"/>
  <c r="AF35" i="7"/>
  <c r="AN35" i="7"/>
  <c r="U35" i="7"/>
  <c r="Z35" i="7"/>
  <c r="M454" i="15" l="1"/>
  <c r="O454" i="15"/>
  <c r="E53" i="15"/>
  <c r="AB52" i="15" s="1"/>
  <c r="AD52" i="15" s="1"/>
  <c r="M441" i="7"/>
  <c r="O441" i="7"/>
  <c r="O482" i="7"/>
  <c r="M482" i="7"/>
  <c r="E53" i="7"/>
  <c r="AB52" i="7" s="1"/>
  <c r="AD52" i="7" s="1"/>
  <c r="O478" i="15"/>
  <c r="M478" i="15"/>
  <c r="AC35" i="15"/>
  <c r="F42" i="15"/>
  <c r="AB35" i="7"/>
  <c r="E42" i="7"/>
  <c r="M458" i="7"/>
  <c r="O458" i="7"/>
  <c r="AB35" i="15"/>
  <c r="E42" i="15"/>
  <c r="O458" i="15"/>
  <c r="M458" i="15"/>
  <c r="O478" i="7"/>
  <c r="M478" i="7"/>
  <c r="M441" i="15"/>
  <c r="O441" i="15"/>
  <c r="AQ10" i="14"/>
  <c r="C8" i="14" s="1"/>
  <c r="I35" i="15"/>
  <c r="C8" i="8"/>
  <c r="AP10" i="8"/>
  <c r="AL19" i="8" s="1"/>
  <c r="AL15" i="8" s="1"/>
  <c r="I35" i="7"/>
  <c r="F42" i="7"/>
  <c r="AC35" i="7"/>
  <c r="M454" i="7"/>
  <c r="O454" i="7"/>
  <c r="M482" i="15"/>
  <c r="O482" i="15"/>
  <c r="AD35" i="7" l="1"/>
  <c r="AD421" i="7" s="1"/>
  <c r="AD35" i="15"/>
  <c r="E281" i="15"/>
  <c r="E101" i="15"/>
  <c r="F148" i="15"/>
  <c r="F133" i="15"/>
  <c r="F102" i="15"/>
  <c r="E326" i="15"/>
  <c r="E47" i="15"/>
  <c r="F146" i="15"/>
  <c r="E103" i="15"/>
  <c r="F223" i="15"/>
  <c r="E297" i="15"/>
  <c r="E87" i="15"/>
  <c r="E296" i="15"/>
  <c r="F206" i="15"/>
  <c r="F281" i="15"/>
  <c r="F45" i="15"/>
  <c r="E86" i="15"/>
  <c r="E280" i="15"/>
  <c r="F72" i="15"/>
  <c r="F47" i="15"/>
  <c r="E206" i="15"/>
  <c r="E71" i="15"/>
  <c r="E133" i="15"/>
  <c r="F118" i="15"/>
  <c r="E193" i="15"/>
  <c r="F191" i="15"/>
  <c r="F192" i="15"/>
  <c r="E146" i="15"/>
  <c r="E223" i="15"/>
  <c r="F280" i="15"/>
  <c r="E45" i="15"/>
  <c r="E131" i="15"/>
  <c r="F73" i="15"/>
  <c r="F221" i="15"/>
  <c r="E46" i="15"/>
  <c r="E313" i="15"/>
  <c r="E148" i="15"/>
  <c r="E163" i="15"/>
  <c r="F268" i="15"/>
  <c r="F238" i="15"/>
  <c r="F297" i="15"/>
  <c r="F103" i="15"/>
  <c r="E207" i="15"/>
  <c r="E192" i="15"/>
  <c r="F328" i="15"/>
  <c r="F312" i="15"/>
  <c r="F176" i="15"/>
  <c r="E283" i="15"/>
  <c r="E147" i="15"/>
  <c r="F267" i="15"/>
  <c r="F283" i="15"/>
  <c r="E178" i="15"/>
  <c r="F44" i="15"/>
  <c r="E162" i="15"/>
  <c r="F314" i="15"/>
  <c r="E253" i="15"/>
  <c r="F162" i="15"/>
  <c r="E72" i="15"/>
  <c r="F208" i="15"/>
  <c r="F178" i="15"/>
  <c r="F71" i="15"/>
  <c r="F313" i="15"/>
  <c r="F101" i="15"/>
  <c r="F222" i="15"/>
  <c r="E177" i="15"/>
  <c r="E238" i="15"/>
  <c r="F86" i="15"/>
  <c r="E282" i="15"/>
  <c r="E267" i="15"/>
  <c r="H267" i="15" s="1"/>
  <c r="AI257" i="15" s="1"/>
  <c r="E327" i="15"/>
  <c r="E222" i="15"/>
  <c r="F132" i="15"/>
  <c r="F87" i="15"/>
  <c r="F326" i="15"/>
  <c r="E208" i="15"/>
  <c r="H208" i="15" s="1"/>
  <c r="AJ197" i="15" s="1"/>
  <c r="E102" i="15"/>
  <c r="E311" i="15"/>
  <c r="E116" i="15"/>
  <c r="E328" i="15"/>
  <c r="F116" i="15"/>
  <c r="F193" i="15"/>
  <c r="F89" i="15"/>
  <c r="E298" i="15"/>
  <c r="F296" i="15"/>
  <c r="E88" i="15"/>
  <c r="E314" i="15"/>
  <c r="E312" i="15"/>
  <c r="E176" i="15"/>
  <c r="E73" i="15"/>
  <c r="H73" i="15" s="1"/>
  <c r="AJ62" i="15" s="1"/>
  <c r="F207" i="15"/>
  <c r="F327" i="15"/>
  <c r="E89" i="15"/>
  <c r="F236" i="15"/>
  <c r="E132" i="15"/>
  <c r="E236" i="15"/>
  <c r="E237" i="15"/>
  <c r="F131" i="15"/>
  <c r="E221" i="15"/>
  <c r="E266" i="15"/>
  <c r="E117" i="15"/>
  <c r="F311" i="15"/>
  <c r="E44" i="15"/>
  <c r="F282" i="15"/>
  <c r="F252" i="15"/>
  <c r="F117" i="15"/>
  <c r="E118" i="15"/>
  <c r="F46" i="15"/>
  <c r="H46" i="15" s="1"/>
  <c r="AJ35" i="15" s="1"/>
  <c r="F163" i="15"/>
  <c r="E161" i="15"/>
  <c r="F298" i="15"/>
  <c r="E252" i="15"/>
  <c r="F251" i="15"/>
  <c r="E191" i="15"/>
  <c r="F266" i="15"/>
  <c r="F253" i="15"/>
  <c r="F88" i="15"/>
  <c r="F177" i="15"/>
  <c r="H177" i="15" s="1"/>
  <c r="AI167" i="15" s="1"/>
  <c r="F161" i="15"/>
  <c r="E251" i="15"/>
  <c r="E268" i="15"/>
  <c r="F237" i="15"/>
  <c r="F147" i="15"/>
  <c r="H193" i="15"/>
  <c r="AJ182" i="15" s="1"/>
  <c r="AP10" i="14"/>
  <c r="E38" i="15"/>
  <c r="I38" i="15" s="1"/>
  <c r="E38" i="7"/>
  <c r="I38" i="7" s="1"/>
  <c r="AD421" i="15"/>
  <c r="D55" i="7"/>
  <c r="D54" i="7"/>
  <c r="T52" i="7"/>
  <c r="D43" i="7"/>
  <c r="R35" i="7"/>
  <c r="D57" i="7"/>
  <c r="AI52" i="7"/>
  <c r="D56" i="7"/>
  <c r="AL35" i="7"/>
  <c r="D58" i="7"/>
  <c r="T35" i="7"/>
  <c r="G49" i="7"/>
  <c r="D58" i="15"/>
  <c r="T52" i="15"/>
  <c r="AL35" i="15"/>
  <c r="D54" i="15"/>
  <c r="D56" i="15"/>
  <c r="T35" i="15"/>
  <c r="D55" i="15"/>
  <c r="D57" i="15"/>
  <c r="D43" i="15"/>
  <c r="R35" i="15"/>
  <c r="AI52" i="15"/>
  <c r="G49" i="15"/>
  <c r="E221" i="7"/>
  <c r="E223" i="7"/>
  <c r="F281" i="7"/>
  <c r="E327" i="7"/>
  <c r="F88" i="7"/>
  <c r="F161" i="7"/>
  <c r="E282" i="7"/>
  <c r="F268" i="7"/>
  <c r="E326" i="7"/>
  <c r="F206" i="7"/>
  <c r="F72" i="7"/>
  <c r="E89" i="7"/>
  <c r="F147" i="7"/>
  <c r="F222" i="7"/>
  <c r="F208" i="7"/>
  <c r="E208" i="7"/>
  <c r="E161" i="7"/>
  <c r="E266" i="7"/>
  <c r="F296" i="7"/>
  <c r="F253" i="7"/>
  <c r="F132" i="7"/>
  <c r="F314" i="7"/>
  <c r="E283" i="7"/>
  <c r="E131" i="7"/>
  <c r="E118" i="7"/>
  <c r="F163" i="7"/>
  <c r="F45" i="7"/>
  <c r="E178" i="7"/>
  <c r="F71" i="7"/>
  <c r="F251" i="7"/>
  <c r="F89" i="7"/>
  <c r="E192" i="7"/>
  <c r="E251" i="7"/>
  <c r="E280" i="7"/>
  <c r="F87" i="7"/>
  <c r="E45" i="7"/>
  <c r="F101" i="7"/>
  <c r="F266" i="7"/>
  <c r="F311" i="7"/>
  <c r="F86" i="7"/>
  <c r="E133" i="7"/>
  <c r="F237" i="7"/>
  <c r="E148" i="7"/>
  <c r="F252" i="7"/>
  <c r="F221" i="7"/>
  <c r="E163" i="7"/>
  <c r="F117" i="7"/>
  <c r="E206" i="7"/>
  <c r="E281" i="7"/>
  <c r="E46" i="7"/>
  <c r="E191" i="7"/>
  <c r="F223" i="7"/>
  <c r="E72" i="7"/>
  <c r="F207" i="7"/>
  <c r="E147" i="7"/>
  <c r="E117" i="7"/>
  <c r="E236" i="7"/>
  <c r="E237" i="7"/>
  <c r="H237" i="7" s="1"/>
  <c r="AI227" i="7" s="1"/>
  <c r="E311" i="7"/>
  <c r="F238" i="7"/>
  <c r="F236" i="7"/>
  <c r="F146" i="7"/>
  <c r="E101" i="7"/>
  <c r="F178" i="7"/>
  <c r="E47" i="7"/>
  <c r="F162" i="7"/>
  <c r="F47" i="7"/>
  <c r="E73" i="7"/>
  <c r="F102" i="7"/>
  <c r="F192" i="7"/>
  <c r="E162" i="7"/>
  <c r="E103" i="7"/>
  <c r="E314" i="7"/>
  <c r="E86" i="7"/>
  <c r="F131" i="7"/>
  <c r="E312" i="7"/>
  <c r="E146" i="7"/>
  <c r="F283" i="7"/>
  <c r="F148" i="7"/>
  <c r="E252" i="7"/>
  <c r="E71" i="7"/>
  <c r="E238" i="7"/>
  <c r="F298" i="7"/>
  <c r="F44" i="7"/>
  <c r="F73" i="7"/>
  <c r="E207" i="7"/>
  <c r="H207" i="7" s="1"/>
  <c r="AI197" i="7" s="1"/>
  <c r="E298" i="7"/>
  <c r="F176" i="7"/>
  <c r="E177" i="7"/>
  <c r="E102" i="7"/>
  <c r="E268" i="7"/>
  <c r="F282" i="7"/>
  <c r="E116" i="7"/>
  <c r="E253" i="7"/>
  <c r="E296" i="7"/>
  <c r="E87" i="7"/>
  <c r="F191" i="7"/>
  <c r="F193" i="7"/>
  <c r="F327" i="7"/>
  <c r="F280" i="7"/>
  <c r="F46" i="7"/>
  <c r="E328" i="7"/>
  <c r="E313" i="7"/>
  <c r="F118" i="7"/>
  <c r="F313" i="7"/>
  <c r="F177" i="7"/>
  <c r="F328" i="7"/>
  <c r="E267" i="7"/>
  <c r="E44" i="7"/>
  <c r="E88" i="7"/>
  <c r="F133" i="7"/>
  <c r="E176" i="7"/>
  <c r="H176" i="7" s="1"/>
  <c r="AH167" i="7" s="1"/>
  <c r="F297" i="7"/>
  <c r="F116" i="7"/>
  <c r="F267" i="7"/>
  <c r="F312" i="7"/>
  <c r="E222" i="7"/>
  <c r="F326" i="7"/>
  <c r="F103" i="7"/>
  <c r="E297" i="7"/>
  <c r="E193" i="7"/>
  <c r="E132" i="7"/>
  <c r="H192" i="15" l="1"/>
  <c r="AI182" i="15" s="1"/>
  <c r="H207" i="15"/>
  <c r="AI197" i="15" s="1"/>
  <c r="H191" i="15"/>
  <c r="AH182" i="15" s="1"/>
  <c r="H101" i="15"/>
  <c r="AH92" i="15" s="1"/>
  <c r="H223" i="15"/>
  <c r="AJ212" i="15" s="1"/>
  <c r="H280" i="15"/>
  <c r="AG272" i="15" s="1"/>
  <c r="H297" i="15"/>
  <c r="AI287" i="15" s="1"/>
  <c r="H89" i="15"/>
  <c r="AK77" i="15" s="1"/>
  <c r="H103" i="15"/>
  <c r="AJ92" i="15" s="1"/>
  <c r="H148" i="15"/>
  <c r="AJ137" i="15" s="1"/>
  <c r="H86" i="15"/>
  <c r="AH77" i="15" s="1"/>
  <c r="H72" i="15"/>
  <c r="AI62" i="15" s="1"/>
  <c r="H118" i="15"/>
  <c r="AJ107" i="15" s="1"/>
  <c r="H298" i="15"/>
  <c r="AJ287" i="15" s="1"/>
  <c r="H88" i="15"/>
  <c r="AJ77" i="15" s="1"/>
  <c r="H146" i="15"/>
  <c r="AH137" i="15" s="1"/>
  <c r="H87" i="15"/>
  <c r="AI77" i="15" s="1"/>
  <c r="H283" i="15"/>
  <c r="AJ272" i="15" s="1"/>
  <c r="H178" i="15"/>
  <c r="AJ167" i="15" s="1"/>
  <c r="H221" i="7"/>
  <c r="AH212" i="7" s="1"/>
  <c r="H132" i="7"/>
  <c r="AI122" i="7" s="1"/>
  <c r="H313" i="15"/>
  <c r="AJ302" i="15" s="1"/>
  <c r="H162" i="15"/>
  <c r="AI152" i="15" s="1"/>
  <c r="H296" i="15"/>
  <c r="AH287" i="15" s="1"/>
  <c r="H101" i="7"/>
  <c r="AH92" i="7" s="1"/>
  <c r="H147" i="7"/>
  <c r="AI137" i="7" s="1"/>
  <c r="H88" i="7"/>
  <c r="AJ77" i="7" s="1"/>
  <c r="H147" i="15"/>
  <c r="AI137" i="15" s="1"/>
  <c r="H281" i="15"/>
  <c r="AH272" i="15" s="1"/>
  <c r="H206" i="7"/>
  <c r="AH197" i="7" s="1"/>
  <c r="H162" i="7"/>
  <c r="AI152" i="7" s="1"/>
  <c r="H193" i="7"/>
  <c r="AJ182" i="7" s="1"/>
  <c r="H280" i="7"/>
  <c r="AG272" i="7" s="1"/>
  <c r="H118" i="7"/>
  <c r="AJ107" i="7" s="1"/>
  <c r="H327" i="15"/>
  <c r="AI317" i="15" s="1"/>
  <c r="H192" i="7"/>
  <c r="AI182" i="7" s="1"/>
  <c r="H326" i="7"/>
  <c r="AH317" i="7" s="1"/>
  <c r="H116" i="7"/>
  <c r="AH107" i="7" s="1"/>
  <c r="H313" i="7"/>
  <c r="AJ302" i="7" s="1"/>
  <c r="H206" i="15"/>
  <c r="AH197" i="15" s="1"/>
  <c r="H326" i="15"/>
  <c r="AH317" i="15" s="1"/>
  <c r="H283" i="7"/>
  <c r="AJ272" i="7" s="1"/>
  <c r="H47" i="7"/>
  <c r="AK35" i="7" s="1"/>
  <c r="H282" i="15"/>
  <c r="AI272" i="15" s="1"/>
  <c r="H267" i="7"/>
  <c r="AI257" i="7" s="1"/>
  <c r="H282" i="7"/>
  <c r="AI272" i="7" s="1"/>
  <c r="H44" i="7"/>
  <c r="AH35" i="7" s="1"/>
  <c r="H73" i="7"/>
  <c r="AJ62" i="7" s="1"/>
  <c r="H238" i="7"/>
  <c r="AJ227" i="7" s="1"/>
  <c r="H223" i="7"/>
  <c r="AJ212" i="7" s="1"/>
  <c r="H45" i="7"/>
  <c r="AI35" i="7" s="1"/>
  <c r="H266" i="15"/>
  <c r="AH257" i="15" s="1"/>
  <c r="H131" i="7"/>
  <c r="AH122" i="7" s="1"/>
  <c r="H72" i="7"/>
  <c r="AI62" i="7" s="1"/>
  <c r="H102" i="7"/>
  <c r="AI92" i="7" s="1"/>
  <c r="H314" i="7"/>
  <c r="AK302" i="7" s="1"/>
  <c r="H236" i="7"/>
  <c r="AH227" i="7" s="1"/>
  <c r="H312" i="15"/>
  <c r="AI302" i="15" s="1"/>
  <c r="H328" i="15"/>
  <c r="AJ317" i="15" s="1"/>
  <c r="H314" i="15"/>
  <c r="AK302" i="15" s="1"/>
  <c r="H45" i="15"/>
  <c r="AI35" i="15" s="1"/>
  <c r="H133" i="15"/>
  <c r="AJ122" i="15" s="1"/>
  <c r="H47" i="15"/>
  <c r="AK35" i="15" s="1"/>
  <c r="H71" i="15"/>
  <c r="AH62" i="15" s="1"/>
  <c r="H281" i="7"/>
  <c r="AH272" i="7" s="1"/>
  <c r="H163" i="15"/>
  <c r="AJ152" i="15" s="1"/>
  <c r="H117" i="15"/>
  <c r="AI107" i="15" s="1"/>
  <c r="H177" i="7"/>
  <c r="AI167" i="7" s="1"/>
  <c r="H297" i="7"/>
  <c r="AI287" i="7" s="1"/>
  <c r="H103" i="7"/>
  <c r="AJ92" i="7" s="1"/>
  <c r="H117" i="7"/>
  <c r="AI107" i="7" s="1"/>
  <c r="H208" i="7"/>
  <c r="AJ197" i="7" s="1"/>
  <c r="G38" i="15"/>
  <c r="E48" i="15" s="1"/>
  <c r="H146" i="7"/>
  <c r="AH137" i="7" s="1"/>
  <c r="H163" i="7"/>
  <c r="AJ152" i="7" s="1"/>
  <c r="H222" i="7"/>
  <c r="AI212" i="7" s="1"/>
  <c r="H237" i="15"/>
  <c r="AI227" i="15" s="1"/>
  <c r="H268" i="15"/>
  <c r="AJ257" i="15" s="1"/>
  <c r="H252" i="15"/>
  <c r="AI242" i="15" s="1"/>
  <c r="H176" i="15"/>
  <c r="AH167" i="15" s="1"/>
  <c r="H116" i="15"/>
  <c r="AH107" i="15" s="1"/>
  <c r="H132" i="15"/>
  <c r="AI122" i="15" s="1"/>
  <c r="H253" i="15"/>
  <c r="AJ242" i="15" s="1"/>
  <c r="H238" i="15"/>
  <c r="AJ227" i="15" s="1"/>
  <c r="H312" i="7"/>
  <c r="AI302" i="7" s="1"/>
  <c r="H178" i="7"/>
  <c r="AJ167" i="7" s="1"/>
  <c r="H253" i="7"/>
  <c r="AJ242" i="7" s="1"/>
  <c r="H89" i="7"/>
  <c r="AK77" i="7" s="1"/>
  <c r="H327" i="7"/>
  <c r="AI317" i="7" s="1"/>
  <c r="H311" i="15"/>
  <c r="AH302" i="15" s="1"/>
  <c r="H44" i="15"/>
  <c r="AH35" i="15" s="1"/>
  <c r="H102" i="15"/>
  <c r="AI92" i="15" s="1"/>
  <c r="H252" i="7"/>
  <c r="AI242" i="7" s="1"/>
  <c r="H328" i="7"/>
  <c r="AJ317" i="7" s="1"/>
  <c r="H298" i="7"/>
  <c r="AJ287" i="7" s="1"/>
  <c r="H148" i="7"/>
  <c r="AJ137" i="7" s="1"/>
  <c r="H87" i="7"/>
  <c r="AI77" i="7" s="1"/>
  <c r="H296" i="7"/>
  <c r="AH287" i="7" s="1"/>
  <c r="H268" i="7"/>
  <c r="AJ257" i="7" s="1"/>
  <c r="H46" i="7"/>
  <c r="AJ35" i="7" s="1"/>
  <c r="H133" i="7"/>
  <c r="AJ122" i="7" s="1"/>
  <c r="H251" i="7"/>
  <c r="AH242" i="7" s="1"/>
  <c r="H58" i="15"/>
  <c r="E58" i="15"/>
  <c r="G58" i="15"/>
  <c r="F58" i="15"/>
  <c r="H251" i="15"/>
  <c r="AH242" i="15" s="1"/>
  <c r="H222" i="15"/>
  <c r="AI212" i="15" s="1"/>
  <c r="H266" i="7"/>
  <c r="AH257" i="7" s="1"/>
  <c r="F57" i="15"/>
  <c r="E57" i="15"/>
  <c r="H57" i="15"/>
  <c r="G57" i="15"/>
  <c r="AN52" i="7"/>
  <c r="AN423" i="7" s="1"/>
  <c r="AM52" i="7"/>
  <c r="AM423" i="7" s="1"/>
  <c r="AF52" i="7"/>
  <c r="AF421" i="7" s="1"/>
  <c r="E51" i="7"/>
  <c r="U52" i="7"/>
  <c r="I51" i="7"/>
  <c r="AL19" i="14"/>
  <c r="H161" i="15"/>
  <c r="AH152" i="15" s="1"/>
  <c r="G43" i="15"/>
  <c r="F43" i="15"/>
  <c r="E43" i="15"/>
  <c r="F55" i="15"/>
  <c r="E55" i="15"/>
  <c r="G55" i="15"/>
  <c r="H55" i="15"/>
  <c r="G57" i="7"/>
  <c r="E57" i="7"/>
  <c r="F57" i="7"/>
  <c r="H57" i="7"/>
  <c r="AF52" i="15"/>
  <c r="AF421" i="15" s="1"/>
  <c r="AN52" i="15"/>
  <c r="AN423" i="15" s="1"/>
  <c r="E51" i="15"/>
  <c r="I51" i="15"/>
  <c r="U52" i="15"/>
  <c r="AM52" i="15"/>
  <c r="AM423" i="15" s="1"/>
  <c r="E56" i="7"/>
  <c r="G56" i="7"/>
  <c r="F56" i="7"/>
  <c r="H56" i="7"/>
  <c r="H86" i="7"/>
  <c r="AH77" i="7" s="1"/>
  <c r="H161" i="7"/>
  <c r="AH152" i="7" s="1"/>
  <c r="F56" i="15"/>
  <c r="E56" i="15"/>
  <c r="G56" i="15"/>
  <c r="H56" i="15"/>
  <c r="G38" i="7"/>
  <c r="G43" i="7"/>
  <c r="E43" i="7"/>
  <c r="F43" i="7"/>
  <c r="H43" i="7"/>
  <c r="G54" i="15"/>
  <c r="F54" i="15"/>
  <c r="H54" i="15" s="1"/>
  <c r="E54" i="15"/>
  <c r="H236" i="15"/>
  <c r="AH227" i="15" s="1"/>
  <c r="G55" i="7"/>
  <c r="E55" i="7"/>
  <c r="F55" i="7"/>
  <c r="H55" i="7"/>
  <c r="H311" i="7"/>
  <c r="AH302" i="7" s="1"/>
  <c r="H191" i="7"/>
  <c r="AH182" i="7" s="1"/>
  <c r="H71" i="7"/>
  <c r="AH62" i="7" s="1"/>
  <c r="G58" i="7"/>
  <c r="H58" i="7"/>
  <c r="E58" i="7"/>
  <c r="F58" i="7"/>
  <c r="G54" i="7"/>
  <c r="F54" i="7"/>
  <c r="E54" i="7"/>
  <c r="H54" i="7"/>
  <c r="H221" i="15"/>
  <c r="AH212" i="15" s="1"/>
  <c r="H131" i="15"/>
  <c r="AH122" i="15" s="1"/>
  <c r="H43" i="15" l="1"/>
  <c r="D34" i="15"/>
  <c r="AI423" i="15"/>
  <c r="K464" i="15" s="1"/>
  <c r="O464" i="15" s="1"/>
  <c r="K451" i="7"/>
  <c r="K451" i="15"/>
  <c r="M451" i="15" s="1"/>
  <c r="AI423" i="7"/>
  <c r="K464" i="7" s="1"/>
  <c r="M464" i="7" s="1"/>
  <c r="AL52" i="7"/>
  <c r="AL423" i="7" s="1"/>
  <c r="K473" i="7" s="1"/>
  <c r="M473" i="7" s="1"/>
  <c r="AH423" i="7"/>
  <c r="K461" i="7" s="1"/>
  <c r="M461" i="7" s="1"/>
  <c r="AG35" i="15"/>
  <c r="AG423" i="15" s="1"/>
  <c r="K470" i="15" s="1"/>
  <c r="M470" i="15" s="1"/>
  <c r="AH423" i="15"/>
  <c r="K461" i="15" s="1"/>
  <c r="AL52" i="15"/>
  <c r="AL423" i="15" s="1"/>
  <c r="K473" i="15" s="1"/>
  <c r="K438" i="15"/>
  <c r="K431" i="15"/>
  <c r="K436" i="15"/>
  <c r="K423" i="15"/>
  <c r="K427" i="15"/>
  <c r="I36" i="7"/>
  <c r="S35" i="7" s="1"/>
  <c r="I36" i="15"/>
  <c r="S35" i="15" s="1"/>
  <c r="AL15" i="14"/>
  <c r="W52" i="7"/>
  <c r="W35" i="7"/>
  <c r="AK52" i="7"/>
  <c r="AK423" i="7" s="1"/>
  <c r="K476" i="7" s="1"/>
  <c r="AJ52" i="7"/>
  <c r="AJ423" i="7" s="1"/>
  <c r="K467" i="7" s="1"/>
  <c r="D34" i="7"/>
  <c r="E48" i="7"/>
  <c r="I50" i="7"/>
  <c r="S52" i="7" s="1"/>
  <c r="X52" i="7"/>
  <c r="V52" i="7" s="1"/>
  <c r="W52" i="15"/>
  <c r="W35" i="15"/>
  <c r="AJ52" i="15"/>
  <c r="AJ423" i="15" s="1"/>
  <c r="K467" i="15" s="1"/>
  <c r="AK52" i="15"/>
  <c r="AK423" i="15" s="1"/>
  <c r="K476" i="15" s="1"/>
  <c r="K431" i="7"/>
  <c r="K436" i="7"/>
  <c r="K438" i="7"/>
  <c r="K427" i="7"/>
  <c r="K423" i="7"/>
  <c r="AG35" i="7"/>
  <c r="AG423" i="7" s="1"/>
  <c r="K470" i="7" s="1"/>
  <c r="I50" i="15"/>
  <c r="S52" i="15" s="1"/>
  <c r="X52" i="15"/>
  <c r="V52" i="15" s="1"/>
  <c r="M451" i="7"/>
  <c r="O451" i="7"/>
  <c r="K448" i="15"/>
  <c r="K444" i="15"/>
  <c r="K444" i="7"/>
  <c r="K448" i="7"/>
  <c r="O451" i="15" l="1"/>
  <c r="M464" i="15"/>
  <c r="O461" i="7"/>
  <c r="O473" i="7"/>
  <c r="O464" i="7"/>
  <c r="O470" i="15"/>
  <c r="Q52" i="7"/>
  <c r="L49" i="7" s="1"/>
  <c r="M49" i="7" s="1"/>
  <c r="Q52" i="15"/>
  <c r="L49" i="15" s="1"/>
  <c r="M49" i="15" s="1"/>
  <c r="M476" i="15"/>
  <c r="O476" i="15"/>
  <c r="O423" i="15"/>
  <c r="M423" i="15"/>
  <c r="M431" i="7"/>
  <c r="O431" i="7"/>
  <c r="M448" i="7"/>
  <c r="O448" i="7"/>
  <c r="M431" i="15"/>
  <c r="O431" i="15"/>
  <c r="O444" i="7"/>
  <c r="M444" i="7"/>
  <c r="O423" i="7"/>
  <c r="M423" i="7"/>
  <c r="M438" i="15"/>
  <c r="O438" i="15"/>
  <c r="M436" i="15"/>
  <c r="O436" i="15"/>
  <c r="O427" i="7"/>
  <c r="M427" i="7"/>
  <c r="M473" i="15"/>
  <c r="O473" i="15"/>
  <c r="O444" i="15"/>
  <c r="M444" i="15"/>
  <c r="Q35" i="15"/>
  <c r="L35" i="15" s="1"/>
  <c r="M35" i="15" s="1"/>
  <c r="O461" i="15"/>
  <c r="M461" i="15"/>
  <c r="M467" i="15"/>
  <c r="O467" i="15"/>
  <c r="M470" i="7"/>
  <c r="O470" i="7"/>
  <c r="M448" i="15"/>
  <c r="O448" i="15"/>
  <c r="M438" i="7"/>
  <c r="O438" i="7"/>
  <c r="O436" i="7"/>
  <c r="M436" i="7"/>
  <c r="M467" i="7"/>
  <c r="O467" i="7"/>
  <c r="Q35" i="7"/>
  <c r="L35" i="7" s="1"/>
  <c r="M35" i="7" s="1"/>
  <c r="O476" i="7"/>
  <c r="M476" i="7"/>
  <c r="O427" i="15"/>
  <c r="M427" i="15"/>
  <c r="O540" i="7" l="1"/>
  <c r="M540" i="7"/>
  <c r="M541" i="7" s="1"/>
  <c r="O540" i="15"/>
  <c r="M540" i="15"/>
  <c r="M541" i="1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<sst xmlns="http://schemas.openxmlformats.org/spreadsheetml/2006/main" count="10711" uniqueCount="1399">
  <si>
    <t>STANDARDS</t>
  </si>
  <si>
    <t>CLASSIFICATION</t>
  </si>
  <si>
    <t>NO.AIR CH/HR</t>
  </si>
  <si>
    <t>Term. Filter Coverage</t>
  </si>
  <si>
    <t>Standard/Class</t>
  </si>
  <si>
    <t>ACH Range</t>
  </si>
  <si>
    <t>Notes</t>
  </si>
  <si>
    <t>ISO 14644-4</t>
  </si>
  <si>
    <t>ISO 9</t>
  </si>
  <si>
    <t>ISO 14644-1 Class 1</t>
  </si>
  <si>
    <t>500–750</t>
  </si>
  <si>
    <t>Ultra-clean (semiconductors)</t>
  </si>
  <si>
    <t>ISO 8</t>
  </si>
  <si>
    <t>ISO 14644-1 Class 2–3</t>
  </si>
  <si>
    <t>ISO 7</t>
  </si>
  <si>
    <t>ISO 14644-1 Class 4</t>
  </si>
  <si>
    <t>400–750</t>
  </si>
  <si>
    <t>ISO 6</t>
  </si>
  <si>
    <t>ISO 14644-1 Class 5</t>
  </si>
  <si>
    <t>240–600</t>
  </si>
  <si>
    <t>Sterile manufacturing</t>
  </si>
  <si>
    <t>ISO 5</t>
  </si>
  <si>
    <t>ISO 14644-1 Class 6</t>
  </si>
  <si>
    <t>150–240</t>
  </si>
  <si>
    <t>ISO 4</t>
  </si>
  <si>
    <t>ISO 14644-1 Class 7</t>
  </si>
  <si>
    <t>60–150</t>
  </si>
  <si>
    <t>ISO 3</t>
  </si>
  <si>
    <t>ISO 14644-1 Class 8</t>
  </si>
  <si>
    <t>10–25</t>
  </si>
  <si>
    <t>ISO 2</t>
  </si>
  <si>
    <t>ISO 14698</t>
  </si>
  <si>
    <t>20–40</t>
  </si>
  <si>
    <t>Biocontamination control</t>
  </si>
  <si>
    <t>ISO 1</t>
  </si>
  <si>
    <t>BS 5295 Class 1–4</t>
  </si>
  <si>
    <t>FDA 209E</t>
  </si>
  <si>
    <t>Class100K</t>
  </si>
  <si>
    <t>AFNOR NF S 90-351</t>
  </si>
  <si>
    <t>20–240</t>
  </si>
  <si>
    <t>French standard</t>
  </si>
  <si>
    <t>Class10K</t>
  </si>
  <si>
    <t>TGA (Australia)</t>
  </si>
  <si>
    <t>Based on ISO/GMP</t>
  </si>
  <si>
    <t>Class1K</t>
  </si>
  <si>
    <t>WHO GMP Grades A–D</t>
  </si>
  <si>
    <t>A–D grades</t>
  </si>
  <si>
    <t>Class 100</t>
  </si>
  <si>
    <t>JIS B 9920 (Japan)</t>
  </si>
  <si>
    <t>10–600</t>
  </si>
  <si>
    <t>Similar to ISO</t>
  </si>
  <si>
    <t>Class 10</t>
  </si>
  <si>
    <t>FDA (US)</t>
  </si>
  <si>
    <t>Follows ISO/GMP</t>
  </si>
  <si>
    <t>Class 1</t>
  </si>
  <si>
    <t>EU GMP Grades A–D</t>
  </si>
  <si>
    <t>Grades A–D</t>
  </si>
  <si>
    <t>GMP</t>
  </si>
  <si>
    <t>Grade D (ISO 8 at Rest &amp; Not Defined)</t>
  </si>
  <si>
    <t>Germany VDI 2083</t>
  </si>
  <si>
    <t>20–600</t>
  </si>
  <si>
    <t>Engineering guideline</t>
  </si>
  <si>
    <t>Grade C (ISO 7 at Rest &amp; ISO 8 in Oper.)</t>
  </si>
  <si>
    <t>Grade B (ISO 5 at Rest &amp; ISO 7 in Oper.)</t>
  </si>
  <si>
    <t>Grade A (ISO 5 at Rest &amp; ISO 5 in Oper.)</t>
  </si>
  <si>
    <t>JIS B 9920</t>
  </si>
  <si>
    <t>JIS Class 9</t>
  </si>
  <si>
    <t>JIS Class 8</t>
  </si>
  <si>
    <t>JIS Class 7</t>
  </si>
  <si>
    <t>JIS Class 6</t>
  </si>
  <si>
    <t>JIS Class 5</t>
  </si>
  <si>
    <t>JIS Class 4</t>
  </si>
  <si>
    <t>JIS Class 3</t>
  </si>
  <si>
    <t>JIS Class 2</t>
  </si>
  <si>
    <t>JIS Class 1</t>
  </si>
  <si>
    <t>EU GMP</t>
  </si>
  <si>
    <t>Grade D (ISO 7 at Rest &amp; ISO 8 in Oper.)</t>
  </si>
  <si>
    <t>Grade C (ISO 7 at Rest &amp; ISO 7 in Oper.)</t>
  </si>
  <si>
    <t>TGA</t>
  </si>
  <si>
    <t>BS 5295</t>
  </si>
  <si>
    <t>K</t>
  </si>
  <si>
    <t>J</t>
  </si>
  <si>
    <t>G or H</t>
  </si>
  <si>
    <t>E or F</t>
  </si>
  <si>
    <t>D</t>
  </si>
  <si>
    <t>C</t>
  </si>
  <si>
    <t>GERMANY VD</t>
  </si>
  <si>
    <t>AFNOR X44101</t>
  </si>
  <si>
    <t>NC-Non Classified</t>
  </si>
  <si>
    <t>20µ</t>
  </si>
  <si>
    <t>15µ</t>
  </si>
  <si>
    <t>10µ</t>
  </si>
  <si>
    <t>5µ</t>
  </si>
  <si>
    <t>1µ</t>
  </si>
  <si>
    <t>No-Filtration</t>
  </si>
  <si>
    <t>Positive Pressure</t>
  </si>
  <si>
    <t>Exhaust</t>
  </si>
  <si>
    <t>BSL - 1</t>
  </si>
  <si>
    <t>BSL - 2</t>
  </si>
  <si>
    <t>BSL - 3</t>
  </si>
  <si>
    <t>BSL - 4</t>
  </si>
  <si>
    <t>SCHEDULE M</t>
  </si>
  <si>
    <t>GRADE CLASS A</t>
  </si>
  <si>
    <t>GRADE CLASS B</t>
  </si>
  <si>
    <t>GRADE CLASS C</t>
  </si>
  <si>
    <t>GRADE CLASS D</t>
  </si>
  <si>
    <t>ids</t>
  </si>
  <si>
    <t>Standards</t>
  </si>
  <si>
    <t>ISO_14644</t>
  </si>
  <si>
    <t>FDA</t>
  </si>
  <si>
    <t>JIS_B_9920</t>
  </si>
  <si>
    <t>EUGMP</t>
  </si>
  <si>
    <t>WHO</t>
  </si>
  <si>
    <t>BS_5295</t>
  </si>
  <si>
    <t>GERMANY_VD</t>
  </si>
  <si>
    <t>AFNORX44101</t>
  </si>
  <si>
    <t>NC -Non Classified</t>
  </si>
  <si>
    <r>
      <t xml:space="preserve">Grade D </t>
    </r>
    <r>
      <rPr>
        <sz val="10"/>
        <color theme="1"/>
        <rFont val="Aptos"/>
        <family val="2"/>
      </rPr>
      <t>(ISO 8 at Rest &amp; Not Defined)</t>
    </r>
  </si>
  <si>
    <r>
      <t xml:space="preserve">Grade D </t>
    </r>
    <r>
      <rPr>
        <sz val="10"/>
        <color theme="1"/>
        <rFont val="Aptos"/>
        <family val="2"/>
      </rPr>
      <t>(ISO 7 at Rest &amp; ISO 8 in Oper.)</t>
    </r>
  </si>
  <si>
    <t>Asia</t>
  </si>
  <si>
    <r>
      <t xml:space="preserve">Grade C </t>
    </r>
    <r>
      <rPr>
        <sz val="10"/>
        <color theme="1"/>
        <rFont val="Aptos"/>
        <family val="2"/>
      </rPr>
      <t>(ISO 7 at Rest &amp; ISO 8 in Oper.)</t>
    </r>
  </si>
  <si>
    <r>
      <t xml:space="preserve">Grade C </t>
    </r>
    <r>
      <rPr>
        <sz val="10"/>
        <color theme="1"/>
        <rFont val="Aptos"/>
        <family val="2"/>
      </rPr>
      <t>(ISO 7 at Rest &amp; ISO 7 in Oper.)</t>
    </r>
  </si>
  <si>
    <t>Africa</t>
  </si>
  <si>
    <r>
      <t xml:space="preserve">Grade B </t>
    </r>
    <r>
      <rPr>
        <sz val="10"/>
        <color theme="1"/>
        <rFont val="Aptos"/>
        <family val="2"/>
      </rPr>
      <t>(ISO 5 at Rest &amp; ISO 7 in Oper.)</t>
    </r>
  </si>
  <si>
    <t>North America</t>
  </si>
  <si>
    <r>
      <t xml:space="preserve">Grade A </t>
    </r>
    <r>
      <rPr>
        <sz val="10"/>
        <color theme="1"/>
        <rFont val="Aptos"/>
        <family val="2"/>
      </rPr>
      <t>(ISO 5 at Rest &amp; ISO 5 in Oper.)</t>
    </r>
  </si>
  <si>
    <t>South America</t>
  </si>
  <si>
    <t>-</t>
  </si>
  <si>
    <t>Antartica</t>
  </si>
  <si>
    <t>Europe</t>
  </si>
  <si>
    <t>Australia</t>
  </si>
  <si>
    <t>NC_Non_Classified</t>
  </si>
  <si>
    <t>Filtration Stages</t>
  </si>
  <si>
    <t>Air-conditioning System</t>
  </si>
  <si>
    <t>1S</t>
  </si>
  <si>
    <t>20 micron filters made out of HDPE media with one side HDPE &amp; other side Al. expanded mesh of efficiency 90%(150 mm thick) for fresh air supply</t>
  </si>
  <si>
    <t>Ventilation System</t>
  </si>
  <si>
    <t>1E</t>
  </si>
  <si>
    <t>20 micron filters made out of HDPE media with one side HDPE &amp; other side Al. expanded mesh of efficiency 90%(100 mm thick) for Exhaust air.</t>
  </si>
  <si>
    <t>2S</t>
  </si>
  <si>
    <t>10 micron filters made out of HLP media with one side HDPE &amp; other side Al. expanded mesh of efficiency 95%(150 mm thick) for fresh air supply</t>
  </si>
  <si>
    <t>Adelaide</t>
  </si>
  <si>
    <t>2E</t>
  </si>
  <si>
    <t>10 micron filters made out of HLP media with one side HDPE &amp; other side Al. expanded mesh of efficiency 95%(150 mm thick) for Exhaust Air</t>
  </si>
  <si>
    <t>3S</t>
  </si>
  <si>
    <t>5 micron filters made out of SNPF media 150GSM with one side HDPE &amp; other side Al. expanded mesh of efficiency 99%(300 mm thick) for fresh air supply</t>
  </si>
  <si>
    <t>3E</t>
  </si>
  <si>
    <t>5 micron filters made out of SNPF media 150GSM with one side HDPE &amp; other side Al. expanded mesh of efficiency 99%(300 mm thick) for Exhaust Air</t>
  </si>
  <si>
    <t>4S</t>
  </si>
  <si>
    <t>1 micron filters made out of SNPF media 200GSM with one side HDPE &amp; other side Al. expanded mesh of efficiency 99.9%(300 mm thick) for fresh air supply</t>
  </si>
  <si>
    <t>4E</t>
  </si>
  <si>
    <t>1 micron filters made out of SNPF media 200GSM with one side HDPE &amp; other side Al. expanded mesh of efficiency 99.9%(300 mm thick) for Exhaust Air</t>
  </si>
  <si>
    <t>5S</t>
  </si>
  <si>
    <t>0.3 micron 95% Eff. HEPA filters made out of imported Lydall media with efficiency 95%(300 mm thick) for fresh air supply</t>
  </si>
  <si>
    <t>5E</t>
  </si>
  <si>
    <t>0.3 micron 95% Eff. HEPA filters made out of imported Lydall media with efficiency 95%(300 mm thick) for Exhaust Air</t>
  </si>
  <si>
    <t>6S</t>
  </si>
  <si>
    <t>0.3 micron 99.97% Eff. HEPA filters made out of imported Lydall media with efficiency 95%(150 mm thick) for Supply Air</t>
  </si>
  <si>
    <t>6E</t>
  </si>
  <si>
    <t>0.3 micron 99.97% Eff. HEPA filters made out of imported Lydall media with efficiency 95%(150 mm thick) for Exhaust Air</t>
  </si>
  <si>
    <t>7S</t>
  </si>
  <si>
    <t>0.1 micron 99.9995% Eff. ULPA filters made out of imported Lydall media with efficiency 95%(150 mm thick) for Supply Air</t>
  </si>
  <si>
    <t>7E</t>
  </si>
  <si>
    <t>0.1 micron 99.9995% Eff. ULPA filters made out of imported Lydall media with efficiency 95%(150 mm thick) for Exhaust Air</t>
  </si>
  <si>
    <t>S.No.</t>
  </si>
  <si>
    <t>Room Name</t>
  </si>
  <si>
    <t>Length in mtrs</t>
  </si>
  <si>
    <t>Width in mtrs</t>
  </si>
  <si>
    <t>Height in mtrs</t>
  </si>
  <si>
    <t>People in Nos</t>
  </si>
  <si>
    <t>Eqpt. Load in KW</t>
  </si>
  <si>
    <t>Lighting in W/Sft</t>
  </si>
  <si>
    <t>No.of Inf./Hr</t>
  </si>
  <si>
    <t>Fresh Air</t>
  </si>
  <si>
    <t xml:space="preserve">Exhaust </t>
  </si>
  <si>
    <t>T ˚C (Required inside)</t>
  </si>
  <si>
    <t>RH(in) +/- 5%</t>
  </si>
  <si>
    <t>Peak Max Temp.(Out) in ˚C</t>
  </si>
  <si>
    <t>RH(Out) in +/- 5%</t>
  </si>
  <si>
    <t>Select Class</t>
  </si>
  <si>
    <t>ACPH</t>
  </si>
  <si>
    <t>Chilled water enter C                                                                                       Direct Expansion enter D</t>
  </si>
  <si>
    <t>Select Standards</t>
  </si>
  <si>
    <t>Manual Entry for ACPH</t>
  </si>
  <si>
    <t>Chandrashekar</t>
  </si>
  <si>
    <t>vijay bhasker</t>
  </si>
  <si>
    <t>nimma</t>
  </si>
  <si>
    <t>sahajanand</t>
  </si>
  <si>
    <t>xyz</t>
  </si>
  <si>
    <t>abc</t>
  </si>
  <si>
    <t>excel</t>
  </si>
  <si>
    <t>word</t>
  </si>
  <si>
    <t>java</t>
  </si>
  <si>
    <t>cvdwvjvq</t>
  </si>
  <si>
    <t>jcvbbvk</t>
  </si>
  <si>
    <t xml:space="preserve"> vbwbvb</t>
  </si>
  <si>
    <t xml:space="preserve"> b cjvjvve</t>
  </si>
  <si>
    <t>ifhiuhfigi</t>
  </si>
  <si>
    <t>hbhwbfb</t>
  </si>
  <si>
    <t>Class</t>
  </si>
  <si>
    <t>Clean Room 10</t>
  </si>
  <si>
    <t>Clean Room 11</t>
  </si>
  <si>
    <t>Clean Room 12</t>
  </si>
  <si>
    <t>Clean Room 13</t>
  </si>
  <si>
    <t>Clean Room 14</t>
  </si>
  <si>
    <t>Clean Room 15</t>
  </si>
  <si>
    <t>Clean Room 16</t>
  </si>
  <si>
    <t>Clean Room 17</t>
  </si>
  <si>
    <t>Clean Room 18</t>
  </si>
  <si>
    <t>Clean Room 19</t>
  </si>
  <si>
    <t>Clean Room 20</t>
  </si>
  <si>
    <t>Clean Room 21</t>
  </si>
  <si>
    <t>Clean Room 22</t>
  </si>
  <si>
    <t>Clean Room 23</t>
  </si>
  <si>
    <t>Clean Room 24</t>
  </si>
  <si>
    <t>Clean Room 25</t>
  </si>
  <si>
    <t>GRADE A</t>
  </si>
  <si>
    <t>10K</t>
  </si>
  <si>
    <t>NC</t>
  </si>
  <si>
    <t>5 Micron</t>
  </si>
  <si>
    <t>amb</t>
  </si>
  <si>
    <t>Chilled Water Details</t>
  </si>
  <si>
    <t xml:space="preserve">Hot Water/Steam Details </t>
  </si>
  <si>
    <t>Peak Min Temp.(Out) in ˚C</t>
  </si>
  <si>
    <t>RH(Out) +/- 5%</t>
  </si>
  <si>
    <t>Area</t>
  </si>
  <si>
    <t>Volume</t>
  </si>
  <si>
    <t>Room Cfm</t>
  </si>
  <si>
    <t>FA</t>
  </si>
  <si>
    <t>EA</t>
  </si>
  <si>
    <t>Rem. Water vapour Kg/hr</t>
  </si>
  <si>
    <t>Deh. Cfm</t>
  </si>
  <si>
    <t>Res. Cfm</t>
  </si>
  <si>
    <t>Room Terminal Supply Module in Sft</t>
  </si>
  <si>
    <t>Res. Cooling Load in TR</t>
  </si>
  <si>
    <t xml:space="preserve">Chilled Water (C) OR  DX (D) </t>
  </si>
  <si>
    <t>Room AC load in TR</t>
  </si>
  <si>
    <t>Cfm AC load in TR</t>
  </si>
  <si>
    <t>AHU Cfm</t>
  </si>
  <si>
    <t>AHU Size</t>
  </si>
  <si>
    <t>Static Pressure</t>
  </si>
  <si>
    <t>Blower Model BDB</t>
  </si>
  <si>
    <t>Motor Selected in Hp</t>
  </si>
  <si>
    <t xml:space="preserve">No. of Rows of Cooling Coil </t>
  </si>
  <si>
    <t>AHU Cooling Load in TR</t>
  </si>
  <si>
    <t>No. Of Stages of Filtr.</t>
  </si>
  <si>
    <t>Chilled water in GPM</t>
  </si>
  <si>
    <t>Chilled water in L/s</t>
  </si>
  <si>
    <t>Flow Velocity in m/s</t>
  </si>
  <si>
    <t>Pipe Size in mm</t>
  </si>
  <si>
    <t>Hot Water/Steam in GPM</t>
  </si>
  <si>
    <t>Hot water/Steam in L/s</t>
  </si>
  <si>
    <t>Flow Velocity</t>
  </si>
  <si>
    <t>Pipe Size</t>
  </si>
  <si>
    <t>W</t>
  </si>
  <si>
    <t>H</t>
  </si>
  <si>
    <t>L</t>
  </si>
  <si>
    <r>
      <t>Sub.:</t>
    </r>
    <r>
      <rPr>
        <sz val="11"/>
        <rFont val="Arial"/>
        <family val="2"/>
      </rPr>
      <t xml:space="preserve"> Offer for Class 100K AC &amp; Ventilation System and NC System for your PB - C  and Pilot Plan  Reg.</t>
    </r>
  </si>
  <si>
    <t>Description &amp; Specifications</t>
  </si>
  <si>
    <t>Units</t>
  </si>
  <si>
    <t>Qty</t>
  </si>
  <si>
    <t xml:space="preserve">Supply </t>
  </si>
  <si>
    <t>Installation</t>
  </si>
  <si>
    <t>Rate</t>
  </si>
  <si>
    <t>Amount</t>
  </si>
  <si>
    <t>I</t>
  </si>
  <si>
    <t>AIR HANDLING UNITS</t>
  </si>
  <si>
    <t xml:space="preserve">Supply, Installation, Testing &amp; Commissioning of Factory assembled/ modular Single / Double Skin floor mounted type Air Handling Units (AHUs)(Single / Double Decker as per Plant Room Specs. AHUs shall be complete with Single skin 25 mm panels with 1.2mm Zinc / G.I. Sheets or double skin 25/47 mm thick insulated panels with CFC free polyurethane foam (PUF) insulation material with minimum density of 42 Kg/m3, sandwiched between 0.63/0.8 mm thick Aluminium Zinc / G.I.Sheets (inner skin) and pre-coated G.I. Sheets (outer skin). The AHUs shall be complete with mixing box with necessary openings and provosion for aluminium dampers for teminating return air and fresh air ducts. Food grade self-adhesive coated EPDM gaskets shall be provided between panels and structure of the AHU to ensure the entire housing is airtight, and should meet clean room class leakage requirments as per Standards. The AHUs shall be complete with provision for Fresh air filter section/ pre-filter section/ fine-filter or filters section/Superfine filter sections as mentioned below along without/with cooling coil section with specified multirows deep chilled water cooling coil of copper tube &amp; aluminium fin construction to be sized for Cooling load specified with all controls &amp; accessories, Re-heat section complete with finned type strip heaters, SS drain pan constructed from 18 gauge stainless steel &amp; factory insulated with closed cell elastomeric Class 'O' material, copper header with "Copper to MS" adopter for Evaporator coil made out of 1/2" / 5/8" copper tubes with MS Header/Distributor with 12-13 FPI of mentioned capacities., all adaptive controls such as airstat, geyserstat, safetystat complete with wiring &amp; vibration isolation pads etc. and all complete as per the specifications for Air-conditioning. AHUs shall be selected for a maximum face velocity of 500 FPM (2.5 MPS) and as per the Schedule of Air Handling Units. fan section with backward curved centrifugal fan (Kruger / Nicotra / Equivalent Make) with V-Belt drive arrangement and access doors where ever necessary with Motor (Crompton / equivalent Make) and  Fan outlet velocity shall not exceed as per selected blower ratings and not more than 2000 FPM (10.2 MPS). AHUs should have marine lamps including adequately rated LED inside the AHU Cabinets. AHU inspection doors should have view windows with perfectly sealed gaksets on either side to ensure air tightness. All AHU doors shall be provided with door limit switch and door safety GI guard as well. </t>
  </si>
  <si>
    <t>Gear Type Aluminium Volume Control Dampers</t>
  </si>
  <si>
    <t xml:space="preserve">Fire Retardent / Control Dampers  </t>
  </si>
  <si>
    <t>20 Micron</t>
  </si>
  <si>
    <t>10 Micron</t>
  </si>
  <si>
    <t>1 Micron</t>
  </si>
  <si>
    <t>0.3 Micron</t>
  </si>
  <si>
    <t>CLASS</t>
  </si>
  <si>
    <t>CFM</t>
  </si>
  <si>
    <t>AC Load</t>
  </si>
  <si>
    <t>Nos.</t>
  </si>
  <si>
    <t>AHU(W)</t>
  </si>
  <si>
    <t>AHU(H)</t>
  </si>
  <si>
    <t>AHU(L)</t>
  </si>
  <si>
    <t>Blower</t>
  </si>
  <si>
    <t>Static Pr</t>
  </si>
  <si>
    <t>Motor Hp</t>
  </si>
  <si>
    <t>Coil Rows</t>
  </si>
  <si>
    <t>Coil Head Type</t>
  </si>
  <si>
    <t xml:space="preserve">Coil Size hxw in mm </t>
  </si>
  <si>
    <t>No. of Filtr. Stages</t>
  </si>
  <si>
    <t>Filter Ratings</t>
  </si>
  <si>
    <t>Filters Size and Quantity for mentioned ratings</t>
  </si>
  <si>
    <t>Filter Rating</t>
  </si>
  <si>
    <t>Width mm</t>
  </si>
  <si>
    <t>Height mm</t>
  </si>
  <si>
    <t>Depth mm</t>
  </si>
  <si>
    <t>Filter Qty Nos</t>
  </si>
  <si>
    <t xml:space="preserve">EXHAUST </t>
  </si>
  <si>
    <t>B</t>
  </si>
  <si>
    <t>NC Areas. ( 5 MICRON AC SUPPLY) ( PBC Block)</t>
  </si>
  <si>
    <r>
      <t>Double Skin AHU made out of Al. Hollow  Section and 24 G GI Panels 25 mm thick duly filled with PUF with provision for Filter sections of</t>
    </r>
    <r>
      <rPr>
        <sz val="11"/>
        <color indexed="10"/>
        <rFont val="Arial"/>
        <family val="2"/>
      </rPr>
      <t xml:space="preserve"> 20 micron Fresh air, 10 micron Prefilter , 5 micron fine filtration, 1 micron Superfine Filtration, and 0.3 micron 95% HEPA Filter Section</t>
    </r>
    <r>
      <rPr>
        <sz val="11"/>
        <rFont val="Arial"/>
        <family val="2"/>
      </rPr>
      <t xml:space="preserve"> , fan section with backward curved centrifugal fan of 110 mm static pressure (Kruger Make) with V-Belt drive arrangement and access doors where ever necessary with FLP Motor (Crompton Make) of following capacities. </t>
    </r>
  </si>
  <si>
    <t>Width</t>
  </si>
  <si>
    <t>Height</t>
  </si>
  <si>
    <t>Length</t>
  </si>
  <si>
    <t>Cfm</t>
  </si>
  <si>
    <t>Blower length</t>
  </si>
  <si>
    <t>Filtrat. Length</t>
  </si>
  <si>
    <t>VSU - 001</t>
  </si>
  <si>
    <t>BDB</t>
  </si>
  <si>
    <t>Motor</t>
  </si>
  <si>
    <t>TR</t>
  </si>
  <si>
    <t>Coil Depth</t>
  </si>
  <si>
    <t>Filtrat. Stages</t>
  </si>
  <si>
    <t xml:space="preserve">Coil Rows </t>
  </si>
  <si>
    <t>NC Areas. ( 5 MICRON AC SUPPLY)</t>
  </si>
  <si>
    <r>
      <t>Double Skin AHU made out of Al. Hollow  Section and 24 G GI Panels 25 mm thick duly filled with PUF with provision for Filter sections of</t>
    </r>
    <r>
      <rPr>
        <sz val="11"/>
        <color indexed="10"/>
        <rFont val="Arial"/>
        <family val="2"/>
      </rPr>
      <t xml:space="preserve"> 20 micron Fresh air, 10 micron Prefilter , 5 micron fine filtration</t>
    </r>
    <r>
      <rPr>
        <sz val="11"/>
        <rFont val="Arial"/>
        <family val="2"/>
      </rPr>
      <t xml:space="preserve">,  fan section with backward curved centrifugal fan of 90 mm static pressure (Kruger Make) with V-Belt drive arrangement and access doors where ever necessary with FLP Motor (Crompton Make)  of following capacities. </t>
    </r>
  </si>
  <si>
    <t>PBC Block</t>
  </si>
  <si>
    <t>FAM - 001</t>
  </si>
  <si>
    <t>FAM - 002</t>
  </si>
  <si>
    <t>VSU - 002</t>
  </si>
  <si>
    <t>VSU - 003</t>
  </si>
  <si>
    <t>PP Block</t>
  </si>
  <si>
    <t>VSU - 004</t>
  </si>
  <si>
    <t>VSU - 005</t>
  </si>
  <si>
    <t>EXHAUST SYSTEM ( VENTILATION )</t>
  </si>
  <si>
    <t xml:space="preserve">Single Skin AHU made out of Al. Hollow  Section and 18 G GI Panels 25 mm thick with provision for Filter sections of 20 Micron exhaust air, fan section with backward curved centrifugal fan of 50 mm static pressure (Kruger Make) with V-Belt drive arrangement and access doors where ever necessary with FLP Motor (Crompton Make). </t>
  </si>
  <si>
    <t>FEM - 001</t>
  </si>
  <si>
    <t>FEM - 002</t>
  </si>
  <si>
    <t>VEU - 001</t>
  </si>
  <si>
    <t>VEU - 002</t>
  </si>
  <si>
    <t>VEU - 003</t>
  </si>
  <si>
    <t>VEU - 004</t>
  </si>
  <si>
    <t>VEU - 005</t>
  </si>
  <si>
    <t>Ex. 1  Modules</t>
  </si>
  <si>
    <t>Ex. 2  Modules</t>
  </si>
  <si>
    <t>II</t>
  </si>
  <si>
    <t>AIR CIRCULATION SYSTEM</t>
  </si>
  <si>
    <t>Ducting Works</t>
  </si>
  <si>
    <t>24 G GI ducting with MS angle joints duly with rubber</t>
  </si>
  <si>
    <t>Sft</t>
  </si>
  <si>
    <t>gasket joined with GI plated  06 mm Nut bolts and</t>
  </si>
  <si>
    <t>supported by 8 mm GI threaded rods and Sealed</t>
  </si>
  <si>
    <t xml:space="preserve">duly with Silicon Sealant on joints </t>
  </si>
  <si>
    <t>22 G GI ducting with MS angle joints duly with rubber</t>
  </si>
  <si>
    <t>20 G GI ducting with MS angle joints duly with rubber</t>
  </si>
  <si>
    <t>20 micr</t>
  </si>
  <si>
    <t xml:space="preserve">10 micr </t>
  </si>
  <si>
    <t>5 micr</t>
  </si>
  <si>
    <t xml:space="preserve">1 micr </t>
  </si>
  <si>
    <t>0.3 micr</t>
  </si>
  <si>
    <t>20 micr Exhaust</t>
  </si>
  <si>
    <t>Al Dampers</t>
  </si>
  <si>
    <t>Insulation Works</t>
  </si>
  <si>
    <t>13 mm thick Cross linked closedcell foil faced</t>
  </si>
  <si>
    <t xml:space="preserve"> insulation for return air with taped joints. </t>
  </si>
  <si>
    <t xml:space="preserve">19 mm thick Cross linked closedcell foil faced </t>
  </si>
  <si>
    <t xml:space="preserve">insulation for Supply air with taped joints. </t>
  </si>
  <si>
    <t>Grills / Diffusers / Perforated</t>
  </si>
  <si>
    <t>SS 316. Perforated Grills duly boughed</t>
  </si>
  <si>
    <t>for Supply &amp; return air in 100K &amp; NC areas</t>
  </si>
  <si>
    <t>Fire Resistant / Retardant  / Control Dampers</t>
  </si>
  <si>
    <t xml:space="preserve">Fire Resistant Opposite Blade type Volume control </t>
  </si>
  <si>
    <t xml:space="preserve">dampers at AHU made out of 18 GI duly epoxy </t>
  </si>
  <si>
    <t>powder coated / PU painted with fusible link.</t>
  </si>
  <si>
    <t>Volume Control Dampers</t>
  </si>
  <si>
    <t xml:space="preserve">Opposite Blade type Volume control Dampers for Air </t>
  </si>
  <si>
    <t xml:space="preserve">distribution control in ducts made out of 20 GI </t>
  </si>
  <si>
    <t>duly Epoxy powder coated / PU painted.</t>
  </si>
  <si>
    <t xml:space="preserve">Gear type control Dampers for distribution </t>
  </si>
  <si>
    <t>AHU's for Supply , Fresh air , Retrun Air &amp; Exhaust Air.</t>
  </si>
  <si>
    <t>Terminal Filtration \ Grill Modules</t>
  </si>
  <si>
    <t xml:space="preserve">Supply, return &amp; Exhaust Air filter Modules for </t>
  </si>
  <si>
    <t xml:space="preserve">fixing Terminal Filters and grills duly epoxy powder coated made </t>
  </si>
  <si>
    <t xml:space="preserve">out of 18/20 G CRCA for 100 K,5 &amp; 20 micron </t>
  </si>
  <si>
    <t>areas. with Gear Mechanism.</t>
  </si>
  <si>
    <t>Flexible canvas connections for AHU Inlets, Outlets, fresh air Terminal Grill</t>
  </si>
  <si>
    <t>/Filter Modules , Terminals , Blowers, and plenum connections &amp; others if any.</t>
  </si>
  <si>
    <t>III</t>
  </si>
  <si>
    <t>AIR FILTRATION SYSTEM</t>
  </si>
  <si>
    <t xml:space="preserve">10 micron filters made out of HLP media with </t>
  </si>
  <si>
    <t xml:space="preserve">one side  HDPE &amp; other side Al. expanded mesh of </t>
  </si>
  <si>
    <t>efficiency 95% (150mm)</t>
  </si>
  <si>
    <t xml:space="preserve">5 micron filters made out of SNPF media with </t>
  </si>
  <si>
    <t xml:space="preserve">one side HDPE &amp; other side Al. expanded mesh of </t>
  </si>
  <si>
    <t>efficiency 99%(300 mm) ( 150 GSM )</t>
  </si>
  <si>
    <t xml:space="preserve">1 micron filters made out of SNPF media with </t>
  </si>
  <si>
    <t>efficiency 99.9%(300 mm)( 200 GSM )</t>
  </si>
  <si>
    <t xml:space="preserve">20 micron filters made out of HDPE media with </t>
  </si>
  <si>
    <t>efficiency 90%(150 mm) for fresh air supply</t>
  </si>
  <si>
    <t>efficiency 90%(150 mm) for Exhaust air.</t>
  </si>
  <si>
    <t xml:space="preserve">0.3 micron (HEPA) filters made out of </t>
  </si>
  <si>
    <t>imported lydall media of efficiency 95% for ISO 8 / 100K / ISO 5, 100 Areas.</t>
  </si>
  <si>
    <t>efficiency  95% (50mm thick)for Return air in Class</t>
  </si>
  <si>
    <t>100K &amp; 5 Micron Areas.</t>
  </si>
  <si>
    <t xml:space="preserve">5 micron filters made out of SNPF media </t>
  </si>
  <si>
    <t xml:space="preserve">with one side HDPE &amp; other side Al. expanded mesh </t>
  </si>
  <si>
    <t xml:space="preserve">of  efficiency  95% (50mm thick) for Supply air in </t>
  </si>
  <si>
    <t>Class 100K &amp; 5 Micron Areas.</t>
  </si>
  <si>
    <t>0.3 micron (HEPA) filters made out of imported lydall media of 300 mm Thick</t>
  </si>
  <si>
    <t>efficiency 99.95%/99.97%/99.997% for 10K or ISO 7 Area.</t>
  </si>
  <si>
    <t>0.3 micron (HEPA) filters made out of imported lydall media of 150 mm Thick</t>
  </si>
  <si>
    <t>efficiency 99.995%/99.997% for 1K or Class 100 or ISO 6 or ISO 5 Area.</t>
  </si>
  <si>
    <t>0.12 micron (ULPA) filters made out of imported lydall media of 65/80 mm Thick</t>
  </si>
  <si>
    <t>efficiency 99.9997% / 99.9999% for Class 100 / Class 10 / Class 1/ ISO 5 / ISO 4 / ISO 3 Area.</t>
  </si>
  <si>
    <t>IV</t>
  </si>
  <si>
    <t>PRESSURE MONITORING SYSTEM</t>
  </si>
  <si>
    <t>0-10 mm DWYER make Magnehelic Guages</t>
  </si>
  <si>
    <t>=COUNTIFS('BOD-Cold &amp; Amb.'!istext(N10:N225))</t>
  </si>
  <si>
    <t xml:space="preserve">for Room pressures indication </t>
  </si>
  <si>
    <t>0-50 mm DWYER make Magnehelic Guages</t>
  </si>
  <si>
    <t>for filter pressure drop indication in AHU's</t>
  </si>
  <si>
    <t xml:space="preserve">SS 304 Individual Magnehelic gauge housing </t>
  </si>
  <si>
    <t>with sensor</t>
  </si>
  <si>
    <t xml:space="preserve">SMART PROCESS SCANNERS with in built Sensor </t>
  </si>
  <si>
    <t>Make:POLMON</t>
  </si>
  <si>
    <t>Specifications:</t>
  </si>
  <si>
    <t>In built :RH,Temperature &amp; DP</t>
  </si>
  <si>
    <t>Output Type-Modbus</t>
  </si>
  <si>
    <t>X-Future Use</t>
  </si>
  <si>
    <t>Display: RH, TEMP. and DP</t>
  </si>
  <si>
    <t>Set point for each parameter (Hi/Low).</t>
  </si>
  <si>
    <t>Display Blinking on Violation (Optional Buzzer Indication).</t>
  </si>
  <si>
    <t>Programmable Damping/ Filter constant for each parameter.</t>
  </si>
  <si>
    <t>Independent Displays for each parameter.</t>
  </si>
  <si>
    <t>Diagnostic messages for each parameter.</t>
  </si>
  <si>
    <t>Fully Differential Inputs.</t>
  </si>
  <si>
    <t>Optically Isolated communication port.</t>
  </si>
  <si>
    <t>Programmable Baud Rate Selection 1200/ 9600/ 19.2KB/ 38.4KB.</t>
  </si>
  <si>
    <t>Power Supply: 24 VAC</t>
  </si>
  <si>
    <t>SS face plate</t>
  </si>
  <si>
    <t>Mounting: Modular Wall Mounting</t>
  </si>
  <si>
    <t xml:space="preserve">DP TRANSMITTERS FOR CLEAN ROOMS </t>
  </si>
  <si>
    <t>Local Display:required</t>
  </si>
  <si>
    <t>1-Face Plate Of Material- SS</t>
  </si>
  <si>
    <t>X- 0-12mm WC</t>
  </si>
  <si>
    <t>Lifetime Stability of -/+0.5% F.S.O</t>
  </si>
  <si>
    <t>No Calibration or recalibration necessary for the life of the device</t>
  </si>
  <si>
    <t>Standard 2-Year warranty</t>
  </si>
  <si>
    <t>Accuracy:1% on FSO</t>
  </si>
  <si>
    <t>Output:4-20mA</t>
  </si>
  <si>
    <t>Calibrated to NIST-Traceable standards</t>
  </si>
  <si>
    <t>Media compatability:clean,dry inert,non-ferrous gases</t>
  </si>
  <si>
    <t xml:space="preserve">DP MOUNTING BOX WITH ACCESSORIES </t>
  </si>
  <si>
    <t>1-Type Of Material-SS-304</t>
  </si>
  <si>
    <t>1-Depth-1-50mm</t>
  </si>
  <si>
    <t>V</t>
  </si>
  <si>
    <t>VALIDATION</t>
  </si>
  <si>
    <t>Commissioning &amp; Validation of Total Clean Room</t>
  </si>
  <si>
    <t>L/s.</t>
  </si>
  <si>
    <t xml:space="preserve">(Air Balancing,Temp., Pressure Balancing, Particle </t>
  </si>
  <si>
    <t>.</t>
  </si>
  <si>
    <t xml:space="preserve">Count, HEPA Integrity Test (D.O.P), recovery Test </t>
  </si>
  <si>
    <t>with DQ/IQ/OQ/PQ reports)</t>
  </si>
  <si>
    <t>Terms &amp; Conditions :</t>
  </si>
  <si>
    <t>The above prices are inclusive of Packing, Forwarding, erection &amp; Commissioning of the system.</t>
  </si>
  <si>
    <t>Transportation Charges &amp; Unloading Charges extra at actuals in client's scope.</t>
  </si>
  <si>
    <t>Accomodation at Site Shall be provided for 20 - 25 Persons at the cost of Client.</t>
  </si>
  <si>
    <t xml:space="preserve">GST@18% extra </t>
  </si>
  <si>
    <t>However any tax variations at the time of delivery shall be applicable as per actuals.</t>
  </si>
  <si>
    <t>All civil, False Ceiling works &amp; electrical cabling, starters, Panel Boards etc. will be in client's scope.</t>
  </si>
  <si>
    <t>All electrical cable connections shall be connected to AHU motors at the installated Areas.</t>
  </si>
  <si>
    <t>Ducting, Dampers, Insulation,Grills &amp; terminal modules with Filters are tentative and will be charged as per actuals.</t>
  </si>
  <si>
    <t xml:space="preserve">Scaffoldings or support structures required if any shall be in clients scope </t>
  </si>
  <si>
    <t xml:space="preserve">All heat loads are based on calculations as per oral references, if any changes as per practical site conditions   </t>
  </si>
  <si>
    <t>shall be reworked along with prices.</t>
  </si>
  <si>
    <t>All test Certificates along with Calibration &amp; Traceable certificates will be provided.</t>
  </si>
  <si>
    <t>All detailed equipment / duct drawings will be submitted for approvals against your W.O. / LOI along with Advance.</t>
  </si>
  <si>
    <t>Chilled water/ DX connections along with all piping &amp; controls with accessories does not include in our scope.</t>
  </si>
  <si>
    <t>Along with Condensing Units / Chiller Plant.</t>
  </si>
  <si>
    <t>Dehumidifier is necessary to control humidity anything below 55+/-5% along with prec-cooling of fresh Air.</t>
  </si>
  <si>
    <t>Drain water connections along with all piping &amp; accessories does not include in our scope.</t>
  </si>
  <si>
    <t xml:space="preserve">All equipments are guaranteed against any manufacturing defects for a period of 12 months from the date of </t>
  </si>
  <si>
    <t>Commissioning or 15 months from the date of supply which ever is earliest.</t>
  </si>
  <si>
    <t>DELIVERY:  06-08  months from the date of Confirmed P.O. &amp;  ADVANCE</t>
  </si>
  <si>
    <t>( From the date of approval of Layout Drawings, Duct routing Drawings, AHU's drawings etc.)</t>
  </si>
  <si>
    <t>Installation within 10 months, Commissioning - 1 month, Documentation ( DQ/IQ/OQ/PQ) - 1 month</t>
  </si>
  <si>
    <r>
      <t xml:space="preserve">Payment : </t>
    </r>
    <r>
      <rPr>
        <b/>
        <sz val="10"/>
        <rFont val="Arial"/>
        <family val="2"/>
      </rPr>
      <t>Supply : 5</t>
    </r>
    <r>
      <rPr>
        <sz val="10"/>
        <rFont val="Arial"/>
        <family val="2"/>
      </rPr>
      <t xml:space="preserve">0 % advance, 50 % against Proforma Invoice on Pro-rata Basis. </t>
    </r>
    <r>
      <rPr>
        <b/>
        <sz val="10"/>
        <rFont val="Arial"/>
        <family val="2"/>
      </rPr>
      <t>Installation : 5</t>
    </r>
    <r>
      <rPr>
        <sz val="10"/>
        <rFont val="Arial"/>
        <family val="2"/>
      </rPr>
      <t xml:space="preserve">0% Advance, </t>
    </r>
  </si>
  <si>
    <t xml:space="preserve"> balance against installation &amp; commissioning.</t>
  </si>
  <si>
    <t xml:space="preserve">If Canteen facilities can be provided at your site work for 20-25 Persons to complete the work at a faster rate shall be helpful.. </t>
  </si>
  <si>
    <t>Safe Working Place and material Storage place for &amp; from our ---------------company shall be provided at Site at clients cost.</t>
  </si>
  <si>
    <t>Lifting, Shifting, Positioning of all Heavy and necessary material at site is in Client's Scope.</t>
  </si>
  <si>
    <t>Offer Validity : 15 days.</t>
  </si>
  <si>
    <t xml:space="preserve">we hope the above will meet your requirement and please feel free to contact us for any Techno-commercial </t>
  </si>
  <si>
    <t>discussions in this regard.</t>
  </si>
  <si>
    <t>VLOOKUP(A30,$C$35:$F$254,4,FALSE)</t>
  </si>
  <si>
    <t>Cooling Load Calculations</t>
  </si>
  <si>
    <t>Sensible Heat Load for Cooling / AC</t>
  </si>
  <si>
    <t>Latent Heat Load for Cooling / AC</t>
  </si>
  <si>
    <t>Total Enthalpy for Cooling / AC</t>
  </si>
  <si>
    <t>Heating Load Calculations</t>
  </si>
  <si>
    <t>Sensible Heat Load for Heating</t>
  </si>
  <si>
    <t xml:space="preserve">Latent Heat Load for Heating </t>
  </si>
  <si>
    <t>Delta T(AHU)</t>
  </si>
  <si>
    <t>Delta T Out</t>
  </si>
  <si>
    <t>Temp in C</t>
  </si>
  <si>
    <t>RH in %</t>
  </si>
  <si>
    <t>W Return</t>
  </si>
  <si>
    <t>W in</t>
  </si>
  <si>
    <t>Delta W AHU</t>
  </si>
  <si>
    <t>W out</t>
  </si>
  <si>
    <t>Delta W Out</t>
  </si>
  <si>
    <t>Wall</t>
  </si>
  <si>
    <t>Partition</t>
  </si>
  <si>
    <t>Roof</t>
  </si>
  <si>
    <t>Floor</t>
  </si>
  <si>
    <t>People</t>
  </si>
  <si>
    <t>Eqpt. Load</t>
  </si>
  <si>
    <t xml:space="preserve">Lighting </t>
  </si>
  <si>
    <t>Inf./Hr  375 Cfm door 3'x7'-30sec</t>
  </si>
  <si>
    <t>Inf./Hr</t>
  </si>
  <si>
    <t>Return Air</t>
  </si>
  <si>
    <t>ERSH</t>
  </si>
  <si>
    <t>ERLH</t>
  </si>
  <si>
    <t>ERTH</t>
  </si>
  <si>
    <t>Delta T(AHU) Peak Min ˚F</t>
  </si>
  <si>
    <t>Delta T Out Peak Min ˚F</t>
  </si>
  <si>
    <t>Zoning Area 1(AHU - No.:       ) Chilled water System / Cooling System</t>
  </si>
  <si>
    <t>Zoning Area 1 ( AHU No.:      ) Hot water System / Heating System</t>
  </si>
  <si>
    <t>No. of Inf./Hr</t>
  </si>
  <si>
    <t>RH(in) +/-5%</t>
  </si>
  <si>
    <t>Area in Sft</t>
  </si>
  <si>
    <t>Volume in Cu. Ft</t>
  </si>
  <si>
    <t>Fresh Air Cfm</t>
  </si>
  <si>
    <t>Exhaust Air iCfm</t>
  </si>
  <si>
    <t>Add Water vapour in Kg/hr</t>
  </si>
  <si>
    <t>Humidification Cfm</t>
  </si>
  <si>
    <t>Res. Heating Load in TR</t>
  </si>
  <si>
    <t>Room Heating load in TR</t>
  </si>
  <si>
    <t>Cfm Heating load in TR</t>
  </si>
  <si>
    <t>Static Pressure in mm of WC</t>
  </si>
  <si>
    <t>Blower Selected</t>
  </si>
  <si>
    <t xml:space="preserve">No. of Rows of Heating Coil </t>
  </si>
  <si>
    <t>AHU Heating Load in TR</t>
  </si>
  <si>
    <t>Delta T(AHU) in ˚F</t>
  </si>
  <si>
    <t>Delta T Out in ˚F</t>
  </si>
  <si>
    <t>Temp inin ˚ C</t>
  </si>
  <si>
    <t>Temp in in ˚C</t>
  </si>
  <si>
    <t xml:space="preserve"> </t>
  </si>
  <si>
    <t>Flow velocity for Different Hot and Cold Condition piping</t>
  </si>
  <si>
    <t>Ducting</t>
  </si>
  <si>
    <t xml:space="preserve">                                                                         SCHEDULE OF QUANTITIES</t>
  </si>
  <si>
    <t xml:space="preserve">         (VARIABLE REFRIGERANT FLOW SYSTEM)</t>
  </si>
  <si>
    <t xml:space="preserve">SUMMARY OF COSTS </t>
  </si>
  <si>
    <t>ITEM</t>
  </si>
  <si>
    <t>DESCRIPTION</t>
  </si>
  <si>
    <t>AMOUNT</t>
  </si>
  <si>
    <t>EQUIPMENT</t>
  </si>
  <si>
    <t>AIR DISTRIBUTION</t>
  </si>
  <si>
    <t>INSULATION</t>
  </si>
  <si>
    <t>ELECTRICAL WORK</t>
  </si>
  <si>
    <t xml:space="preserve">TOTAL </t>
  </si>
  <si>
    <t xml:space="preserve">* All Taxes &amp; Duties shall be extra as applicable. </t>
  </si>
  <si>
    <t>UNIT</t>
  </si>
  <si>
    <t>QTY.</t>
  </si>
  <si>
    <t>RATE</t>
  </si>
  <si>
    <t>1.0</t>
  </si>
  <si>
    <t xml:space="preserve">EQUIPMENT </t>
  </si>
  <si>
    <t>1.1</t>
  </si>
  <si>
    <t xml:space="preserve">VRF SYSTEM </t>
  </si>
  <si>
    <t>1.1.1</t>
  </si>
  <si>
    <t>VRF OUTDOOR UNIT</t>
  </si>
  <si>
    <r>
      <t xml:space="preserve">Supply, Installation, Testing and Commissioning  of air cooled variable refrigerant  flow modular type condensing units with </t>
    </r>
    <r>
      <rPr>
        <b/>
        <sz val="11"/>
        <rFont val="Calibri"/>
        <family val="2"/>
        <scheme val="minor"/>
      </rPr>
      <t xml:space="preserve">anti-corrosion </t>
    </r>
    <r>
      <rPr>
        <sz val="11"/>
        <rFont val="Calibri"/>
        <family val="2"/>
        <scheme val="minor"/>
      </rPr>
      <t xml:space="preserve">treatment, each comprising of multiple scroll compressors all inverter driven, full charge of refrigerant gas  (R-410a), lubricating oil and all accessories as per the specifications. The condensing units shall be suitable to work on </t>
    </r>
    <r>
      <rPr>
        <b/>
        <sz val="11"/>
        <rFont val="Calibri"/>
        <family val="2"/>
        <scheme val="minor"/>
      </rPr>
      <t>cooling &amp; heating mode</t>
    </r>
    <r>
      <rPr>
        <sz val="11"/>
        <rFont val="Calibri"/>
        <family val="2"/>
        <scheme val="minor"/>
      </rPr>
      <t xml:space="preserve">. The minimum Energy Efficiency Ratio shall be as per ASHRAE STANDARDS 90.1 -2001 table 6.2.1B. All the units shall be provided with built-in microprocessor control panel, for automatic operation and capacity control. Machines shall be suitable for working with BMS system.VRV/VRF system shall have auto Restart function i.e.  In case of power failure, units should restart automatic when power resume.The VRV/VRF system shall have free phase technology, which shall correct phases automatically in case of phase reversal.The condensing units shall be suitable for operation on 415 ± 10% volts, 50Hz, 3 phase  AC  power supply and the condensing units shall be of following capacities: </t>
    </r>
  </si>
  <si>
    <t>The Selected VRF Unit must have a COP of at least 3.6 under AHRI conditions.</t>
  </si>
  <si>
    <t xml:space="preserve">i. 38 HP Nominal capacity </t>
  </si>
  <si>
    <t>No</t>
  </si>
  <si>
    <t xml:space="preserve">ii. 32 HP Nominal capacity </t>
  </si>
  <si>
    <t xml:space="preserve">iii. 20 HP Nominal capacity </t>
  </si>
  <si>
    <t xml:space="preserve">iv. 16 HP Nominal capacity </t>
  </si>
  <si>
    <t xml:space="preserve">v. 12 HP Nominal capacity </t>
  </si>
  <si>
    <t xml:space="preserve">vi. 8 HP Nominal capacity </t>
  </si>
  <si>
    <t xml:space="preserve">vii. 6 HP  Nominal capacity </t>
  </si>
  <si>
    <t xml:space="preserve">NOTES: </t>
  </si>
  <si>
    <t>1. The above mentioned outdoor units shall be provided with anti corrossion treatment (preferably from factory). The quoted price shall be inclusive of same.</t>
  </si>
  <si>
    <t>b. The above mentioned outdoor units should capable to work upto 50°C Ambient Temperature.</t>
  </si>
  <si>
    <t>1.1.2</t>
  </si>
  <si>
    <t>VRF INDOOR UNITS</t>
  </si>
  <si>
    <r>
      <t>Supply, Installation, Testing and Commissioning of variable refrigerant   flow modular type indoor units suitable for R410a refrigerant comprising of all accessories as per the specifications. The indoor units shall be suitable  to work on</t>
    </r>
    <r>
      <rPr>
        <b/>
        <sz val="11"/>
        <rFont val="Calibri"/>
        <family val="2"/>
        <scheme val="minor"/>
      </rPr>
      <t xml:space="preserve"> cooling &amp; heating mode</t>
    </r>
    <r>
      <rPr>
        <sz val="11"/>
        <rFont val="Calibri"/>
        <family val="2"/>
        <scheme val="minor"/>
      </rPr>
      <t>.The minimum Energy Efficiency Ratio shall be as per ASHRAE STANDARDS 90.1 -2001 table 6.2.1B. The indoor units shall  be  suitable for operation on 220 ±6%  volts, 50Hz, 1 phase AC power supply. Ductable indoor units shall be suitable to handle extent of ductwork as shown in the design drawings and  dehumidified air quantity as mentioned in the heat load summary sheet under "Special Conditions". The indoor unit shall be complete with pre filter as per requirement The indoor units shall be of following capacities:</t>
    </r>
  </si>
  <si>
    <t>a.</t>
  </si>
  <si>
    <t>Ceiling Mounted Ductable Indoor Units</t>
  </si>
  <si>
    <t>(With corded control)</t>
  </si>
  <si>
    <t>i.     8.0 TR nominal capacity</t>
  </si>
  <si>
    <t>ii.     6.4 TR nominal capacity</t>
  </si>
  <si>
    <t>iii.     5.4 TR nominal capacity</t>
  </si>
  <si>
    <t>iv.     4.5 TR nominal capacity</t>
  </si>
  <si>
    <t>v.    2.5 TR nominal capacity</t>
  </si>
  <si>
    <t>vi.    2.0 TR nominal capacity</t>
  </si>
  <si>
    <t>vi.    1.3 TR nominal capacity</t>
  </si>
  <si>
    <t>--</t>
  </si>
  <si>
    <t>Quote Rate</t>
  </si>
  <si>
    <t>vii.    1 TR nominal capacity</t>
  </si>
  <si>
    <t>Note: For the above mentioned medium static units, the quoted price should be inclusive of room thermostats.</t>
  </si>
  <si>
    <t>b.</t>
  </si>
  <si>
    <t>Round Flow 4 Way Cassette Units</t>
  </si>
  <si>
    <t>i.     3.2 TR nominal capacity</t>
  </si>
  <si>
    <t>ii.    2.5 TR nominal capacity</t>
  </si>
  <si>
    <t>iii.    1.6 TR nominal capacity</t>
  </si>
  <si>
    <t>iii.    1.3 TR nominal capacity</t>
  </si>
  <si>
    <t>iv.    1 TR nominal capacity</t>
  </si>
  <si>
    <t>v.    0.8TR nominal capacity</t>
  </si>
  <si>
    <t>c.</t>
  </si>
  <si>
    <t>Hi-Wall Units (with drain pump for critical rooms)</t>
  </si>
  <si>
    <t>i.     2.0 TR nominal capacity</t>
  </si>
  <si>
    <t>ii.    1.6 TR nominal capacity</t>
  </si>
  <si>
    <t>v.    0.6 TR nominal capacity</t>
  </si>
  <si>
    <t xml:space="preserve">NOTE: </t>
  </si>
  <si>
    <t>The above mentioned outdoor units shall be provided with anti-corrosion treatment from factory. The quoted price shall be inclusive of same.</t>
  </si>
  <si>
    <t>DX TYPE TREATED FRESH AIR UNITS -- TFAUs</t>
  </si>
  <si>
    <t>(Floor Mounted.)</t>
  </si>
  <si>
    <r>
      <t xml:space="preserve">Supply, Installation, Testing and Commissioning of double skin sheet  metal sectionalised construction Treated Fresh air units, double skin panels with 46mm thick injected PUF of density not less than 40Kg/CuM with thermal break profile. The treated fresh units shall be complete with </t>
    </r>
    <r>
      <rPr>
        <b/>
        <sz val="11"/>
        <rFont val="Calibri"/>
        <family val="2"/>
      </rPr>
      <t>pre-filter (MERV-8)</t>
    </r>
    <r>
      <rPr>
        <sz val="11"/>
        <rFont val="Calibri"/>
        <family val="2"/>
      </rPr>
      <t>,</t>
    </r>
    <r>
      <rPr>
        <b/>
        <sz val="11"/>
        <rFont val="Calibri"/>
        <family val="2"/>
      </rPr>
      <t xml:space="preserve"> 300mm thick fine filter (MERV 13</t>
    </r>
    <r>
      <rPr>
        <sz val="11"/>
        <rFont val="Calibri"/>
        <family val="2"/>
      </rPr>
      <t>)</t>
    </r>
    <r>
      <rPr>
        <b/>
        <sz val="11"/>
        <rFont val="Calibri"/>
        <family val="2"/>
      </rPr>
      <t xml:space="preserve"> </t>
    </r>
    <r>
      <rPr>
        <sz val="11"/>
        <rFont val="Calibri"/>
        <family val="2"/>
      </rPr>
      <t xml:space="preserve">multi rows deep DX cooling coil of copper tube and aluminium fin construction (with 100mm gap between two sets of three rows deep cooling coils),  fan  section  complete with floor standing  </t>
    </r>
    <r>
      <rPr>
        <b/>
        <sz val="11"/>
        <rFont val="Calibri"/>
        <family val="2"/>
      </rPr>
      <t xml:space="preserve">backward curved </t>
    </r>
    <r>
      <rPr>
        <sz val="11"/>
        <rFont val="Calibri"/>
        <family val="2"/>
      </rPr>
      <t>DIDW centrifugal fan with MCB/ MCCB of appropriate rating with cable termination box, belt drive package,   IE-03  squirrel cage induction motor, insulated SS drain pan, vibration isolation pads etc. all complete as  per  the specifications. TFA shall  be  selected   for a  maximum face velocity  of  500 FPM  (2.5MPS). Fan outlet velocity  shall  not exceed 2000 FPM (10.1 MPS). The dB level shall not be more than 60 to 65 @1 Mtr.The unit/s shall be be provided with factory fabricated plenum on filter side, with access doors /panels, for duct termination. The unit shall be supplied with electronic expansion valve/s (Dx), thermostats, control wiring  &amp; all accessories as required for completing installation. AHUs shall be of following design parameters:</t>
    </r>
  </si>
  <si>
    <t>Unit shall be suitable for VFDs operation.</t>
  </si>
  <si>
    <t>TFA                   Capacity                  SP                        No. of               Motor        Ref. Calculated</t>
  </si>
  <si>
    <t xml:space="preserve"> No.                      (Cfm)               (mm WG)               Rows             Rating  (HP)        Load (TR)</t>
  </si>
  <si>
    <t>TFA-                      1000                        50                             6                            2.0                     6.8</t>
  </si>
  <si>
    <t>COPPER PIPING</t>
  </si>
  <si>
    <r>
      <t xml:space="preserve">Supply,  Installation,  Testing &amp; Commissioning of high pressure copper refrigerant piping suitable for R 410a refrigerant of suitable size as required and duly insulated with 19mm/13mm thick EPDM closed cell elastomeric insulation with class "O" fire rating in tubing form inclusive of </t>
    </r>
    <r>
      <rPr>
        <b/>
        <sz val="11"/>
        <rFont val="Calibri"/>
        <family val="2"/>
        <scheme val="minor"/>
      </rPr>
      <t>glass cloth and UV treatment</t>
    </r>
    <r>
      <rPr>
        <sz val="11"/>
        <rFont val="Calibri"/>
        <family val="2"/>
        <scheme val="minor"/>
      </rPr>
      <t xml:space="preserve">. All insulation joints shall have tape of same material with equivalent fire rating as the insulation. External Refrigerant  piping and refrigerant piping in exposed ceiling area shall be laid on GI covered cable  trays. Piping inside occupied spaces within false ceiling shall be supported using GI ladder type cable trays. Entire  refrigerant piping work shall be  carried  out in accordance  with  the specifications and should have </t>
    </r>
    <r>
      <rPr>
        <b/>
        <sz val="11"/>
        <rFont val="Calibri"/>
        <family val="2"/>
        <scheme val="minor"/>
      </rPr>
      <t xml:space="preserve">anti corrosion </t>
    </r>
    <r>
      <rPr>
        <sz val="11"/>
        <rFont val="Calibri"/>
        <family val="2"/>
        <scheme val="minor"/>
      </rPr>
      <t>treatment. Piping shall be of following sizes:</t>
    </r>
  </si>
  <si>
    <t xml:space="preserve">Pipe Size                     Min. Wall                Insulation </t>
  </si>
  <si>
    <t xml:space="preserve">Size (O.D.)                   Thickness                Thickness </t>
  </si>
  <si>
    <t>41.3 mm                      1.43 mm                19 mm</t>
  </si>
  <si>
    <t>RM</t>
  </si>
  <si>
    <t>34.9 mm                      1.21 mm                19 mm</t>
  </si>
  <si>
    <t>28.6 mm                      0.99 mm                19 mm</t>
  </si>
  <si>
    <t>d.</t>
  </si>
  <si>
    <t>25.4 mm                      0.80 mm                13 mm</t>
  </si>
  <si>
    <t>e.</t>
  </si>
  <si>
    <t>22.2 mm                      0.80 mm                13 mm</t>
  </si>
  <si>
    <t>f.</t>
  </si>
  <si>
    <t>19.1 mm                      0.80 mm                13 mm</t>
  </si>
  <si>
    <t>g.</t>
  </si>
  <si>
    <t>15.9 mm                      1.00 mm                13 mm</t>
  </si>
  <si>
    <t>h.</t>
  </si>
  <si>
    <t>12.7 mm                      0.80 mm                13 mm</t>
  </si>
  <si>
    <t>i.</t>
  </si>
  <si>
    <t xml:space="preserve">  9.5 mm                      0.80 mm                13 mm</t>
  </si>
  <si>
    <t>j.</t>
  </si>
  <si>
    <t xml:space="preserve">  6.4 mm                      0.80 mm                13 mm</t>
  </si>
  <si>
    <t>FITTINGS</t>
  </si>
  <si>
    <t>Supply,  Installation, Testing and Commissioning of following imported fittings to be provided in refrigerant pipe line. Material of construction for fittings shall be similar to refrigerant piping.</t>
  </si>
  <si>
    <t xml:space="preserve"> Y- joints  for  refrigerant piping (pair).</t>
  </si>
  <si>
    <t>Critical Room AC Panel (CRAP)</t>
  </si>
  <si>
    <r>
      <t xml:space="preserve">Supply, Installation, Testing and Commissioning of Temerature &amp; RH  sensor with Display &amp; </t>
    </r>
    <r>
      <rPr>
        <b/>
        <sz val="10"/>
        <rFont val="Arial"/>
        <family val="2"/>
      </rPr>
      <t>hooter</t>
    </r>
    <r>
      <rPr>
        <sz val="10"/>
        <rFont val="Arial"/>
        <family val="2"/>
      </rPr>
      <t xml:space="preserve"> for all the technical rooms.</t>
    </r>
  </si>
  <si>
    <t xml:space="preserve">BMS INTERFACE/ CENTRALIZED CONTROLLER (TOUCHSCREEN TYPE) </t>
  </si>
  <si>
    <t xml:space="preserve">Supply, Installation, Testing &amp; Commissioning of  BMS compatible main  centralised controller -I touch Manager (with Bacnet Module) as per specifications to hook up indoor/ outdoor units as mentioned above. The controller shall however be suitable for catering to all the indoor/ outdoor units for the complete project. Funtions of the centralized controller in brief shall include but not be limited to remote start/stop of units, temperature setpoint control, status monitoring etc. </t>
  </si>
  <si>
    <t>NO</t>
  </si>
  <si>
    <t>CONDENSATE DRAIN PUMP</t>
  </si>
  <si>
    <t>Supply Installation, Testing and Commissioning of condensate drain pump with insulated sump having adequate provision for connections. It shall be provided with necessary  controllers complete with control wiring in all respect as required and as per the specifications. The pumps shall be of following sizes:</t>
  </si>
  <si>
    <t>a.       Hi-flow 2L</t>
  </si>
  <si>
    <t>Supply, Fabrication and Installation of MS frame using channels/angle iron sections as required for mounting of air cooled  remote condenser/s in service areas or terrace level. The frame work shall  be applied with red oxide primer and  thereafter, two coats of enamel paint of approved colour. The general arrangement drawing for  frame work shall be gotten approved from the Architects/ Structural Engineers prior to commencement of fabrication.</t>
  </si>
  <si>
    <t>Kg</t>
  </si>
  <si>
    <t>Providing and fixing in position the following GI medium class pipes for condensate drain cut to required lengths &amp; installed with all screwed joints and providing and fixing  position the necessary elbows, tees &amp; reducers.</t>
  </si>
  <si>
    <t>a.  32mm dia</t>
  </si>
  <si>
    <t>b.  25mm dia</t>
  </si>
  <si>
    <t xml:space="preserve">Providing, jointing and fixing  of uPVC/ CPVC Condensate drain piping with all fittings conforming to IS: 15778:2007 of SDR 11 Grade. Fittings shall include all  standard moulded fittings elbows, tees, couplers, reducers, unions,  plugs, adaptors with brass threaded insertions and specials. The Solvent Cement for jointing shall be of make and grade as specified by the manufacturer of uPVC/ CPVC piping system.
The installation shall be complete in all respects including cutting chases / holes in walls, slabs and making good, etc The entire uPVC/ CPVC piping system shall be installed, tested and commissioned following the recommendation of the manufacturer including provision of expansion loops.
All pipework in shafts, ceiling voids and terrace shall be fixed on MS brackets and hangers with U-clamps made from 10 mm dia galvanised steel rod complete with nuts and washers. Cost for MS structural work for supports shall be included in the rates. All horizontal and vertical crossings of building structure (slabs, walls, beams, column etc), the space between pipe and the structure shall be made good and water tight with concrete. 
</t>
  </si>
  <si>
    <t>The annular space between the pipe and the sleeves shall be sealed (upto a minimum depth 25 mm) with fire resistant acrylic based sealent of approved make and quality. The pipes shall be painted with two coats of synthetic enamel paint and painting with photoluminescent paint at suitable interval for identification of pipe lines.</t>
  </si>
  <si>
    <t>a.  40mm dia</t>
  </si>
  <si>
    <t>b.  32mm dia</t>
  </si>
  <si>
    <t>c.  25mm dia</t>
  </si>
  <si>
    <t>Extract Fan Sections</t>
  </si>
  <si>
    <t>Supply, Installation, Testing and Commissioning of approved make fan section for extract air complete with backward curved DIDW  centrifugal fan, MS base frame, IE-03 TEFC squirrel cage induction motor with class "F" insulation, drive package and vibration isolation arrangement including spring isolators, rubber grommets etc. as called  for in working  drawings &amp; specifications.Fan section casing shall be of  double  skin sheet metal construction, double skin panels with 25mm thick injected PUF of density not less than 40 kg/CuM.  Fan  shall be suitable  for operation on 415 ± 10% volts, 50 Hz 3 phase AC power supply. Fan outlet velocity shall not exceed 2000 FPM for FM Units &amp; 1800 FPM for CS Units. Extract  fan section shall be suitable for ceiling suspension/floor installation as shown in the design drawings. The fan  characteristics  shall  be as follows:</t>
  </si>
  <si>
    <t xml:space="preserve">Fan                   Capacity               S.P                      Motor                  Type </t>
  </si>
  <si>
    <t xml:space="preserve">No.                     (Cfm)            (mmWG)               Rating             </t>
  </si>
  <si>
    <t xml:space="preserve">                                                                                        (HP)</t>
  </si>
  <si>
    <t>EFS-1                  6500                     60                           5                           FM</t>
  </si>
  <si>
    <t>EFS-2                  6200                     60                           5                           FM</t>
  </si>
  <si>
    <t>INLINE FANS</t>
  </si>
  <si>
    <r>
      <t>Supply, Installation, Testing and Commissioning  of  circular/rectangular  inline  fans  for exhaust  air as shown on  drawings,  complete   with  sheet  metal casing,  direct  driven centrifugal fan, motor with proper protection  and  inspection  door,gravity louvers etc. as per  the specifications. Fan should be suitable  for  operation on 415</t>
    </r>
    <r>
      <rPr>
        <u/>
        <sz val="11"/>
        <rFont val="Calibri"/>
        <family val="2"/>
      </rPr>
      <t>+</t>
    </r>
    <r>
      <rPr>
        <sz val="11"/>
        <rFont val="Calibri"/>
        <family val="2"/>
      </rPr>
      <t xml:space="preserve">10% volts, 50 Hz, three  phase or 220±10 %, 50 Hz, single   phase AC power supply as required. Single Phase inline fans shall be provided with speed regulators. </t>
    </r>
  </si>
  <si>
    <t>Fan  shall be suitable for  installation or  as shown  on  drawings   and    shall  be  of  following capacities:</t>
  </si>
  <si>
    <t xml:space="preserve">Fan                 Capacity                SP                                  Electrical                          Type              </t>
  </si>
  <si>
    <t xml:space="preserve">No.                   (Cfm)             (mmWG)                     Characteristics                              </t>
  </si>
  <si>
    <t xml:space="preserve">IF-                    800                    15                                  220V/1 Ph                    Circular       </t>
  </si>
  <si>
    <t>IF-                    100                    15                                 220V/1 Ph                   Circular       (Battery Room)</t>
  </si>
  <si>
    <t>VARIABLE FREQUENCY DRIVES</t>
  </si>
  <si>
    <t xml:space="preserve">Supply, Installation, Testing &amp; Commissioning of variable  frequency   drives  for   following  Air   Handling   Units/ Treated Fresh Air Units/Staircase Pressurization fans.  Variable  frequency  drives shall be  provided  with  necessary  temperature/DP sensors and controllers  complete  with control wiring in all respect as required and as per the specifications. The   drives   shall  be   suitable  for  the  following motor rating. VFDs shall be housed in AHU/TFA panels &amp; in IP-55 Enclosure for Pressurization fans. </t>
  </si>
  <si>
    <t>i.  5 HP</t>
  </si>
  <si>
    <t>ii.  1 HP</t>
  </si>
  <si>
    <t>AIR  CURTAIN</t>
  </si>
  <si>
    <t>Supply , Installation and Testing of air curtains with noiseless dynamically balanced aluminium blowers, cleanable type pre-filters,  motor &amp; powder coated aluminium enclosure as per the specifications.</t>
  </si>
  <si>
    <t xml:space="preserve">a. 2 M  long air curtain  </t>
  </si>
  <si>
    <t xml:space="preserve">b. 1.8 M  long air curtain  </t>
  </si>
  <si>
    <t xml:space="preserve">AIR &amp; SURFACE DISINFECTING OH RADICAL GENERATORS - DUCT MOUNTED </t>
  </si>
  <si>
    <t>Supply, Installation, Testing and commissioning of duct mounted Hydroxyl Radical Generators for Air &amp; Surface disinfection for use within occupied building spaces. The device shall be compatible with 220 V + 10%, 50 Hz, Single Phase AC Power Supply. The unit shall be capable of producing human friendly Hydroxyl Radicals and Organic Oxidants and cater upto 3000 Square Feet of Area fed by a single supply air duct. OEM shall produce 13 week GLP toxicology report on the technology used in the device to support human safety claims. The unit shall be capable of reducing indoor air pollutants such as Viruses, Bacteria, Fungus, VOCs, and odors - the OEM must produce lab test reports from reputed international laboratories against at least 10 different types of pathogens. The OEM must also produce COVID-19 causing Coronavirus Reduction Test Reports from reputed International BSL3 Laboratory, with minimum reduction in virus load of 99% in 20 minutes or less in air, and in 60 mins or less on surfaces. The technology used in the device should have USFDA approval, and should have recommendation for use from DRDO/ ICMR in India for COVID-19. The quoted price shall be inclusive of power to be drawn to Hydroxyl Radical Generators from the nearby DB including but not limited to the following - power/ control cabling, MS conduiting, 6A DP MCB isolator, socket near the unit etc. so that these units only operate when the AHUs are in operation. Certifications shall be submitted along with the technical submitals, refer technical specififcations for required compliances. The Hydroxyl Radical Generators shall be suitable for the following area of treatment:</t>
  </si>
  <si>
    <t xml:space="preserve">TOTAL CARRIED TO SUMMARY (EQUIPMENT) Rs.   </t>
  </si>
  <si>
    <t>2.0</t>
  </si>
  <si>
    <t>2.1</t>
  </si>
  <si>
    <t>Ductwork</t>
  </si>
  <si>
    <t>Factory Fabricated Ductwork</t>
  </si>
  <si>
    <t xml:space="preserve">Supply of factory fabricated dutwork, Installation and  Testing  of  galvanised  sheet  metal ducts including  elbows, turning vanes, fire retardant  gaskets, TDF  flanges,  GI fully threaded  rods,   GI supports/hangers etc. in accordance with the  approved shop drawings and specifications. The ducts shall be fabricated  and  installed  in  line with SMACNA standards.Galvanized sheet shall possess light coating of Zinc, generally 120gm/SqM of surface area. </t>
  </si>
  <si>
    <t xml:space="preserve">a.   1mm-500mm           (26 gauge)   GSS </t>
  </si>
  <si>
    <t>SqM</t>
  </si>
  <si>
    <t>b.   501mm-1050mm    (26 gauge)   GSS</t>
  </si>
  <si>
    <t>c.   1051mm-1500mm  (24 gauge)   GSS</t>
  </si>
  <si>
    <t>d.  1501mm-1800mm  (22 gauge)   GSS</t>
  </si>
  <si>
    <t>e.  1801mm-2100mm  (20 gauge)   GSS</t>
  </si>
  <si>
    <t>f.   2101mm and above  (18 gauge)   GSS</t>
  </si>
  <si>
    <t>Conventional site fabricated  ducts using  Lock Forming Machines.</t>
  </si>
  <si>
    <t xml:space="preserve">Supply, Fabrication, Installation and Testing of sheet  metal  ducts in accordance with the approved shop  drawings and specifications. Ducts shall be fabricated using lock forming machine.Galvanized sheet shall possess light coating of Zinc, generally 120gm/SqM of surface area. </t>
  </si>
  <si>
    <t>a.  0.63mm   (24 gauge)   GSS</t>
  </si>
  <si>
    <t>b.  0.8 mm    (22 gauge)   GSS</t>
  </si>
  <si>
    <t>c.  1.0mm     (20 gauge)   GSS</t>
  </si>
  <si>
    <t>d.  1.25mm  (18 gauge)   GSS</t>
  </si>
  <si>
    <t>Supply, Fabrication, Installation &amp; Testing of round  sheet  metal  ducts  in  accordance  with  the approved shop drawings and specifications.</t>
  </si>
  <si>
    <t>a.  1.0mm    (20 gauge)    GSS</t>
  </si>
  <si>
    <t>d</t>
  </si>
  <si>
    <r>
      <t xml:space="preserve">Supply, Fabrication, Installation and Testing   of  </t>
    </r>
    <r>
      <rPr>
        <b/>
        <sz val="11"/>
        <rFont val="Calibri"/>
        <family val="2"/>
        <scheme val="minor"/>
      </rPr>
      <t>Powder Coated Eliptical</t>
    </r>
    <r>
      <rPr>
        <sz val="11"/>
        <rFont val="Calibri"/>
        <family val="2"/>
        <scheme val="minor"/>
      </rPr>
      <t xml:space="preserve">  sheet  metal  ducts  in  accordance   with the approved shop drawings and specifications. All longitudinal and transverse joints should be fully applied with sealants.The joints shall be with least leak and shall be  pressure tested. All ducts shall undergo deep cleaning process to remove construction dust prior to testing &amp; commisioning.</t>
    </r>
  </si>
  <si>
    <t>Supply, Installation  and  Testing  of  125mm deep  Antivibration  Flexible Joints  made  out of imported fire retardant  fabric with extruded aluminium  frame/ flange  on  both  sides  of approved make.</t>
  </si>
  <si>
    <t xml:space="preserve">Supply, Installation  and Testing of multi blade type key operated louver  dampers of  galvanised steel  sheet for collars to be provided  with    suitable links, levers and quadrants for manual control of volume of air  flow  and for proper balancing of the air distribution system as per the approved shop drawings and specifications. </t>
  </si>
  <si>
    <t>Supply,  Installation   and  Testing   of  multiblade   box  type  galvanised  steel sheet dampers  for ducts  to  be  provided   with suitable   links,    levers   and    quadrants  for manual   control   of    volume of air flow and for   proper  balancing  of  the  air   distribution system as per the approved  shop drawings and specifications.</t>
  </si>
  <si>
    <r>
      <t xml:space="preserve">Supply,  Installation   and  Testing   of  multiblade   box  type  galvanised  steel sheet dampers  for </t>
    </r>
    <r>
      <rPr>
        <b/>
        <sz val="11"/>
        <rFont val="Calibri"/>
        <family val="2"/>
        <scheme val="minor"/>
      </rPr>
      <t>elliptical ducts</t>
    </r>
    <r>
      <rPr>
        <sz val="11"/>
        <rFont val="Calibri"/>
        <family val="2"/>
        <scheme val="minor"/>
      </rPr>
      <t xml:space="preserve">  to  be  provided   with suitable   links,    levers   and    quadrants  for manual   control   of    volume of air flow and for   proper  balancing  of  the  air   distribution system as per the approved  shop drawings and specifications. </t>
    </r>
  </si>
  <si>
    <t>Sqm</t>
  </si>
  <si>
    <t xml:space="preserve">Supply, Installation, Testing &amp; Commissioning of Fire &amp; Smoke dampers as per UL 555 and UL555S with at least 120 minutes fire  rating as per the approved shop drawings and specifications. Fire damper shall be motorised spring return type with extended sleeve of 450mm. The dampers shall be of 16G sheet steel construction. The dampers shall be BMS compatible as per the specifications. </t>
  </si>
  <si>
    <t>a.  Bare Fire &amp; Smoke Dampers</t>
  </si>
  <si>
    <t>b. Spring return type actuator with control panel, temperature sensor and suitable for 10 NM Torque.</t>
  </si>
  <si>
    <t>c. Fusible Link Fire Dampers</t>
  </si>
  <si>
    <t>Supply, Installation, Testing &amp; Balancing of square supply air diffusers as per the approved shop drawings and specifications.  Each diffuser shall be equipped with fixed air distribution grid,  removable key-operated volume control  damper. The diffusers shall be anti-smudge ring/ flush type.</t>
  </si>
  <si>
    <t>Powder coated extruded aluminium diffusers of approved colour &amp; shade of following sizes:</t>
  </si>
  <si>
    <t>a. 600x600 diffusers having neck size as mentioned in the "Approved for Construction" shop drawings suitable for fixing in Grid Ceiling.</t>
  </si>
  <si>
    <t xml:space="preserve">    </t>
  </si>
  <si>
    <t xml:space="preserve">Supply, Installation, Testing and Balancing of square diffusers same  as supply air diffusers but without volume control dampers for  return air as per the approved shop drawings and specifications. </t>
  </si>
  <si>
    <t>a. 600x600 diffusers suitable for fixing in Grid Ceiling.</t>
  </si>
  <si>
    <t>Supply, Installation, Testing and Balancing of  one  way  blow  linear supply cum return air grilles complete  with fixed  inner  core  as per  approved shop drawing and specifications. The grilles shall be of approved colour &amp; shade.</t>
  </si>
  <si>
    <t>a.  Powder  coated  aluminium  grille of extruded sections with integral flanges on both sides &amp; ends as required.</t>
  </si>
  <si>
    <t>i.  100/150/200 mm High linear Grille</t>
  </si>
  <si>
    <t>i.  100/150/200 mm High Curved Grille</t>
  </si>
  <si>
    <t xml:space="preserve">Supply, Installation, Testing and Balancing of multi-slot type linear slot diffusers as per the approved shop drawings and specifications. </t>
  </si>
  <si>
    <t>a.  Powder coated extruded aluminium diffusers of approved colour &amp; shade.</t>
  </si>
  <si>
    <t>i.  2/3/4 slot diffusers having width of slots as 25mm.</t>
  </si>
  <si>
    <t>Supply, Installation, Testing and Commissioning of pre-insulated factory fabricated flexible ducts inner as well as outer skin constructed out of  aluminium sheet. Ducts shall be of following sizes:</t>
  </si>
  <si>
    <t>a.     250mm dia</t>
  </si>
  <si>
    <t>b.     200mm dia</t>
  </si>
  <si>
    <t>c.     150mm dia</t>
  </si>
  <si>
    <t>d.     100mm dia</t>
  </si>
  <si>
    <t>Supply,  Installation  &amp; Testing  of  extruded aluminium  powder coated air transfer grilles to be provided at toilets &amp; kitchen doors.</t>
  </si>
  <si>
    <t xml:space="preserve">Supply, Installation and Testing of multi-blade type non-return dampers of galvanised steel sheet construction with suitable links, levers and quadrants as per specifications and design drawings. </t>
  </si>
  <si>
    <t>Supply,Installation,Testing and commissioning of extruded aluminum powder coated fresh/exhaust air louver as per approved colour and shop drawings. The effective free area shall not be less than 70%.</t>
  </si>
  <si>
    <t>Supply,  Installation  and  Testing of spigots of different sizes to facilitate flexible duct connection. Quoted price shall be inclusive of necessary clamping arrangement.</t>
  </si>
  <si>
    <t xml:space="preserve">TOTAL CARRIED TO SUMMARY (AIR DISTRIBUTION) Rs.   </t>
  </si>
  <si>
    <t>3.0</t>
  </si>
  <si>
    <t xml:space="preserve">INSULATION </t>
  </si>
  <si>
    <t>Supply  and Application of  internal acoustic insulation  of   ducting    using     open cell  elastomeric    insulation  with LEED compliant  adhesive, longitudinal &amp; transverse joints sealed with  adhesive in neat &amp; clean manner. All insulation joints shall have tape of same material with equivalent fire rating as the insulation.</t>
  </si>
  <si>
    <t>a.  25 mm  thick</t>
  </si>
  <si>
    <t>b.  15 mm  thick</t>
  </si>
  <si>
    <t>Supply  and Application of  external thermal insulation  of   ducting  using   closed cell elastomeric insulation class O with glass cloth facing (EPDM) with  LEED compliant adhesive, longitudinal &amp; transverse joints sealed with  adhesive to form proper bonding. All insulation joints shall have tape of same material with equivalent fire rating as the insulation. No additional remuneration shall be paid for flange insulation.</t>
  </si>
  <si>
    <t>a.  16 mm  thick</t>
  </si>
  <si>
    <t>b.    9 mm  thick</t>
  </si>
  <si>
    <r>
      <t xml:space="preserve">Supply  and  Application of 9 mm  thick closed   cell    elastomeric  insulation with glass cloth facing </t>
    </r>
    <r>
      <rPr>
        <b/>
        <sz val="11"/>
        <rFont val="Calibri"/>
        <family val="2"/>
        <scheme val="minor"/>
      </rPr>
      <t xml:space="preserve">(EPDM) </t>
    </r>
    <r>
      <rPr>
        <sz val="11"/>
        <rFont val="Calibri"/>
        <family val="2"/>
        <scheme val="minor"/>
      </rPr>
      <t xml:space="preserve"> in tubing  form for condensate drain  piping  as per  the specifications. </t>
    </r>
  </si>
  <si>
    <t>Quoted  price  shall  be  inclusive  of LEED Compliant adhesive and  UV/ Mechanical  Protection using resistant paint &amp; Glass cloth/CSM as per  specifications. All insulation joints shall have tape of same material with equivalent fire rating as the insulation.</t>
  </si>
  <si>
    <r>
      <t xml:space="preserve">Supply and   Application  Closed  cell  elastomeric insulation   for Roof exposed to  sun  using  25 mm thick closed cell elastomeric  insulation with glass cloth facing </t>
    </r>
    <r>
      <rPr>
        <b/>
        <sz val="11"/>
        <rFont val="Calibri"/>
        <family val="2"/>
        <scheme val="minor"/>
      </rPr>
      <t>(EPDM</t>
    </r>
    <r>
      <rPr>
        <sz val="11"/>
        <rFont val="Calibri"/>
        <family val="2"/>
        <scheme val="minor"/>
      </rPr>
      <t xml:space="preserve">) material  with factory faced glass cloth  in  sheet  form with LEED compliant adhesive, longitudinal &amp; transverse joints sealed with tape of same material as per specifications.  </t>
    </r>
  </si>
  <si>
    <t xml:space="preserve">TOTAL CARRIED TO SUMMARY (INSULATION) Rs.   </t>
  </si>
  <si>
    <t>ELECTRICAL INSTALLATION</t>
  </si>
  <si>
    <t xml:space="preserve">POWER CABLING  </t>
  </si>
  <si>
    <t>Supply, laying, affecting connections &amp; Testing of  the   following sizes of 1.1 KV armoured XLPE insulated aluminium/ copper conductor cables. Cables shall be inclusive conductor cables. Cables shall be inclusive of all clamps, saddles, screws, cable identification tags, insulating   tapes, affecting  terminal connections to the equipment as per the specifications and as required.</t>
  </si>
  <si>
    <t xml:space="preserve">a.   4C  x   10     Sqmm cable    (Copper)   </t>
  </si>
  <si>
    <t xml:space="preserve">b.   4C    x   6  Sqmm cable    (Copper) </t>
  </si>
  <si>
    <t xml:space="preserve">CONTROL WIRING   </t>
  </si>
  <si>
    <t>Supply, laying, affecting   connections   and Testing   of   the   following sizes of  control cum transmission wiring to be laid in MS conduits between indoor units and outdoor units.</t>
  </si>
  <si>
    <t>2C x1.5 Sqmm copper wiring</t>
  </si>
  <si>
    <t>EARTHING</t>
  </si>
  <si>
    <t>Providing &amp; fixing in position the following bare GI tape/ GI or Cu wire including providing all fixing accessories &amp; effecting proper connections.</t>
  </si>
  <si>
    <t>a.   8 SWG Cu Wire</t>
  </si>
  <si>
    <t xml:space="preserve">TOTAL CARRIED TO SUMMARY (ELECTRICAL)     Rs.   </t>
  </si>
  <si>
    <t>Note:</t>
  </si>
  <si>
    <t>GST shall be extra.</t>
  </si>
  <si>
    <t xml:space="preserve">                                                         PRICED SCHEDULE OF QUANTITIES                                                      </t>
  </si>
  <si>
    <t xml:space="preserve">                                                    SUMMARY OF COSTS                                                    </t>
  </si>
  <si>
    <t xml:space="preserve">             AMOUNT (Rs.)</t>
  </si>
  <si>
    <t>1.</t>
  </si>
  <si>
    <t>2.</t>
  </si>
  <si>
    <t>CONDENSER WATER PIPING</t>
  </si>
  <si>
    <t>3.</t>
  </si>
  <si>
    <t>CHILLED</t>
  </si>
  <si>
    <t>4</t>
  </si>
  <si>
    <t>5.</t>
  </si>
  <si>
    <t>6.</t>
  </si>
  <si>
    <t>ELECTRICAL</t>
  </si>
  <si>
    <t xml:space="preserve">TOTAL  SUMMARY OF COSTS (INR)                </t>
  </si>
  <si>
    <t>Venus Remarks/comments</t>
  </si>
  <si>
    <t>WATER COOLED SCREW CHILLERS</t>
  </si>
  <si>
    <r>
      <t xml:space="preserve">Supply, Installation, Testing &amp; Commissioning of AHRI certified water cooled chiller package of </t>
    </r>
    <r>
      <rPr>
        <b/>
        <sz val="11"/>
        <rFont val="Calibri"/>
        <family val="2"/>
        <scheme val="minor"/>
      </rPr>
      <t>180</t>
    </r>
    <r>
      <rPr>
        <b/>
        <sz val="11"/>
        <rFont val="Calibri"/>
        <family val="2"/>
      </rPr>
      <t xml:space="preserve"> TR</t>
    </r>
    <r>
      <rPr>
        <sz val="11"/>
        <rFont val="Calibri"/>
        <family val="2"/>
      </rPr>
      <t xml:space="preserve"> actual capacity with unit mounted Air Cooled </t>
    </r>
    <r>
      <rPr>
        <b/>
        <sz val="11"/>
        <rFont val="Calibri"/>
        <family val="2"/>
      </rPr>
      <t>VFD</t>
    </r>
    <r>
      <rPr>
        <sz val="11"/>
        <rFont val="Calibri"/>
        <family val="2"/>
      </rPr>
      <t xml:space="preserve"> with IP-55 protection (without AHF), comprising  of helical rotary compressor/s with direct drive  motor  (the  compressor speed  shall not exceed 3000  RPM), insulated shell and tube type plain tube chiller as  well as shell &amp; tube type integrally finned condenser. The chiller package shall also be complete with vibration isolation mountings, copper refrigerant piping, full refrigerant charge, system control wiring and accessories as required. The chiller package shall be installed  on a fabricated mild steel base frame assembled to form a compact assembly. The chiller package shall also be complete with microprocessor based control panel comprising of all adaptive controls, indication lights, </t>
    </r>
    <r>
      <rPr>
        <b/>
        <sz val="11"/>
        <rFont val="Calibri"/>
        <family val="2"/>
      </rPr>
      <t>VFD starter</t>
    </r>
    <r>
      <rPr>
        <sz val="11"/>
        <rFont val="Calibri"/>
        <family val="2"/>
      </rPr>
      <t xml:space="preserve">, over load and under load protection, TPN isolator for termination of incoming  power cable, necessary control wiring, disconnect switch, mechanical couplings at in and out of both heat exchangers, DP switches for both heat exchangers &amp; vibration  isolation  arrangement all complete as per the specifications. </t>
    </r>
  </si>
  <si>
    <t>The motor shall be suitable for operation on 415 ± 10% volts, 50 Hz, 3 Phase, AC power supply. The chiller package shall be BMS compatible. The water cooled screw chillers shall meet the  following design  parameters:</t>
  </si>
  <si>
    <t xml:space="preserve">a.  Chilled water leaving </t>
  </si>
  <si>
    <t xml:space="preserve">      temperature                           :   44 F (6.7 C)</t>
  </si>
  <si>
    <t>b.  Chilled water entering</t>
  </si>
  <si>
    <t xml:space="preserve">      temperature                           :   54 F (12.2 C)</t>
  </si>
  <si>
    <t>c.   Chiller fouling factor           :   0.0005 sft.hr.F/BTU</t>
  </si>
  <si>
    <t>d.  Condenser water entering</t>
  </si>
  <si>
    <t xml:space="preserve">      temperature                           :  88 F (31.1 C)</t>
  </si>
  <si>
    <t>e.  Condenser water leaving</t>
  </si>
  <si>
    <t xml:space="preserve">      temperature                            :  98 F (36.6 C)</t>
  </si>
  <si>
    <t>f.   Condenser fouling factor    :  0.001 sft.hr.F/BTU</t>
  </si>
  <si>
    <t>g.   Type of Refrigerant              :  R-134a</t>
  </si>
  <si>
    <t>h.   Certification                            :  AHRI</t>
  </si>
  <si>
    <t>i.   Chiller and Condenser         :  150 PSIG</t>
  </si>
  <si>
    <t xml:space="preserve">      Minimum Pressure Rating</t>
  </si>
  <si>
    <t xml:space="preserve">j.   Maximum permissible  </t>
  </si>
  <si>
    <t xml:space="preserve">      IKW/TR at full load                 :  0.63</t>
  </si>
  <si>
    <t>k.   Minimum COP                         :  5.9</t>
  </si>
  <si>
    <t>l.   Minimum NPLV                       :  0.37</t>
  </si>
  <si>
    <t>m. Minimum IPLV                        :  0.36</t>
  </si>
  <si>
    <t>Water cooled screw  chillers as described above.</t>
  </si>
  <si>
    <t>Owner</t>
  </si>
  <si>
    <t>One more chiller will be install in future</t>
  </si>
  <si>
    <r>
      <t>Clearance of chillers at nearest Port, Insurance Cover, Transportation to site at Chandigarh</t>
    </r>
    <r>
      <rPr>
        <b/>
        <sz val="11"/>
        <rFont val="Calibri"/>
        <family val="2"/>
      </rPr>
      <t>.</t>
    </r>
    <r>
      <rPr>
        <sz val="11"/>
        <rFont val="Calibri"/>
        <family val="2"/>
      </rPr>
      <t xml:space="preserve"> Handling of chillers,  lifting  &amp; shifting upto foundation on Terrace , positioning on foundation, Installation, Testing and Commissioning. </t>
    </r>
  </si>
  <si>
    <t>(Chilled water connections and cable termination at each chiller package shall  be carried  out  by Low side vendor in co-ordination with  the chiller manufacturer.)</t>
  </si>
  <si>
    <t>Notes:</t>
  </si>
  <si>
    <t>1.1.3</t>
  </si>
  <si>
    <t>Affecting chilled  water, condenser water connections, cable termination and termination box etc. to make the installation complete by vendor in co-ordination with the chiller manufacturer.</t>
  </si>
  <si>
    <t>1.2.1</t>
  </si>
  <si>
    <t>CONDENSER WATER PUMPSETS</t>
  </si>
  <si>
    <t>Supply,  Installation, Testing and Commissioning of end suction type centrifugal pump sets  factory  assembled and tested for rated efficiency   complete with IE-03 or above TEFC squirrel cage  induction motor with class 'F' insulation, epoxy painted common base frame, flexible coupling,  coupling guard, mechanical seals, vibration isolation arrangement  etc. for recirculation  of condenser water  for  the central air  conditioning system as per the specifications. The pumps shall be suitable for operation on 415±10% Volts, 50 Hz, 3 Phase AC power supply. Quoted price shall be inclusive of inertia base with spring isolators for each pump. The pump characteristics shall be as follows:</t>
  </si>
  <si>
    <t>Condenser water flow rate      : 540 USGPM</t>
  </si>
  <si>
    <t xml:space="preserve">                                                           (2041 LPM)</t>
  </si>
  <si>
    <t>Head                                                  :   24 M</t>
  </si>
  <si>
    <t xml:space="preserve">Maximum Permissible Speed :   1450 RPM   </t>
  </si>
  <si>
    <t xml:space="preserve">Motor Rating                                  :   30 HP </t>
  </si>
  <si>
    <t>End suction pumps as described above including one standby.</t>
  </si>
  <si>
    <t>1.2.2</t>
  </si>
  <si>
    <t>CHILLED WATER PUMPSETS (PRIMARY) -- WCC</t>
  </si>
  <si>
    <r>
      <t xml:space="preserve">Supply, Installation, Testing and Commissioning of end suction type centrifugal pump sets  factory assembled and tested for rated efficiency complete with </t>
    </r>
    <r>
      <rPr>
        <sz val="11"/>
        <color rgb="FFFF0000"/>
        <rFont val="Calibri"/>
        <family val="2"/>
        <scheme val="minor"/>
      </rPr>
      <t>IE-03, TEFC or above</t>
    </r>
    <r>
      <rPr>
        <sz val="11"/>
        <rFont val="Calibri"/>
        <family val="2"/>
        <scheme val="minor"/>
      </rPr>
      <t xml:space="preserve"> squirrel cage  induction motor with class 'F' insulation, epoxy painted common base frame, flexible coupling,  coupling guard, mechanical seals, vibration isolation arrangement  etc. for recirculation  of chilled water  for  the central air  conditioning system as per the specifications. The pumps shall   be suitable for operation on 415±10% Volts, 50 Hz, 3   Phase AC power supply. </t>
    </r>
    <r>
      <rPr>
        <b/>
        <sz val="11"/>
        <rFont val="Calibri"/>
        <family val="2"/>
        <scheme val="minor"/>
      </rPr>
      <t xml:space="preserve">Quoted price shall be inclusive of inertia base with spring isolators for each pump. Pumps shall be insulated as per the specifications. </t>
    </r>
    <r>
      <rPr>
        <sz val="11"/>
        <rFont val="Calibri"/>
        <family val="2"/>
        <scheme val="minor"/>
      </rPr>
      <t>The pump characteristics shall be as follows:</t>
    </r>
  </si>
  <si>
    <t>Chilled water flow rate             :  432 USGPM</t>
  </si>
  <si>
    <t xml:space="preserve">                                                           (1633 LPM)</t>
  </si>
  <si>
    <t>Head                                                  :   12 M</t>
  </si>
  <si>
    <t xml:space="preserve">Motor Rating                                  :   10 HP </t>
  </si>
  <si>
    <t>1.2.3</t>
  </si>
  <si>
    <t>VARIABLE SPEED PUMPING SYSTEM</t>
  </si>
  <si>
    <r>
      <t>Supply, Installation, Testing and Commissioning of variable speed pumping  system comprising of following accessories and as per the specifications. The system shall be complete in all respects  including electrical components suitable for  pump motor. Each pump shall have variable frequency drive</t>
    </r>
    <r>
      <rPr>
        <sz val="11"/>
        <rFont val="Calibri"/>
        <family val="2"/>
      </rPr>
      <t>. The entire system alongwith  secondary CHW pumps shall  be  supplied through single vendor.</t>
    </r>
  </si>
  <si>
    <t>1.2.4.1</t>
  </si>
  <si>
    <t xml:space="preserve">For Chilled Water </t>
  </si>
  <si>
    <t xml:space="preserve">Variable frequency drive (VFD)  :  3 Nos. </t>
  </si>
  <si>
    <t>Dedicated micro processor based pump controller  :  1 No.</t>
  </si>
  <si>
    <t xml:space="preserve">               </t>
  </si>
  <si>
    <t>Differential pressure sensors/  transmitters  :  2 Nos.</t>
  </si>
  <si>
    <t xml:space="preserve">                               </t>
  </si>
  <si>
    <t xml:space="preserve">VSPS shall be BMS compatible and interfacing amongst all components and compatibility of I/O signals shall be provided  :  1 Set </t>
  </si>
  <si>
    <r>
      <t xml:space="preserve">Supply,  Installation, Testing and Commissioning of end suction type centrifugal pump sets  factory  assembled and tested for rated efficiency   complete with </t>
    </r>
    <r>
      <rPr>
        <b/>
        <sz val="11"/>
        <rFont val="Calibri"/>
        <family val="2"/>
        <scheme val="minor"/>
      </rPr>
      <t>IE-02</t>
    </r>
    <r>
      <rPr>
        <sz val="11"/>
        <rFont val="Calibri"/>
        <family val="2"/>
        <scheme val="minor"/>
      </rPr>
      <t>, TEFC squirrel cage  induction motor with class 'F' insulation, epoxy painted common base frame, flexible coupling,  coupling guard, mechanical seals, vibration isolation arrangement  etc. for recirculation  of chilled water  for  the central air conditioning system as per the specifications. The pumps shall   be suitable for operation on 415±10% Volts, 50 Hz, 3   Phase AC power supply.</t>
    </r>
    <r>
      <rPr>
        <b/>
        <sz val="11"/>
        <rFont val="Calibri"/>
        <family val="2"/>
        <scheme val="minor"/>
      </rPr>
      <t xml:space="preserve"> Quoted price shall be inclusive of inertia base with spring isolators for each pump.</t>
    </r>
    <r>
      <rPr>
        <sz val="11"/>
        <rFont val="Calibri"/>
        <family val="2"/>
        <scheme val="minor"/>
      </rPr>
      <t xml:space="preserve"> </t>
    </r>
    <r>
      <rPr>
        <b/>
        <sz val="11"/>
        <rFont val="Calibri"/>
        <family val="2"/>
        <scheme val="minor"/>
      </rPr>
      <t>Pumps shall be insulated as per the specifications</t>
    </r>
    <r>
      <rPr>
        <sz val="11"/>
        <rFont val="Calibri"/>
        <family val="2"/>
        <scheme val="minor"/>
      </rPr>
      <t>. The pump characteristics shall be as follows:</t>
    </r>
  </si>
  <si>
    <t>Chilled water flow rate                :  432 USGPM</t>
  </si>
  <si>
    <t>Head                                                   :   26 M</t>
  </si>
  <si>
    <t xml:space="preserve">Motor Rating                                   :   20 HP </t>
  </si>
  <si>
    <r>
      <t>End suction pumps as described above including one standby : 3</t>
    </r>
    <r>
      <rPr>
        <b/>
        <sz val="11"/>
        <rFont val="Calibri"/>
        <family val="2"/>
      </rPr>
      <t xml:space="preserve"> Nos.</t>
    </r>
  </si>
  <si>
    <t>Quoted price shall be inclusive of cabling and MS conduiting between pressure sensors and pump controller as per specifications.</t>
  </si>
  <si>
    <t>Variable Speed Pumping System as described above.</t>
  </si>
  <si>
    <t>Set</t>
  </si>
  <si>
    <t>1.4</t>
  </si>
  <si>
    <t>COOLING TOWERS</t>
  </si>
  <si>
    <r>
      <t xml:space="preserve">Supply, Installation, Testing and Commissioning of FRP type induced draft single cell cooling towers  with sump and steel ladder complete with, temperature sensor,  </t>
    </r>
    <r>
      <rPr>
        <b/>
        <sz val="11"/>
        <color rgb="FFFF0000"/>
        <rFont val="Calibri"/>
        <family val="2"/>
      </rPr>
      <t>IE-03 or Above</t>
    </r>
    <r>
      <rPr>
        <sz val="11"/>
        <rFont val="Calibri"/>
        <family val="2"/>
      </rPr>
      <t xml:space="preserve"> TEFC squirrel cage high efficiency induction motor compatible with VFD, suitable for outdoor installation with  necessary  protection and uPVC  fills as  per the specifications. The cooling tower shall be suitable for</t>
    </r>
    <r>
      <rPr>
        <b/>
        <sz val="11"/>
        <rFont val="Calibri"/>
        <family val="2"/>
      </rPr>
      <t xml:space="preserve"> 180 TR</t>
    </r>
    <r>
      <rPr>
        <sz val="11"/>
        <rFont val="Calibri"/>
        <family val="2"/>
      </rPr>
      <t xml:space="preserve"> Screw Chillers. The cooling tower fan  shall be suitable for operation on 415±10% Volts, 50 Hz, 3 Phase AC power supply. Heat rejection should be minimum</t>
    </r>
    <r>
      <rPr>
        <b/>
        <sz val="11"/>
        <rFont val="Calibri"/>
        <family val="2"/>
      </rPr>
      <t xml:space="preserve"> 2700000 BTUs/Hr</t>
    </r>
    <r>
      <rPr>
        <sz val="11"/>
        <rFont val="Calibri"/>
        <family val="2"/>
      </rPr>
      <t>.</t>
    </r>
    <r>
      <rPr>
        <b/>
        <sz val="11"/>
        <rFont val="Calibri"/>
        <family val="2"/>
      </rPr>
      <t xml:space="preserve"> </t>
    </r>
    <r>
      <rPr>
        <sz val="11"/>
        <rFont val="Calibri"/>
        <family val="2"/>
      </rPr>
      <t>Cooling Tower with duty conditions not restricted to the following:</t>
    </r>
  </si>
  <si>
    <t>a.  Max. wet  bulb  temperature  :  83 F (28.3 C)</t>
  </si>
  <si>
    <t xml:space="preserve">b.  Temperature of water entering cooling tower       </t>
  </si>
  <si>
    <t xml:space="preserve">        :   98 F (36.6 C)</t>
  </si>
  <si>
    <t xml:space="preserve">c.   Temperature of water leaving cooling tower   </t>
  </si>
  <si>
    <t xml:space="preserve">       :    88 F (31.1 C)</t>
  </si>
  <si>
    <t xml:space="preserve">d.  Water flow rate         :  540 USGPM </t>
  </si>
  <si>
    <t xml:space="preserve">                                               (2040 LPM)   </t>
  </si>
  <si>
    <t>e.  Max. fan speed          :  960 RPM</t>
  </si>
  <si>
    <t>f.   Minimum efficiency of motors  :  90%</t>
  </si>
  <si>
    <r>
      <t>Induced draft single cell cooling towers</t>
    </r>
    <r>
      <rPr>
        <b/>
        <sz val="11"/>
        <rFont val="Calibri"/>
        <family val="2"/>
      </rPr>
      <t xml:space="preserve"> </t>
    </r>
    <r>
      <rPr>
        <sz val="11"/>
        <rFont val="Calibri"/>
        <family val="2"/>
      </rPr>
      <t xml:space="preserve">as described above. </t>
    </r>
  </si>
  <si>
    <t>One More Cooling tower may install in future</t>
  </si>
  <si>
    <t xml:space="preserve">AIR HANDLING UNITS (AHUs) </t>
  </si>
  <si>
    <t>1.5.1</t>
  </si>
  <si>
    <t>HORIZONTAL FLOOR MOUNTED AIR HANDLING UNITS (HFM AHU) - WITH MIXING BOX (FOR CLEAN ROOMS)</t>
  </si>
  <si>
    <r>
      <t>Supply, Installation, Testing &amp; Commissioning of Factory assembled/ modular Double Skin chilled water floor mounted type Air Handling Units (AHUs). AHUs shall be complete with double skin 50 mm thick insulated panels with CFC free polyurethane foam (PUF) insulation material with minimum density of 42 Kg/m</t>
    </r>
    <r>
      <rPr>
        <vertAlign val="superscript"/>
        <sz val="11"/>
        <color theme="1"/>
        <rFont val="Calibri (Body)"/>
      </rPr>
      <t>3</t>
    </r>
    <r>
      <rPr>
        <sz val="11"/>
        <color theme="1"/>
        <rFont val="Calibri"/>
        <family val="2"/>
        <scheme val="minor"/>
      </rPr>
      <t>, sandwiched between 0.8 mm thick Aluminium Zinc Sheets (inner skin) and pre-coated G.I. Sheets (outer skin). The AHUs shall be complete with mixing box with necessary openings and aluminium dampers for teminating return air and fresh air ducts, and shall be provided with thermal break profile</t>
    </r>
    <r>
      <rPr>
        <b/>
        <sz val="11"/>
        <color theme="1"/>
        <rFont val="Calibri"/>
        <family val="2"/>
      </rPr>
      <t xml:space="preserve">. </t>
    </r>
    <r>
      <rPr>
        <sz val="11"/>
        <color theme="1"/>
        <rFont val="Calibri"/>
        <family val="2"/>
      </rPr>
      <t xml:space="preserve">Food grade self-adhesive coated EPDM gaskets shall be provided between panels and structure of the AHU to ensure the entire housing is airtight, and should meet clean room class leakage requirments as per Eurovent Standards. The AHUs shall be complete with 50mm thick pre-filter (MERV-8) section, 300 mm thick fine-filter (MERV-13) section, cooling coil section with multirows deep chilled water cooling coil of copper tube &amp; aluminium fin construction to be sized for dehumidified CFM requirement &amp; aluminium by-pass damper for remaining return air for achieving requisite air changes for Clean Rooms, EC Plug Fans, Ultrasonic Mist Generators with all controls &amp; accessories, Re-heat section complete with finned type strip heaters, SS drain pan constructed from 18 gauge stainless steel &amp; factory insulated with closed cell elastomeric Class 'O' material, copper header with "Copper to MS" adopter, all adaptive controls such as airstat, geyserstat, safetystat complete with wiring &amp; vibration isolation pads etc. and all complete as per the specifications. AHUs shall be selected for a maximum face velocity of 500 FPM (2.5 MPS) and as per the Schedule of Air Handling Units. Fan outlet velocity shall not exceed 2000 FPM (10.2 MPS). AHUs should have marine lamps including adequately rated </t>
    </r>
    <r>
      <rPr>
        <b/>
        <sz val="11"/>
        <color rgb="FFFF0000"/>
        <rFont val="Calibri"/>
        <family val="2"/>
      </rPr>
      <t xml:space="preserve">LED </t>
    </r>
    <r>
      <rPr>
        <sz val="11"/>
        <color theme="1"/>
        <rFont val="Calibri"/>
        <family val="2"/>
      </rPr>
      <t xml:space="preserve">inside the AHU Cabinets. AHU inspection doors should have view windows with perfectly sealed gaksets on either side to ensure air tightness. All AHU doors shall be provided with door limit switch and door safety GI guard as well. </t>
    </r>
  </si>
  <si>
    <t xml:space="preserve">The AHUs shall be supplied with direct driven EC Plug Fan/s, complete with EC motor and buit-in controller. The EC Plug Fans shall be suitable for BMS soft integration with monitoring and control functions. The number of EC Plug Fans shall be selected with part-standby arrangement for redundancy. The AHUs shall be supplied with adequate cover plates for the EC Plug Fans from maintainance perspective. The AHUs shall be supplied with unit-mounted Electrical Panel complete with internal power cabling and control &amp; communication wiring. All wiring and cabling within the unit and inside the electrical panel shall be executed at factory with approved makes of material. The Electrical Panel shall be equipped with Potentio-meter/s for manual fan speed control, auto/ manual selector switches and start stop push buttons for fans, phase-wise bank-wise MCBs as feeders for heater banks with NO/NC potential free contacts for BMS connectivity, and MCB/s as feeder for humdifier with NO/NC potential free contacts for BMS connectivity. All wire and cable terminations, looping etc. shall be carried out within the AHU and terminated at the utility interfaces of the Electrical Panel which shall be suitable for all EC Plug Fans' soft integration with BMS through RS-485 port/s, hard wired integration of heater banks and humidifier to BMS, and a single MCB/ MCCB for single incomming power cable termination for complete AHU with NO/NC contacts for AFAS Integration. </t>
  </si>
  <si>
    <t>AHUs shall be of following design parameters:</t>
  </si>
  <si>
    <t xml:space="preserve">HFM AHU              Capacity                     SP                   No. of Coil                    Fans                  Fan Motor Rating              Reheat </t>
  </si>
  <si>
    <t>No.                            (Cfm)                 (mm WG)               Rows                      (W+S/B)                           (kW)                           (kW)</t>
  </si>
  <si>
    <t>HFM AHU-1B           7300                        120                       6                             2+1                            3.7 (each)                          20</t>
  </si>
  <si>
    <t xml:space="preserve">Rate Only </t>
  </si>
  <si>
    <t>HFM AHU-2B          10000                       120                       6                             2+1                            3.7 (each)                         29.5</t>
  </si>
  <si>
    <t>HFM AHU-3B          7000                         120                      6                             2+1                            3.7 (each)                           11</t>
  </si>
  <si>
    <t>HFM AHU-4B          3500                         120                      6                             1+1                            3.7 (each)                           6.5</t>
  </si>
  <si>
    <t xml:space="preserve">NOTE: Tender Design Basis shall be followed for determining on-coil and by-pass air requirement for each AHU. </t>
  </si>
  <si>
    <t>1.5.2</t>
  </si>
  <si>
    <t xml:space="preserve">CEILING SUSPENDED AIR HANDLING UNITS (CS AHU) - WITH MIXING BOX </t>
  </si>
  <si>
    <t>Supply, Installation, Testing &amp; Commissioning of Factory assembled/ modular Double Skin chilled water ceiling suspended type Air Handling Units (AHUs). AHUs shall be complete with double skin 50 mm thick insulated panels with CFC free polyurethane foam (PUF) insulation material with minimum density of 42 Kg/m3, sandwiched between 0.8 mm thick  pre-coated G.I. Sheets. The AHUs shall be complete with mixing box with necessary openings and aluminium dampers for teminating return air and fresh air ducts, and shall be provided with thermal break profile. Food grade self-adhesive coated EPDM gaskets shall be provided between panels and structure of the AHU to ensure the entire housing is airtight. The AHUs shall be complete with 50mm thick pre-filter (MERV-8) section, cooling coil section with multirows deep chilled water cooling coil of copper tube &amp; aluminium fin construction, EC Plug Fan/s, SS drain pan constructed from 18 gauge stainless steel &amp; factory insulated with closed cell elastomeric Class 'O' material, copper header with "Copper to MS" adopter, complete with wiring &amp; vibration isolation pads etc. and all complete as per the specifications. AHUs shall be selected for a maximum face velocity of 500 FPM (2.5 MPS) and as per the Schedule of Air Handling Units. Fan outlet velocity shall not exceed 1800 FPM (9.1 MPS). Ceiling suspension arrangement for AHUs shall also include spring type vibration isolators/ rubber gromets etc. to make the installation vibration free.</t>
  </si>
  <si>
    <t xml:space="preserve">The AHUs shall be supplied with direct driven EC Plug Fan/s, complete with EC motor and buit-in controller. The EC Plug Fans shall be suitable for BMS soft integration with monitoring and control functions. The AHUs shall be supplied with adequate cover plates for the EC Plug Fans from maintainance perspective. The AHUs shall be supplied with Electrical Panel complete with internal power cabling and control &amp; communication wiring. All wiring and cabling within the unit and inside the electrical panel shall be executed at factory with approved makes of material. The Electrical Panel shall be equipped with Potentio-meter/s for manual fan speed control, auto/ manual selector switch/es and start stop push button/s for fan/s. All wire and cable terminations, looping etc. shall be carried out within the AHU and terminated at the utility interfaces of the Electrical Panel which shall be suitable for EC Plug Fan/s soft integration with BMS through RS-485 port/s, and a single MCB/ MCCB for single incomming power cable termination for complete AHU with NO/NC contacts for AFAS Integration. </t>
  </si>
  <si>
    <t xml:space="preserve">CS AHU                         Capacity                          SP                            No. of Coil                       Motor                           </t>
  </si>
  <si>
    <t>No.                                   (Cfm)                      (mm WG)                         Rows                        Rating (HP)</t>
  </si>
  <si>
    <t xml:space="preserve">CS AHU-1A                    1200                            40                                        6                                 1 x 1        </t>
  </si>
  <si>
    <t>1.5.3</t>
  </si>
  <si>
    <t>CEILING SUSPENDED AHUs WITH EC FANS</t>
  </si>
  <si>
    <t xml:space="preserve">Supply, Installation, Testing &amp; Commissioning of Factory assembled/ modular  Double Skin chilled water ceiling suspended/floor mounted  type Air Handling Units (AHUs) complete with 50 mm insulation of CFC free polyurethane foam (PUF) panels of min 42 Kg/m3 density sandwiched between two layers of 0.8 mm thick perforated G.I. sheets. The control wiring and power wiring shall be in the scope of AHU manufactuer, and shall be carried out at factory with terminations to Marshalling Box. </t>
  </si>
  <si>
    <t>The AHU shall be supplied with AHU blowers with wall mounted EC  Plug Fan/s of EC motors approved makes of suitable ratings. The EC motors shall be suitable for BMS connectivity at one point. Single/ multiple fans shall be considered depending upon the capacity of the AHUs as mentioned below. AHU manufacturer should supply cover plate for Fans in sufficient quantities for maintanance purposes. EC Fans incoming supply shall be terminated with MCB/ MCCB and shall be included in the power terminal box for electrical connection of EC plug fans, and should be factory fitted on the AHUs. Potentio-meter shall be provided in the marshalling box for manual operation of EC fans. Relay for AUTO/MANUAL operation should be a part of Marshalling box supplied by the AHU manufacturer.</t>
  </si>
  <si>
    <t>AHU control panel with display should be mounted on the AHU Body, and should have a single RS 485 output to the EC Fans integrated to BMS.  AHU control panel should have NO/NC contacts for AFAS Integration. AHUs shall be suitable for BMS Integration and EC Fan speed modulatiion through DPS.</t>
  </si>
  <si>
    <t xml:space="preserve">The air handling units shall be complete with Pre- filter (MERV-8), with the coil section with multi-rows deep chilled water cooling coil of copper tube and  aluminium fin construction, insulated SS drain pan, copper header with "Copper to MS" adopter, and vibration isolation arrangement all complete as per the specifications. The AHUs shall be complete with mixing box with necessary openings and aluminium dampers for teminating return air and fresh air ducts, and shall be provided with thermal break profile.AHUs shall be selected for a maximum face velocity of 500 FPM (2.5 MPS) and fan outlet velocity  shall not exceed 1800 FPM (9.1 MPS). </t>
  </si>
  <si>
    <t>AHU should have marine lamp including adequately rated LED lamp inside the AHU Cabinet. AHU inspection door should have View Window with perfectly sealed gaksets on either side to ensure air tightness. All AHUs shall be provided with door limit switch and also door safety GI guard.  All internals shall be powder coated for corrosion resistance.Quoted price shall be inclusive of hanging arrangments,associated elctrical works.</t>
  </si>
  <si>
    <t>AHUs shall follow the design parameters as mentioned below:</t>
  </si>
  <si>
    <t>AHU                Capacity            SP               No. of          Motor           Area being fed</t>
  </si>
  <si>
    <t xml:space="preserve"> No.                   (Cfm)          (mm WG)        Rows          Rating   </t>
  </si>
  <si>
    <t xml:space="preserve">                                                                                              (HP)</t>
  </si>
  <si>
    <t>AHU-1               2500                   38                 6                 1x2                 Conference Room</t>
  </si>
  <si>
    <t>AHU-3               2500                   38                 6                 1x2                 UPS Room (North Block)</t>
  </si>
  <si>
    <t>AHU-4               2500                   38                 6                 1x2                  UPS Room (South Block)</t>
  </si>
  <si>
    <t>AHU-5,6            1800                   38                 6                 1x1.5              Lobby</t>
  </si>
  <si>
    <t>AHU-7,8            2500                   38                 6                 1x2                  Lobby</t>
  </si>
  <si>
    <t>AHU-9               2500                   38                 6                 1x2                   UPS Room Audi</t>
  </si>
  <si>
    <t>AHU-10             2000                   38                 6                 1x2                   IT Server Room</t>
  </si>
  <si>
    <t>AHU-11,12       1500                   38                 6                 1x1.5               Lobby</t>
  </si>
  <si>
    <t>AHU-13,14       1500                   38                 6                 1x1.5               Lobby</t>
  </si>
  <si>
    <t>AHU-15,16       1500                   38                 6                 1x1.5               Lobby</t>
  </si>
  <si>
    <t>AHU-17,18       1500                   38                 6                 1x1.5               Lobby</t>
  </si>
  <si>
    <t>AHU-19             3500                   38                 6                 1x3                  Office &amp; Archive Room</t>
  </si>
  <si>
    <t>AHU-20,21       2500                   38                 6                  1x2                 Office &amp; Archive Room</t>
  </si>
  <si>
    <t>AHU-22,23       2500                   38                 6                  1x2                 Office &amp; Archive Room</t>
  </si>
  <si>
    <t>AHU-24            3500                   38                  6                  1x3                 Reception</t>
  </si>
  <si>
    <t>AHU-25            2000                   38                  6                  1x2                 Pharmacology Lab</t>
  </si>
  <si>
    <t>AHU-26            2000                   38                  6                  1x2                 Toxicology Lab</t>
  </si>
  <si>
    <t>AHU-27            2500                   38                  6                  1x2                 Histopathology Lab &amp; Microscope Area</t>
  </si>
  <si>
    <t>AHU-28            1500                   38                  6                  1x1.5              Sample Processing Drak Room</t>
  </si>
  <si>
    <t>AHU-29            2000                   38                  6                  1x2                  Sample Processing Table</t>
  </si>
  <si>
    <t>AHU-30            3500                   38                  6                  1x3                  Instrument Lab</t>
  </si>
  <si>
    <t>AHU-31            3500                   38                  6                  1x3                  Molecular Lab</t>
  </si>
  <si>
    <t>AHU-32            1500                   38                  6                  1x1.5               Molecular Lab Store</t>
  </si>
  <si>
    <t>AHU-33,34      1800                   38                  6                  1x1.5               Office &amp; Archive Room</t>
  </si>
  <si>
    <t>AHU-35,36      3000                   38                  6                  1x3                   Office &amp; Archive Room</t>
  </si>
  <si>
    <t>AHU-37,38      3000                   38                  6                  1x3                   Office &amp; Archive Room</t>
  </si>
  <si>
    <t>AHU-39,40      3000                   38                  6                  1x3                   Office &amp; Archive Room</t>
  </si>
  <si>
    <t>AHU-41,42      3000                   38                  6                  1x3                   Office &amp; Archive Room</t>
  </si>
  <si>
    <t>AHU-43,44      3000                   38                  6                  1x3                   Office &amp; Archive Room</t>
  </si>
  <si>
    <t>AHU-45            3000                   38                  6                  1x3                   Office &amp; Archive Room</t>
  </si>
  <si>
    <t xml:space="preserve">AHU-46            1500                   38                  6                  1x1.5                Admin Office </t>
  </si>
  <si>
    <t>AHU-47            2000                   38                  6                  1x2                    Kitchen</t>
  </si>
  <si>
    <t>AHU-48            1200                   38                  6                  1x1.5                 Reception</t>
  </si>
  <si>
    <t>AHU-49            2000                   38                  6                  1x2                     UPS &amp; Battery Room</t>
  </si>
  <si>
    <t>AHU-50            4500                   38                  6                  1x3                     Annap. Dinning Hall, Store &amp; Pre-Serving</t>
  </si>
  <si>
    <t>AHU-51            3500                   38                  6                  1x3                     Annapurna Dinning Hall RHS</t>
  </si>
  <si>
    <t>1.5.4</t>
  </si>
  <si>
    <t>AIR HANDLING UNITS WITH EC FANS</t>
  </si>
  <si>
    <r>
      <t xml:space="preserve">Supply, Installation, Testing &amp; Commissioning of Factory assembled/ modular  Double Skin chilled water ceiling suspended/floor mounted  type Air Handling Units (AHUs) complete with </t>
    </r>
    <r>
      <rPr>
        <b/>
        <sz val="11"/>
        <rFont val="Calibri"/>
        <family val="2"/>
      </rPr>
      <t>50 mm insulation of CFC free polyurethane foam (PUF) panels of min 42 Kg/m3 density sandwiched between two layers of 0.8 mm thick perforated G.I. sheets.</t>
    </r>
    <r>
      <rPr>
        <sz val="11"/>
        <rFont val="Calibri"/>
        <family val="2"/>
      </rPr>
      <t xml:space="preserve"> The control wiring and power wiring shall be in the scope of AHU manufactuer, and shall be carried out at factory with terminations to Marshalling Box. </t>
    </r>
  </si>
  <si>
    <r>
      <t xml:space="preserve">The AHU shall be supplied with </t>
    </r>
    <r>
      <rPr>
        <b/>
        <sz val="11"/>
        <rFont val="Calibri"/>
        <family val="2"/>
      </rPr>
      <t>AHU blowers with wall mounted EC  Plug Fan/s of EC motors approved makes of suitable ratings.</t>
    </r>
    <r>
      <rPr>
        <sz val="11"/>
        <rFont val="Calibri"/>
        <family val="2"/>
      </rPr>
      <t xml:space="preserve"> The EC motors shall be suitable for BMS connectivity at one point. Single/ multiple fans shall be considered depending upon the capacity of the AHUs as mentioned below. AHU manufacturer should supply cover plate for Fans in sufficient quantities for maintanance purposes.</t>
    </r>
    <r>
      <rPr>
        <b/>
        <sz val="11"/>
        <rFont val="Calibri"/>
        <family val="2"/>
      </rPr>
      <t xml:space="preserve"> EC Fans incoming supply shall be terminated with MCB/ MCCB and shall be included in the power terminal box for electrical connection of EC plug fans,</t>
    </r>
    <r>
      <rPr>
        <sz val="11"/>
        <rFont val="Calibri"/>
        <family val="2"/>
      </rPr>
      <t xml:space="preserve"> and should be factory fitted on the AHUs. Potentio-meter shall be provided in the marshalling box for manual operation of EC fans. Relay for AUTO/MANUAL operation should be a part of Marshalling box supplied by the AHU manufacturer.</t>
    </r>
  </si>
  <si>
    <r>
      <t xml:space="preserve">AHU control panel with display should be mounted on the AHU Body, and should have a single RS 485 output to the </t>
    </r>
    <r>
      <rPr>
        <b/>
        <sz val="11"/>
        <rFont val="Calibri"/>
        <family val="2"/>
      </rPr>
      <t>EC Fans integrated to BMS</t>
    </r>
    <r>
      <rPr>
        <sz val="11"/>
        <rFont val="Calibri"/>
        <family val="2"/>
      </rPr>
      <t>.  AHU control panel should have NO/NC contacts for AFAS Integration. AHUs shall be suitable for BMS Integration and EC Fan speed modulatiion through DPS.</t>
    </r>
  </si>
  <si>
    <r>
      <t xml:space="preserve">The air handling units shall be complete with </t>
    </r>
    <r>
      <rPr>
        <b/>
        <sz val="11"/>
        <rFont val="Calibri"/>
        <family val="2"/>
      </rPr>
      <t xml:space="preserve">The AHUs shall be complete with 50mm thick pre-filter (MERV-8), Fine filter (MERV-14), section, </t>
    </r>
    <r>
      <rPr>
        <sz val="11"/>
        <rFont val="Calibri"/>
        <family val="2"/>
      </rPr>
      <t>with the coil section with multi-rows deep chilled water cooling coil of copper tube and  aluminium fin construction, insulated SS drain pan,</t>
    </r>
    <r>
      <rPr>
        <b/>
        <sz val="11"/>
        <rFont val="Calibri"/>
        <family val="2"/>
      </rPr>
      <t xml:space="preserve"> copper header with "Copper to MS" adopter, </t>
    </r>
    <r>
      <rPr>
        <sz val="11"/>
        <rFont val="Calibri"/>
        <family val="2"/>
      </rPr>
      <t xml:space="preserve">and vibration isolation arrangement all complete as per the specifications.. The AHUs shall be complete with mixing box with necessary openings and aluminium dampers for teminating return air and fresh air ducts, and shall be provided with thermal break profile AHUs shall be selected for a maximum face velocity of 500 FPM (2.5 MPS) and fan outlet velocity  shall not exceed 1800 FPM (9.1 MPS). </t>
    </r>
  </si>
  <si>
    <t xml:space="preserve">AHU should have marine lamp including adequately rated LED lamp inside the AHU Cabinet. AHU inspection door should have View Window with perfectly sealed gaksets on either side to ensure air tightness. All AHUs shall be provided with door limit switch and also door safety GI guard.  All internals shall be powder coated for corrosion resistance.Quoted price shall be inclusive of foundations,associated elctrical works. </t>
  </si>
  <si>
    <t>AHU             Capacity         SP            No. of       Motor                  Area being fed</t>
  </si>
  <si>
    <t xml:space="preserve"> No.               (Cfm)        (mm WG)    Rows       Rating   </t>
  </si>
  <si>
    <t xml:space="preserve">                                                                                     (HP)</t>
  </si>
  <si>
    <t xml:space="preserve">AHU-2           17000            60                6                1x10                     Auditorium  </t>
  </si>
  <si>
    <t>TREATED FRESH AIR UNITS (TFAUs)</t>
  </si>
  <si>
    <t>1.6.1</t>
  </si>
  <si>
    <t>TREATED FRESH AIR UNITS WITH EC FANS -- TFAUs</t>
  </si>
  <si>
    <t xml:space="preserve">Supply, Installation, Testing &amp; Commissioning of Factory assembled/ modular  Double Skin chilled water floor mounted  type Treated Fresh Air Units (TFAs) complete with 50 mm insulation of CFC free polyurethane foam (PUF) panels of min 42 Kg/m3 density sandwiched between two layers of 0.8 mm thick perforated G.I. sheets. The control wiring and power wiring shall be in the scope of TFA manufactuer, and shall be carried out at factory with terminations to Marshalling Box. </t>
  </si>
  <si>
    <t>The TFA shall be supplied with TFA blowers with wall mounted EC  Plug Fan/s of EC motors approved makes of suitable ratings. The EC motors shall be suitable for BMS connectivity at one point. Single/ multiple fans shall be considered depending upon the capacity of the TFAs as mentioned below. TFA manufacturer should supply cover plate for Fans in sufficient quantities for maintanance purposes. EC Fans incoming supply shall be terminated with MCB/ MCCB and shall be included in the power terminal box for electrical connection of EC plug fans, and should be factory fitted on the TFAs. Potentio-meter shall be provided in the marshalling box for manual operation of EC fans. Relay for AUTO/MANUAL operation should be a part of Marshalling box supplied by the TFA manufacturer.</t>
  </si>
  <si>
    <t>TFA control panel with display should be mounted on the TFA Body, and should have a single RS 485 output to the EC Fans integrated to BMS.  TFA control panel should have NO/NC contacts for AFAS Integration. TFAs shall be suitable for BMS Integration and EC Fan speed modulatiion through DPS.</t>
  </si>
  <si>
    <t xml:space="preserve">The Treated Fresh air units shall be complete with Pre- filter (MERV-8), fine  filter (MERV-13) ,with the coil section with multi-rows deep chilled water cooling coil of copper tube and  aluminium fin construction, insulated SS drain pan, copper header with "Copper to MS" adopter, and vibration isolation arrangement all complete as per the specifications. The TFAs shall be complete with mixing box with necessary openings and aluminium dampers for teminating fresh air ducts, and shall be provided with thermal break profile.TFAs shall be selected for a maximum face velocity of 500 FPM (2.5 MPS) and fan outlet velocity  shall not exceed 1800 FPM (9.1 MPS). </t>
  </si>
  <si>
    <t>TFA should have marine lamp including adequately rated LED lamp inside the TFA Cabinet. TFA inspection door should have View Window with perfectly sealed gaksets on either side to ensure air tightness. All TFAs shall be provided with door limit switch and also door safety GI guard.  All internals shall be powder coated for corrosion resistance.Quoted price shall be inclusive of hanging arrangments,associated elctrical works.</t>
  </si>
  <si>
    <t>TFAs shall follow the design parameters as mentioned below:</t>
  </si>
  <si>
    <t xml:space="preserve">TFA                 Capacity                    SP                    No. of                Motor   </t>
  </si>
  <si>
    <t xml:space="preserve"> No.                   (Cfm)                (mm WG)               Rows            Rating (HP)</t>
  </si>
  <si>
    <t>TFA-1                11700                        55                          6                      7.5</t>
  </si>
  <si>
    <t>TFA-2                5100                          55                          6                       5</t>
  </si>
  <si>
    <t>TFA-3                8000                          55                          6                       5</t>
  </si>
  <si>
    <t>1.6.2</t>
  </si>
  <si>
    <t>TREATED FRESH AIR UNITS -- TFAUs</t>
  </si>
  <si>
    <t>(CEILING SUSPENDED)</t>
  </si>
  <si>
    <r>
      <t xml:space="preserve">Supply, Installation, Testing &amp; Commissioning of Factory assembled/ modular  Double Skin chilled water ceiling suspended/floor mounted  type Treated Fresh Air Units (TFAs) complete with </t>
    </r>
    <r>
      <rPr>
        <b/>
        <sz val="11"/>
        <rFont val="Calibri"/>
        <family val="2"/>
      </rPr>
      <t>50 mm insulation of CFC free polyurethane foam (PUF) panels of min 42 Kg/m3 density sandwiched between two layers of 0.8 mm thick perforated G.I. sheets.</t>
    </r>
    <r>
      <rPr>
        <sz val="11"/>
        <rFont val="Calibri"/>
        <family val="2"/>
      </rPr>
      <t xml:space="preserve"> The control wiring and power wiring shall be in the scope of TFA manufactuer, and shall be carried out at factory with terminations to Marshalling Box. </t>
    </r>
  </si>
  <si>
    <r>
      <t xml:space="preserve">The TFA shall be supplied with </t>
    </r>
    <r>
      <rPr>
        <b/>
        <sz val="11"/>
        <rFont val="Calibri"/>
        <family val="2"/>
      </rPr>
      <t>TFA blowers with wall mounted EC  Plug Fan/s of EC motors approved makes of suitable ratings.</t>
    </r>
    <r>
      <rPr>
        <sz val="11"/>
        <rFont val="Calibri"/>
        <family val="2"/>
      </rPr>
      <t xml:space="preserve"> The EC motors shall be suitable for BMS connectivity at one point. Single/ multiple fans shall be considered depending upon the capacity of the TFAs as mentioned below. TFA manufacturer should supply cover plate for Fans in sufficient quantities for maintanance purposes.</t>
    </r>
    <r>
      <rPr>
        <b/>
        <sz val="11"/>
        <rFont val="Calibri"/>
        <family val="2"/>
      </rPr>
      <t xml:space="preserve"> EC Fans incoming supply shall be terminated with MCB/ MCCB and shall be included in the power terminal box for electrical connection of EC plug fans,</t>
    </r>
    <r>
      <rPr>
        <sz val="11"/>
        <rFont val="Calibri"/>
        <family val="2"/>
      </rPr>
      <t xml:space="preserve"> and should be factory fitted on the TFAs. Potentio-meter shall be provided in the marshalling box for manual operation of EC fans. Relay for AUTO/MANUAL operation should be a part of Marshalling box supplied by the TFA manufacturer.</t>
    </r>
  </si>
  <si>
    <r>
      <t xml:space="preserve">TFA control panel with display should be mounted on the TFA Body, and should have a single RS 485 output to the </t>
    </r>
    <r>
      <rPr>
        <b/>
        <sz val="11"/>
        <rFont val="Calibri"/>
        <family val="2"/>
      </rPr>
      <t>EC Fans integrated to BMS</t>
    </r>
    <r>
      <rPr>
        <sz val="11"/>
        <rFont val="Calibri"/>
        <family val="2"/>
      </rPr>
      <t>.  TFA control panel should have NO/NC contacts for AFAS Integration. TFAs shall be suitable for BMS Integration and EC Fan speed modulatiion through DPS.</t>
    </r>
  </si>
  <si>
    <r>
      <t xml:space="preserve">The Treated Fresh air units shall be complete with </t>
    </r>
    <r>
      <rPr>
        <b/>
        <sz val="11"/>
        <rFont val="Calibri"/>
        <family val="2"/>
      </rPr>
      <t xml:space="preserve">Pre- filter (MERV-8), </t>
    </r>
    <r>
      <rPr>
        <sz val="11"/>
        <rFont val="Calibri"/>
        <family val="2"/>
      </rPr>
      <t>with the coil section with multi-rows deep chilled water cooling coil of copper tube and  aluminium fin construction, insulated SS drain pan,</t>
    </r>
    <r>
      <rPr>
        <b/>
        <sz val="11"/>
        <rFont val="Calibri"/>
        <family val="2"/>
      </rPr>
      <t xml:space="preserve"> copper header with "Copper to MS" adopter, </t>
    </r>
    <r>
      <rPr>
        <sz val="11"/>
        <rFont val="Calibri"/>
        <family val="2"/>
      </rPr>
      <t xml:space="preserve">and vibration isolation arrangement all complete as per the specifications. The TFAs shall be complete with mixing box with necessary openings and aluminium dampers for teminating fresh air ducts, and shall be provided with thermal break profile.TFAs shall be selected for a maximum face velocity of 500 FPM (2.5 MPS) and fan outlet velocity  shall not exceed 1800 FPM (9.1 MPS). </t>
    </r>
  </si>
  <si>
    <t xml:space="preserve"> No.                   (Cfm)               (mm WG)               Rows            Rating (HP)</t>
  </si>
  <si>
    <t>TFA-5,6               700                           38                        6                              1</t>
  </si>
  <si>
    <t>TFA-7                  900                           38                        6                              1</t>
  </si>
  <si>
    <t>TFA-8                 1900                          38                        6                              2</t>
  </si>
  <si>
    <t>TFA-9                  400                           38                        6                              1</t>
  </si>
  <si>
    <t>TFA-10              1200                          38                         6                            1.5</t>
  </si>
  <si>
    <t>1.6.3</t>
  </si>
  <si>
    <t xml:space="preserve">TREATED FRESH AIR UNITS -- TFAUs </t>
  </si>
  <si>
    <t>(WITH FACE &amp; BYPASS ARRANGEMENT)</t>
  </si>
  <si>
    <r>
      <t xml:space="preserve">Supply, Installation,  Testing &amp; Commissioning of double skin sheet  metal  sectionalised construction  treated fresh air units , double skin panels with 46mm thick injected PUF of density not less than 40Kg/CuM with thermal break profile.  The treated fresh air units shall be complete with </t>
    </r>
    <r>
      <rPr>
        <b/>
        <sz val="11"/>
        <rFont val="Calibri"/>
        <family val="2"/>
      </rPr>
      <t>pre-filter (MERV-8), fine filter (MERV-13),</t>
    </r>
    <r>
      <rPr>
        <sz val="11"/>
        <rFont val="Calibri"/>
        <family val="2"/>
      </rPr>
      <t xml:space="preserve"> face &amp; bypass damper, multi rows deep chilled water cooling coil of copper tube and  aluminium fins, </t>
    </r>
    <r>
      <rPr>
        <b/>
        <sz val="11"/>
        <rFont val="Calibri"/>
        <family val="2"/>
      </rPr>
      <t xml:space="preserve">backward curved </t>
    </r>
    <r>
      <rPr>
        <sz val="11"/>
        <rFont val="Calibri"/>
        <family val="2"/>
      </rPr>
      <t xml:space="preserve">DIDW centrifugal   fan, belt drive package, insulated SS drain pan, </t>
    </r>
    <r>
      <rPr>
        <b/>
        <sz val="11"/>
        <rFont val="Calibri"/>
        <family val="2"/>
      </rPr>
      <t xml:space="preserve"> copper header, "Copper to MS" adopter</t>
    </r>
    <r>
      <rPr>
        <sz val="11"/>
        <rFont val="Calibri"/>
        <family val="2"/>
      </rPr>
      <t xml:space="preserve">, </t>
    </r>
    <r>
      <rPr>
        <sz val="11"/>
        <color rgb="FFFF0000"/>
        <rFont val="Calibri"/>
        <family val="2"/>
      </rPr>
      <t>IE-03 or Above</t>
    </r>
    <r>
      <rPr>
        <sz val="11"/>
        <rFont val="Calibri"/>
        <family val="2"/>
      </rPr>
      <t xml:space="preserve"> squirrel cage induction motor and vibration isolation arrangement all  complete as per specifications. TFAs shall be selected for a maximum  face velocity of  500 FPM (2.5MPS) and as  per schedule   of air handling units under Appendix VIII. Fan outlet velocity shall not exceed 1800 FPM (9.1MPS) for ceiling suspended &amp; 2000 FPM (10.1 MPS) for floor mounted TFAUs. The unit/s shall be be provided with factory fabricated plenum on filter side, with access doors /panels, for duct termination. TFAUs shall be of following design parameters:</t>
    </r>
  </si>
  <si>
    <t>F&amp;B TFA-4 (KITCHEN)</t>
  </si>
  <si>
    <t xml:space="preserve">Air Quantity Face   -         5100 Cfm  </t>
  </si>
  <si>
    <t xml:space="preserve">Air Quantity Bypass -      3400 Cfm </t>
  </si>
  <si>
    <t>Total Air Quantity -         8500 Cfm</t>
  </si>
  <si>
    <t>Static Pressure -               55 mm WG</t>
  </si>
  <si>
    <t>CHW  Coils -                       6  Rows</t>
  </si>
  <si>
    <t xml:space="preserve">Motor Rating -                   5 HP </t>
  </si>
  <si>
    <t>Type -                                  FM</t>
  </si>
  <si>
    <t>1.7</t>
  </si>
  <si>
    <t>CHILLED BASED CASSETTE/ HI-WALL UNITS</t>
  </si>
  <si>
    <r>
      <t xml:space="preserve">Supply, Installation, Testing and Commissioning of chilled water based cassette type indoor units suitable for two pipe system. These units shall consist of a fan section with dynamically balanced centrifugal fan/s driven by  FHP/TEFC squirrel cage induction motor, multirows deep separate cooling coil &amp; heating coil  of copper tubes and aluminium fins etc. Enclosures shall be fabricated as specified for Dx split units. These  units shall be equipped with synthetic fibre filters, insulated drain pan, safety controls, thermostat, </t>
    </r>
    <r>
      <rPr>
        <b/>
        <sz val="11"/>
        <rFont val="Calibri"/>
        <family val="2"/>
      </rPr>
      <t>a set of valve station</t>
    </r>
    <r>
      <rPr>
        <sz val="11"/>
        <rFont val="Calibri"/>
        <family val="2"/>
      </rPr>
      <t xml:space="preserve"> with pair of ball valves (one with strainer and one without strainer) and self balancing pressure independent flow control valves  etc. all   complete  in   a   unit. The unit shall be provided with BMS compatible Kit. The  quoted price  shall  be inclusive  of  vibration isolation arragement for ceiling suspension, associated electrical work, drain pump for condensate removal etc.</t>
    </r>
  </si>
  <si>
    <t>a. 1.5 TR nominal capacity Cassette type unit (chilled water based) with cordless control.</t>
  </si>
  <si>
    <t>b. 1.0 TR nominal capacity Cassette type unit (chilled water based) with cordless control.</t>
  </si>
  <si>
    <t>c. 1.5 TR nominal capacity Hi wall unit (chilled water based) with cordless control.</t>
  </si>
  <si>
    <t>d. 1.0 TR nominal capacity Hi wall unit (chilled water based) with cordless control.</t>
  </si>
  <si>
    <t>e. 0.75 TR nominal capacity Hi wall unit (chilled water based) with cordless control.</t>
  </si>
  <si>
    <t>1.8</t>
  </si>
  <si>
    <t>FAN COIL UNITS</t>
  </si>
  <si>
    <r>
      <t xml:space="preserve">Supply  of   fan  coil  units   each   comprising  of  3 rows deep chilled water cooling coil, centrifugal blowers, FHP motor,  metallic  cleanable  filters, insulated &amp; extended condensate  drain  pan,  casing, coil piping  connections,  condensate  drain piping  connections  &amp;  wiring.  Fan coil   units  shall be  suitable  for    operation   on    220 </t>
    </r>
    <r>
      <rPr>
        <u/>
        <sz val="11"/>
        <rFont val="Calibri"/>
        <family val="2"/>
      </rPr>
      <t>+</t>
    </r>
    <r>
      <rPr>
        <sz val="11"/>
        <rFont val="Calibri"/>
        <family val="2"/>
      </rPr>
      <t xml:space="preserve"> 6% Volts,   50Hz,  single  phase  power   supply of  following  sizes  &amp; capacities.</t>
    </r>
  </si>
  <si>
    <t>Ceiling Concealed Fan Coil Units:</t>
  </si>
  <si>
    <t>i.   2.5 TR nominal capacity with 900-1000 Cfm air quantity.</t>
  </si>
  <si>
    <t>ii.  2.0 TR nominal capacity with 800-900 Cfm air quantity.</t>
  </si>
  <si>
    <t>iii. 1.5 TR nominal capacity with 600-700 Cfm air quantity.</t>
  </si>
  <si>
    <t>iv. 1.0 TR nominal capacity with 400-500 Cfm air quantity.</t>
  </si>
  <si>
    <t>v. 0.75 TR nominal capacity with 300-350 Cfm air quantity.</t>
  </si>
  <si>
    <t xml:space="preserve">EXTRACT FAN SECTIONS </t>
  </si>
  <si>
    <t>1.9.1</t>
  </si>
  <si>
    <t>FOR KITCHENS</t>
  </si>
  <si>
    <t>Supply, Installation, Testing and Commissioning of approved make fan section for extract air complete with floor standing backward curved DIDW  centrifugal fan, MS base frame, IE-03 TEFC squirrel cage induction motor with 2 hour fire rating &amp; class "H" insulation, drive package and vibration isolation arrangement including spring isolators, rubber grommets etc. as called  for in working  drawings &amp; specifications. Fan section casing shall be of  double  skin sheet metal construction, double skin panels with 25mm thick injected PUF of density not less than 40 kg/CuM.  Fan  shall be suitable  for operation on 415 ± 10% volts, 50 Hz 3 phase AC power supply. Fan motor for kitchen fan, shall be enclosed in GI sheet enclosure enclosure in hot air stream free area. Fan outlet velocity shall  not  exceed  2000 FPM.  Extract  fan section shall be suitable for ceiling suspension/floor installation as shown in the design drawings.The kitchen fan motor shall be outside hot air stream.  The fan  characteristics  shall  be as follows:</t>
  </si>
  <si>
    <t xml:space="preserve">Fan                   Capacity         S.P                      Motor                      Type </t>
  </si>
  <si>
    <t xml:space="preserve">No.                     (Cfm)         (mmWG)             Rating             </t>
  </si>
  <si>
    <t xml:space="preserve">                                                                               (HP)</t>
  </si>
  <si>
    <t>EFS-1                 10000               65                      7.5                               FM</t>
  </si>
  <si>
    <t>1.9.2</t>
  </si>
  <si>
    <t>FOR TOILETS, PANTRIES  DISH WASH ETC.</t>
  </si>
  <si>
    <t>Supply, Installation, Testing and Commissioning of approved make fan section for extract air complete with forward curved DIDW  centrifugal fan, MS base frame, IE-03 TEFC squirrel cage induction motor with class "F" insulation, drive package and vibration isolation arrangement including spring isolators, rubber grommets etc. as called  for in working  drawings &amp; specifications. Fan section casing shall be of  double  skin sheet metal construction, double skin panels with 25mm thick injected PUF of density not less than 40 kg/CuM.  Fan  shall be suitable  for operation on 415 ± 10% volts, 50 Hz 3 phase AC power supply. Fan outlet velocity shall not exceed 2000 FPM for FM Units &amp; 1800 FPM for CS Units. Extract  fan section shall be suitable for ceiling suspension/floor installation as shown in the design drawings. The fan  characteristics  shall  be as follows:</t>
  </si>
  <si>
    <t xml:space="preserve">No.                     (Cfm)            (mmWG)                   Rating             </t>
  </si>
  <si>
    <t>EFS-                   1400                     30                          1                            CS</t>
  </si>
  <si>
    <t>1.9.3</t>
  </si>
  <si>
    <t>EXHAUST AIR SCRUBBER</t>
  </si>
  <si>
    <t xml:space="preserve">Supply, Installation, Testing and Commissioning of Scrubber each comprising of extract air intake section, electrostatic precipitation technology, dry type  air cleaner to remove odour, smoke and fumes from exhaust air. Electrostatic section shall be made of 16 gauge galvanised sheet, 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t>
  </si>
  <si>
    <t>Average efficiency of 90-95% in single pass as per DOP test method. Electrostatic Precipitator should be able to charge particles from 0.01 micron to 10 microns through solid state power supply. Collector cell should be of permanent  type and incorporate slide out facility for easy removal for cleaning. The  system should be fitted with interlock switch for safety . The system should allow connection  to a fan section to achieve 500 FPM velocity across the air cleaner.</t>
  </si>
  <si>
    <t>Operating Voltage :  220V, 50 Hz</t>
  </si>
  <si>
    <t>Ionizing Voltage     : 12.5 to 13 KVDC</t>
  </si>
  <si>
    <t>Collector Cell Voltage : 6 to 6.5 KVDC</t>
  </si>
  <si>
    <t>Power Consumption : 50 Watts</t>
  </si>
  <si>
    <t xml:space="preserve">5000 CFM x 2 filters </t>
  </si>
  <si>
    <t xml:space="preserve">IF-                      900                     15                                   220V/1 Ph                    Circular        </t>
  </si>
  <si>
    <t xml:space="preserve">IF-                      800                     15                                   220V/1 Ph                   Circular        </t>
  </si>
  <si>
    <t xml:space="preserve">IF-                      700                     15                                   220V/1 Ph                   Circular        </t>
  </si>
  <si>
    <t xml:space="preserve">IF-                      600                     15                                   220V/1 Ph                   Circular        </t>
  </si>
  <si>
    <t xml:space="preserve">IF-                      500                     15                                   220V/1 Ph                   Circular       </t>
  </si>
  <si>
    <t xml:space="preserve">IF-                      400                     12                                   220V/1 Ph                   Circular       </t>
  </si>
  <si>
    <t xml:space="preserve">IF-                      300                     12                                   220V/1 Ph                   Circular       </t>
  </si>
  <si>
    <t xml:space="preserve">IF-                      200                     12                                   220V/1 Ph                   Circular       </t>
  </si>
  <si>
    <t xml:space="preserve">IF-                     150                      12                                   220V/1 Ph                  Circular       </t>
  </si>
  <si>
    <t xml:space="preserve">IF-                     100                      12                                   220V/1 Ph                  Circular       </t>
  </si>
  <si>
    <t xml:space="preserve">AXIAL FLOW  FANS </t>
  </si>
  <si>
    <t>AXIAL FLOW FANS FOR EXHAUST (AF)</t>
  </si>
  <si>
    <t>1.11.1</t>
  </si>
  <si>
    <t>Emergency Exhaust:</t>
  </si>
  <si>
    <t xml:space="preserve">Supply, Installation, Testing &amp; Commissioning of AMCA Certified (For Air and Sound Performance) tube axial flow fans of different capacities in standard GI/M.S. construction as mentioned below. Entire fan model and AMCA Seal shall appear in technical submittal of fan. All the fans shall be either galvanized steel with a coating of Z275 or mild steel that is hot dipped galvanized to DIN EN ISO 1461and complete with bird screen at fan inlet/outlet. The electric motor coupler shall be IE-03 squirrel cage induction type conforming to IS-325, IP-55 rated with class `H' insulation. Motor shall be of high temperature resistance "Class H Smoke Spill" 250°C for 2 hours. Fans shall be EN 12101-3 Certified and CE/UL Listed for high temperature. Motor make shall be same as that mentioned on the fire certificate. Fan efficiency should not be less than 70%, and noise level should not be more than 85 db @ 3 m distance when measured under hemispherical reverberant room conditions. Quoted price shall be inclusive of sound attenuator at the outlet /inlet of the fan to achieve desired sound levels of the fan as shown in the approved shop drawings, all accessories like bird screens, vibration isolators, mounting brackets/feet/ duly enamel painted M.S structure etc. Fans mentioned as outdoor type shall be good for outdoor installation with proper cowl and mounting arrangement as per approved shop drawings. Fans shall be as per specifications and design drawings. Axial Flow Fans shall follow the design parameters as mentioned below:       </t>
  </si>
  <si>
    <t>AF                    Capacity                   SP                   Motor            Type                Area Being Fed</t>
  </si>
  <si>
    <t xml:space="preserve">No.                    (Cfm)                (mm WG)             Rating   </t>
  </si>
  <si>
    <t xml:space="preserve">                                                                                 (HP)</t>
  </si>
  <si>
    <t>Smoke Ventilation</t>
  </si>
  <si>
    <t>AF-1                 5300                      25                       3               Indoor            Lounge / Waiting Area &amp; Corridor</t>
  </si>
  <si>
    <t xml:space="preserve">AF-5,4,5&amp;6     7800                       25                      5               Indoor            Open Office Space /Corridor &amp; Reception </t>
  </si>
  <si>
    <t xml:space="preserve">AF-11              4900                        25                     3                Indoor            Open Office Space /Corridor &amp; Reception </t>
  </si>
  <si>
    <t xml:space="preserve">AF-13              4800                        25                     3                Indoor            Open Office Space /Corridor &amp; Reception </t>
  </si>
  <si>
    <t xml:space="preserve">AF-15              2000                        25                   1.5               Indoor            Annapurna Dinning Hall </t>
  </si>
  <si>
    <t>AF-17             2000                         25                   1.5               Indoor            Annapurna Dinning Hall RHS</t>
  </si>
  <si>
    <t>AF-19             1600                         25                   1.5               Indoor            Director/Dawat Dining Hall</t>
  </si>
  <si>
    <t>AF-21,22       19600                       25                    10               Indoor            Audi</t>
  </si>
  <si>
    <t xml:space="preserve">AF-25              3500                        25                     2                Indoor            Open Office Space /Corridor &amp; Reception </t>
  </si>
  <si>
    <t xml:space="preserve">AF-27              6500                        25                     3                Indoor            Open Office Space /Corridor &amp; Reception </t>
  </si>
  <si>
    <t xml:space="preserve">AF-29              6700                        25                     3                Indoor            Open Office Space /Corridor &amp; Reception </t>
  </si>
  <si>
    <t>AXIAL FLOW FANS FOR FRESH AIR SUPPLY (AF)</t>
  </si>
  <si>
    <t>1.11.2</t>
  </si>
  <si>
    <t>Emergency Supply:</t>
  </si>
  <si>
    <t xml:space="preserve">Supply, Installation, Testing &amp; Commissioning of AMCA Certified (For Air and Sound Performance) tube axial flow fans of different capacities in standard GI/M.S. construction as mentioned below. Entire fan model and AMCA Seal shall appear in technical submittal of fan. All the fans shall be either galvanized steel with a coating of Z275 or mild steel that is hot dipped galvanized to DIN EN ISO 1461and complete with bird screen at fan inlet/outlet. The electric motor coupler shall be IE-03 squirrel cage induction type conforming to IS-325, IP-55 rated with class `F' insulation. Fan efficiency should not be less than 70%, and noise level should not be more than 85 db @ 3 m distance when measured under hemispherical reverberant room conditions. Quoted price shall be inclusive of sound attenuator at the outlet /inlet of the fan to achieve desired sound levels of the fan as shown in the approved shop drawings, all accessories like bird screens, vibration isolators, mounting brackets/feet/ duly enamel painted M.S structure etc.  Fans mentioned as outdoor type shall be good for outdoor installation with proper cowl and mounting arrangement as per approved shop drawings. Fans shall be as per specifications and design drawings. Fans shall be as per specifications and design drawings. Axial Flow Fans shall follow the design parameters as mentioned below:       </t>
  </si>
  <si>
    <t>AF-2                 5300                       25                       3               Indoor            Lounge / Waiting Area &amp; Corridor</t>
  </si>
  <si>
    <t xml:space="preserve">AF-7,8,9&amp;10   7800                       25                       5               Indoor            Open Office Space /Corridor &amp; Reception </t>
  </si>
  <si>
    <t xml:space="preserve">AF-12              4900                        25                     3                Indoor            Open Office Space /Corridor &amp; Reception </t>
  </si>
  <si>
    <t xml:space="preserve">AF-14              4800                        25                     3                Indoor            Open Office Space /Corridor &amp; Reception </t>
  </si>
  <si>
    <t xml:space="preserve">AF-16              2000                        25                   1.5               Indoor            Annapurna Dinning Hall </t>
  </si>
  <si>
    <t>AF-18             2000                         25                   1.5               Indoor            Annapurna Dinning Hall RHS</t>
  </si>
  <si>
    <t>AF-20             1600                         25                   1.5               Indoor            Director/Dawat Dining Hall</t>
  </si>
  <si>
    <t>AF-23,24       19600                       25                    10               Indoor            Audi</t>
  </si>
  <si>
    <t xml:space="preserve">AF-26              3500                        25                     2                Indoor            Open Office Space /Corridor &amp; Reception </t>
  </si>
  <si>
    <t xml:space="preserve">AF-28              6500                        25                     3                Indoor            Open Office Space /Corridor &amp; Reception </t>
  </si>
  <si>
    <t xml:space="preserve">AF-30              6700                        25                     5                Indoor            Open Office Space /Corridor &amp; Reception </t>
  </si>
  <si>
    <t>PRESSURIZATION</t>
  </si>
  <si>
    <t>LIFT WELL</t>
  </si>
  <si>
    <t>AF-                 7500                          25                    5               Outdoor           Lift Well-1,2,3&amp;4</t>
  </si>
  <si>
    <t>31,32,33&amp;34</t>
  </si>
  <si>
    <t xml:space="preserve">AF-35,36      7000                          25                    5              Outdoor           Lift Well-1A &amp; 2A  </t>
  </si>
  <si>
    <t>AF-37           7000                          25                    5              Outdoor           Service Lift Well</t>
  </si>
  <si>
    <t>AF-38           7000                          25                    5              Outdoor           Service Lift Well  (North Block)</t>
  </si>
  <si>
    <t>1.12</t>
  </si>
  <si>
    <t xml:space="preserve">Supply, Installation, Testing &amp; Commissioning of variable  frequency   drives  for   following  Air Handling Units/ Axial Flow Fans, Extract fan Sections. Variable frequency drives shall be provided with necessary  temperature sensors and controllers  complete  with control wiring in all respect as required and as per the specifications. The drives shall be   suitable  for  the  following motor rating. VFDs shall be housed in AHU/ FAN panels. </t>
  </si>
  <si>
    <t>i.  12.5 HP</t>
  </si>
  <si>
    <t>ii.  10 HP</t>
  </si>
  <si>
    <t>1.13</t>
  </si>
  <si>
    <t>AIR &amp; SURFACE DISINFECTING OH RADICAL GENERATORS - DUCT MOUNTED (COMMON AREAS)</t>
  </si>
  <si>
    <t>Supply, Installation, Testing and commissioning of duct mounted Hydroxyl Radical Generators for Air &amp; Surface disinfection for use within occupied building spaces. The device shall be compatible with 220 V + 10%, 50 Hz, Single Phase AC Power Supply. The unit shall be capable of producing human friendly Hydroxyl Radicals and Organic Oxidants and cater upto 3000 Square Feet of Area fed by a single supply air duct. OEM shall produce 13 week GLP toxicology report on the technology used in the device to support human safety claims. The unit shall be capable of reducing indoor air pollutants such as Viruses, Bacteria, Fungus, VOCs, and odors - the OEM must produce lab test reports from reputed international laboratories against at least 10 different types of pathogens. The OEM must also produce COVID-19 causing Coronavirus Reduction Test Reports from reputed International BSL3 Laboratory, with minimum reduction in virus load of 99% in 20 minutes or less in air, and in 60 mins or less on surfaces. The technology used in the device should have USFDA approval, and should have recommendation for use from DRDO/ ICMR in India for COVID-19. The quoted price shall be inclusive of power to be drawn to Hydroxyl Radical Generators from the respective AHU Starter Panels including but not limited to the following - power/ control cabling, MS conduiting, 6A DP MCB isolator, socket near the unit etc. so that these units only operate when the AHUs are in operation. Certifications shall be submitted along with the technical submitals, refer technical specififcations for required compliances. The Hydroxyl Radical Generators shall be suitable for the following area of treatment:</t>
  </si>
  <si>
    <t xml:space="preserve">i.  Upto 3000 Sqft </t>
  </si>
  <si>
    <t>Nos</t>
  </si>
  <si>
    <t xml:space="preserve">NOTE: Selections shall be shared based on OEM Standards. </t>
  </si>
  <si>
    <t>COMMISSIONING FILTERS (MERV-8)</t>
  </si>
  <si>
    <t>Supply, Installation, Testing and Commissioning of Pre-filters (MERV- 8) Filters for Air Handling Units. Building Flush out shall be carried out during construction stage and post construction stage with required fans. It shall be conducted as per LEED and Clean Room guidelines.</t>
  </si>
  <si>
    <t>1.15</t>
  </si>
  <si>
    <t xml:space="preserve">Supply, Installation, Testing and Balancing of following sizes Terminal Mini Pleat Gel Seal HEPA Filter Box Type, Grade: H14, consisting of Terminal HEPA Module, Top Air Inlet, Flange Type with Filter Loading from Bottom (Clean Room side), Glass Fiber Filter Media with Hot Melt Separator, MOC of Filter Frame shall be - Aluminum Anodized Extrusion, MOC of Housing shall be - 13G Aluminum Powder Coated Extrusion, Pressure measurement ports, PAO concentration Port, Al. Aerofoil Volume Control Sqaure Type Damper with worm gear (operated from room side), Diffuser Plate with 18G SS Perforation Sheet at Bottom (Capsule Design 60% Opening). Housing Loading shall be from Bottom (Clean Room side). Average Filtration Efficiency shall be 99.999% down to 0.3 μm, with bothside Face Guard, and each filter shall be Auto Scan Tested in accordance with EN1822 standard and manufactured in Class 100000 Clean Room.  HEPA filters shall be installed as per the approved shop drawings and specifications, and shall be of following sizes:
</t>
  </si>
  <si>
    <t>a. 600mmx600mmx150mm (Thick)</t>
  </si>
  <si>
    <t>b. 600mmx600mmx300mm (Thick)</t>
  </si>
  <si>
    <t>Magnehelic Gauge</t>
  </si>
  <si>
    <t>Scope includes the supply, installation, testing, and commissioning of a Magnehelic gauge with a pressure measurement range of 0–50 Pa, complete with calibration nozzles and high-quality PVC tubing. The tubing shall be installed to facilitate pressure readings across the designated room, ensuring accurate differential pressure monitoring. The entire setup shall be carried out in accordance with relevant standards and shall be suitable for cleanroom or HVAC applications, as applicable</t>
  </si>
  <si>
    <t>TOTAL  CARRIED  TO  SUMMARY  (EQUIPMENT)                                                 Rs.</t>
  </si>
  <si>
    <t xml:space="preserve">CONDENSER WATER PIPING  </t>
  </si>
  <si>
    <t>Providing and fixing in position the following MS  heavy  class pipes cut to required lengths and installed with  all  welded joints. Providing and fixing in  position the  necessary  fittings like  elbows, tees, reducers, hanging arrangement including vibration isolation arrangements with anti-seismic feature etc. as required.</t>
  </si>
  <si>
    <t>a.   300mm dia (8mm thick)</t>
  </si>
  <si>
    <t>b.   250mm dia (6mm thick)</t>
  </si>
  <si>
    <t>c.   200mm dia (6mm thick)</t>
  </si>
  <si>
    <t>d.   150mm dia</t>
  </si>
  <si>
    <t>e.   125mm dia</t>
  </si>
  <si>
    <t>f.   100mm dia</t>
  </si>
  <si>
    <t>2.2</t>
  </si>
  <si>
    <t>Providing and fixing in position the following wafer type Butterfly Valves complete with companion flanges, nuts, bolts, gaskets etc. as required. Butterfly valves shall conform to PN-16 rating as per specifications.</t>
  </si>
  <si>
    <t xml:space="preserve">a.  250mm dia </t>
  </si>
  <si>
    <t>b.  150mm dia</t>
  </si>
  <si>
    <t>c.  100mm dia</t>
  </si>
  <si>
    <t>2.3</t>
  </si>
  <si>
    <t>Providing and fixing in position the following Motorised Butterfly Valves with all accessories as required. Butterfly valves shall conform to PN-16 rating as  per specifications.The valve shall be BMS compatible.</t>
  </si>
  <si>
    <t xml:space="preserve">b.  150mm dia </t>
  </si>
  <si>
    <t>2.4</t>
  </si>
  <si>
    <t>Providing and fixing in position the following Ball Valves as per the specifications.</t>
  </si>
  <si>
    <t>a.    40mm dia</t>
  </si>
  <si>
    <t>b.    32mm dia</t>
  </si>
  <si>
    <t>2.5</t>
  </si>
  <si>
    <t xml:space="preserve">Providing and fixing in position  the following specified make balancing valves. Balancing valves shall conform to PN -16 rating as per the specifications.  </t>
  </si>
  <si>
    <t>a.  250mm dia</t>
  </si>
  <si>
    <t>Providing and fixing in position the following wafer type dual plate check valves. Check   valves shall conform to PN-16 rating as per the specifications.</t>
  </si>
  <si>
    <t>a.  250 mm dia</t>
  </si>
  <si>
    <t>b.  150 mm dia</t>
  </si>
  <si>
    <t>2.7</t>
  </si>
  <si>
    <t>Providing and fixing in position   the  following automatic purge valves. Purge valves shall conform to PN-16 rating.</t>
  </si>
  <si>
    <t>2.8</t>
  </si>
  <si>
    <t>Providing and fixing in position industrial type pressure gauges constructed out of SS 304 material. SS siphon shall be factory insulated with closed cell elastomeric insulation in tubing form.  Pressure gauges shall be factory fitted with a ball valve at the tube.</t>
  </si>
  <si>
    <t>2.9</t>
  </si>
  <si>
    <t>Supply and fixing in position V-form industrial type thermometers as per the specifications.</t>
  </si>
  <si>
    <t>2.10</t>
  </si>
  <si>
    <t xml:space="preserve">Providing  and  fixing  in  position  the  following suction guides with strainer for condenser water pumps. The suction guides shall be installed at the inlet of each pump and rated for 16 Bar (PN-16) operating pressure. Suction guide shall have SG Iron/ MS body with wall thickness minimum 8mm. Suction guide shall be complete with outlet guide vanes, removable SS strainers and fine mesh SS start-up strainer. The connecting flanges shall be raised face type. Each suction guide shall be provided with 1/2" dia. ball type blow down valve. </t>
  </si>
  <si>
    <t>2.11</t>
  </si>
  <si>
    <t>Supply &amp; Installation of neoprene rubber expansion belows with integral reinforced rubber flanges, guide rods on both sides at  inlet &amp; outlet of  water chilling machines  and condenser water pumps of approved  make.</t>
  </si>
  <si>
    <t>2.12</t>
  </si>
  <si>
    <t xml:space="preserve">Providing and fixing in position approved make differential pressure switches complete with copper control wiring  at condenser water outlet  of each machine.  </t>
  </si>
  <si>
    <t>Sets</t>
  </si>
  <si>
    <t>2.13</t>
  </si>
  <si>
    <t>Supply &amp; application of 1.5mm  thick  FRP lining on condenser water piping within cooling tower yard on terrace.</t>
  </si>
  <si>
    <t>a.   300mm dia (6mm thick)</t>
  </si>
  <si>
    <t>2.14</t>
  </si>
  <si>
    <t>Providing and fixing in position the following GI medium class pipes for  drain cut to required lengths &amp; installed with all screwed joints and providing &amp; fixing  in position the necessary elbows, tees &amp; reducers.</t>
  </si>
  <si>
    <t>a.   40mm dia</t>
  </si>
  <si>
    <t>b.   32mm dia</t>
  </si>
  <si>
    <t xml:space="preserve">TOTAL  CARRIED  TO  SUMMARY  (CDW PIPING)                                               Rs.  </t>
  </si>
  <si>
    <t>CHILLED WATER  PIPING</t>
  </si>
  <si>
    <t>3.1</t>
  </si>
  <si>
    <t>Providing and fixing in position the following MS  heavy  class pipes cut  to required  lengths  and installed with  all  welded  joints. Providing &amp; fixing in  position the  necessary  fittings like  elbows, tees, reducers, hanging arrangement including vibration isolation arrangements with anti-seismic feature etc. as required.</t>
  </si>
  <si>
    <t>a.   250mm dia (6mm thick)</t>
  </si>
  <si>
    <t>b.   200mm dia (6mm thick)</t>
  </si>
  <si>
    <t>c.    150mm dia</t>
  </si>
  <si>
    <t>d.    125mm dia</t>
  </si>
  <si>
    <t>e.    100mm dia</t>
  </si>
  <si>
    <t>f.     80mm dia</t>
  </si>
  <si>
    <t>g.     65mm dia</t>
  </si>
  <si>
    <t>h.     50mm dia</t>
  </si>
  <si>
    <t>i.      40mm dia</t>
  </si>
  <si>
    <t>j.      32mm dia</t>
  </si>
  <si>
    <t>k.     25mm dia</t>
  </si>
  <si>
    <t>l.      20mm dia</t>
  </si>
  <si>
    <t>3.2</t>
  </si>
  <si>
    <t>Providing &amp;  fixing in position the following wafer type Butterfly Valves complete with companion flanges, nuts, bolts, gaskets  etc. as required. Butterfly valves shall conform to PN-16 rating as per specifications. Quoted price shall be inclusive of insulation as per the specifications.</t>
  </si>
  <si>
    <t xml:space="preserve">a.   250mm dia </t>
  </si>
  <si>
    <t xml:space="preserve">b.   200mm dia </t>
  </si>
  <si>
    <t>3.3</t>
  </si>
  <si>
    <t>Providing &amp; fixing in position  the following Motorised Butterfly Valves with necessary actuator &amp; control wiring. Butterfly valves shall conform to PN-16 rating as per the specifications. Quoted price shall be inclusive of insulation as per the specifications. The valve shall be BMS compatible.</t>
  </si>
  <si>
    <t>b.  200mm dia</t>
  </si>
  <si>
    <t>c.  150mm dia</t>
  </si>
  <si>
    <t>3.4</t>
  </si>
  <si>
    <t>Providng and fixing in position the following Ball Valves as per the specifications. Quoted price shall be inclusive of insulation as per the specifications.</t>
  </si>
  <si>
    <t>a.    50mm dia</t>
  </si>
  <si>
    <t>b.    40mm dia</t>
  </si>
  <si>
    <t>c.    32mm dia</t>
  </si>
  <si>
    <t>d.    25mm dia</t>
  </si>
  <si>
    <t>e.    20mm dia</t>
  </si>
  <si>
    <t>3.5</t>
  </si>
  <si>
    <t>Providing and fixing in position the following specified make automatic balancing valves. The automatic balancing valves shall conform to PN-16 rating as per the specifications. Quoted price shall be inclusive of insulation as per the specifications.</t>
  </si>
  <si>
    <t>a.  150mm dia</t>
  </si>
  <si>
    <t>3.6</t>
  </si>
  <si>
    <t>Providing and fixing in position the following specified make balancing valves. The balancing valves shall conform to PN-16 rating as per the specifications. Quoted price shall be inclusive of insulation as per the specifications.</t>
  </si>
  <si>
    <t>a.  100mm dia</t>
  </si>
  <si>
    <t>b.  80mm dia</t>
  </si>
  <si>
    <t>c.  65mm dia</t>
  </si>
  <si>
    <t>d.  50mm dia</t>
  </si>
  <si>
    <t>e . 40mm dia</t>
  </si>
  <si>
    <t>3.7</t>
  </si>
  <si>
    <t>Providing and fixing in position self balancing pressure independent two way combined control valves with modulating actuators for AHUs &amp; TFAUs. Quoted price shall be inclusive of cooling/ heating digital thermostat compatible with BMS, and mecessary arrangement to ensure that the valve is 100% closed when AHU/ TFA is shut-off. Valves shall conform to PN-10 rating and shall be complete in all respects as per the specifications. The valves shall be of following sizes:</t>
  </si>
  <si>
    <t>a.  150mm dia   (398-704 USGPM)</t>
  </si>
  <si>
    <t>b.   125 mm dia    (168-397 USGPM)</t>
  </si>
  <si>
    <t>c.  100mm dia   (123-168 USGPM)</t>
  </si>
  <si>
    <t>d.   80 mm dia    (88-123 USGPM)</t>
  </si>
  <si>
    <t>e.   65mm dia    (56-88 USGPM)</t>
  </si>
  <si>
    <t>f.  50mm dia    (34-56 USGPM)</t>
  </si>
  <si>
    <t>g.  40mm dia    (14-34 USGPM)</t>
  </si>
  <si>
    <t>h.   32mm dia    (7.6-14 USGPM)</t>
  </si>
  <si>
    <t>i.  25mm dia   (4.9-7.5 USGPM)</t>
  </si>
  <si>
    <t>j.  20mm dia    (2.5-4.8 USGPM)</t>
  </si>
  <si>
    <t>3.8</t>
  </si>
  <si>
    <t>Providing and fixing in position self balancing pressure independent two way combined control valves with modulating actuators for FCUs. Quoted price shall be inclusive of cooling digital thermostat, copper control wiring in MS conduits, necessary relays to ensure that the valve is 100% closed when FCU is shut-off, and required stepdown transformer. Valves shall conform to PN-10 rating and shall be complete in all respects as per the specifications. The valves shall be of following sizes:</t>
  </si>
  <si>
    <t>a.  25mm dia (4.9-7.5 USGPM)</t>
  </si>
  <si>
    <t>b.  20mm dia (2.5-4.8 USGPM)</t>
  </si>
  <si>
    <t>3.9</t>
  </si>
  <si>
    <r>
      <t xml:space="preserve">Providing &amp; Fixing  in position the following </t>
    </r>
    <r>
      <rPr>
        <b/>
        <sz val="11"/>
        <rFont val="Calibri"/>
        <family val="2"/>
      </rPr>
      <t>digital cooling only</t>
    </r>
    <r>
      <rPr>
        <sz val="11"/>
        <rFont val="Calibri"/>
        <family val="2"/>
      </rPr>
      <t xml:space="preserve"> type thermostat compatible with above self balancing pressure independent control valves. The sample shall be approved by ID prior to procurement. </t>
    </r>
  </si>
  <si>
    <t>3.10</t>
  </si>
  <si>
    <r>
      <t xml:space="preserve">Providng and fixing in position the following pair of Ball Valves one with strainer and the other without strainer for </t>
    </r>
    <r>
      <rPr>
        <b/>
        <sz val="11"/>
        <rFont val="Calibri"/>
        <family val="2"/>
      </rPr>
      <t>Fan Coil Units</t>
    </r>
    <r>
      <rPr>
        <sz val="11"/>
        <rFont val="Calibri"/>
        <family val="2"/>
      </rPr>
      <t xml:space="preserve"> as per the specifications. Quoted price shall be inclusive of insulation.</t>
    </r>
  </si>
  <si>
    <t xml:space="preserve">a.  25mm dia </t>
  </si>
  <si>
    <t xml:space="preserve">b.  20mm dia </t>
  </si>
  <si>
    <t>3.11</t>
  </si>
  <si>
    <r>
      <t xml:space="preserve">Providing and fixing in position the following wafer type dual plate check valves. Check valves shall conform to </t>
    </r>
    <r>
      <rPr>
        <b/>
        <sz val="11"/>
        <rFont val="Calibri"/>
        <family val="2"/>
      </rPr>
      <t>PN-16</t>
    </r>
    <r>
      <rPr>
        <sz val="11"/>
        <rFont val="Calibri"/>
        <family val="2"/>
      </rPr>
      <t xml:space="preserve"> rating as per the specifications. Quoted price shall be inclusive of insulation as per the specifications.</t>
    </r>
  </si>
  <si>
    <t>a.  200mm dia</t>
  </si>
  <si>
    <t>d.  100mm dia</t>
  </si>
  <si>
    <t>3.12</t>
  </si>
  <si>
    <t>Providing  and  fixing  in  position  the  following 'Y' strainers complete with insulation for AHUs &amp; TFAUs.</t>
  </si>
  <si>
    <t xml:space="preserve">a.  150mm dia  </t>
  </si>
  <si>
    <t xml:space="preserve">b.   125 mm dia   </t>
  </si>
  <si>
    <t xml:space="preserve">c.  100mm dia   </t>
  </si>
  <si>
    <t xml:space="preserve">d.   80 mm dia  </t>
  </si>
  <si>
    <t xml:space="preserve">e.   65mm dia   </t>
  </si>
  <si>
    <t xml:space="preserve">f.  50mm dia    </t>
  </si>
  <si>
    <t xml:space="preserve">g.  40mm dia   </t>
  </si>
  <si>
    <t xml:space="preserve">h.   32mm dia    </t>
  </si>
  <si>
    <t xml:space="preserve">i.  25mm dia   </t>
  </si>
  <si>
    <t xml:space="preserve">j.  20mm dia  </t>
  </si>
  <si>
    <t>3.13</t>
  </si>
  <si>
    <t>Providing    and    fixing   in   position   the  following automatic purge valves. Purge valves shall conform to PN-16 rating. Quoted price shall be inclusive of isolation valves.</t>
  </si>
  <si>
    <t>3.14</t>
  </si>
  <si>
    <t>Providing and fixing in position industrial type pressure gauges constructed out of SS 304 material. SS siphon shall be factory insulated with closed cell elastomeric insulation in tubing form. Pressure gauges shall be factory fitted with a ball valve at the tube.</t>
  </si>
  <si>
    <t>3.15</t>
  </si>
  <si>
    <t>PRESSURIZATION UNIT WITH BUILT-IN DE-AERATOR</t>
  </si>
  <si>
    <t>Supply, Installation, Testing &amp; Commissioning of Pressurization Unit with built-in Deaerator consisting of Non-precharged Closed Expansion Tank complete with twin make-up water pumps (including one standby), touchscreen control panel, pressure switch, non-return valve, digital pressure gauges. The tank shall be of black-steel construction and complete as per the specifications. The system shall be capable of degassing air in the system at atmospheric pressure. The unit shall be suitable for the following Capacity and Static Head:</t>
  </si>
  <si>
    <t>i.  500 Litres, Static Head 40 M</t>
  </si>
  <si>
    <t>ii. 300 Litres, Static Head 40 M</t>
  </si>
  <si>
    <t xml:space="preserve">NOTE: Selection shall be shared based on OEM Standards. </t>
  </si>
  <si>
    <t>DIRT SEPARATORS (CHW)</t>
  </si>
  <si>
    <t xml:space="preserve">Supply, Installation, Testing &amp; Commissioning of Dirt Separators for dirt removal including magnetic particles through a ferro magnet. The dirt separator should be able to remove particle sizes upto 5 microns through Copper Mesh, and shall be located on the return CHW line on pump suction. The separator should be complete with flanges, drain valve, and complete as per the specifications. The separator shall be suitable for following flow rate and pressure rating:
</t>
  </si>
  <si>
    <t>i.   1200 USGPM (PN-10)</t>
  </si>
  <si>
    <t>ii.   960 USGPM (PN-10)</t>
  </si>
  <si>
    <t xml:space="preserve">VACCUM DEGASSERS </t>
  </si>
  <si>
    <r>
      <t xml:space="preserve">Supply, Installation, Testing &amp; Commissioning of Vacuum Degasser to be connected as a bypass to the main water pipline in the CHW system. The Vacuum Degasser shall be of automatic operation and fitted with a high efficiency multisatge pump. The degasser shall be of 150 - 300 Cubic Metre degassing capacity with a capacity to degas up to 500 LPH (35 M Static Head) depending upon the model selected as per the system working pressure. The Vacuum Degasser shall be </t>
    </r>
    <r>
      <rPr>
        <sz val="11"/>
        <rFont val="Calibri"/>
        <family val="2"/>
      </rPr>
      <t xml:space="preserve">BMS Compatible. </t>
    </r>
  </si>
  <si>
    <t>3.19</t>
  </si>
  <si>
    <t>a.  50mm dia</t>
  </si>
  <si>
    <t>b.  40mm dia</t>
  </si>
  <si>
    <t>c.  32mm dia</t>
  </si>
  <si>
    <t>d.  25mm dia</t>
  </si>
  <si>
    <t>e.  20mm dia</t>
  </si>
  <si>
    <t>Providing and fixing in position the following  medium class pipes for condensate drain cut to required lengths &amp; installed with all screwed joints and providing and fixing  position the necessary elbows, tees &amp; reducers.</t>
  </si>
  <si>
    <t>3.21</t>
  </si>
  <si>
    <t>Supply &amp; Installation of neoprene rubber expansion belows with integral reinforced rubber flanges, guide rods on both sides at  inlet and outlet of  water chilling/ heating machines, chilled water pumps, of approved  make.</t>
  </si>
  <si>
    <t>3.22</t>
  </si>
  <si>
    <t xml:space="preserve">Providing and fixing in position approved make differential pressure switches complete with copper control wiring  between inlet and outlet of each Chillers. These shall be BMS compatible. </t>
  </si>
  <si>
    <t>3.23</t>
  </si>
  <si>
    <t xml:space="preserve">Providing  and  fixing  in  position  the  following suction guides with strainer &amp; insulation for chilled  water pumps. The suction guides shall be installed at the inlet of each pump and rated for 16 Bar (PN-16) operating pressure. Suction guide shall have SG Iron/ MS body with wall thickness minimum 8mm. Suction guide shall be complete with outlet guide vanes, removable SS strainers and fine mesh SS start-up strainer. The connecting flanges shall be raised face type. Each suction guide shall be provided with 1/2" dia. ball type blow down valve. </t>
  </si>
  <si>
    <t>3.24</t>
  </si>
  <si>
    <t>Providing  and   fixing in position  of  approved make Test Points comprising of accessories such as adaptors, needle etc. The test points shall be installed at inlet and outlet of each ceiling suspended AHUs &amp; TFAUs etc. Test points shall be in brass construction and comprise of 1/4" BSP  with  neoprene  sealing bushes and screwed  covers.</t>
  </si>
  <si>
    <t>3.25</t>
  </si>
  <si>
    <t>BTU METERS FOR AHUs (BMS COMPATIBLE)</t>
  </si>
  <si>
    <t xml:space="preserve">Supply, Installation, Testing and Commissioning of BMS compatible ultrasonic BTU Meter complete with flanged type water flow meter (pressure drop across water meter not exceeding 0.1 bar  at the specified nominal flow rate), temperature sensors, LCD display panel, inbuilt Lithium battery backup with minimum six years life. </t>
  </si>
  <si>
    <t>The units shall be capable to calculate and store maximum values, display flow rates and temperature difference across supply and return.  The quoted price shall be inclusive of necessary wiring, conduiting between the flow meter and the display panel. The unit shall be housed in a totally tamper proof box. BTU meters shall be capable of providing necessary output on Modbus for BMS integration. The size of the BTU meter is as under:</t>
  </si>
  <si>
    <t>a. BTU meter size, 250 mm</t>
  </si>
  <si>
    <t>b. BTU meter size, 200 mm</t>
  </si>
  <si>
    <t>c. BTU meter size, 150 mm</t>
  </si>
  <si>
    <t xml:space="preserve">TOTAL  CARRIED  TO  SUMMARY  (CHW PIPING)                                               Rs.  </t>
  </si>
  <si>
    <t>4.0</t>
  </si>
  <si>
    <t>4.1</t>
  </si>
  <si>
    <t>Supply of factory fabricated dutwork, Installation and  Testing  of  galvanised  sheet  metal ducts including  elbows, turning vanes, fire retardant  gaskets, slip  on  flanges,  GI fully threaded  rods,   GI supports/hangers etc. in accordance with the  approved shop drawings and specifications. The ducts shall be fabricated  and  installed  in  line with SMACNA standards.</t>
  </si>
  <si>
    <t>a.   1mm-500mm           (26 gauge)   GSS</t>
  </si>
  <si>
    <t>Supply, Fabrication, Installation and Testing of sheet  metal  ducts in accordance with the approved shop  drawings and specifications. Ducts shall be fabricated using lock forming machine.</t>
  </si>
  <si>
    <t xml:space="preserve">Supply, Fabrication, Installation &amp; Testing of 16 gauge black steel duct work in welded construction. The quoted price shall be inclusive of clean outs as per NFPA at base of verticle riser, change in direction, maximum at every 6.1 M horizontal &amp; every third floor of vertical riser &amp; at sprinkler heads.
</t>
  </si>
  <si>
    <t>c. Spring return type actuator with control panel, temperature sensor and suitable for 16 NM Torque.</t>
  </si>
  <si>
    <t>a.     200mm dia</t>
  </si>
  <si>
    <t>b.     150mm dia</t>
  </si>
  <si>
    <t>c.     100mm dia</t>
  </si>
  <si>
    <t>Supply, Installation  and  Testing  of  fresh air grilles  of      powder  coated/  anodised extruded  aluminium  with  filters, inlet louvers, dampers  and  bird  screen, as  per approved shop drawings and specifications.</t>
  </si>
  <si>
    <t>Supply, Installation  and  Testing  of non-return dampers as per specifications and design drawings.</t>
  </si>
  <si>
    <t>5.0</t>
  </si>
  <si>
    <t>Supply  and Application of  internal acoustic/ thermal insulation  of   ducting    using     open cell  elastomeric    insulation  with LEED compliant  adhesive, longitudinal &amp; transverse joints sealed with  adhesive in neat &amp; clean manner. All insulation joints shall have tape of same material with equivalent fire rating as the insulation.</t>
  </si>
  <si>
    <r>
      <t>Supply  and Application of  external thermal insulation  of   ducting  using   closed cell elastomeric insulation (</t>
    </r>
    <r>
      <rPr>
        <b/>
        <sz val="11"/>
        <rFont val="Calibri"/>
        <family val="2"/>
        <scheme val="minor"/>
      </rPr>
      <t>EPDM</t>
    </r>
    <r>
      <rPr>
        <sz val="11"/>
        <rFont val="Calibri"/>
        <family val="2"/>
        <scheme val="minor"/>
      </rPr>
      <t>) with  LEED compliant adhesive, longitudinal &amp; transverse joints sealed with  adhesive to form proper bonding. All insulation joints shall have tape of same material with equivalent fire rating as the insulation. No additional remuneration shall be paid for flange insulation.</t>
    </r>
  </si>
  <si>
    <t>5.3</t>
  </si>
  <si>
    <t>Supply and Application of 32mm/25mm/19mm thick closed cell elastomeric insulation in tubing form/ flat sections for chilled water piping to be installed throughout the project as per the  specifications.</t>
  </si>
  <si>
    <t>Quoted price shall be inclusive of adhesive and UV/ Mechanical Protection using weather resistant paint &amp; Glass Cloth/CSM as per specifications.</t>
  </si>
  <si>
    <t>a.   300mm dia  (32mm thick)</t>
  </si>
  <si>
    <t>b.   250mm dia  (32mm thick)</t>
  </si>
  <si>
    <t>c.   200mm dia  (32mm thick)</t>
  </si>
  <si>
    <t>d.   150mm dia  (32mm thick)</t>
  </si>
  <si>
    <t>e.   125mm dia (25mm thick)</t>
  </si>
  <si>
    <t>f.    100mm dia (19mm thick)</t>
  </si>
  <si>
    <t>g.    80mm dia (19mm thick)</t>
  </si>
  <si>
    <t>h.    65mm dia (19mm thick)</t>
  </si>
  <si>
    <t>i.     50mm dia (19mm thick)</t>
  </si>
  <si>
    <t>j.     40mm dia (19mm thick)</t>
  </si>
  <si>
    <t>k.    32mm dia (19mm thick)</t>
  </si>
  <si>
    <t>l.     25mm dia (19mm thick)</t>
  </si>
  <si>
    <t>m.  20mm dia (19mm thick)</t>
  </si>
  <si>
    <t>5.4</t>
  </si>
  <si>
    <t xml:space="preserve">Supply and Application of 9 mm thick closed cell elastomeric insulation in tubing  form for condensate drain piping as per the specifications. </t>
  </si>
  <si>
    <t>5.5</t>
  </si>
  <si>
    <t>Supply    and    Application   of    thermal/acoustic lining of walls &amp; ceiling  of  AHU rooms  using   fibreglass board having density not less than 80 kg/cu.m, laminated with aluminium foil on one side and three layers of black glass cloth on the other side,  mounted  on a 610mmx610mm frame work made out  of  GI  sheet  channels and  as per the specifications.</t>
  </si>
  <si>
    <t>a.  25mm  thick</t>
  </si>
  <si>
    <t>5.6</t>
  </si>
  <si>
    <t xml:space="preserve">Supply and Application  of closed cell elastomeric insulation for ducts exposed  to atmosphere using 16mm thick insulation  material in sheet form with adhesive, and longitudinal &amp; transverse joints sealed with tape of same fire rating as per specifications. Quoted  price  shall  be  inclusive  of UV/ Mechanical  Protection using weather resistant paint &amp; Glass Cloth/CSM as per  specifications. </t>
  </si>
  <si>
    <t>5.7</t>
  </si>
  <si>
    <t xml:space="preserve">Supply and Application of  fire retardant spray, 50mm rockwool and aluminum foil for kitchen hood extract ducts as per the specifications. </t>
  </si>
  <si>
    <t>5.8</t>
  </si>
  <si>
    <t xml:space="preserve">ELECTRICAL </t>
  </si>
  <si>
    <t>6.1</t>
  </si>
  <si>
    <t xml:space="preserve">MOTOR CONTROL CENTRE  </t>
  </si>
  <si>
    <t>Supply, Installation, Testing  and Commissioning of floor mounted cubicle type  electrical panel duly powder coated complete with aluminium bus  bars,  incoming, out going feeders etc. as  per specifications, drawings  and  as  described below. The  panel shall incorporate an extract fan mounted at the  top of  the panel complete with thermostat suitable to run the fan at 50 deg C. Fault level 36 kA/1 Sec.</t>
  </si>
  <si>
    <t>6.1.1</t>
  </si>
  <si>
    <t>MCC-1</t>
  </si>
  <si>
    <t>(LOCATION : PLANT ROOM TERRACE)</t>
  </si>
  <si>
    <t>INCOMING :</t>
  </si>
  <si>
    <t xml:space="preserve">800 Amps TP+N MCCB EDO type  -- 02 Sets  </t>
  </si>
  <si>
    <t>(These  breakers should  be electrically/ mechanically interlocked.)</t>
  </si>
  <si>
    <t>Multifunction meter to read ammeter   (0 - 800)  Amp,  Voltmeter (0-500)V, KW and KWH, A set  of CT's, RYB LED type phase indication lights  -- 02 Sets.</t>
  </si>
  <si>
    <t>BUSCOUPLER</t>
  </si>
  <si>
    <t>800 Amps TP+N MCCB EDO type as described above as Bus Coupler - 01 Set.</t>
  </si>
  <si>
    <t>BUSBARS :</t>
  </si>
  <si>
    <t>Electrolytic grade (E 91 E), 1000 Amps Capacity TPN  aluminium  bus  bar,  PVC heat shrunk insulated,  supported on DMC/SMC having fault level of 50 KA for 1 second.</t>
  </si>
  <si>
    <t>OUTGOING :</t>
  </si>
  <si>
    <t>a. 315 A TP+N MCCB, digital type ammeter with 630/5A CT's &amp; selector switch  for 119 KW motor of 180 TR Screw Chillers with VFD, ON-OFF indication lights --- 03 Sets. (2W+1S)</t>
  </si>
  <si>
    <t>b. 63 A TP+N MCCB with fully automatic Star/Delta starter with  built  in  single  phasing  preventer, overload relay &amp; 0-30 seconds adjustable timer, digital type  ammeter with CT's &amp; selector switch for 10 HP primary CHW pumps,  a set  of ON &amp; OFF indication lights &amp; START-STOP push buttons --- 03 Sets. (2W+1S)</t>
  </si>
  <si>
    <t>c. 100 A TP+N MCCB with fully automatic Star/Delta starter with  built  in  single  phasing  preventer, overload   relay  &amp;  0-30  seconds   adjustable timer, digital type  ammeter with CT's &amp; selector switch for  30 HP CDW  pumps,  a set  of ON &amp; OFF indication lights &amp; START-STOP push buttons --- 03 Sets.  (2W+1S)</t>
  </si>
  <si>
    <t>d. 63 A TP+N MCCB for 20 HP Secondary CHW variable speed pumps, a set of ON &amp; OFF  indication lights --- 03 Sets.  (2W+1S)</t>
  </si>
  <si>
    <t xml:space="preserve">e. 63 A TP+N MCCB with fully automatic DOL starter with  built  in  single  phasing  preventer, overload relay  &amp;  0-30  seconds adjustable timer, digital type  ammeter with CT's &amp; selector switch for 15 HP Cooling Tower fan motor,  a set  of ON &amp; OFF indication lights &amp; START-STOP push buttons --- 03 Sets. (2W+1S)  </t>
  </si>
  <si>
    <t>g.  Control  wiring  &amp;  safety  circuit  as  required  with Start-Stop  PB's stayput or  lockable   type  and  LED type 'ON' 'OFF' indication lights.</t>
  </si>
  <si>
    <r>
      <rPr>
        <b/>
        <u/>
        <sz val="11"/>
        <rFont val="Calibri"/>
        <family val="2"/>
      </rPr>
      <t>Notes</t>
    </r>
    <r>
      <rPr>
        <b/>
        <sz val="11"/>
        <rFont val="Calibri"/>
        <family val="2"/>
      </rPr>
      <t>:</t>
    </r>
  </si>
  <si>
    <t>a. Mechanical /electrical interlocking shall be provided between chillers, Heat Pumps, pumps and cooling towers as per system requirement briefly described below in order of operation:</t>
  </si>
  <si>
    <t>i.   CDW Pump</t>
  </si>
  <si>
    <t>ii.  CT Fan</t>
  </si>
  <si>
    <t>iii. P CHW Pump</t>
  </si>
  <si>
    <t>iv. S CHW Pump</t>
  </si>
  <si>
    <t>v.  Chiller</t>
  </si>
  <si>
    <t>NOTE: BMS/ CPM shall supercede interlocking at panel level.</t>
  </si>
  <si>
    <t>b. MCC should have enough space for mounting of VFDs within panel as required for Chiller, secondary chilled water pumps and shall have adequate ventilation arrangement for the same.</t>
  </si>
  <si>
    <t>MCC as described above.</t>
  </si>
  <si>
    <t>ELECTRICAL PANELS FOR Air Waser/ EFS/AXIAL / etc.</t>
  </si>
  <si>
    <t>Supply,  Installation,  Testing  &amp;  Commissioning of  wall/floor mounted cubicle type electrical panels including system control  wiring  with  incoming, outgoing  feeders as described below  and  as per specifications.</t>
  </si>
  <si>
    <t>6.2.1</t>
  </si>
  <si>
    <t>PANEL-'A' (LPP-3 &amp; LPP- 4) (F&amp;B TFA-4) (EFS-1)</t>
  </si>
  <si>
    <t>Location :  Close to Units</t>
  </si>
  <si>
    <t>a.  40A 4P MCB for 7.5 / 5 HP motor  - 01 Set.</t>
  </si>
  <si>
    <t>b.  RYB LED type indication  lights --- 01 Set.</t>
  </si>
  <si>
    <t>c.  Auto-Manual type selector switch to facilitate auto start of fans after  restoration of power -- 01 Set.</t>
  </si>
  <si>
    <t xml:space="preserve">     </t>
  </si>
  <si>
    <t>d.  Control wiring &amp; safety circuit as required  with  Start-Stop  PB's  stayput or lockable  type  and  LED type 'ON' 'OFF'  indication lights.</t>
  </si>
  <si>
    <t>Electrical panels as described above.</t>
  </si>
  <si>
    <t>6.2.2</t>
  </si>
  <si>
    <t>PANEL-'B' (SEFP-1,6,7,8,9,10,12,13 &amp; 14)</t>
  </si>
  <si>
    <t>Location : Close to Units</t>
  </si>
  <si>
    <t>a.  20A 4P MCB --- 01 Set.</t>
  </si>
  <si>
    <t>c. Digital Type Voltmeter (0-500)V --- 01 Set.</t>
  </si>
  <si>
    <t>Electrolytic grade (E 91 E),  25 A  capacity TPN  aluminium  busbar,  PVC  heat shrunk insulated, supported  on  DMC/SMC  having fault level of 25 KA for 1 second.</t>
  </si>
  <si>
    <t>a.  16A  TP  MCB  for  2/ 3  HP  motor,  a  fully automatic  DOL  starter  with  built  in  single  phasing  preventer and overload  relay, a set of LED type ON  &amp; OFF  indication  lights  &amp; START- STOP push buttons -02 sets.</t>
  </si>
  <si>
    <t>b.  Auto-Manual   type  selector  switch  to  facilitate auto  start  of  fans  after  restoration  of  power  -- 02 Sets.</t>
  </si>
  <si>
    <t xml:space="preserve">c.  Control   wiring   &amp;    safety   circuit  as required   with  Start-Stop   PB's   stayput  or  lockable  type  and  LED type 'ON' 'OFF' indication lights. </t>
  </si>
  <si>
    <t>Electrical panels  as described above.</t>
  </si>
  <si>
    <t>6.2.3</t>
  </si>
  <si>
    <t>PANEL-'C' (SEFP-2,3,4,5,11) + (LPP-2)</t>
  </si>
  <si>
    <t>a.  63A TP+N MCB --- 01 Set.</t>
  </si>
  <si>
    <t>Electrolytic grade (E 91 E),  100 A  capacity TPN  aluminium  busbar,  PVC  heat shrunk insulated, supported  on  DMC/SMC  having fault level of 25 KA for 1 second.</t>
  </si>
  <si>
    <t>a.  40A  TP  MCB  for  7.5 /5 HP  motor,  a  fully automatic  DOL  starter  with  built  in  single  phasing  preventer and overload  relay, a set of LED type ON  &amp; OFF  indication  lights  &amp; START- STOP push buttons -02 set.</t>
  </si>
  <si>
    <t>6.2.4</t>
  </si>
  <si>
    <t>PANEL-'D'  (LPP-1)</t>
  </si>
  <si>
    <t>a.  40A  TP  MCB  for  5  HP  motor,  a  fully automatic  DOL  starter  with  built  in  single  phasing  preventer and overload  relay, a set of LED type ON  &amp; OFF  indication  lights  &amp; START- STOP push buttons -04 set.</t>
  </si>
  <si>
    <t>b.  Auto-Manual   type  selector  switch  to  facilitate auto  start  of  fans  after  restoration  of  power  -- 04 Sets.</t>
  </si>
  <si>
    <r>
      <rPr>
        <b/>
        <u/>
        <sz val="11"/>
        <rFont val="Calibri"/>
        <family val="2"/>
      </rPr>
      <t>Note</t>
    </r>
    <r>
      <rPr>
        <b/>
        <sz val="11"/>
        <rFont val="Calibri"/>
        <family val="2"/>
      </rPr>
      <t>:</t>
    </r>
  </si>
  <si>
    <t xml:space="preserve">1.  The fabricator shall have the busbar chamber tested &amp; approved at CPRI for 50 KA/1 Sec.    </t>
  </si>
  <si>
    <t>2. The outgoing  starter  feeders  for ventilation fans  shall   be  provided  with  push  buttons,  indicating  lamps for  status  indication.</t>
  </si>
  <si>
    <t>3.  Proper isolation switches to be  provided near  air supply  and extract fans.</t>
  </si>
  <si>
    <t>4.  Bimetal  overload  relay  for  all   the starters  shall   have  built-in   single phasing prevention feature.</t>
  </si>
  <si>
    <t>5.  Electrical   interlocking  wiring  shall   be  provided  as  per  system  requirement.</t>
  </si>
  <si>
    <t xml:space="preserve">6.   Power cabling/wiring with necessary earthing from source  to   each panel shall  be provided by other agencies. </t>
  </si>
  <si>
    <t>7.   All Electrical Panels shall be compatible with BMS and necessary provisions to be made  in each panel.</t>
  </si>
  <si>
    <t>Supply, laying, affecting connections &amp; Testing of  the   following sizes of 1.1 KV armoured PVC insulated aluminium/ copper conductor cables. Cables shall be inclusive conductor cables. Cables shall be inclusive of all clamps, saddles, screws, cable identification tags, cable terminal  joints  including  terminal lugs, insulating   tapes, affecting  terminal connections to the equipment as per the specifications and as required.</t>
  </si>
  <si>
    <t>Normal Cables</t>
  </si>
  <si>
    <t>a. 3.5C    x   240    Sqmm cable     (Aluminium)</t>
  </si>
  <si>
    <t>b. 3.5C   x    150    Sqmm cable     (Aluminium)</t>
  </si>
  <si>
    <t>c. 3.5C    x    120   Sqmm cable     (Aluminium)</t>
  </si>
  <si>
    <t>d. 3.5C   x      95    Sqmm cable     (Aluminium)</t>
  </si>
  <si>
    <t>e.  3C      x      35    Sqmm cable     (Aluminium)</t>
  </si>
  <si>
    <t>f.   3C      x      25    Sqmm cable     (Aluminium)</t>
  </si>
  <si>
    <t>g.  3C      x      16    Sqmm cable     (Copper)</t>
  </si>
  <si>
    <t>h.  3C     x      10    Sqmm cable      (Copper)</t>
  </si>
  <si>
    <t xml:space="preserve">i.  3C      x        6    Sqmm cable      (Copper)   </t>
  </si>
  <si>
    <t>j.  3C      x        4    Sqmm cable      (Copper)</t>
  </si>
  <si>
    <t xml:space="preserve">k. 3C      x    2.5    Sqmm cable      (Copper) </t>
  </si>
  <si>
    <t>FRLS Cables - For Fire &amp; Life Safety Equipments</t>
  </si>
  <si>
    <t>a. 4 C      x      10     Sqmm cable     (Copper)</t>
  </si>
  <si>
    <t>a. 4 C      x      6     Sqmm cable     (Copper)</t>
  </si>
  <si>
    <t>a. 4 C      x      4     Sqmm cable     (Copper)</t>
  </si>
  <si>
    <t xml:space="preserve">b.  4C      x   2.5    Sqmm cable      (Copper) </t>
  </si>
  <si>
    <t>CABLE TRAYS</t>
  </si>
  <si>
    <t xml:space="preserve">Supplying &amp; Fixing of following sizes of GI cable tray duly  painted perforated type along with necessary elbows,  bends, reducers etc. anchored along the wall / suspended from the ceiling with necessary MS supports. Supports shall be in the form of 40mmx40mmx5mm angles and provided at a distance of 1200mm including grouting in the wall and making good as well. </t>
  </si>
  <si>
    <t>a.  40 x  50 x 40 x 2mm</t>
  </si>
  <si>
    <t>b.  40 x 100 x 40 x 2mm</t>
  </si>
  <si>
    <t>c.  40 x 150 x 40 x 2mm</t>
  </si>
  <si>
    <t>d.  40 x 300 x 40 x 2mm</t>
  </si>
  <si>
    <t>e.  40 x 450 x 40 x 2mm</t>
  </si>
  <si>
    <t>f.  40 x 600 x 40 x 2mm</t>
  </si>
  <si>
    <t>Providing &amp; fixing in position the following bare GI tape/ Cu wire including providing all fixing accessories  &amp;  effecting proper connections.</t>
  </si>
  <si>
    <t xml:space="preserve">a.  2x 32mm x 6mm  tape </t>
  </si>
  <si>
    <t xml:space="preserve">b.  2x 25mm x 3mm  tape </t>
  </si>
  <si>
    <t>c.   8 SWG Cu Wire</t>
  </si>
  <si>
    <t>d. 12 SWG Cu Wire</t>
  </si>
  <si>
    <t>Supply and Installation of TPN isolator of appropriate rating in weather proof enclosure near cooling towers.</t>
  </si>
  <si>
    <t>Supply and fixing of 1.1 KV  grade  rubber mat 914.4 mm wide 6mm thick to withstand 1.1 KV dielectric strength  in front of each panel.</t>
  </si>
  <si>
    <t xml:space="preserve">TOTAL CARRIED TO SUMMARY (ELECTRICAL) Rs.   </t>
  </si>
  <si>
    <t>1. GST extra @18% on the total contract value.</t>
  </si>
  <si>
    <t>2. Duty exemption under EPCG scheme to be considered on the following items:</t>
  </si>
  <si>
    <t>Import Duty</t>
  </si>
  <si>
    <t>1.   Water Cooled Screw Chillers</t>
  </si>
  <si>
    <t>2.  Fan Coil Units</t>
  </si>
  <si>
    <t>3.  Variable Frequency Drives</t>
  </si>
  <si>
    <t>4.  Self Balancing Pressure Independent Control Valves</t>
  </si>
  <si>
    <t>Included Above</t>
  </si>
  <si>
    <t>1. Bidders shall ensure  availability of spare parts for chillers for a minimum period of Ten Years.</t>
  </si>
  <si>
    <t>2.  Quoted price shall be For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</si>
</sst>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
    <numFmt numFmtId="165" formatCode="0.000"/>
    <numFmt numFmtId="166" formatCode="0.0"/>
    <numFmt numFmtId="167" formatCode="&quot;$&quot;#,##0.00"/>
    <numFmt numFmtId="168" formatCode="General_)"/>
    <numFmt numFmtId="169" formatCode="0;[Red]0"/>
    <numFmt numFmtId="170" formatCode="_(* #,##0_);_(* \(#,##0\);_(* &quot;-&quot;??_);_(@_)"/>
  </numFmts>
  <fonts count="84">
    <font>
      <sz val="11"/>
      <color theme="1"/>
      <name val="Calibri"/>
      <family val="2"/>
      <scheme val="minor"/>
    </font>
    <font>
      <b/>
      <sz val="20"/>
      <color theme="1"/>
      <name val="Aptos"/>
      <family val="2"/>
    </font>
    <font>
      <b/>
      <sz val="11"/>
      <color theme="1"/>
      <name val="Aptos"/>
      <family val="2"/>
    </font>
    <font>
      <sz val="11"/>
      <color theme="1"/>
      <name val="Aptos"/>
      <family val="2"/>
    </font>
    <font>
      <sz val="11"/>
      <color theme="0"/>
      <name val="Aptos"/>
      <family val="2"/>
    </font>
    <font>
      <b/>
      <sz val="14"/>
      <color theme="0"/>
      <name val="Aptos"/>
      <family val="2"/>
    </font>
    <font>
      <b/>
      <sz val="11"/>
      <color theme="0"/>
      <name val="Aptos"/>
      <family val="2"/>
    </font>
    <font>
      <sz val="10"/>
      <name val="Arial"/>
      <family val="2"/>
    </font>
    <font>
      <b/>
      <sz val="11"/>
      <color rgb="FFFF0000"/>
      <name val="Arial"/>
      <family val="2"/>
    </font>
    <font>
      <b/>
      <sz val="11"/>
      <color rgb="FF002060"/>
      <name val="Arial"/>
      <family val="2"/>
    </font>
    <font>
      <sz val="10"/>
      <color rgb="FF002060"/>
      <name val="Arial"/>
      <family val="2"/>
    </font>
    <font>
      <sz val="9"/>
      <color rgb="FF002060"/>
      <name val="Arial"/>
      <family val="2"/>
    </font>
    <font>
      <b/>
      <sz val="12"/>
      <color rgb="FF002060"/>
      <name val="Arial"/>
      <family val="2"/>
    </font>
    <font>
      <sz val="11"/>
      <color rgb="FF002060"/>
      <name val="Arial"/>
      <family val="2"/>
    </font>
    <font>
      <b/>
      <sz val="11"/>
      <name val="Arial"/>
      <family val="2"/>
    </font>
    <font>
      <sz val="11"/>
      <name val="Arial"/>
      <family val="2"/>
    </font>
    <font>
      <sz val="9"/>
      <name val="Arial"/>
      <family val="2"/>
    </font>
    <font>
      <b/>
      <sz val="10"/>
      <name val="Arial"/>
      <family val="2"/>
    </font>
    <font>
      <sz val="11"/>
      <color indexed="10"/>
      <name val="Arial"/>
      <family val="2"/>
    </font>
    <font>
      <b/>
      <sz val="14"/>
      <name val="Arial"/>
      <family val="2"/>
    </font>
    <font>
      <b/>
      <sz val="12"/>
      <name val="Arial"/>
      <family val="2"/>
    </font>
    <font>
      <sz val="12"/>
      <name val="Arial"/>
      <family val="2"/>
    </font>
    <font>
      <u/>
      <sz val="10"/>
      <color indexed="12"/>
      <name val="Arial"/>
      <family val="2"/>
    </font>
    <font>
      <sz val="16"/>
      <name val="Arial"/>
      <family val="2"/>
    </font>
    <font>
      <sz val="11"/>
      <color theme="1"/>
      <name val="Calibri"/>
      <family val="2"/>
      <scheme val="minor"/>
    </font>
    <font>
      <sz val="11"/>
      <color rgb="FFFF0000"/>
      <name val="Calibri"/>
      <family val="2"/>
      <scheme val="minor"/>
    </font>
    <font>
      <b/>
      <sz val="11"/>
      <color theme="1"/>
      <name val="Calibri"/>
      <family val="2"/>
      <scheme val="minor"/>
    </font>
    <font>
      <b/>
      <sz val="14"/>
      <color rgb="FF92D050"/>
      <name val="Aptos"/>
      <family val="2"/>
    </font>
    <font>
      <b/>
      <sz val="8"/>
      <name val="Arial"/>
      <family val="2"/>
    </font>
    <font>
      <b/>
      <sz val="11"/>
      <name val="Calibri"/>
      <family val="2"/>
    </font>
    <font>
      <b/>
      <sz val="16"/>
      <name val="Calibri"/>
      <family val="2"/>
      <scheme val="minor"/>
    </font>
    <font>
      <sz val="12"/>
      <name val="Calibri"/>
      <family val="2"/>
      <scheme val="minor"/>
    </font>
    <font>
      <b/>
      <sz val="12"/>
      <name val="Calibri"/>
      <family val="2"/>
      <scheme val="minor"/>
    </font>
    <font>
      <b/>
      <sz val="11"/>
      <name val="Calibri"/>
      <family val="2"/>
      <scheme val="minor"/>
    </font>
    <font>
      <sz val="11"/>
      <name val="Calibri"/>
      <family val="2"/>
      <scheme val="minor"/>
    </font>
    <font>
      <sz val="10"/>
      <name val="Arial"/>
      <family val="2"/>
      <charset val="204"/>
    </font>
    <font>
      <sz val="12"/>
      <name val="Calibri"/>
      <family val="2"/>
    </font>
    <font>
      <b/>
      <sz val="10"/>
      <name val="Calibri"/>
      <family val="2"/>
      <scheme val="minor"/>
    </font>
    <font>
      <b/>
      <sz val="11"/>
      <color rgb="FFFF0000"/>
      <name val="Calibri"/>
      <family val="2"/>
      <scheme val="minor"/>
    </font>
    <font>
      <sz val="10"/>
      <name val="Courier"/>
    </font>
    <font>
      <sz val="11"/>
      <name val="Calibri"/>
      <family val="2"/>
    </font>
    <font>
      <sz val="10"/>
      <name val="Calibri"/>
      <family val="2"/>
      <scheme val="minor"/>
    </font>
    <font>
      <sz val="10"/>
      <name val="Vogue"/>
    </font>
    <font>
      <u/>
      <sz val="11"/>
      <name val="Calibri"/>
      <family val="2"/>
    </font>
    <font>
      <b/>
      <sz val="9"/>
      <name val="Calibri"/>
      <family val="2"/>
      <scheme val="minor"/>
    </font>
    <font>
      <sz val="9"/>
      <name val="Calibri"/>
      <family val="2"/>
      <scheme val="minor"/>
    </font>
    <font>
      <sz val="10"/>
      <name val="Calibri"/>
      <family val="2"/>
    </font>
    <font>
      <sz val="9"/>
      <color rgb="FFFF0000"/>
      <name val="Calibri"/>
      <family val="2"/>
      <scheme val="minor"/>
    </font>
    <font>
      <sz val="10"/>
      <color rgb="FFFF0000"/>
      <name val="Calibri"/>
      <family val="2"/>
    </font>
    <font>
      <sz val="11"/>
      <color rgb="FFFF0000"/>
      <name val="Calibri"/>
      <family val="2"/>
    </font>
    <font>
      <sz val="10"/>
      <color rgb="FFFF0000"/>
      <name val="Calibri"/>
      <family val="2"/>
      <scheme val="minor"/>
    </font>
    <font>
      <sz val="10"/>
      <color rgb="FFFF0000"/>
      <name val="Arial"/>
      <family val="2"/>
    </font>
    <font>
      <sz val="12"/>
      <color rgb="FFFF0000"/>
      <name val="Calibri"/>
      <family val="2"/>
      <scheme val="minor"/>
    </font>
    <font>
      <b/>
      <sz val="14"/>
      <name val="Calibri"/>
      <family val="2"/>
      <scheme val="minor"/>
    </font>
    <font>
      <b/>
      <u/>
      <sz val="11"/>
      <name val="Calibri"/>
      <family val="2"/>
      <scheme val="minor"/>
    </font>
    <font>
      <b/>
      <sz val="11"/>
      <color rgb="FFFF0000"/>
      <name val="Calibri"/>
      <family val="2"/>
    </font>
    <font>
      <sz val="10"/>
      <name val="Helv"/>
    </font>
    <font>
      <vertAlign val="superscript"/>
      <sz val="11"/>
      <color theme="1"/>
      <name val="Calibri (Body)"/>
    </font>
    <font>
      <b/>
      <sz val="11"/>
      <color theme="1"/>
      <name val="Calibri"/>
      <family val="2"/>
    </font>
    <font>
      <sz val="11"/>
      <color theme="1"/>
      <name val="Calibri"/>
      <family val="2"/>
    </font>
    <font>
      <sz val="11"/>
      <color rgb="FFFF0000"/>
      <name val="Arial"/>
      <family val="2"/>
    </font>
    <font>
      <sz val="9"/>
      <color rgb="FFFF0000"/>
      <name val="Calibri"/>
      <family val="2"/>
    </font>
    <font>
      <sz val="10"/>
      <color theme="1"/>
      <name val="Calibri (Body)"/>
    </font>
    <font>
      <sz val="11"/>
      <color theme="1"/>
      <name val="Calibri (Body)"/>
    </font>
    <font>
      <b/>
      <sz val="11"/>
      <color theme="1"/>
      <name val="Calibri (Body)"/>
    </font>
    <font>
      <sz val="8"/>
      <name val="Calibri"/>
      <family val="2"/>
      <scheme val="minor"/>
    </font>
    <font>
      <sz val="9"/>
      <color theme="1"/>
      <name val="Verdana"/>
      <family val="2"/>
    </font>
    <font>
      <b/>
      <u/>
      <sz val="11"/>
      <name val="Calibri"/>
      <family val="2"/>
    </font>
    <font>
      <b/>
      <sz val="16"/>
      <name val="Arial"/>
      <family val="2"/>
    </font>
    <font>
      <b/>
      <sz val="22"/>
      <color rgb="FFFF0000"/>
      <name val="Aptos"/>
      <family val="2"/>
    </font>
    <font>
      <b/>
      <sz val="22"/>
      <color rgb="FFFF0000"/>
      <name val="Calibri"/>
      <family val="2"/>
      <scheme val="minor"/>
    </font>
    <font>
      <sz val="22"/>
      <color rgb="FFFF0000"/>
      <name val="Calibri"/>
      <family val="2"/>
      <scheme val="minor"/>
    </font>
    <font>
      <sz val="22"/>
      <color theme="1"/>
      <name val="Aptos"/>
      <family val="2"/>
    </font>
    <font>
      <b/>
      <sz val="22"/>
      <color theme="1"/>
      <name val="Calibri"/>
      <family val="2"/>
      <scheme val="minor"/>
    </font>
    <font>
      <sz val="22"/>
      <color theme="1"/>
      <name val="Calibri"/>
      <family val="2"/>
    </font>
    <font>
      <b/>
      <sz val="20"/>
      <color theme="1"/>
      <name val="Calibri"/>
      <family val="2"/>
      <scheme val="minor"/>
    </font>
    <font>
      <sz val="22"/>
      <color theme="1"/>
      <name val="Calibri"/>
      <family val="2"/>
      <scheme val="minor"/>
    </font>
    <font>
      <sz val="18"/>
      <color theme="1"/>
      <name val="Aptos"/>
      <family val="2"/>
    </font>
    <font>
      <b/>
      <sz val="18"/>
      <color theme="0"/>
      <name val="Aptos"/>
      <family val="2"/>
    </font>
    <font>
      <sz val="10"/>
      <color theme="1"/>
      <name val="Aptos"/>
      <family val="2"/>
    </font>
    <font>
      <sz val="18"/>
      <color theme="1"/>
      <name val="Calibri"/>
      <family val="2"/>
    </font>
    <font>
      <b/>
      <sz val="26"/>
      <color theme="0"/>
      <name val="Aptos"/>
      <family val="2"/>
    </font>
    <font>
      <sz val="14"/>
      <color theme="1"/>
      <name val="Calibri"/>
      <family val="2"/>
      <scheme val="minor"/>
    </font>
    <font>
      <b/>
      <sz val="22"/>
      <color theme="1"/>
      <name val="Aptos"/>
      <family val="2"/>
    </font>
  </fonts>
  <fills count="24">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7" tint="-0.49998474074526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1" tint="0.34998626667073579"/>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92D050"/>
        <bgColor theme="4" tint="0.59999389629810485"/>
      </patternFill>
    </fill>
    <fill>
      <patternFill patternType="solid">
        <fgColor rgb="FFFFFF00"/>
        <bgColor theme="4" tint="0.59999389629810485"/>
      </patternFill>
    </fill>
    <fill>
      <patternFill patternType="solid">
        <fgColor rgb="FFFFFF00"/>
        <bgColor theme="4" tint="0.79998168889431442"/>
      </patternFill>
    </fill>
    <fill>
      <patternFill patternType="solid">
        <fgColor rgb="FFFFC0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style="medium">
        <color indexed="64"/>
      </left>
      <right/>
      <top/>
      <bottom/>
      <diagonal/>
    </border>
    <border>
      <left style="medium">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theme="0"/>
      </top>
      <bottom/>
      <diagonal/>
    </border>
    <border>
      <left style="thin">
        <color rgb="FF000000"/>
      </left>
      <right style="thin">
        <color rgb="FF000000"/>
      </right>
      <top style="thin">
        <color rgb="FF000000"/>
      </top>
      <bottom style="thin">
        <color rgb="FF000000"/>
      </bottom>
      <diagonal/>
    </border>
  </borders>
  <cellStyleXfs count="27">
    <xf numFmtId="0" fontId="0" fillId="0" borderId="0"/>
    <xf numFmtId="0" fontId="7" fillId="0" borderId="0"/>
    <xf numFmtId="0" fontId="22" fillId="0" borderId="0" applyNumberFormat="0" applyFill="0" applyBorder="0" applyAlignment="0" applyProtection="0">
      <alignment vertical="top"/>
      <protection locked="0"/>
    </xf>
    <xf numFmtId="0" fontId="7" fillId="0" borderId="0"/>
    <xf numFmtId="0" fontId="35" fillId="0" borderId="0"/>
    <xf numFmtId="0" fontId="7" fillId="0" borderId="0"/>
    <xf numFmtId="168" fontId="39" fillId="0" borderId="0"/>
    <xf numFmtId="0" fontId="7" fillId="0" borderId="0"/>
    <xf numFmtId="0" fontId="42" fillId="0" borderId="0"/>
    <xf numFmtId="0" fontId="7" fillId="0" borderId="0"/>
    <xf numFmtId="0" fontId="7" fillId="0" borderId="0" applyFont="0" applyAlignment="0"/>
    <xf numFmtId="0" fontId="7" fillId="0" borderId="0"/>
    <xf numFmtId="0" fontId="7" fillId="0" borderId="0" applyFont="0" applyAlignment="0"/>
    <xf numFmtId="0" fontId="7" fillId="0" borderId="0" applyFont="0" applyAlignment="0"/>
    <xf numFmtId="0" fontId="7" fillId="0" borderId="0"/>
    <xf numFmtId="0" fontId="56" fillId="0" borderId="0"/>
    <xf numFmtId="0" fontId="24" fillId="0" borderId="0"/>
    <xf numFmtId="43" fontId="7" fillId="0" borderId="0" applyFont="0" applyFill="0" applyBorder="0" applyAlignment="0" applyProtection="0"/>
    <xf numFmtId="43" fontId="24" fillId="0" borderId="0" applyFont="0" applyFill="0" applyBorder="0" applyAlignment="0" applyProtection="0"/>
    <xf numFmtId="0" fontId="7" fillId="0" borderId="0" applyFont="0" applyAlignment="0"/>
    <xf numFmtId="0" fontId="7" fillId="0" borderId="0" applyFont="0" applyAlignment="0"/>
    <xf numFmtId="0" fontId="7" fillId="0" borderId="0" applyFont="0" applyAlignment="0"/>
    <xf numFmtId="0" fontId="7" fillId="0" borderId="0" applyFont="0" applyAlignment="0"/>
    <xf numFmtId="0" fontId="7" fillId="0" borderId="0" applyFont="0" applyAlignment="0"/>
    <xf numFmtId="0" fontId="7" fillId="0" borderId="0" applyFont="0" applyAlignment="0"/>
    <xf numFmtId="0" fontId="7" fillId="0" borderId="0" applyFont="0" applyAlignment="0"/>
    <xf numFmtId="0" fontId="66" fillId="0" borderId="0"/>
  </cellStyleXfs>
  <cellXfs count="1025">
    <xf numFmtId="0" fontId="0" fillId="0" borderId="0" xfId="0"/>
    <xf numFmtId="0" fontId="0" fillId="0" borderId="0" xfId="0" applyAlignment="1">
      <alignment wrapText="1"/>
    </xf>
    <xf numFmtId="0" fontId="0" fillId="0" borderId="0" xfId="0" applyAlignment="1">
      <alignment horizontal="center" vertical="top" wrapText="1"/>
    </xf>
    <xf numFmtId="0" fontId="0" fillId="7" borderId="0" xfId="0" applyFill="1"/>
    <xf numFmtId="0" fontId="2" fillId="2" borderId="1" xfId="0" applyFont="1" applyFill="1" applyBorder="1" applyAlignment="1">
      <alignment horizontal="left" textRotation="45" wrapText="1"/>
    </xf>
    <xf numFmtId="0" fontId="2" fillId="2" borderId="1" xfId="0" applyFont="1" applyFill="1" applyBorder="1" applyAlignment="1">
      <alignment horizontal="center" textRotation="45" wrapText="1"/>
    </xf>
    <xf numFmtId="0" fontId="2" fillId="2" borderId="1" xfId="0" applyFont="1" applyFill="1" applyBorder="1" applyAlignment="1" applyProtection="1">
      <alignment horizontal="center" textRotation="45" wrapText="1"/>
      <protection hidden="1"/>
    </xf>
    <xf numFmtId="0" fontId="2" fillId="2" borderId="5" xfId="0" applyFont="1" applyFill="1" applyBorder="1" applyAlignment="1">
      <alignment horizontal="center" textRotation="45"/>
    </xf>
    <xf numFmtId="0" fontId="1" fillId="2" borderId="0" xfId="0" applyFont="1" applyFill="1" applyAlignment="1">
      <alignment horizontal="centerContinuous" vertical="center" wrapText="1"/>
    </xf>
    <xf numFmtId="0" fontId="2" fillId="2" borderId="2" xfId="0" applyFont="1" applyFill="1" applyBorder="1" applyAlignment="1">
      <alignment horizontal="centerContinuous" vertical="center" wrapText="1"/>
    </xf>
    <xf numFmtId="0" fontId="2" fillId="2" borderId="3" xfId="0" applyFont="1" applyFill="1" applyBorder="1" applyAlignment="1">
      <alignment horizontal="centerContinuous" vertical="center" wrapText="1"/>
    </xf>
    <xf numFmtId="0" fontId="2" fillId="2" borderId="4" xfId="0" applyFont="1" applyFill="1" applyBorder="1" applyAlignment="1">
      <alignment horizontal="centerContinuous" vertical="center" wrapText="1"/>
    </xf>
    <xf numFmtId="0" fontId="2" fillId="2" borderId="0" xfId="0" applyFont="1" applyFill="1" applyAlignment="1">
      <alignment horizontal="centerContinuous" vertical="center" wrapText="1"/>
    </xf>
    <xf numFmtId="0" fontId="3" fillId="4" borderId="1" xfId="0" applyFont="1" applyFill="1" applyBorder="1"/>
    <xf numFmtId="0" fontId="3" fillId="3" borderId="1" xfId="0" applyFont="1" applyFill="1" applyBorder="1" applyProtection="1">
      <protection locked="0"/>
    </xf>
    <xf numFmtId="9" fontId="3" fillId="3" borderId="1" xfId="0" applyNumberFormat="1" applyFont="1" applyFill="1" applyBorder="1" applyProtection="1">
      <protection locked="0"/>
    </xf>
    <xf numFmtId="0" fontId="3" fillId="5" borderId="1" xfId="0" applyFont="1" applyFill="1" applyBorder="1" applyProtection="1">
      <protection hidden="1"/>
    </xf>
    <xf numFmtId="0" fontId="4" fillId="9" borderId="1" xfId="0" applyFont="1" applyFill="1" applyBorder="1" applyProtection="1">
      <protection hidden="1"/>
    </xf>
    <xf numFmtId="0" fontId="5" fillId="6" borderId="1" xfId="0" applyFont="1" applyFill="1" applyBorder="1" applyProtection="1">
      <protection hidden="1"/>
    </xf>
    <xf numFmtId="0" fontId="3" fillId="0" borderId="0" xfId="0" applyFont="1"/>
    <xf numFmtId="0" fontId="6" fillId="8" borderId="7" xfId="0" applyFont="1" applyFill="1" applyBorder="1" applyProtection="1">
      <protection hidden="1"/>
    </xf>
    <xf numFmtId="0" fontId="3" fillId="0" borderId="0" xfId="0" applyFont="1" applyProtection="1">
      <protection hidden="1"/>
    </xf>
    <xf numFmtId="0" fontId="3" fillId="7" borderId="7" xfId="0" applyFont="1" applyFill="1" applyBorder="1" applyProtection="1">
      <protection hidden="1"/>
    </xf>
    <xf numFmtId="0" fontId="2" fillId="2" borderId="2" xfId="0" applyFont="1" applyFill="1" applyBorder="1" applyAlignment="1" applyProtection="1">
      <alignment horizontal="centerContinuous" vertical="center" wrapText="1"/>
      <protection hidden="1"/>
    </xf>
    <xf numFmtId="0" fontId="2" fillId="2" borderId="3" xfId="0" applyFont="1" applyFill="1" applyBorder="1" applyAlignment="1" applyProtection="1">
      <alignment horizontal="centerContinuous" vertical="center" wrapText="1"/>
      <protection hidden="1"/>
    </xf>
    <xf numFmtId="0" fontId="2" fillId="2" borderId="4" xfId="0" applyFont="1" applyFill="1" applyBorder="1" applyAlignment="1" applyProtection="1">
      <alignment horizontal="centerContinuous" vertical="center" wrapText="1"/>
      <protection hidden="1"/>
    </xf>
    <xf numFmtId="0" fontId="2" fillId="2" borderId="0" xfId="0" applyFont="1" applyFill="1" applyAlignment="1" applyProtection="1">
      <alignment horizontal="centerContinuous" vertical="center" wrapText="1"/>
      <protection hidden="1"/>
    </xf>
    <xf numFmtId="0" fontId="2" fillId="2" borderId="5" xfId="0" applyFont="1" applyFill="1" applyBorder="1" applyAlignment="1" applyProtection="1">
      <alignment horizontal="center" textRotation="45"/>
      <protection hidden="1"/>
    </xf>
    <xf numFmtId="0" fontId="7" fillId="0" borderId="0" xfId="1"/>
    <xf numFmtId="0" fontId="7" fillId="0" borderId="0" xfId="1" applyAlignment="1">
      <alignment horizontal="center"/>
    </xf>
    <xf numFmtId="0" fontId="8" fillId="0" borderId="0" xfId="1" applyFont="1" applyAlignment="1">
      <alignment horizontal="center" vertical="center" wrapText="1"/>
    </xf>
    <xf numFmtId="0" fontId="9" fillId="0" borderId="0" xfId="1" applyFont="1"/>
    <xf numFmtId="0" fontId="9" fillId="0" borderId="0" xfId="1" applyFont="1" applyAlignment="1">
      <alignment horizontal="left"/>
    </xf>
    <xf numFmtId="0" fontId="10" fillId="0" borderId="0" xfId="1" applyFont="1"/>
    <xf numFmtId="0" fontId="9" fillId="0" borderId="0" xfId="1" applyFont="1" applyAlignment="1">
      <alignment horizontal="center"/>
    </xf>
    <xf numFmtId="0" fontId="9" fillId="0" borderId="0" xfId="1" applyFont="1" applyAlignment="1">
      <alignment horizontal="right"/>
    </xf>
    <xf numFmtId="0" fontId="11" fillId="0" borderId="0" xfId="1" applyFont="1" applyAlignment="1">
      <alignment horizontal="center"/>
    </xf>
    <xf numFmtId="0" fontId="12" fillId="0" borderId="0" xfId="1" applyFont="1" applyAlignment="1">
      <alignment horizontal="right"/>
    </xf>
    <xf numFmtId="0" fontId="13" fillId="0" borderId="0" xfId="1" applyFont="1"/>
    <xf numFmtId="0" fontId="13" fillId="0" borderId="0" xfId="1" applyFont="1" applyAlignment="1">
      <alignment horizontal="left"/>
    </xf>
    <xf numFmtId="0" fontId="13" fillId="0" borderId="0" xfId="1" applyFont="1" applyAlignment="1">
      <alignment horizontal="center"/>
    </xf>
    <xf numFmtId="0" fontId="13" fillId="0" borderId="0" xfId="1" applyFont="1" applyAlignment="1">
      <alignment horizontal="right"/>
    </xf>
    <xf numFmtId="0" fontId="15" fillId="0" borderId="0" xfId="1" applyFont="1" applyAlignment="1">
      <alignment horizontal="center" vertical="center" wrapText="1"/>
    </xf>
    <xf numFmtId="0" fontId="16" fillId="0" borderId="0" xfId="1" applyFont="1" applyAlignment="1">
      <alignment horizontal="center"/>
    </xf>
    <xf numFmtId="0" fontId="14" fillId="0" borderId="0" xfId="1" applyFont="1"/>
    <xf numFmtId="0" fontId="7" fillId="0" borderId="0" xfId="1" applyAlignment="1">
      <alignment horizontal="center" vertical="center"/>
    </xf>
    <xf numFmtId="0" fontId="7" fillId="0" borderId="14" xfId="1" applyBorder="1" applyAlignment="1">
      <alignment horizontal="center" vertical="center"/>
    </xf>
    <xf numFmtId="0" fontId="7" fillId="0" borderId="15" xfId="1" applyBorder="1" applyAlignment="1">
      <alignment horizontal="center" vertical="center"/>
    </xf>
    <xf numFmtId="0" fontId="17" fillId="0" borderId="16" xfId="1" applyFont="1" applyBorder="1" applyAlignment="1">
      <alignment horizontal="center" vertical="center"/>
    </xf>
    <xf numFmtId="0" fontId="7" fillId="0" borderId="20" xfId="1" applyBorder="1" applyAlignment="1">
      <alignment horizontal="center" vertical="center"/>
    </xf>
    <xf numFmtId="0" fontId="7" fillId="0" borderId="21" xfId="1" applyBorder="1" applyAlignment="1">
      <alignment horizontal="center" vertical="center"/>
    </xf>
    <xf numFmtId="0" fontId="17" fillId="0" borderId="22" xfId="1" applyFont="1" applyBorder="1" applyAlignment="1">
      <alignment horizontal="center" vertical="top"/>
    </xf>
    <xf numFmtId="0" fontId="7" fillId="0" borderId="7" xfId="1" applyBorder="1" applyAlignment="1">
      <alignment horizontal="center" vertical="center"/>
    </xf>
    <xf numFmtId="2" fontId="7" fillId="0" borderId="7" xfId="1" applyNumberFormat="1" applyBorder="1" applyAlignment="1">
      <alignment horizontal="center" vertical="center"/>
    </xf>
    <xf numFmtId="2" fontId="7" fillId="0" borderId="23" xfId="1" applyNumberFormat="1" applyBorder="1" applyAlignment="1">
      <alignment horizontal="center" vertical="center"/>
    </xf>
    <xf numFmtId="2" fontId="7" fillId="0" borderId="0" xfId="1" applyNumberFormat="1" applyAlignment="1">
      <alignment horizontal="center" vertical="center"/>
    </xf>
    <xf numFmtId="166" fontId="7" fillId="0" borderId="0" xfId="1" applyNumberFormat="1"/>
    <xf numFmtId="0" fontId="7" fillId="0" borderId="22" xfId="1" applyBorder="1" applyAlignment="1">
      <alignment horizontal="center" vertical="top"/>
    </xf>
    <xf numFmtId="0" fontId="7" fillId="0" borderId="1" xfId="1" applyBorder="1" applyAlignment="1">
      <alignment horizontal="center" vertical="center" wrapText="1"/>
    </xf>
    <xf numFmtId="0" fontId="17" fillId="0" borderId="1" xfId="1" applyFont="1" applyBorder="1" applyAlignment="1">
      <alignment horizontal="center" vertical="center" wrapText="1"/>
    </xf>
    <xf numFmtId="0" fontId="7" fillId="0" borderId="1" xfId="1" applyBorder="1" applyAlignment="1">
      <alignment horizontal="center" vertical="center"/>
    </xf>
    <xf numFmtId="2" fontId="7" fillId="0" borderId="1" xfId="1" applyNumberFormat="1" applyBorder="1" applyAlignment="1">
      <alignment horizontal="center" vertical="center"/>
    </xf>
    <xf numFmtId="2" fontId="7" fillId="0" borderId="32" xfId="1" applyNumberFormat="1" applyBorder="1" applyAlignment="1">
      <alignment horizontal="center" vertical="center"/>
    </xf>
    <xf numFmtId="166" fontId="7" fillId="0" borderId="0" xfId="1" applyNumberFormat="1" applyAlignment="1">
      <alignment horizontal="center" vertical="center"/>
    </xf>
    <xf numFmtId="0" fontId="7" fillId="0" borderId="14" xfId="1" applyBorder="1" applyAlignment="1">
      <alignment horizontal="center" vertical="center" wrapText="1"/>
    </xf>
    <xf numFmtId="0" fontId="17" fillId="0" borderId="16" xfId="1" applyFont="1" applyBorder="1" applyAlignment="1">
      <alignment horizontal="center" vertical="top"/>
    </xf>
    <xf numFmtId="2" fontId="7" fillId="0" borderId="20" xfId="1" applyNumberFormat="1" applyBorder="1" applyAlignment="1">
      <alignment horizontal="center" vertical="center"/>
    </xf>
    <xf numFmtId="2" fontId="7" fillId="0" borderId="21" xfId="1" applyNumberFormat="1" applyBorder="1" applyAlignment="1">
      <alignment horizontal="center" vertical="center"/>
    </xf>
    <xf numFmtId="0" fontId="7" fillId="0" borderId="31" xfId="1" applyBorder="1" applyAlignment="1">
      <alignment horizontal="center" vertical="top"/>
    </xf>
    <xf numFmtId="0" fontId="7" fillId="0" borderId="6" xfId="1" applyBorder="1" applyAlignment="1">
      <alignment horizontal="center" vertical="center"/>
    </xf>
    <xf numFmtId="2" fontId="7" fillId="0" borderId="6" xfId="1" applyNumberFormat="1" applyBorder="1" applyAlignment="1">
      <alignment horizontal="center" vertical="center"/>
    </xf>
    <xf numFmtId="2" fontId="7" fillId="0" borderId="34" xfId="1" applyNumberFormat="1" applyBorder="1" applyAlignment="1">
      <alignment horizontal="center" vertical="center"/>
    </xf>
    <xf numFmtId="0" fontId="7" fillId="0" borderId="22" xfId="1" applyBorder="1" applyAlignment="1">
      <alignment horizontal="center" vertical="top" wrapText="1"/>
    </xf>
    <xf numFmtId="0" fontId="7" fillId="0" borderId="2" xfId="1" applyBorder="1" applyAlignment="1">
      <alignment horizontal="center" vertical="center" wrapText="1"/>
    </xf>
    <xf numFmtId="0" fontId="7" fillId="0" borderId="3" xfId="1" applyBorder="1" applyAlignment="1">
      <alignment horizontal="center" vertical="center" wrapText="1"/>
    </xf>
    <xf numFmtId="0" fontId="7" fillId="0" borderId="4" xfId="1" applyBorder="1" applyAlignment="1">
      <alignment horizontal="center" vertical="center" wrapText="1"/>
    </xf>
    <xf numFmtId="0" fontId="7" fillId="0" borderId="23" xfId="1" applyBorder="1" applyAlignment="1">
      <alignment horizontal="center" vertical="center"/>
    </xf>
    <xf numFmtId="0" fontId="7" fillId="0" borderId="5" xfId="1" applyBorder="1" applyAlignment="1">
      <alignment horizontal="center"/>
    </xf>
    <xf numFmtId="0" fontId="7" fillId="0" borderId="1" xfId="1" applyBorder="1" applyAlignment="1">
      <alignment horizontal="center"/>
    </xf>
    <xf numFmtId="0" fontId="7" fillId="0" borderId="32" xfId="1" applyBorder="1" applyAlignment="1">
      <alignment horizontal="center"/>
    </xf>
    <xf numFmtId="0" fontId="17" fillId="0" borderId="33" xfId="1" applyFont="1" applyBorder="1" applyAlignment="1">
      <alignment horizontal="center" vertical="top"/>
    </xf>
    <xf numFmtId="0" fontId="17" fillId="0" borderId="8" xfId="1" applyFont="1" applyBorder="1" applyAlignment="1">
      <alignment horizontal="center" vertical="top"/>
    </xf>
    <xf numFmtId="0" fontId="7" fillId="0" borderId="1" xfId="1" applyBorder="1"/>
    <xf numFmtId="0" fontId="7" fillId="0" borderId="32" xfId="1" applyBorder="1"/>
    <xf numFmtId="0" fontId="7" fillId="0" borderId="13" xfId="1" applyBorder="1" applyAlignment="1">
      <alignment horizontal="center" vertical="top"/>
    </xf>
    <xf numFmtId="2" fontId="7" fillId="0" borderId="14" xfId="1" applyNumberFormat="1" applyBorder="1" applyAlignment="1">
      <alignment horizontal="center" vertical="center"/>
    </xf>
    <xf numFmtId="2" fontId="7" fillId="0" borderId="15" xfId="1" applyNumberFormat="1" applyBorder="1" applyAlignment="1">
      <alignment horizontal="center" vertical="center"/>
    </xf>
    <xf numFmtId="0" fontId="7" fillId="0" borderId="28" xfId="1" applyBorder="1" applyAlignment="1">
      <alignment horizontal="center" vertical="center"/>
    </xf>
    <xf numFmtId="2" fontId="7" fillId="0" borderId="28" xfId="1" applyNumberFormat="1" applyBorder="1" applyAlignment="1">
      <alignment horizontal="center" vertical="center"/>
    </xf>
    <xf numFmtId="2" fontId="7" fillId="0" borderId="36" xfId="1" applyNumberFormat="1" applyBorder="1" applyAlignment="1">
      <alignment horizontal="center" vertical="center"/>
    </xf>
    <xf numFmtId="0" fontId="17" fillId="0" borderId="16" xfId="1" applyFont="1" applyBorder="1" applyAlignment="1">
      <alignment horizontal="center"/>
    </xf>
    <xf numFmtId="0" fontId="17" fillId="0" borderId="18" xfId="1" applyFont="1" applyBorder="1" applyAlignment="1">
      <alignment horizontal="left"/>
    </xf>
    <xf numFmtId="0" fontId="7" fillId="0" borderId="18" xfId="1" applyBorder="1"/>
    <xf numFmtId="2" fontId="7" fillId="0" borderId="20" xfId="1" applyNumberFormat="1" applyBorder="1" applyAlignment="1">
      <alignment horizontal="center"/>
    </xf>
    <xf numFmtId="0" fontId="7" fillId="0" borderId="19" xfId="1" applyBorder="1" applyAlignment="1">
      <alignment horizontal="center"/>
    </xf>
    <xf numFmtId="2" fontId="7" fillId="0" borderId="19" xfId="1" applyNumberFormat="1" applyBorder="1" applyAlignment="1">
      <alignment horizontal="center"/>
    </xf>
    <xf numFmtId="2" fontId="7" fillId="0" borderId="37" xfId="1" applyNumberFormat="1" applyBorder="1" applyAlignment="1">
      <alignment horizontal="right"/>
    </xf>
    <xf numFmtId="0" fontId="7" fillId="0" borderId="22" xfId="1" applyBorder="1" applyAlignment="1">
      <alignment horizontal="center"/>
    </xf>
    <xf numFmtId="0" fontId="7" fillId="0" borderId="27" xfId="1" applyBorder="1" applyAlignment="1">
      <alignment horizontal="left"/>
    </xf>
    <xf numFmtId="0" fontId="7" fillId="0" borderId="0" xfId="1" applyAlignment="1">
      <alignment horizontal="left"/>
    </xf>
    <xf numFmtId="0" fontId="7" fillId="0" borderId="7" xfId="1" applyBorder="1" applyAlignment="1">
      <alignment horizontal="center"/>
    </xf>
    <xf numFmtId="0" fontId="7" fillId="0" borderId="28" xfId="1" applyBorder="1" applyAlignment="1">
      <alignment horizontal="center"/>
    </xf>
    <xf numFmtId="166" fontId="7" fillId="0" borderId="28" xfId="1" applyNumberFormat="1" applyBorder="1" applyAlignment="1">
      <alignment horizontal="center"/>
    </xf>
    <xf numFmtId="2" fontId="7" fillId="0" borderId="28" xfId="1" applyNumberFormat="1" applyBorder="1" applyAlignment="1">
      <alignment horizontal="center"/>
    </xf>
    <xf numFmtId="2" fontId="7" fillId="0" borderId="36" xfId="1" applyNumberFormat="1" applyBorder="1" applyAlignment="1">
      <alignment horizontal="right"/>
    </xf>
    <xf numFmtId="2" fontId="7" fillId="0" borderId="0" xfId="1" applyNumberFormat="1" applyAlignment="1">
      <alignment horizontal="right"/>
    </xf>
    <xf numFmtId="0" fontId="19" fillId="0" borderId="0" xfId="1" applyFont="1" applyAlignment="1">
      <alignment horizontal="center" vertical="center"/>
    </xf>
    <xf numFmtId="0" fontId="7" fillId="0" borderId="38" xfId="1" applyBorder="1" applyAlignment="1">
      <alignment horizontal="center"/>
    </xf>
    <xf numFmtId="0" fontId="7" fillId="0" borderId="39" xfId="1" applyBorder="1" applyAlignment="1">
      <alignment horizontal="center"/>
    </xf>
    <xf numFmtId="0" fontId="7" fillId="0" borderId="40" xfId="1" applyBorder="1" applyAlignment="1">
      <alignment horizontal="center"/>
    </xf>
    <xf numFmtId="166" fontId="7" fillId="0" borderId="40" xfId="1" applyNumberFormat="1" applyBorder="1" applyAlignment="1">
      <alignment horizontal="center"/>
    </xf>
    <xf numFmtId="2" fontId="7" fillId="0" borderId="40" xfId="1" applyNumberFormat="1" applyBorder="1" applyAlignment="1">
      <alignment horizontal="center"/>
    </xf>
    <xf numFmtId="2" fontId="7" fillId="0" borderId="41" xfId="1" applyNumberFormat="1" applyBorder="1" applyAlignment="1">
      <alignment horizontal="right"/>
    </xf>
    <xf numFmtId="0" fontId="7" fillId="0" borderId="16" xfId="1" applyBorder="1" applyAlignment="1">
      <alignment horizontal="center"/>
    </xf>
    <xf numFmtId="0" fontId="7" fillId="0" borderId="20" xfId="1" applyBorder="1" applyAlignment="1">
      <alignment horizontal="center"/>
    </xf>
    <xf numFmtId="166" fontId="7" fillId="0" borderId="19" xfId="1" applyNumberFormat="1" applyBorder="1" applyAlignment="1">
      <alignment horizontal="center"/>
    </xf>
    <xf numFmtId="2" fontId="7" fillId="0" borderId="28" xfId="1" applyNumberFormat="1" applyBorder="1" applyAlignment="1">
      <alignment horizontal="right"/>
    </xf>
    <xf numFmtId="0" fontId="7" fillId="0" borderId="33" xfId="1" applyBorder="1" applyAlignment="1">
      <alignment horizontal="center"/>
    </xf>
    <xf numFmtId="0" fontId="7" fillId="0" borderId="31" xfId="1" applyBorder="1" applyAlignment="1">
      <alignment horizontal="center"/>
    </xf>
    <xf numFmtId="0" fontId="7" fillId="0" borderId="25" xfId="1" applyBorder="1" applyAlignment="1">
      <alignment horizontal="left"/>
    </xf>
    <xf numFmtId="0" fontId="7" fillId="0" borderId="6" xfId="1" applyBorder="1" applyAlignment="1">
      <alignment horizontal="center"/>
    </xf>
    <xf numFmtId="166" fontId="7" fillId="0" borderId="26" xfId="1" applyNumberFormat="1" applyBorder="1" applyAlignment="1">
      <alignment horizontal="center"/>
    </xf>
    <xf numFmtId="2" fontId="7" fillId="0" borderId="26" xfId="1" applyNumberFormat="1" applyBorder="1" applyAlignment="1">
      <alignment horizontal="right"/>
    </xf>
    <xf numFmtId="0" fontId="7" fillId="0" borderId="9" xfId="1" applyBorder="1" applyAlignment="1">
      <alignment horizontal="left"/>
    </xf>
    <xf numFmtId="0" fontId="7" fillId="0" borderId="30" xfId="1" applyBorder="1" applyAlignment="1">
      <alignment horizontal="center"/>
    </xf>
    <xf numFmtId="2" fontId="7" fillId="0" borderId="30" xfId="1" applyNumberFormat="1" applyBorder="1" applyAlignment="1">
      <alignment horizontal="center"/>
    </xf>
    <xf numFmtId="2" fontId="7" fillId="0" borderId="42" xfId="1" applyNumberFormat="1" applyBorder="1" applyAlignment="1">
      <alignment horizontal="right"/>
    </xf>
    <xf numFmtId="2" fontId="7" fillId="0" borderId="30" xfId="1" applyNumberFormat="1" applyBorder="1" applyAlignment="1">
      <alignment horizontal="right"/>
    </xf>
    <xf numFmtId="0" fontId="17" fillId="0" borderId="31" xfId="1" applyFont="1" applyBorder="1" applyAlignment="1">
      <alignment horizontal="center"/>
    </xf>
    <xf numFmtId="0" fontId="17" fillId="0" borderId="25" xfId="1" applyFont="1" applyBorder="1" applyAlignment="1">
      <alignment horizontal="left"/>
    </xf>
    <xf numFmtId="0" fontId="7" fillId="0" borderId="26" xfId="1" applyBorder="1" applyAlignment="1">
      <alignment horizontal="center"/>
    </xf>
    <xf numFmtId="0" fontId="7" fillId="0" borderId="26" xfId="1" applyBorder="1"/>
    <xf numFmtId="0" fontId="7" fillId="0" borderId="43" xfId="1" applyBorder="1" applyAlignment="1">
      <alignment horizontal="right"/>
    </xf>
    <xf numFmtId="0" fontId="7" fillId="0" borderId="26" xfId="1" applyBorder="1" applyAlignment="1">
      <alignment horizontal="right"/>
    </xf>
    <xf numFmtId="0" fontId="7" fillId="0" borderId="0" xfId="1" applyAlignment="1">
      <alignment horizontal="right"/>
    </xf>
    <xf numFmtId="0" fontId="21" fillId="0" borderId="0" xfId="1" applyFont="1" applyAlignment="1">
      <alignment horizontal="left"/>
    </xf>
    <xf numFmtId="0" fontId="21" fillId="0" borderId="9" xfId="1" applyFont="1" applyBorder="1" applyAlignment="1">
      <alignment horizontal="left"/>
    </xf>
    <xf numFmtId="0" fontId="7" fillId="0" borderId="30" xfId="1" applyBorder="1"/>
    <xf numFmtId="0" fontId="7" fillId="0" borderId="42" xfId="1" applyBorder="1" applyAlignment="1">
      <alignment horizontal="right"/>
    </xf>
    <xf numFmtId="0" fontId="7" fillId="0" borderId="30" xfId="1" applyBorder="1" applyAlignment="1">
      <alignment horizontal="right"/>
    </xf>
    <xf numFmtId="0" fontId="21" fillId="0" borderId="25" xfId="1" applyFont="1" applyBorder="1" applyAlignment="1">
      <alignment horizontal="left"/>
    </xf>
    <xf numFmtId="0" fontId="7" fillId="0" borderId="28" xfId="1" applyBorder="1"/>
    <xf numFmtId="0" fontId="7" fillId="0" borderId="36" xfId="1" applyBorder="1" applyAlignment="1">
      <alignment horizontal="right"/>
    </xf>
    <xf numFmtId="0" fontId="7" fillId="0" borderId="28" xfId="1" applyBorder="1" applyAlignment="1">
      <alignment horizontal="right"/>
    </xf>
    <xf numFmtId="0" fontId="21" fillId="0" borderId="44" xfId="1" applyFont="1" applyBorder="1" applyAlignment="1">
      <alignment horizontal="left"/>
    </xf>
    <xf numFmtId="0" fontId="7" fillId="0" borderId="40" xfId="1" applyBorder="1"/>
    <xf numFmtId="0" fontId="7" fillId="0" borderId="41" xfId="1" applyBorder="1" applyAlignment="1">
      <alignment horizontal="right"/>
    </xf>
    <xf numFmtId="0" fontId="7" fillId="0" borderId="19" xfId="1" applyBorder="1"/>
    <xf numFmtId="0" fontId="7" fillId="0" borderId="37" xfId="1" applyBorder="1" applyAlignment="1">
      <alignment horizontal="right"/>
    </xf>
    <xf numFmtId="0" fontId="7" fillId="0" borderId="28" xfId="1" applyBorder="1" applyAlignment="1">
      <alignment horizontal="left"/>
    </xf>
    <xf numFmtId="166" fontId="7" fillId="0" borderId="7" xfId="1" applyNumberFormat="1" applyBorder="1" applyAlignment="1">
      <alignment horizontal="center"/>
    </xf>
    <xf numFmtId="2" fontId="7" fillId="0" borderId="0" xfId="1" applyNumberFormat="1"/>
    <xf numFmtId="0" fontId="7" fillId="0" borderId="44" xfId="1" applyBorder="1" applyAlignment="1">
      <alignment horizontal="left"/>
    </xf>
    <xf numFmtId="0" fontId="7" fillId="0" borderId="40" xfId="1" applyBorder="1" applyAlignment="1">
      <alignment horizontal="left"/>
    </xf>
    <xf numFmtId="2" fontId="7" fillId="0" borderId="0" xfId="1" applyNumberFormat="1" applyAlignment="1">
      <alignment horizontal="left"/>
    </xf>
    <xf numFmtId="0" fontId="17" fillId="0" borderId="45" xfId="1" applyFont="1" applyBorder="1" applyAlignment="1">
      <alignment horizontal="center"/>
    </xf>
    <xf numFmtId="0" fontId="17" fillId="0" borderId="24" xfId="1" applyFont="1" applyBorder="1" applyAlignment="1">
      <alignment horizontal="left"/>
    </xf>
    <xf numFmtId="0" fontId="17" fillId="0" borderId="26" xfId="1" applyFont="1" applyBorder="1" applyAlignment="1">
      <alignment horizontal="left"/>
    </xf>
    <xf numFmtId="0" fontId="7" fillId="0" borderId="45" xfId="1" applyBorder="1" applyAlignment="1">
      <alignment horizontal="center"/>
    </xf>
    <xf numFmtId="0" fontId="7" fillId="0" borderId="46" xfId="1" applyBorder="1"/>
    <xf numFmtId="0" fontId="7" fillId="0" borderId="29" xfId="1" applyBorder="1"/>
    <xf numFmtId="0" fontId="7" fillId="0" borderId="9" xfId="1" applyBorder="1"/>
    <xf numFmtId="0" fontId="7" fillId="0" borderId="5" xfId="1" applyBorder="1"/>
    <xf numFmtId="0" fontId="7" fillId="0" borderId="42" xfId="1" applyBorder="1"/>
    <xf numFmtId="0" fontId="7" fillId="0" borderId="25" xfId="1" applyBorder="1"/>
    <xf numFmtId="2" fontId="17" fillId="0" borderId="25" xfId="1" applyNumberFormat="1" applyFont="1" applyBorder="1"/>
    <xf numFmtId="0" fontId="17" fillId="0" borderId="25" xfId="1" applyFont="1" applyBorder="1"/>
    <xf numFmtId="2" fontId="17" fillId="0" borderId="0" xfId="1" applyNumberFormat="1" applyFont="1" applyAlignment="1">
      <alignment horizontal="center"/>
    </xf>
    <xf numFmtId="0" fontId="17" fillId="0" borderId="0" xfId="1" applyFont="1" applyAlignment="1">
      <alignment horizontal="center"/>
    </xf>
    <xf numFmtId="0" fontId="17" fillId="0" borderId="0" xfId="1" applyFont="1"/>
    <xf numFmtId="0" fontId="22" fillId="0" borderId="0" xfId="2" applyAlignment="1" applyProtection="1">
      <alignment horizontal="left"/>
    </xf>
    <xf numFmtId="0" fontId="15" fillId="0" borderId="0" xfId="1" applyFont="1"/>
    <xf numFmtId="0" fontId="23" fillId="0" borderId="0" xfId="1" applyFont="1" applyAlignment="1">
      <alignment horizontal="left"/>
    </xf>
    <xf numFmtId="0" fontId="17" fillId="0" borderId="0" xfId="1" applyFont="1" applyAlignment="1">
      <alignment horizontal="left"/>
    </xf>
    <xf numFmtId="0" fontId="27" fillId="6" borderId="1" xfId="0" applyFont="1" applyFill="1" applyBorder="1" applyProtection="1">
      <protection hidden="1"/>
    </xf>
    <xf numFmtId="0" fontId="28" fillId="0" borderId="2" xfId="1" applyFont="1" applyBorder="1" applyAlignment="1">
      <alignment vertical="justify" wrapText="1"/>
    </xf>
    <xf numFmtId="0" fontId="28" fillId="0" borderId="3" xfId="1" applyFont="1" applyBorder="1" applyAlignment="1">
      <alignment vertical="justify" wrapText="1"/>
    </xf>
    <xf numFmtId="0" fontId="14" fillId="0" borderId="3" xfId="1" applyFont="1" applyBorder="1" applyAlignment="1">
      <alignment horizontal="centerContinuous" vertical="justify" wrapText="1"/>
    </xf>
    <xf numFmtId="0" fontId="28" fillId="0" borderId="3" xfId="1" applyFont="1" applyBorder="1" applyAlignment="1">
      <alignment horizontal="centerContinuous" vertical="justify" wrapText="1"/>
    </xf>
    <xf numFmtId="0" fontId="14" fillId="0" borderId="4" xfId="1" applyFont="1" applyBorder="1" applyAlignment="1">
      <alignment horizontal="centerContinuous" vertical="justify" wrapText="1"/>
    </xf>
    <xf numFmtId="0" fontId="14" fillId="0" borderId="3" xfId="1" applyFont="1" applyBorder="1" applyAlignment="1">
      <alignment horizontal="center" vertical="justify" wrapText="1"/>
    </xf>
    <xf numFmtId="0" fontId="14" fillId="0" borderId="4" xfId="1" applyFont="1" applyBorder="1" applyAlignment="1">
      <alignment horizontal="center" vertical="justify" wrapText="1"/>
    </xf>
    <xf numFmtId="0" fontId="7" fillId="0" borderId="0" xfId="1" applyAlignment="1">
      <alignment horizontal="center" vertical="center" wrapText="1"/>
    </xf>
    <xf numFmtId="0" fontId="31" fillId="0" borderId="0" xfId="1" applyFont="1"/>
    <xf numFmtId="0" fontId="32" fillId="0" borderId="0" xfId="1" applyFont="1" applyAlignment="1">
      <alignment horizontal="center" vertical="center" wrapText="1"/>
    </xf>
    <xf numFmtId="0" fontId="33" fillId="0" borderId="28" xfId="1" applyFont="1" applyBorder="1" applyAlignment="1">
      <alignment horizontal="center"/>
    </xf>
    <xf numFmtId="0" fontId="32" fillId="0" borderId="9" xfId="1" applyFont="1" applyBorder="1" applyAlignment="1">
      <alignment horizontal="center" vertical="center" wrapText="1"/>
    </xf>
    <xf numFmtId="0" fontId="33" fillId="10" borderId="1" xfId="1" applyFont="1" applyFill="1" applyBorder="1" applyAlignment="1">
      <alignment horizontal="center" vertical="center"/>
    </xf>
    <xf numFmtId="0" fontId="33" fillId="10" borderId="3" xfId="1" applyFont="1" applyFill="1" applyBorder="1" applyAlignment="1">
      <alignment horizontal="center" vertical="center"/>
    </xf>
    <xf numFmtId="0" fontId="33" fillId="10" borderId="4" xfId="1" applyFont="1" applyFill="1" applyBorder="1" applyAlignment="1">
      <alignment horizontal="center" vertical="center"/>
    </xf>
    <xf numFmtId="0" fontId="34" fillId="0" borderId="5" xfId="1" applyFont="1" applyBorder="1" applyAlignment="1">
      <alignment horizontal="left" vertical="center"/>
    </xf>
    <xf numFmtId="0" fontId="34" fillId="0" borderId="29" xfId="1" applyFont="1" applyBorder="1" applyAlignment="1">
      <alignment vertical="center"/>
    </xf>
    <xf numFmtId="0" fontId="34" fillId="0" borderId="9" xfId="1" applyFont="1" applyBorder="1" applyAlignment="1">
      <alignment vertical="center"/>
    </xf>
    <xf numFmtId="1" fontId="33" fillId="0" borderId="5" xfId="1" applyNumberFormat="1" applyFont="1" applyBorder="1" applyAlignment="1">
      <alignment horizontal="center" vertical="center"/>
    </xf>
    <xf numFmtId="0" fontId="34" fillId="0" borderId="6" xfId="1" quotePrefix="1" applyFont="1" applyBorder="1" applyAlignment="1">
      <alignment horizontal="left" vertical="center"/>
    </xf>
    <xf numFmtId="0" fontId="34" fillId="0" borderId="27" xfId="1" applyFont="1" applyBorder="1" applyAlignment="1">
      <alignment vertical="center"/>
    </xf>
    <xf numFmtId="0" fontId="34" fillId="0" borderId="0" xfId="1" applyFont="1" applyAlignment="1">
      <alignment vertical="center"/>
    </xf>
    <xf numFmtId="0" fontId="34" fillId="0" borderId="24" xfId="1" quotePrefix="1" applyFont="1" applyBorder="1" applyAlignment="1">
      <alignment horizontal="left" vertical="center"/>
    </xf>
    <xf numFmtId="0" fontId="34" fillId="0" borderId="24" xfId="1" applyFont="1" applyBorder="1" applyAlignment="1">
      <alignment vertical="center"/>
    </xf>
    <xf numFmtId="0" fontId="34" fillId="0" borderId="25" xfId="1" applyFont="1" applyBorder="1" applyAlignment="1">
      <alignment vertical="center"/>
    </xf>
    <xf numFmtId="1" fontId="33" fillId="0" borderId="1" xfId="1" applyNumberFormat="1" applyFont="1" applyBorder="1" applyAlignment="1">
      <alignment horizontal="center" vertical="center"/>
    </xf>
    <xf numFmtId="0" fontId="34" fillId="0" borderId="1" xfId="1" applyFont="1" applyBorder="1" applyAlignment="1">
      <alignment vertical="center"/>
    </xf>
    <xf numFmtId="0" fontId="33" fillId="11" borderId="1" xfId="1" applyFont="1" applyFill="1" applyBorder="1"/>
    <xf numFmtId="0" fontId="33" fillId="11" borderId="3" xfId="1" applyFont="1" applyFill="1" applyBorder="1" applyAlignment="1">
      <alignment horizontal="left" vertical="center"/>
    </xf>
    <xf numFmtId="0" fontId="34" fillId="11" borderId="3" xfId="1" applyFont="1" applyFill="1" applyBorder="1" applyAlignment="1">
      <alignment vertical="center"/>
    </xf>
    <xf numFmtId="1" fontId="33" fillId="11" borderId="1" xfId="1" applyNumberFormat="1" applyFont="1" applyFill="1" applyBorder="1" applyAlignment="1">
      <alignment horizontal="center" vertical="center" shrinkToFit="1"/>
    </xf>
    <xf numFmtId="0" fontId="34" fillId="0" borderId="0" xfId="1" applyFont="1"/>
    <xf numFmtId="0" fontId="33" fillId="10" borderId="6" xfId="1" applyFont="1" applyFill="1" applyBorder="1" applyAlignment="1">
      <alignment horizontal="center" vertical="center" wrapText="1"/>
    </xf>
    <xf numFmtId="0" fontId="33" fillId="10" borderId="2" xfId="1" applyFont="1" applyFill="1" applyBorder="1" applyAlignment="1">
      <alignment horizontal="center" vertical="center" wrapText="1"/>
    </xf>
    <xf numFmtId="0" fontId="33" fillId="7" borderId="6" xfId="1" applyFont="1" applyFill="1" applyBorder="1" applyAlignment="1">
      <alignment horizontal="center" vertical="center"/>
    </xf>
    <xf numFmtId="0" fontId="34" fillId="0" borderId="7" xfId="1" quotePrefix="1" applyFont="1" applyBorder="1" applyAlignment="1">
      <alignment horizontal="left"/>
    </xf>
    <xf numFmtId="0" fontId="33" fillId="0" borderId="7" xfId="1" applyFont="1" applyBorder="1" applyAlignment="1">
      <alignment horizontal="left"/>
    </xf>
    <xf numFmtId="0" fontId="33" fillId="0" borderId="7" xfId="1" quotePrefix="1" applyFont="1" applyBorder="1" applyAlignment="1">
      <alignment horizontal="center"/>
    </xf>
    <xf numFmtId="0" fontId="33" fillId="0" borderId="7" xfId="1" applyFont="1" applyBorder="1"/>
    <xf numFmtId="0" fontId="34" fillId="0" borderId="7" xfId="1" applyFont="1" applyBorder="1" applyAlignment="1">
      <alignment horizontal="center"/>
    </xf>
    <xf numFmtId="166" fontId="34" fillId="0" borderId="7" xfId="4" applyNumberFormat="1" applyFont="1" applyBorder="1" applyAlignment="1">
      <alignment horizontal="justify" vertical="top"/>
    </xf>
    <xf numFmtId="0" fontId="34" fillId="0" borderId="28" xfId="4" applyFont="1" applyBorder="1" applyAlignment="1">
      <alignment horizontal="justify" vertical="top" wrapText="1"/>
    </xf>
    <xf numFmtId="1" fontId="34" fillId="0" borderId="7" xfId="4" applyNumberFormat="1" applyFont="1" applyBorder="1" applyAlignment="1" applyProtection="1">
      <alignment horizontal="justify" vertical="top" wrapText="1"/>
      <protection locked="0"/>
    </xf>
    <xf numFmtId="166" fontId="34" fillId="0" borderId="7" xfId="4" applyNumberFormat="1" applyFont="1" applyBorder="1" applyAlignment="1" applyProtection="1">
      <alignment horizontal="justify" vertical="top" wrapText="1"/>
      <protection locked="0"/>
    </xf>
    <xf numFmtId="0" fontId="34" fillId="0" borderId="7" xfId="1" applyFont="1" applyBorder="1" applyAlignment="1">
      <alignment horizontal="justify" vertical="top"/>
    </xf>
    <xf numFmtId="0" fontId="36" fillId="0" borderId="0" xfId="1" applyFont="1" applyAlignment="1">
      <alignment horizontal="center" vertical="center" wrapText="1"/>
    </xf>
    <xf numFmtId="0" fontId="34" fillId="0" borderId="1" xfId="1" applyFont="1" applyBorder="1"/>
    <xf numFmtId="0" fontId="34" fillId="0" borderId="1" xfId="1" applyFont="1" applyBorder="1" applyAlignment="1">
      <alignment horizontal="center"/>
    </xf>
    <xf numFmtId="0" fontId="34" fillId="0" borderId="7" xfId="1" applyFont="1" applyBorder="1"/>
    <xf numFmtId="0" fontId="25" fillId="0" borderId="0" xfId="1" applyFont="1"/>
    <xf numFmtId="167" fontId="37" fillId="0" borderId="7" xfId="1" applyNumberFormat="1" applyFont="1" applyBorder="1" applyAlignment="1">
      <alignment horizontal="justify" wrapText="1"/>
    </xf>
    <xf numFmtId="0" fontId="34" fillId="0" borderId="7" xfId="1" applyFont="1" applyBorder="1" applyAlignment="1">
      <alignment horizontal="center" wrapText="1"/>
    </xf>
    <xf numFmtId="166" fontId="25" fillId="0" borderId="7" xfId="4" applyNumberFormat="1" applyFont="1" applyBorder="1" applyAlignment="1">
      <alignment horizontal="justify" vertical="top"/>
    </xf>
    <xf numFmtId="0" fontId="25" fillId="0" borderId="7" xfId="1" applyFont="1" applyBorder="1"/>
    <xf numFmtId="0" fontId="25" fillId="0" borderId="7" xfId="1" applyFont="1" applyBorder="1" applyAlignment="1">
      <alignment horizontal="center"/>
    </xf>
    <xf numFmtId="0" fontId="34" fillId="0" borderId="7" xfId="1" applyFont="1" applyBorder="1" applyAlignment="1">
      <alignment horizontal="left"/>
    </xf>
    <xf numFmtId="0" fontId="34" fillId="0" borderId="7" xfId="1" applyFont="1" applyBorder="1" applyAlignment="1">
      <alignment horizontal="justify" vertical="top" wrapText="1"/>
    </xf>
    <xf numFmtId="0" fontId="34" fillId="0" borderId="28" xfId="1" applyFont="1" applyBorder="1" applyAlignment="1">
      <alignment horizontal="center"/>
    </xf>
    <xf numFmtId="0" fontId="34" fillId="0" borderId="1" xfId="1" quotePrefix="1" applyFont="1" applyBorder="1" applyAlignment="1">
      <alignment horizontal="center"/>
    </xf>
    <xf numFmtId="0" fontId="34" fillId="0" borderId="1" xfId="5" quotePrefix="1" applyFont="1" applyBorder="1" applyAlignment="1">
      <alignment horizontal="center"/>
    </xf>
    <xf numFmtId="0" fontId="25" fillId="0" borderId="7" xfId="1" applyFont="1" applyBorder="1" applyAlignment="1">
      <alignment horizontal="left"/>
    </xf>
    <xf numFmtId="0" fontId="25" fillId="0" borderId="6" xfId="1" applyFont="1" applyBorder="1"/>
    <xf numFmtId="0" fontId="25" fillId="0" borderId="28" xfId="1" applyFont="1" applyBorder="1" applyAlignment="1">
      <alignment horizontal="center"/>
    </xf>
    <xf numFmtId="0" fontId="25" fillId="0" borderId="28" xfId="1" quotePrefix="1" applyFont="1" applyBorder="1" applyAlignment="1">
      <alignment horizontal="center"/>
    </xf>
    <xf numFmtId="0" fontId="33" fillId="0" borderId="7" xfId="1" applyFont="1" applyBorder="1" applyAlignment="1">
      <alignment horizontal="justify" vertical="justify" wrapText="1"/>
    </xf>
    <xf numFmtId="0" fontId="38" fillId="0" borderId="7" xfId="1" applyFont="1" applyBorder="1" applyAlignment="1">
      <alignment horizontal="justify" vertical="justify" wrapText="1"/>
    </xf>
    <xf numFmtId="0" fontId="34" fillId="0" borderId="28" xfId="5" quotePrefix="1" applyFont="1" applyBorder="1" applyAlignment="1">
      <alignment horizontal="center"/>
    </xf>
    <xf numFmtId="0" fontId="34" fillId="0" borderId="28" xfId="1" quotePrefix="1" applyFont="1" applyBorder="1" applyAlignment="1">
      <alignment horizontal="center"/>
    </xf>
    <xf numFmtId="167" fontId="29" fillId="0" borderId="7" xfId="6" applyNumberFormat="1" applyFont="1" applyBorder="1" applyAlignment="1">
      <alignment horizontal="left" wrapText="1"/>
    </xf>
    <xf numFmtId="167" fontId="29" fillId="0" borderId="47" xfId="6" applyNumberFormat="1" applyFont="1" applyBorder="1" applyAlignment="1">
      <alignment horizontal="left" wrapText="1"/>
    </xf>
    <xf numFmtId="167" fontId="29" fillId="0" borderId="0" xfId="6" applyNumberFormat="1" applyFont="1" applyAlignment="1">
      <alignment horizontal="left" wrapText="1"/>
    </xf>
    <xf numFmtId="0" fontId="34" fillId="0" borderId="7" xfId="1" applyFont="1" applyBorder="1" applyAlignment="1">
      <alignment horizontal="justify" vertical="justify" wrapText="1"/>
    </xf>
    <xf numFmtId="0" fontId="33" fillId="0" borderId="6" xfId="1" applyFont="1" applyBorder="1"/>
    <xf numFmtId="0" fontId="34" fillId="0" borderId="4" xfId="1" applyFont="1" applyBorder="1" applyAlignment="1">
      <alignment horizontal="center"/>
    </xf>
    <xf numFmtId="0" fontId="34" fillId="0" borderId="7" xfId="7" applyFont="1" applyBorder="1" applyAlignment="1">
      <alignment horizontal="justify" vertical="top" wrapText="1"/>
    </xf>
    <xf numFmtId="0" fontId="34" fillId="0" borderId="5" xfId="7" applyFont="1" applyBorder="1" applyAlignment="1">
      <alignment horizontal="justify" vertical="top" wrapText="1"/>
    </xf>
    <xf numFmtId="0" fontId="37" fillId="0" borderId="7" xfId="1" applyFont="1" applyBorder="1"/>
    <xf numFmtId="0" fontId="37" fillId="0" borderId="5" xfId="1" applyFont="1" applyBorder="1"/>
    <xf numFmtId="0" fontId="34" fillId="0" borderId="5" xfId="1" applyFont="1" applyBorder="1" applyAlignment="1">
      <alignment horizontal="center"/>
    </xf>
    <xf numFmtId="0" fontId="34" fillId="0" borderId="30" xfId="1" applyFont="1" applyBorder="1" applyAlignment="1">
      <alignment horizontal="center"/>
    </xf>
    <xf numFmtId="0" fontId="41" fillId="0" borderId="0" xfId="1" quotePrefix="1" applyFont="1" applyAlignment="1">
      <alignment horizontal="center"/>
    </xf>
    <xf numFmtId="0" fontId="34" fillId="0" borderId="1" xfId="5" applyFont="1" applyBorder="1" applyAlignment="1">
      <alignment horizontal="center"/>
    </xf>
    <xf numFmtId="0" fontId="41" fillId="0" borderId="0" xfId="1" applyFont="1" applyAlignment="1">
      <alignment horizontal="center"/>
    </xf>
    <xf numFmtId="0" fontId="34" fillId="0" borderId="5" xfId="1" applyFont="1" applyBorder="1"/>
    <xf numFmtId="0" fontId="34" fillId="0" borderId="4" xfId="1" applyFont="1" applyBorder="1"/>
    <xf numFmtId="0" fontId="34" fillId="0" borderId="7" xfId="8" applyFont="1" applyBorder="1"/>
    <xf numFmtId="0" fontId="34" fillId="0" borderId="28" xfId="5" applyFont="1" applyBorder="1" applyAlignment="1">
      <alignment horizontal="center"/>
    </xf>
    <xf numFmtId="0" fontId="25" fillId="0" borderId="7" xfId="9" applyFont="1" applyBorder="1"/>
    <xf numFmtId="0" fontId="29" fillId="0" borderId="7" xfId="1" applyFont="1" applyBorder="1"/>
    <xf numFmtId="0" fontId="38" fillId="0" borderId="7" xfId="1" applyFont="1" applyBorder="1"/>
    <xf numFmtId="0" fontId="34" fillId="0" borderId="7" xfId="1" applyFont="1" applyBorder="1" applyAlignment="1">
      <alignment horizontal="justify" vertical="center" wrapText="1"/>
    </xf>
    <xf numFmtId="166" fontId="34" fillId="0" borderId="7" xfId="1" applyNumberFormat="1" applyFont="1" applyBorder="1" applyAlignment="1">
      <alignment horizontal="left"/>
    </xf>
    <xf numFmtId="0" fontId="33" fillId="0" borderId="28" xfId="1" applyFont="1" applyBorder="1" applyAlignment="1">
      <alignment horizontal="left"/>
    </xf>
    <xf numFmtId="0" fontId="34" fillId="0" borderId="28" xfId="1" applyFont="1" applyBorder="1" applyAlignment="1">
      <alignment horizontal="left"/>
    </xf>
    <xf numFmtId="0" fontId="34" fillId="0" borderId="7" xfId="1" quotePrefix="1" applyFont="1" applyBorder="1" applyAlignment="1">
      <alignment horizontal="center"/>
    </xf>
    <xf numFmtId="0" fontId="33" fillId="0" borderId="28" xfId="1" applyFont="1" applyBorder="1" applyAlignment="1">
      <alignment horizontal="justify" vertical="justify" wrapText="1"/>
    </xf>
    <xf numFmtId="0" fontId="34" fillId="0" borderId="7" xfId="1" applyFont="1" applyBorder="1" applyAlignment="1">
      <alignment vertical="center"/>
    </xf>
    <xf numFmtId="0" fontId="34" fillId="0" borderId="28" xfId="1" applyFont="1" applyBorder="1" applyAlignment="1">
      <alignment horizontal="justify" vertical="top" wrapText="1"/>
    </xf>
    <xf numFmtId="0" fontId="34" fillId="0" borderId="28" xfId="1" applyFont="1" applyBorder="1" applyAlignment="1">
      <alignment horizontal="justify" vertical="justify" wrapText="1"/>
    </xf>
    <xf numFmtId="0" fontId="34" fillId="0" borderId="5" xfId="1" applyFont="1" applyBorder="1" applyAlignment="1">
      <alignment vertical="center"/>
    </xf>
    <xf numFmtId="0" fontId="34" fillId="0" borderId="7" xfId="1" applyFont="1" applyBorder="1" applyAlignment="1">
      <alignment horizontal="left" vertical="top"/>
    </xf>
    <xf numFmtId="0" fontId="34" fillId="0" borderId="27" xfId="1" applyFont="1" applyBorder="1" applyAlignment="1">
      <alignment horizontal="justify" vertical="justify" wrapText="1"/>
    </xf>
    <xf numFmtId="166" fontId="34" fillId="0" borderId="7" xfId="4" quotePrefix="1" applyNumberFormat="1" applyFont="1" applyBorder="1" applyAlignment="1">
      <alignment horizontal="justify" vertical="top"/>
    </xf>
    <xf numFmtId="2" fontId="34" fillId="0" borderId="7" xfId="4" applyNumberFormat="1" applyFont="1" applyBorder="1" applyAlignment="1">
      <alignment horizontal="justify" vertical="top"/>
    </xf>
    <xf numFmtId="0" fontId="34" fillId="0" borderId="7" xfId="10" applyFont="1" applyBorder="1" applyAlignment="1">
      <alignment horizontal="justify" vertical="top" wrapText="1"/>
    </xf>
    <xf numFmtId="0" fontId="33" fillId="0" borderId="5" xfId="1" applyFont="1" applyBorder="1"/>
    <xf numFmtId="166" fontId="25" fillId="0" borderId="28" xfId="4" applyNumberFormat="1" applyFont="1" applyBorder="1" applyAlignment="1">
      <alignment horizontal="justify" vertical="top"/>
    </xf>
    <xf numFmtId="0" fontId="25" fillId="0" borderId="0" xfId="1" applyFont="1" applyAlignment="1">
      <alignment horizontal="center"/>
    </xf>
    <xf numFmtId="0" fontId="34" fillId="0" borderId="7" xfId="1" applyFont="1" applyBorder="1" applyAlignment="1">
      <alignment horizontal="justify" vertical="justify"/>
    </xf>
    <xf numFmtId="0" fontId="34" fillId="0" borderId="28" xfId="1" applyFont="1" applyBorder="1" applyAlignment="1">
      <alignment horizontal="justify" vertical="justify"/>
    </xf>
    <xf numFmtId="0" fontId="34" fillId="0" borderId="5" xfId="1" applyFont="1" applyBorder="1" applyAlignment="1">
      <alignment horizontal="justify" vertical="justify"/>
    </xf>
    <xf numFmtId="0" fontId="44" fillId="0" borderId="6" xfId="1" applyFont="1" applyBorder="1"/>
    <xf numFmtId="0" fontId="44" fillId="0" borderId="5" xfId="1" applyFont="1" applyBorder="1"/>
    <xf numFmtId="0" fontId="45" fillId="0" borderId="1" xfId="1" applyFont="1" applyBorder="1"/>
    <xf numFmtId="0" fontId="46" fillId="0" borderId="0" xfId="1" applyFont="1" applyAlignment="1">
      <alignment horizontal="center" vertical="center" wrapText="1"/>
    </xf>
    <xf numFmtId="0" fontId="47" fillId="0" borderId="7" xfId="1" applyFont="1" applyBorder="1"/>
    <xf numFmtId="0" fontId="25" fillId="0" borderId="6" xfId="1" quotePrefix="1" applyFont="1" applyBorder="1" applyAlignment="1">
      <alignment horizontal="center"/>
    </xf>
    <xf numFmtId="0" fontId="48" fillId="0" borderId="0" xfId="1" applyFont="1" applyAlignment="1">
      <alignment horizontal="center" vertical="center" wrapText="1"/>
    </xf>
    <xf numFmtId="0" fontId="33" fillId="0" borderId="28" xfId="1" applyFont="1" applyBorder="1"/>
    <xf numFmtId="0" fontId="34" fillId="0" borderId="0" xfId="1" applyFont="1" applyAlignment="1">
      <alignment horizontal="center"/>
    </xf>
    <xf numFmtId="0" fontId="34" fillId="0" borderId="1" xfId="1" quotePrefix="1" applyFont="1" applyBorder="1"/>
    <xf numFmtId="0" fontId="40" fillId="0" borderId="1" xfId="1" applyFont="1" applyBorder="1" applyAlignment="1">
      <alignment horizontal="center"/>
    </xf>
    <xf numFmtId="0" fontId="41" fillId="0" borderId="7" xfId="1" applyFont="1" applyBorder="1"/>
    <xf numFmtId="0" fontId="33" fillId="0" borderId="0" xfId="1" applyFont="1"/>
    <xf numFmtId="0" fontId="40" fillId="0" borderId="7" xfId="1" applyFont="1" applyBorder="1" applyAlignment="1">
      <alignment horizontal="center"/>
    </xf>
    <xf numFmtId="0" fontId="40" fillId="0" borderId="28" xfId="1" quotePrefix="1" applyFont="1" applyBorder="1" applyAlignment="1">
      <alignment horizontal="center"/>
    </xf>
    <xf numFmtId="0" fontId="40" fillId="0" borderId="28" xfId="1" applyFont="1" applyBorder="1" applyAlignment="1">
      <alignment horizontal="center"/>
    </xf>
    <xf numFmtId="0" fontId="29" fillId="0" borderId="47" xfId="1" applyFont="1" applyBorder="1" applyAlignment="1">
      <alignment horizontal="left" vertical="center" wrapText="1"/>
    </xf>
    <xf numFmtId="0" fontId="40" fillId="0" borderId="47" xfId="1" applyFont="1" applyBorder="1" applyAlignment="1">
      <alignment horizontal="left" vertical="center" wrapText="1"/>
    </xf>
    <xf numFmtId="0" fontId="25" fillId="0" borderId="7" xfId="1" quotePrefix="1" applyFont="1" applyBorder="1" applyAlignment="1">
      <alignment horizontal="center"/>
    </xf>
    <xf numFmtId="0" fontId="49" fillId="0" borderId="7" xfId="1" applyFont="1" applyBorder="1" applyAlignment="1">
      <alignment horizontal="center"/>
    </xf>
    <xf numFmtId="0" fontId="33" fillId="12" borderId="1" xfId="1" applyFont="1" applyFill="1" applyBorder="1" applyAlignment="1">
      <alignment horizontal="left" vertical="center"/>
    </xf>
    <xf numFmtId="0" fontId="34" fillId="12" borderId="1" xfId="1" applyFont="1" applyFill="1" applyBorder="1" applyAlignment="1">
      <alignment horizontal="justify" vertical="justify" wrapText="1"/>
    </xf>
    <xf numFmtId="0" fontId="34" fillId="12" borderId="1" xfId="1" applyFont="1" applyFill="1" applyBorder="1" applyAlignment="1">
      <alignment horizontal="center" vertical="center"/>
    </xf>
    <xf numFmtId="1" fontId="34" fillId="12" borderId="1" xfId="1" applyNumberFormat="1" applyFont="1" applyFill="1" applyBorder="1" applyAlignment="1">
      <alignment horizontal="center" vertical="center"/>
    </xf>
    <xf numFmtId="169" fontId="33" fillId="12" borderId="4" xfId="1" applyNumberFormat="1" applyFont="1" applyFill="1" applyBorder="1" applyAlignment="1">
      <alignment horizontal="center" vertical="center"/>
    </xf>
    <xf numFmtId="0" fontId="25" fillId="0" borderId="6" xfId="1" quotePrefix="1" applyFont="1" applyBorder="1"/>
    <xf numFmtId="0" fontId="38" fillId="0" borderId="6" xfId="1" applyFont="1" applyBorder="1"/>
    <xf numFmtId="0" fontId="25" fillId="0" borderId="6" xfId="1" applyFont="1" applyBorder="1" applyAlignment="1">
      <alignment horizontal="center"/>
    </xf>
    <xf numFmtId="1" fontId="25" fillId="0" borderId="6" xfId="1" applyNumberFormat="1" applyFont="1" applyBorder="1" applyAlignment="1">
      <alignment horizontal="center" vertical="center"/>
    </xf>
    <xf numFmtId="0" fontId="25" fillId="0" borderId="26" xfId="1" applyFont="1" applyBorder="1" applyAlignment="1">
      <alignment horizontal="center"/>
    </xf>
    <xf numFmtId="0" fontId="34" fillId="0" borderId="7" xfId="1" quotePrefix="1" applyFont="1" applyBorder="1"/>
    <xf numFmtId="1" fontId="34" fillId="0" borderId="7" xfId="1" applyNumberFormat="1" applyFont="1" applyBorder="1" applyAlignment="1">
      <alignment horizontal="center" vertical="center"/>
    </xf>
    <xf numFmtId="0" fontId="34" fillId="0" borderId="28" xfId="1" applyFont="1" applyBorder="1"/>
    <xf numFmtId="0" fontId="29" fillId="0" borderId="0" xfId="1" applyFont="1" applyAlignment="1">
      <alignment horizontal="center" vertical="center" wrapText="1"/>
    </xf>
    <xf numFmtId="0" fontId="33" fillId="0" borderId="7" xfId="1" applyFont="1" applyBorder="1" applyAlignment="1">
      <alignment horizontal="center"/>
    </xf>
    <xf numFmtId="0" fontId="38" fillId="0" borderId="7" xfId="1" applyFont="1" applyBorder="1" applyAlignment="1">
      <alignment horizontal="left"/>
    </xf>
    <xf numFmtId="0" fontId="38" fillId="0" borderId="28" xfId="1" applyFont="1" applyBorder="1" applyAlignment="1">
      <alignment horizontal="center"/>
    </xf>
    <xf numFmtId="0" fontId="38" fillId="0" borderId="7" xfId="1" applyFont="1" applyBorder="1" applyAlignment="1">
      <alignment horizontal="center"/>
    </xf>
    <xf numFmtId="0" fontId="34" fillId="0" borderId="7" xfId="1" applyFont="1" applyBorder="1" applyAlignment="1">
      <alignment horizontal="left" vertical="top" wrapText="1"/>
    </xf>
    <xf numFmtId="0" fontId="41" fillId="0" borderId="7" xfId="1" applyFont="1" applyBorder="1" applyAlignment="1">
      <alignment horizontal="justify" vertical="justify" wrapText="1"/>
    </xf>
    <xf numFmtId="0" fontId="50" fillId="0" borderId="7" xfId="1" applyFont="1" applyBorder="1" applyAlignment="1">
      <alignment horizontal="justify" vertical="justify" wrapText="1"/>
    </xf>
    <xf numFmtId="0" fontId="34" fillId="0" borderId="7" xfId="1" applyFont="1" applyBorder="1" applyAlignment="1">
      <alignment vertical="top" wrapText="1"/>
    </xf>
    <xf numFmtId="0" fontId="34" fillId="0" borderId="5" xfId="1" applyFont="1" applyBorder="1" applyAlignment="1">
      <alignment horizontal="justify" vertical="top" wrapText="1"/>
    </xf>
    <xf numFmtId="0" fontId="34" fillId="0" borderId="1" xfId="1" applyFont="1" applyBorder="1" applyAlignment="1">
      <alignment vertical="top"/>
    </xf>
    <xf numFmtId="0" fontId="7" fillId="0" borderId="1" xfId="1" applyBorder="1" applyAlignment="1">
      <alignment horizontal="center" vertical="top"/>
    </xf>
    <xf numFmtId="0" fontId="25" fillId="7" borderId="7" xfId="1" applyFont="1" applyFill="1" applyBorder="1"/>
    <xf numFmtId="0" fontId="34" fillId="0" borderId="7" xfId="1" quotePrefix="1" applyFont="1" applyBorder="1" applyAlignment="1">
      <alignment horizontal="left" vertical="top"/>
    </xf>
    <xf numFmtId="0" fontId="40" fillId="0" borderId="7" xfId="11" applyFont="1" applyBorder="1" applyAlignment="1">
      <alignment horizontal="center"/>
    </xf>
    <xf numFmtId="0" fontId="25" fillId="7" borderId="7" xfId="1" quotePrefix="1" applyFont="1" applyFill="1" applyBorder="1" applyAlignment="1">
      <alignment horizontal="left" vertical="top"/>
    </xf>
    <xf numFmtId="0" fontId="25" fillId="7" borderId="7" xfId="1" applyFont="1" applyFill="1" applyBorder="1" applyAlignment="1">
      <alignment horizontal="justify" vertical="justify" wrapText="1"/>
    </xf>
    <xf numFmtId="0" fontId="25" fillId="0" borderId="7" xfId="1" quotePrefix="1" applyFont="1" applyBorder="1" applyAlignment="1">
      <alignment horizontal="left" vertical="top"/>
    </xf>
    <xf numFmtId="0" fontId="25" fillId="0" borderId="7" xfId="1" applyFont="1" applyBorder="1" applyAlignment="1">
      <alignment horizontal="justify" vertical="justify" wrapText="1"/>
    </xf>
    <xf numFmtId="0" fontId="34" fillId="0" borderId="7" xfId="1" applyFont="1" applyBorder="1" applyAlignment="1">
      <alignment horizontal="justify" wrapText="1"/>
    </xf>
    <xf numFmtId="0" fontId="25" fillId="0" borderId="7" xfId="1" applyFont="1" applyBorder="1" applyAlignment="1">
      <alignment horizontal="justify" vertical="top" wrapText="1"/>
    </xf>
    <xf numFmtId="0" fontId="25" fillId="0" borderId="7" xfId="1" applyFont="1" applyBorder="1" applyAlignment="1">
      <alignment horizontal="center" vertical="center"/>
    </xf>
    <xf numFmtId="0" fontId="34" fillId="0" borderId="7" xfId="12" applyFont="1" applyBorder="1" applyAlignment="1">
      <alignment horizontal="justify" vertical="top" wrapText="1"/>
    </xf>
    <xf numFmtId="0" fontId="34" fillId="0" borderId="7" xfId="1" applyFont="1" applyBorder="1" applyAlignment="1">
      <alignment horizontal="center" vertical="center"/>
    </xf>
    <xf numFmtId="0" fontId="34" fillId="0" borderId="7" xfId="13" applyFont="1" applyBorder="1"/>
    <xf numFmtId="0" fontId="34" fillId="0" borderId="28" xfId="13" applyFont="1" applyBorder="1" applyAlignment="1">
      <alignment horizontal="center"/>
    </xf>
    <xf numFmtId="0" fontId="34" fillId="0" borderId="7" xfId="13" applyFont="1" applyBorder="1" applyAlignment="1">
      <alignment horizontal="justify" vertical="justify" wrapText="1"/>
    </xf>
    <xf numFmtId="0" fontId="34" fillId="0" borderId="28" xfId="13" quotePrefix="1" applyFont="1" applyBorder="1" applyAlignment="1">
      <alignment horizontal="center"/>
    </xf>
    <xf numFmtId="166" fontId="34" fillId="0" borderId="7" xfId="1" quotePrefix="1" applyNumberFormat="1" applyFont="1" applyBorder="1" applyAlignment="1">
      <alignment horizontal="left" vertical="top"/>
    </xf>
    <xf numFmtId="0" fontId="34" fillId="0" borderId="1" xfId="1" applyFont="1" applyBorder="1" applyAlignment="1">
      <alignment horizontal="center" vertical="top"/>
    </xf>
    <xf numFmtId="0" fontId="40" fillId="0" borderId="1" xfId="11" applyFont="1" applyBorder="1" applyAlignment="1">
      <alignment horizontal="center"/>
    </xf>
    <xf numFmtId="0" fontId="34" fillId="0" borderId="28" xfId="1" applyFont="1" applyBorder="1" applyAlignment="1">
      <alignment horizontal="center" vertical="top"/>
    </xf>
    <xf numFmtId="0" fontId="34" fillId="7" borderId="28" xfId="1" quotePrefix="1" applyFont="1" applyFill="1" applyBorder="1" applyAlignment="1">
      <alignment horizontal="center"/>
    </xf>
    <xf numFmtId="0" fontId="40" fillId="0" borderId="28" xfId="11" applyFont="1" applyBorder="1" applyAlignment="1">
      <alignment horizontal="center"/>
    </xf>
    <xf numFmtId="2" fontId="34" fillId="0" borderId="7" xfId="1" quotePrefix="1" applyNumberFormat="1" applyFont="1" applyBorder="1" applyAlignment="1">
      <alignment horizontal="left" vertical="top"/>
    </xf>
    <xf numFmtId="0" fontId="25" fillId="0" borderId="7" xfId="1" quotePrefix="1" applyFont="1" applyBorder="1" applyAlignment="1">
      <alignment horizontal="left"/>
    </xf>
    <xf numFmtId="1" fontId="34" fillId="0" borderId="1" xfId="1" quotePrefix="1" applyNumberFormat="1" applyFont="1" applyBorder="1" applyAlignment="1">
      <alignment horizontal="center"/>
    </xf>
    <xf numFmtId="1" fontId="25" fillId="0" borderId="28" xfId="1" quotePrefix="1" applyNumberFormat="1" applyFont="1" applyBorder="1" applyAlignment="1">
      <alignment horizontal="center"/>
    </xf>
    <xf numFmtId="0" fontId="25" fillId="0" borderId="7" xfId="1" applyFont="1" applyBorder="1" applyAlignment="1">
      <alignment horizontal="left" vertical="top"/>
    </xf>
    <xf numFmtId="0" fontId="25" fillId="0" borderId="28" xfId="1" applyFont="1" applyBorder="1" applyAlignment="1">
      <alignment horizontal="justify" vertical="justify" wrapText="1"/>
    </xf>
    <xf numFmtId="0" fontId="34" fillId="0" borderId="7" xfId="7" quotePrefix="1" applyFont="1" applyBorder="1" applyAlignment="1">
      <alignment horizontal="justify" vertical="top" wrapText="1"/>
    </xf>
    <xf numFmtId="0" fontId="34" fillId="0" borderId="7" xfId="7" applyFont="1" applyBorder="1" applyAlignment="1">
      <alignment horizontal="center" wrapText="1"/>
    </xf>
    <xf numFmtId="169" fontId="33" fillId="12" borderId="1" xfId="1" applyNumberFormat="1" applyFont="1" applyFill="1" applyBorder="1" applyAlignment="1">
      <alignment horizontal="center"/>
    </xf>
    <xf numFmtId="0" fontId="34" fillId="2" borderId="0" xfId="1" applyFont="1" applyFill="1"/>
    <xf numFmtId="0" fontId="38" fillId="0" borderId="6" xfId="1" applyFont="1" applyBorder="1" applyAlignment="1">
      <alignment horizontal="left" vertical="center"/>
    </xf>
    <xf numFmtId="169" fontId="38" fillId="0" borderId="7" xfId="1" applyNumberFormat="1" applyFont="1" applyBorder="1" applyAlignment="1">
      <alignment horizontal="center"/>
    </xf>
    <xf numFmtId="0" fontId="34" fillId="7" borderId="7" xfId="1" quotePrefix="1" applyFont="1" applyFill="1" applyBorder="1" applyAlignment="1">
      <alignment horizontal="left"/>
    </xf>
    <xf numFmtId="0" fontId="33" fillId="7" borderId="7" xfId="1" applyFont="1" applyFill="1" applyBorder="1"/>
    <xf numFmtId="0" fontId="25" fillId="7" borderId="7" xfId="1" quotePrefix="1" applyFont="1" applyFill="1" applyBorder="1" applyAlignment="1">
      <alignment horizontal="left"/>
    </xf>
    <xf numFmtId="0" fontId="34" fillId="0" borderId="6" xfId="1" applyFont="1" applyBorder="1" applyAlignment="1">
      <alignment horizontal="center"/>
    </xf>
    <xf numFmtId="0" fontId="34" fillId="0" borderId="2" xfId="1" applyFont="1" applyBorder="1"/>
    <xf numFmtId="0" fontId="25" fillId="0" borderId="28" xfId="1" applyFont="1" applyBorder="1"/>
    <xf numFmtId="0" fontId="34" fillId="0" borderId="1" xfId="1" applyFont="1" applyBorder="1" applyAlignment="1">
      <alignment horizontal="justify" vertical="justify" wrapText="1"/>
    </xf>
    <xf numFmtId="0" fontId="33" fillId="0" borderId="1" xfId="1" applyFont="1" applyBorder="1" applyAlignment="1">
      <alignment horizontal="left" vertical="center"/>
    </xf>
    <xf numFmtId="0" fontId="34" fillId="0" borderId="1" xfId="1" applyFont="1" applyBorder="1" applyAlignment="1">
      <alignment horizontal="center" vertical="center"/>
    </xf>
    <xf numFmtId="169" fontId="33" fillId="0" borderId="1" xfId="1" applyNumberFormat="1" applyFont="1" applyBorder="1" applyAlignment="1">
      <alignment horizontal="center"/>
    </xf>
    <xf numFmtId="166" fontId="34" fillId="0" borderId="27" xfId="1" quotePrefix="1" applyNumberFormat="1" applyFont="1" applyBorder="1" applyAlignment="1">
      <alignment horizontal="left"/>
    </xf>
    <xf numFmtId="0" fontId="33" fillId="0" borderId="1" xfId="1" applyFont="1" applyBorder="1"/>
    <xf numFmtId="0" fontId="7" fillId="0" borderId="1" xfId="14" applyBorder="1" applyAlignment="1">
      <alignment horizontal="justify" vertical="center" wrapText="1"/>
    </xf>
    <xf numFmtId="169" fontId="33" fillId="0" borderId="28" xfId="1" applyNumberFormat="1" applyFont="1" applyBorder="1" applyAlignment="1">
      <alignment horizontal="center"/>
    </xf>
    <xf numFmtId="0" fontId="34" fillId="0" borderId="27" xfId="1" applyFont="1" applyBorder="1" applyAlignment="1">
      <alignment horizontal="left"/>
    </xf>
    <xf numFmtId="0" fontId="34" fillId="0" borderId="6" xfId="1" applyFont="1" applyBorder="1" applyAlignment="1">
      <alignment horizontal="center" vertical="center"/>
    </xf>
    <xf numFmtId="169" fontId="33" fillId="0" borderId="26" xfId="1" applyNumberFormat="1" applyFont="1" applyBorder="1" applyAlignment="1">
      <alignment horizontal="center"/>
    </xf>
    <xf numFmtId="0" fontId="34" fillId="0" borderId="27" xfId="1" quotePrefix="1" applyFont="1" applyBorder="1" applyAlignment="1">
      <alignment horizontal="left"/>
    </xf>
    <xf numFmtId="0" fontId="25" fillId="0" borderId="27" xfId="1" applyFont="1" applyBorder="1" applyAlignment="1">
      <alignment horizontal="left"/>
    </xf>
    <xf numFmtId="0" fontId="25" fillId="0" borderId="1" xfId="1" applyFont="1" applyBorder="1"/>
    <xf numFmtId="0" fontId="51" fillId="0" borderId="1" xfId="14" applyFont="1" applyBorder="1" applyAlignment="1">
      <alignment horizontal="justify" vertical="center" wrapText="1"/>
    </xf>
    <xf numFmtId="0" fontId="32" fillId="0" borderId="0" xfId="1" applyFont="1"/>
    <xf numFmtId="0" fontId="38" fillId="0" borderId="0" xfId="1" applyFont="1"/>
    <xf numFmtId="0" fontId="52" fillId="0" borderId="0" xfId="1" applyFont="1"/>
    <xf numFmtId="1" fontId="52" fillId="0" borderId="0" xfId="1" applyNumberFormat="1" applyFont="1" applyAlignment="1">
      <alignment horizontal="center"/>
    </xf>
    <xf numFmtId="0" fontId="52" fillId="0" borderId="0" xfId="1" applyFont="1" applyAlignment="1">
      <alignment horizontal="center"/>
    </xf>
    <xf numFmtId="0" fontId="34" fillId="0" borderId="0" xfId="10" applyFont="1"/>
    <xf numFmtId="0" fontId="34" fillId="0" borderId="25" xfId="10" applyFont="1" applyBorder="1"/>
    <xf numFmtId="0" fontId="34" fillId="0" borderId="9" xfId="10" applyFont="1" applyBorder="1" applyAlignment="1">
      <alignment horizontal="left"/>
    </xf>
    <xf numFmtId="0" fontId="33" fillId="0" borderId="9" xfId="10" applyFont="1" applyBorder="1"/>
    <xf numFmtId="0" fontId="34" fillId="0" borderId="9" xfId="10" applyFont="1" applyBorder="1"/>
    <xf numFmtId="0" fontId="33" fillId="13" borderId="5" xfId="10" applyFont="1" applyFill="1" applyBorder="1" applyAlignment="1">
      <alignment horizontal="left"/>
    </xf>
    <xf numFmtId="0" fontId="33" fillId="13" borderId="29" xfId="10" applyFont="1" applyFill="1" applyBorder="1"/>
    <xf numFmtId="0" fontId="33" fillId="13" borderId="9" xfId="10" applyFont="1" applyFill="1" applyBorder="1"/>
    <xf numFmtId="0" fontId="33" fillId="13" borderId="30" xfId="10" applyFont="1" applyFill="1" applyBorder="1"/>
    <xf numFmtId="0" fontId="33" fillId="13" borderId="5" xfId="10" applyFont="1" applyFill="1" applyBorder="1"/>
    <xf numFmtId="0" fontId="33" fillId="13" borderId="4" xfId="10" applyFont="1" applyFill="1" applyBorder="1"/>
    <xf numFmtId="0" fontId="33" fillId="0" borderId="7" xfId="10" applyFont="1" applyBorder="1" applyAlignment="1">
      <alignment horizontal="left"/>
    </xf>
    <xf numFmtId="0" fontId="33" fillId="0" borderId="27" xfId="10" applyFont="1" applyBorder="1"/>
    <xf numFmtId="0" fontId="33" fillId="0" borderId="0" xfId="10" applyFont="1"/>
    <xf numFmtId="0" fontId="33" fillId="0" borderId="28" xfId="10" applyFont="1" applyBorder="1"/>
    <xf numFmtId="0" fontId="34" fillId="0" borderId="7" xfId="10" quotePrefix="1" applyFont="1" applyBorder="1" applyAlignment="1">
      <alignment horizontal="left"/>
    </xf>
    <xf numFmtId="0" fontId="34" fillId="0" borderId="27" xfId="10" applyFont="1" applyBorder="1"/>
    <xf numFmtId="0" fontId="34" fillId="0" borderId="28" xfId="10" applyFont="1" applyBorder="1"/>
    <xf numFmtId="0" fontId="33" fillId="0" borderId="27" xfId="10" applyFont="1" applyBorder="1" applyAlignment="1">
      <alignment horizontal="center" vertical="justify" wrapText="1"/>
    </xf>
    <xf numFmtId="0" fontId="7" fillId="0" borderId="28" xfId="10" applyFont="1" applyBorder="1" applyAlignment="1">
      <alignment horizontal="center" vertical="justify" wrapText="1"/>
    </xf>
    <xf numFmtId="0" fontId="34" fillId="0" borderId="7" xfId="10" applyFont="1" applyBorder="1" applyAlignment="1">
      <alignment horizontal="left"/>
    </xf>
    <xf numFmtId="0" fontId="34" fillId="0" borderId="28" xfId="10" applyFont="1" applyBorder="1" applyAlignment="1">
      <alignment horizontal="center"/>
    </xf>
    <xf numFmtId="0" fontId="33" fillId="0" borderId="1" xfId="10" applyFont="1" applyBorder="1"/>
    <xf numFmtId="0" fontId="34" fillId="0" borderId="2" xfId="10" applyFont="1" applyBorder="1"/>
    <xf numFmtId="0" fontId="34" fillId="0" borderId="3" xfId="10" applyFont="1" applyBorder="1"/>
    <xf numFmtId="0" fontId="34" fillId="0" borderId="4" xfId="10" applyFont="1" applyBorder="1"/>
    <xf numFmtId="0" fontId="33" fillId="0" borderId="25" xfId="10" applyFont="1" applyBorder="1"/>
    <xf numFmtId="0" fontId="33" fillId="0" borderId="25" xfId="10" applyFont="1" applyBorder="1" applyAlignment="1">
      <alignment horizontal="center"/>
    </xf>
    <xf numFmtId="0" fontId="33" fillId="13" borderId="1" xfId="10" applyFont="1" applyFill="1" applyBorder="1" applyAlignment="1">
      <alignment horizontal="left" vertical="center"/>
    </xf>
    <xf numFmtId="0" fontId="33" fillId="13" borderId="1" xfId="10" applyFont="1" applyFill="1" applyBorder="1" applyAlignment="1">
      <alignment horizontal="center" vertical="center"/>
    </xf>
    <xf numFmtId="0" fontId="29" fillId="13" borderId="1" xfId="10" applyFont="1" applyFill="1" applyBorder="1" applyAlignment="1">
      <alignment horizontal="center" vertical="center" wrapText="1"/>
    </xf>
    <xf numFmtId="0" fontId="29" fillId="13" borderId="1" xfId="10" applyFont="1" applyFill="1" applyBorder="1" applyAlignment="1">
      <alignment horizontal="center" vertical="center"/>
    </xf>
    <xf numFmtId="0" fontId="34" fillId="0" borderId="1" xfId="10" applyFont="1" applyBorder="1"/>
    <xf numFmtId="0" fontId="33" fillId="0" borderId="7" xfId="10" applyFont="1" applyBorder="1"/>
    <xf numFmtId="0" fontId="33" fillId="7" borderId="7" xfId="10" applyFont="1" applyFill="1" applyBorder="1" applyAlignment="1">
      <alignment horizontal="left" vertical="center"/>
    </xf>
    <xf numFmtId="0" fontId="29" fillId="7" borderId="7" xfId="10" applyFont="1" applyFill="1" applyBorder="1" applyAlignment="1">
      <alignment horizontal="left" vertical="center"/>
    </xf>
    <xf numFmtId="0" fontId="34" fillId="7" borderId="7" xfId="10" quotePrefix="1" applyFont="1" applyFill="1" applyBorder="1" applyAlignment="1">
      <alignment horizontal="left" vertical="top"/>
    </xf>
    <xf numFmtId="0" fontId="33" fillId="7" borderId="7" xfId="10" applyFont="1" applyFill="1" applyBorder="1"/>
    <xf numFmtId="0" fontId="34" fillId="7" borderId="7" xfId="10" applyFont="1" applyFill="1" applyBorder="1"/>
    <xf numFmtId="0" fontId="34" fillId="12" borderId="0" xfId="10" applyFont="1" applyFill="1"/>
    <xf numFmtId="0" fontId="34" fillId="7" borderId="7" xfId="10" applyFont="1" applyFill="1" applyBorder="1" applyAlignment="1">
      <alignment horizontal="left"/>
    </xf>
    <xf numFmtId="0" fontId="34" fillId="7" borderId="7" xfId="10" applyFont="1" applyFill="1" applyBorder="1" applyAlignment="1">
      <alignment horizontal="center"/>
    </xf>
    <xf numFmtId="0" fontId="34" fillId="7" borderId="7" xfId="10" applyFont="1" applyFill="1" applyBorder="1" applyAlignment="1">
      <alignment horizontal="left" vertical="top"/>
    </xf>
    <xf numFmtId="0" fontId="34" fillId="14" borderId="0" xfId="10" applyFont="1" applyFill="1"/>
    <xf numFmtId="0" fontId="34" fillId="7" borderId="7" xfId="1" applyFont="1" applyFill="1" applyBorder="1" applyAlignment="1">
      <alignment horizontal="justify" vertical="justify" wrapText="1"/>
    </xf>
    <xf numFmtId="0" fontId="25" fillId="7" borderId="7" xfId="10" applyFont="1" applyFill="1" applyBorder="1" applyAlignment="1">
      <alignment horizontal="left"/>
    </xf>
    <xf numFmtId="0" fontId="25" fillId="7" borderId="7" xfId="1" applyFont="1" applyFill="1" applyBorder="1" applyAlignment="1">
      <alignment horizontal="justify" vertical="justify"/>
    </xf>
    <xf numFmtId="0" fontId="25" fillId="7" borderId="7" xfId="10" applyFont="1" applyFill="1" applyBorder="1"/>
    <xf numFmtId="0" fontId="25" fillId="14" borderId="0" xfId="10" applyFont="1" applyFill="1"/>
    <xf numFmtId="0" fontId="34" fillId="7" borderId="7" xfId="1" applyFont="1" applyFill="1" applyBorder="1"/>
    <xf numFmtId="0" fontId="25" fillId="7" borderId="7" xfId="10" applyFont="1" applyFill="1" applyBorder="1" applyAlignment="1">
      <alignment horizontal="center"/>
    </xf>
    <xf numFmtId="0" fontId="25" fillId="7" borderId="28" xfId="10" applyFont="1" applyFill="1" applyBorder="1" applyAlignment="1">
      <alignment horizontal="center"/>
    </xf>
    <xf numFmtId="0" fontId="52" fillId="7" borderId="7" xfId="10" applyFont="1" applyFill="1" applyBorder="1"/>
    <xf numFmtId="0" fontId="34" fillId="7" borderId="7" xfId="1" applyFont="1" applyFill="1" applyBorder="1" applyAlignment="1">
      <alignment horizontal="left" wrapText="1"/>
    </xf>
    <xf numFmtId="0" fontId="51" fillId="7" borderId="0" xfId="10" applyFont="1" applyFill="1"/>
    <xf numFmtId="0" fontId="51" fillId="7" borderId="27" xfId="10" applyFont="1" applyFill="1" applyBorder="1"/>
    <xf numFmtId="0" fontId="51" fillId="7" borderId="7" xfId="10" applyFont="1" applyFill="1" applyBorder="1"/>
    <xf numFmtId="0" fontId="34" fillId="7" borderId="7" xfId="10" applyFont="1" applyFill="1" applyBorder="1" applyAlignment="1">
      <alignment horizontal="justify" vertical="justify"/>
    </xf>
    <xf numFmtId="0" fontId="25" fillId="7" borderId="7" xfId="10" applyFont="1" applyFill="1" applyBorder="1" applyAlignment="1">
      <alignment horizontal="left" vertical="top"/>
    </xf>
    <xf numFmtId="0" fontId="25" fillId="7" borderId="7" xfId="10" applyFont="1" applyFill="1" applyBorder="1" applyAlignment="1">
      <alignment horizontal="justify" vertical="justify"/>
    </xf>
    <xf numFmtId="0" fontId="33" fillId="7" borderId="7" xfId="10" applyFont="1" applyFill="1" applyBorder="1" applyAlignment="1">
      <alignment horizontal="justify" vertical="top" wrapText="1"/>
    </xf>
    <xf numFmtId="0" fontId="38" fillId="7" borderId="7" xfId="10" applyFont="1" applyFill="1" applyBorder="1" applyAlignment="1">
      <alignment horizontal="justify" vertical="top"/>
    </xf>
    <xf numFmtId="0" fontId="34" fillId="7" borderId="7" xfId="10" applyFont="1" applyFill="1" applyBorder="1" applyAlignment="1">
      <alignment horizontal="justify" vertical="justify" wrapText="1"/>
    </xf>
    <xf numFmtId="0" fontId="25" fillId="0" borderId="0" xfId="10" applyFont="1"/>
    <xf numFmtId="0" fontId="38" fillId="7" borderId="0" xfId="10" applyFont="1" applyFill="1" applyAlignment="1">
      <alignment horizontal="justify" vertical="top"/>
    </xf>
    <xf numFmtId="0" fontId="40" fillId="7" borderId="7" xfId="10" applyFont="1" applyFill="1" applyBorder="1" applyAlignment="1">
      <alignment horizontal="center"/>
    </xf>
    <xf numFmtId="0" fontId="34" fillId="7" borderId="7" xfId="10" applyFont="1" applyFill="1" applyBorder="1" applyAlignment="1">
      <alignment horizontal="justify" vertical="top"/>
    </xf>
    <xf numFmtId="0" fontId="25" fillId="7" borderId="7" xfId="10" applyFont="1" applyFill="1" applyBorder="1" applyAlignment="1">
      <alignment horizontal="justify" vertical="top"/>
    </xf>
    <xf numFmtId="0" fontId="49" fillId="7" borderId="7" xfId="10" applyFont="1" applyFill="1" applyBorder="1" applyAlignment="1">
      <alignment horizontal="center"/>
    </xf>
    <xf numFmtId="0" fontId="34" fillId="7" borderId="6" xfId="10" applyFont="1" applyFill="1" applyBorder="1" applyAlignment="1">
      <alignment horizontal="justify" vertical="top" wrapText="1"/>
    </xf>
    <xf numFmtId="0" fontId="34" fillId="7" borderId="5" xfId="10" applyFont="1" applyFill="1" applyBorder="1"/>
    <xf numFmtId="0" fontId="34" fillId="7" borderId="1" xfId="10" applyFont="1" applyFill="1" applyBorder="1"/>
    <xf numFmtId="0" fontId="34" fillId="7" borderId="7" xfId="10" applyFont="1" applyFill="1" applyBorder="1" applyAlignment="1">
      <alignment horizontal="justify" vertical="top" wrapText="1"/>
    </xf>
    <xf numFmtId="0" fontId="34" fillId="7" borderId="7" xfId="10" quotePrefix="1" applyFont="1" applyFill="1" applyBorder="1" applyAlignment="1">
      <alignment horizontal="left"/>
    </xf>
    <xf numFmtId="0" fontId="54" fillId="7" borderId="7" xfId="10" applyFont="1" applyFill="1" applyBorder="1"/>
    <xf numFmtId="0" fontId="38" fillId="7" borderId="7" xfId="10" applyFont="1" applyFill="1" applyBorder="1"/>
    <xf numFmtId="0" fontId="34" fillId="7" borderId="27" xfId="10" applyFont="1" applyFill="1" applyBorder="1"/>
    <xf numFmtId="0" fontId="34" fillId="7" borderId="27" xfId="10" applyFont="1" applyFill="1" applyBorder="1" applyAlignment="1">
      <alignment vertical="top"/>
    </xf>
    <xf numFmtId="0" fontId="34" fillId="7" borderId="27" xfId="10" quotePrefix="1" applyFont="1" applyFill="1" applyBorder="1" applyAlignment="1">
      <alignment horizontal="left" vertical="top"/>
    </xf>
    <xf numFmtId="0" fontId="34" fillId="7" borderId="27" xfId="10" applyFont="1" applyFill="1" applyBorder="1" applyAlignment="1">
      <alignment horizontal="left"/>
    </xf>
    <xf numFmtId="0" fontId="34" fillId="7" borderId="27" xfId="10" applyFont="1" applyFill="1" applyBorder="1" applyAlignment="1">
      <alignment horizontal="center"/>
    </xf>
    <xf numFmtId="0" fontId="40" fillId="7" borderId="27" xfId="10" applyFont="1" applyFill="1" applyBorder="1" applyAlignment="1">
      <alignment horizontal="center"/>
    </xf>
    <xf numFmtId="0" fontId="34" fillId="7" borderId="7" xfId="1" applyFont="1" applyFill="1" applyBorder="1" applyAlignment="1">
      <alignment horizontal="left"/>
    </xf>
    <xf numFmtId="0" fontId="40" fillId="7" borderId="28" xfId="10" applyFont="1" applyFill="1" applyBorder="1" applyAlignment="1">
      <alignment horizontal="center"/>
    </xf>
    <xf numFmtId="0" fontId="34" fillId="7" borderId="7" xfId="1" applyFont="1" applyFill="1" applyBorder="1" applyAlignment="1">
      <alignment wrapText="1"/>
    </xf>
    <xf numFmtId="0" fontId="49" fillId="7" borderId="28" xfId="10" applyFont="1" applyFill="1" applyBorder="1" applyAlignment="1">
      <alignment horizontal="center"/>
    </xf>
    <xf numFmtId="0" fontId="34" fillId="7" borderId="7" xfId="10" applyFont="1" applyFill="1" applyBorder="1" applyAlignment="1">
      <alignment horizontal="left" vertical="top" wrapText="1"/>
    </xf>
    <xf numFmtId="0" fontId="33" fillId="7" borderId="7" xfId="10" applyFont="1" applyFill="1" applyBorder="1" applyAlignment="1">
      <alignment horizontal="justify" vertical="justify" wrapText="1"/>
    </xf>
    <xf numFmtId="0" fontId="34" fillId="7" borderId="7" xfId="10" applyFont="1" applyFill="1" applyBorder="1" applyAlignment="1">
      <alignment horizontal="center" wrapText="1"/>
    </xf>
    <xf numFmtId="0" fontId="34" fillId="7" borderId="0" xfId="10" applyFont="1" applyFill="1" applyAlignment="1">
      <alignment wrapText="1"/>
    </xf>
    <xf numFmtId="0" fontId="34" fillId="7" borderId="28" xfId="10" applyFont="1" applyFill="1" applyBorder="1" applyAlignment="1">
      <alignment horizontal="center" wrapText="1"/>
    </xf>
    <xf numFmtId="0" fontId="24" fillId="0" borderId="7" xfId="10" applyFont="1" applyBorder="1" applyAlignment="1">
      <alignment horizontal="left" vertical="top"/>
    </xf>
    <xf numFmtId="0" fontId="26" fillId="0" borderId="7" xfId="10" applyFont="1" applyBorder="1" applyAlignment="1">
      <alignment horizontal="justify" vertical="top"/>
    </xf>
    <xf numFmtId="0" fontId="24" fillId="0" borderId="28" xfId="10" applyFont="1" applyBorder="1" applyAlignment="1">
      <alignment horizontal="center"/>
    </xf>
    <xf numFmtId="0" fontId="24" fillId="0" borderId="7" xfId="10" applyFont="1" applyBorder="1" applyAlignment="1">
      <alignment horizontal="center"/>
    </xf>
    <xf numFmtId="0" fontId="24" fillId="0" borderId="0" xfId="10" applyFont="1"/>
    <xf numFmtId="0" fontId="24" fillId="0" borderId="7" xfId="10" applyFont="1" applyBorder="1" applyAlignment="1">
      <alignment horizontal="left"/>
    </xf>
    <xf numFmtId="0" fontId="24" fillId="15" borderId="7" xfId="15" applyFont="1" applyFill="1" applyBorder="1" applyAlignment="1">
      <alignment horizontal="justify" vertical="justify" wrapText="1"/>
    </xf>
    <xf numFmtId="0" fontId="24" fillId="15" borderId="28" xfId="10" applyFont="1" applyFill="1" applyBorder="1" applyAlignment="1">
      <alignment horizontal="center"/>
    </xf>
    <xf numFmtId="0" fontId="24" fillId="15" borderId="7" xfId="10" applyFont="1" applyFill="1" applyBorder="1" applyAlignment="1">
      <alignment horizontal="center"/>
    </xf>
    <xf numFmtId="0" fontId="24" fillId="15" borderId="0" xfId="10" applyFont="1" applyFill="1"/>
    <xf numFmtId="0" fontId="24" fillId="15" borderId="7" xfId="10" applyFont="1" applyFill="1" applyBorder="1" applyAlignment="1">
      <alignment horizontal="justify" vertical="justify" wrapText="1"/>
    </xf>
    <xf numFmtId="0" fontId="26" fillId="15" borderId="1" xfId="10" applyFont="1" applyFill="1" applyBorder="1"/>
    <xf numFmtId="0" fontId="26" fillId="15" borderId="5" xfId="10" applyFont="1" applyFill="1" applyBorder="1"/>
    <xf numFmtId="0" fontId="24" fillId="15" borderId="1" xfId="10" applyFont="1" applyFill="1" applyBorder="1"/>
    <xf numFmtId="0" fontId="24" fillId="15" borderId="4" xfId="10" applyFont="1" applyFill="1" applyBorder="1" applyAlignment="1">
      <alignment horizontal="center"/>
    </xf>
    <xf numFmtId="0" fontId="24" fillId="15" borderId="1" xfId="10" applyFont="1" applyFill="1" applyBorder="1" applyAlignment="1">
      <alignment horizontal="center"/>
    </xf>
    <xf numFmtId="0" fontId="40" fillId="15" borderId="1" xfId="10" applyFont="1" applyFill="1" applyBorder="1" applyAlignment="1">
      <alignment horizontal="center"/>
    </xf>
    <xf numFmtId="0" fontId="24" fillId="15" borderId="6" xfId="10" applyFont="1" applyFill="1" applyBorder="1" applyAlignment="1">
      <alignment horizontal="center"/>
    </xf>
    <xf numFmtId="0" fontId="26" fillId="15" borderId="7" xfId="10" applyFont="1" applyFill="1" applyBorder="1" applyAlignment="1">
      <alignment horizontal="justify" vertical="justify" wrapText="1"/>
    </xf>
    <xf numFmtId="0" fontId="26" fillId="0" borderId="7" xfId="10" applyFont="1" applyBorder="1"/>
    <xf numFmtId="0" fontId="24" fillId="0" borderId="7" xfId="15" applyFont="1" applyBorder="1" applyAlignment="1">
      <alignment horizontal="justify" vertical="justify" wrapText="1"/>
    </xf>
    <xf numFmtId="0" fontId="24" fillId="0" borderId="5" xfId="10" applyFont="1" applyBorder="1" applyAlignment="1">
      <alignment horizontal="left"/>
    </xf>
    <xf numFmtId="0" fontId="24" fillId="0" borderId="5" xfId="15" applyFont="1" applyBorder="1" applyAlignment="1">
      <alignment horizontal="justify" vertical="top" wrapText="1"/>
    </xf>
    <xf numFmtId="0" fontId="24" fillId="0" borderId="5" xfId="10" applyFont="1" applyBorder="1" applyAlignment="1">
      <alignment horizontal="center"/>
    </xf>
    <xf numFmtId="0" fontId="24" fillId="0" borderId="9" xfId="10" applyFont="1" applyBorder="1"/>
    <xf numFmtId="0" fontId="24" fillId="0" borderId="7" xfId="10" applyFont="1" applyBorder="1" applyAlignment="1">
      <alignment horizontal="justify" vertical="justify" wrapText="1"/>
    </xf>
    <xf numFmtId="0" fontId="26" fillId="0" borderId="6" xfId="10" applyFont="1" applyBorder="1"/>
    <xf numFmtId="0" fontId="26" fillId="0" borderId="5" xfId="10" applyFont="1" applyBorder="1"/>
    <xf numFmtId="0" fontId="24" fillId="0" borderId="27" xfId="10" applyFont="1" applyBorder="1" applyAlignment="1">
      <alignment horizontal="left"/>
    </xf>
    <xf numFmtId="0" fontId="24" fillId="0" borderId="1" xfId="10" applyFont="1" applyBorder="1"/>
    <xf numFmtId="0" fontId="24" fillId="0" borderId="4" xfId="10" applyFont="1" applyBorder="1" applyAlignment="1">
      <alignment horizontal="center"/>
    </xf>
    <xf numFmtId="0" fontId="24" fillId="0" borderId="1" xfId="10" quotePrefix="1" applyFont="1" applyBorder="1" applyAlignment="1">
      <alignment horizontal="center"/>
    </xf>
    <xf numFmtId="0" fontId="24" fillId="0" borderId="1" xfId="10" applyFont="1" applyBorder="1" applyAlignment="1">
      <alignment horizontal="center"/>
    </xf>
    <xf numFmtId="0" fontId="24" fillId="0" borderId="7" xfId="10" applyFont="1" applyBorder="1"/>
    <xf numFmtId="0" fontId="24" fillId="0" borderId="7" xfId="10" quotePrefix="1" applyFont="1" applyBorder="1" applyAlignment="1">
      <alignment horizontal="center"/>
    </xf>
    <xf numFmtId="0" fontId="33" fillId="7" borderId="6" xfId="10" applyFont="1" applyFill="1" applyBorder="1" applyAlignment="1">
      <alignment horizontal="justify" vertical="justify" wrapText="1"/>
    </xf>
    <xf numFmtId="0" fontId="34" fillId="7" borderId="1" xfId="10" applyFont="1" applyFill="1" applyBorder="1" applyAlignment="1">
      <alignment horizontal="justify" vertical="justify" wrapText="1"/>
    </xf>
    <xf numFmtId="0" fontId="34" fillId="7" borderId="1" xfId="10" applyFont="1" applyFill="1" applyBorder="1" applyAlignment="1">
      <alignment horizontal="center" wrapText="1"/>
    </xf>
    <xf numFmtId="0" fontId="25" fillId="0" borderId="7" xfId="10" applyFont="1" applyBorder="1" applyAlignment="1">
      <alignment horizontal="left" vertical="top" wrapText="1"/>
    </xf>
    <xf numFmtId="0" fontId="38" fillId="0" borderId="7" xfId="10" applyFont="1" applyBorder="1" applyAlignment="1">
      <alignment horizontal="justify" vertical="justify" wrapText="1"/>
    </xf>
    <xf numFmtId="0" fontId="25" fillId="0" borderId="7" xfId="10" applyFont="1" applyBorder="1" applyAlignment="1">
      <alignment horizontal="center" wrapText="1"/>
    </xf>
    <xf numFmtId="0" fontId="25" fillId="0" borderId="0" xfId="10" applyFont="1" applyAlignment="1">
      <alignment wrapText="1"/>
    </xf>
    <xf numFmtId="0" fontId="34" fillId="7" borderId="28" xfId="10" applyFont="1" applyFill="1" applyBorder="1" applyAlignment="1">
      <alignment horizontal="center"/>
    </xf>
    <xf numFmtId="0" fontId="34" fillId="7" borderId="0" xfId="10" applyFont="1" applyFill="1"/>
    <xf numFmtId="0" fontId="33" fillId="7" borderId="7" xfId="10" applyFont="1" applyFill="1" applyBorder="1" applyAlignment="1">
      <alignment horizontal="center"/>
    </xf>
    <xf numFmtId="0" fontId="34" fillId="7" borderId="1" xfId="16" applyFont="1" applyFill="1" applyBorder="1" applyAlignment="1">
      <alignment horizontal="left" vertical="center" wrapText="1"/>
    </xf>
    <xf numFmtId="0" fontId="33" fillId="7" borderId="20" xfId="10" applyFont="1" applyFill="1" applyBorder="1"/>
    <xf numFmtId="0" fontId="33" fillId="0" borderId="7" xfId="10" applyFont="1" applyBorder="1" applyAlignment="1">
      <alignment horizontal="center"/>
    </xf>
    <xf numFmtId="0" fontId="34" fillId="0" borderId="7" xfId="10" applyFont="1" applyBorder="1"/>
    <xf numFmtId="0" fontId="34" fillId="0" borderId="7" xfId="10" applyFont="1" applyBorder="1" applyAlignment="1">
      <alignment horizontal="center" wrapText="1"/>
    </xf>
    <xf numFmtId="0" fontId="33" fillId="7" borderId="5" xfId="10" applyFont="1" applyFill="1" applyBorder="1" applyAlignment="1">
      <alignment horizontal="justify" vertical="justify" wrapText="1"/>
    </xf>
    <xf numFmtId="0" fontId="15" fillId="14" borderId="0" xfId="10" applyFont="1" applyFill="1"/>
    <xf numFmtId="0" fontId="33" fillId="7" borderId="0" xfId="10" applyFont="1" applyFill="1" applyAlignment="1">
      <alignment horizontal="justify" vertical="justify" wrapText="1"/>
    </xf>
    <xf numFmtId="0" fontId="34" fillId="7" borderId="0" xfId="10" applyFont="1" applyFill="1" applyAlignment="1">
      <alignment horizontal="justify" vertical="justify" wrapText="1"/>
    </xf>
    <xf numFmtId="0" fontId="34" fillId="7" borderId="1" xfId="10" applyFont="1" applyFill="1" applyBorder="1" applyAlignment="1">
      <alignment horizontal="center"/>
    </xf>
    <xf numFmtId="0" fontId="38" fillId="0" borderId="7" xfId="10" applyFont="1" applyBorder="1" applyAlignment="1">
      <alignment horizontal="center"/>
    </xf>
    <xf numFmtId="0" fontId="25" fillId="0" borderId="7" xfId="10" applyFont="1" applyBorder="1" applyAlignment="1">
      <alignment horizontal="justify" vertical="justify" wrapText="1"/>
    </xf>
    <xf numFmtId="0" fontId="25" fillId="0" borderId="7" xfId="10" applyFont="1" applyBorder="1" applyAlignment="1">
      <alignment horizontal="center"/>
    </xf>
    <xf numFmtId="0" fontId="25" fillId="7" borderId="0" xfId="10" applyFont="1" applyFill="1"/>
    <xf numFmtId="0" fontId="25" fillId="7" borderId="7" xfId="10" applyFont="1" applyFill="1" applyBorder="1" applyAlignment="1">
      <alignment horizontal="justify" vertical="justify" wrapText="1"/>
    </xf>
    <xf numFmtId="0" fontId="29" fillId="7" borderId="7" xfId="10" applyFont="1" applyFill="1" applyBorder="1" applyAlignment="1">
      <alignment horizontal="center"/>
    </xf>
    <xf numFmtId="0" fontId="29" fillId="7" borderId="7" xfId="10" applyFont="1" applyFill="1" applyBorder="1"/>
    <xf numFmtId="0" fontId="60" fillId="7" borderId="0" xfId="10" applyFont="1" applyFill="1"/>
    <xf numFmtId="0" fontId="33" fillId="7" borderId="28" xfId="10" applyFont="1" applyFill="1" applyBorder="1" applyAlignment="1">
      <alignment horizontal="center"/>
    </xf>
    <xf numFmtId="0" fontId="29" fillId="7" borderId="28" xfId="10" applyFont="1" applyFill="1" applyBorder="1" applyAlignment="1">
      <alignment horizontal="center"/>
    </xf>
    <xf numFmtId="0" fontId="29" fillId="7" borderId="28" xfId="10" applyFont="1" applyFill="1" applyBorder="1"/>
    <xf numFmtId="0" fontId="38" fillId="0" borderId="7" xfId="10" applyFont="1" applyBorder="1"/>
    <xf numFmtId="0" fontId="34" fillId="0" borderId="7" xfId="10" applyFont="1" applyBorder="1" applyAlignment="1">
      <alignment horizontal="center"/>
    </xf>
    <xf numFmtId="0" fontId="40" fillId="0" borderId="7" xfId="10" applyFont="1" applyBorder="1" applyAlignment="1">
      <alignment horizontal="center"/>
    </xf>
    <xf numFmtId="0" fontId="60" fillId="0" borderId="0" xfId="10" applyFont="1"/>
    <xf numFmtId="0" fontId="34" fillId="7" borderId="7" xfId="10" quotePrefix="1" applyFont="1" applyFill="1" applyBorder="1" applyAlignment="1">
      <alignment vertical="top"/>
    </xf>
    <xf numFmtId="0" fontId="33" fillId="7" borderId="28" xfId="10" quotePrefix="1" applyFont="1" applyFill="1" applyBorder="1" applyAlignment="1">
      <alignment horizontal="justify" vertical="justify" wrapText="1"/>
    </xf>
    <xf numFmtId="0" fontId="34" fillId="7" borderId="7" xfId="10" applyFont="1" applyFill="1" applyBorder="1" applyAlignment="1">
      <alignment vertical="justify" wrapText="1"/>
    </xf>
    <xf numFmtId="0" fontId="34" fillId="7" borderId="7" xfId="10" applyFont="1" applyFill="1" applyBorder="1" applyAlignment="1"/>
    <xf numFmtId="0" fontId="34" fillId="7" borderId="28" xfId="10" applyFont="1" applyFill="1" applyBorder="1"/>
    <xf numFmtId="0" fontId="34" fillId="7" borderId="7" xfId="10" quotePrefix="1" applyFont="1" applyFill="1" applyBorder="1" applyAlignment="1">
      <alignment horizontal="left" vertical="center"/>
    </xf>
    <xf numFmtId="0" fontId="34" fillId="7" borderId="1" xfId="10" applyFont="1" applyFill="1" applyBorder="1" applyAlignment="1">
      <alignment horizontal="justify" vertical="center" wrapText="1"/>
    </xf>
    <xf numFmtId="0" fontId="34" fillId="7" borderId="1" xfId="10" applyFont="1" applyFill="1" applyBorder="1" applyAlignment="1">
      <alignment horizontal="center" vertical="center"/>
    </xf>
    <xf numFmtId="0" fontId="34" fillId="7" borderId="1" xfId="10" quotePrefix="1" applyFont="1" applyFill="1" applyBorder="1" applyAlignment="1">
      <alignment horizontal="center" vertical="center"/>
    </xf>
    <xf numFmtId="0" fontId="40" fillId="7" borderId="1" xfId="10" applyFont="1" applyFill="1" applyBorder="1" applyAlignment="1">
      <alignment horizontal="center" vertical="center"/>
    </xf>
    <xf numFmtId="0" fontId="34" fillId="7" borderId="0" xfId="10" applyFont="1" applyFill="1" applyAlignment="1">
      <alignment vertical="center"/>
    </xf>
    <xf numFmtId="0" fontId="25" fillId="0" borderId="7" xfId="10" quotePrefix="1" applyFont="1" applyBorder="1" applyAlignment="1">
      <alignment horizontal="left"/>
    </xf>
    <xf numFmtId="0" fontId="25" fillId="0" borderId="28" xfId="10" quotePrefix="1" applyFont="1" applyBorder="1" applyAlignment="1">
      <alignment horizontal="left"/>
    </xf>
    <xf numFmtId="0" fontId="25" fillId="0" borderId="28" xfId="10" applyFont="1" applyBorder="1" applyAlignment="1">
      <alignment horizontal="center"/>
    </xf>
    <xf numFmtId="0" fontId="25" fillId="0" borderId="7" xfId="10" quotePrefix="1" applyFont="1" applyBorder="1" applyAlignment="1">
      <alignment horizontal="center"/>
    </xf>
    <xf numFmtId="0" fontId="49" fillId="0" borderId="28" xfId="10" applyFont="1" applyBorder="1" applyAlignment="1">
      <alignment horizontal="center"/>
    </xf>
    <xf numFmtId="0" fontId="34" fillId="7" borderId="7" xfId="10" quotePrefix="1" applyFont="1" applyFill="1" applyBorder="1" applyAlignment="1">
      <alignment horizontal="center"/>
    </xf>
    <xf numFmtId="0" fontId="34" fillId="7" borderId="1" xfId="10" quotePrefix="1" applyFont="1" applyFill="1" applyBorder="1" applyAlignment="1">
      <alignment horizontal="center"/>
    </xf>
    <xf numFmtId="0" fontId="40" fillId="7" borderId="1" xfId="10" applyFont="1" applyFill="1" applyBorder="1" applyAlignment="1">
      <alignment horizontal="center"/>
    </xf>
    <xf numFmtId="0" fontId="34" fillId="7" borderId="1" xfId="10" quotePrefix="1" applyFont="1" applyFill="1" applyBorder="1" applyAlignment="1">
      <alignment horizontal="left"/>
    </xf>
    <xf numFmtId="0" fontId="25" fillId="7" borderId="7" xfId="10" quotePrefix="1" applyFont="1" applyFill="1" applyBorder="1" applyAlignment="1">
      <alignment horizontal="left"/>
    </xf>
    <xf numFmtId="0" fontId="25" fillId="7" borderId="27" xfId="10" quotePrefix="1" applyFont="1" applyFill="1" applyBorder="1" applyAlignment="1">
      <alignment horizontal="left"/>
    </xf>
    <xf numFmtId="0" fontId="25" fillId="7" borderId="7" xfId="10" quotePrefix="1" applyFont="1" applyFill="1" applyBorder="1" applyAlignment="1">
      <alignment horizontal="center"/>
    </xf>
    <xf numFmtId="166" fontId="34" fillId="7" borderId="7" xfId="4" applyNumberFormat="1" applyFont="1" applyFill="1" applyBorder="1" applyAlignment="1">
      <alignment horizontal="justify" vertical="top"/>
    </xf>
    <xf numFmtId="0" fontId="34" fillId="7" borderId="7" xfId="10" applyFont="1" applyFill="1" applyBorder="1" applyAlignment="1">
      <alignment horizontal="center" vertical="top"/>
    </xf>
    <xf numFmtId="0" fontId="33" fillId="7" borderId="6" xfId="10" applyFont="1" applyFill="1" applyBorder="1"/>
    <xf numFmtId="0" fontId="33" fillId="7" borderId="5" xfId="10" applyFont="1" applyFill="1" applyBorder="1"/>
    <xf numFmtId="0" fontId="34" fillId="7" borderId="4" xfId="10" applyFont="1" applyFill="1" applyBorder="1" applyAlignment="1">
      <alignment horizontal="center"/>
    </xf>
    <xf numFmtId="166" fontId="25" fillId="7" borderId="7" xfId="4" applyNumberFormat="1" applyFont="1" applyFill="1" applyBorder="1" applyAlignment="1">
      <alignment horizontal="justify" vertical="top"/>
    </xf>
    <xf numFmtId="0" fontId="25" fillId="7" borderId="6" xfId="10" applyFont="1" applyFill="1" applyBorder="1"/>
    <xf numFmtId="0" fontId="25" fillId="7" borderId="6" xfId="10" applyFont="1" applyFill="1" applyBorder="1" applyAlignment="1">
      <alignment horizontal="center"/>
    </xf>
    <xf numFmtId="166" fontId="25" fillId="7" borderId="28" xfId="4" applyNumberFormat="1" applyFont="1" applyFill="1" applyBorder="1" applyAlignment="1">
      <alignment horizontal="justify" vertical="top"/>
    </xf>
    <xf numFmtId="0" fontId="25" fillId="7" borderId="0" xfId="10" applyFont="1" applyFill="1" applyAlignment="1">
      <alignment horizontal="center"/>
    </xf>
    <xf numFmtId="2" fontId="34" fillId="7" borderId="7" xfId="4" applyNumberFormat="1" applyFont="1" applyFill="1" applyBorder="1" applyAlignment="1">
      <alignment horizontal="justify" vertical="top"/>
    </xf>
    <xf numFmtId="0" fontId="34" fillId="7" borderId="28" xfId="10" applyFont="1" applyFill="1" applyBorder="1" applyAlignment="1">
      <alignment horizontal="justify" vertical="top" wrapText="1"/>
    </xf>
    <xf numFmtId="0" fontId="34" fillId="7" borderId="28" xfId="10" applyFont="1" applyFill="1" applyBorder="1" applyAlignment="1">
      <alignment horizontal="justify" vertical="top"/>
    </xf>
    <xf numFmtId="0" fontId="34" fillId="7" borderId="5" xfId="10" applyFont="1" applyFill="1" applyBorder="1" applyAlignment="1">
      <alignment horizontal="center"/>
    </xf>
    <xf numFmtId="0" fontId="34" fillId="7" borderId="1" xfId="10" quotePrefix="1" applyFont="1" applyFill="1" applyBorder="1"/>
    <xf numFmtId="0" fontId="25" fillId="0" borderId="7" xfId="10" quotePrefix="1" applyFont="1" applyBorder="1"/>
    <xf numFmtId="0" fontId="34" fillId="0" borderId="7" xfId="10" applyFont="1" applyBorder="1" applyAlignment="1">
      <alignment horizontal="justify" vertical="justify"/>
    </xf>
    <xf numFmtId="0" fontId="34" fillId="0" borderId="28" xfId="10" applyFont="1" applyBorder="1" applyAlignment="1">
      <alignment horizontal="justify" vertical="justify"/>
    </xf>
    <xf numFmtId="0" fontId="34" fillId="0" borderId="5" xfId="10" applyFont="1" applyBorder="1" applyAlignment="1">
      <alignment horizontal="justify" vertical="justify"/>
    </xf>
    <xf numFmtId="0" fontId="33" fillId="0" borderId="6" xfId="10" applyFont="1" applyBorder="1"/>
    <xf numFmtId="0" fontId="33" fillId="0" borderId="5" xfId="10" applyFont="1" applyBorder="1"/>
    <xf numFmtId="0" fontId="34" fillId="0" borderId="1" xfId="10" applyFont="1" applyBorder="1" applyAlignment="1">
      <alignment horizontal="center"/>
    </xf>
    <xf numFmtId="0" fontId="34" fillId="0" borderId="1" xfId="10" quotePrefix="1" applyFont="1" applyBorder="1" applyAlignment="1">
      <alignment horizontal="center"/>
    </xf>
    <xf numFmtId="0" fontId="46" fillId="0" borderId="0" xfId="10" applyFont="1" applyAlignment="1">
      <alignment horizontal="center" vertical="center" wrapText="1"/>
    </xf>
    <xf numFmtId="0" fontId="47" fillId="0" borderId="7" xfId="10" applyFont="1" applyBorder="1"/>
    <xf numFmtId="2" fontId="25" fillId="0" borderId="7" xfId="4" applyNumberFormat="1" applyFont="1" applyBorder="1" applyAlignment="1">
      <alignment horizontal="justify" vertical="top"/>
    </xf>
    <xf numFmtId="0" fontId="38" fillId="0" borderId="27" xfId="10" applyFont="1" applyBorder="1"/>
    <xf numFmtId="0" fontId="51" fillId="0" borderId="7" xfId="10" applyFont="1" applyBorder="1"/>
    <xf numFmtId="0" fontId="40" fillId="7" borderId="7" xfId="10" applyFont="1" applyFill="1" applyBorder="1" applyAlignment="1">
      <alignment horizontal="left"/>
    </xf>
    <xf numFmtId="0" fontId="29" fillId="7" borderId="27" xfId="10" applyFont="1" applyFill="1" applyBorder="1"/>
    <xf numFmtId="0" fontId="7" fillId="7" borderId="7" xfId="10" applyFont="1" applyFill="1" applyBorder="1"/>
    <xf numFmtId="0" fontId="40" fillId="7" borderId="7" xfId="10" applyFont="1" applyFill="1" applyBorder="1"/>
    <xf numFmtId="0" fontId="7" fillId="7" borderId="0" xfId="10" applyFont="1" applyFill="1"/>
    <xf numFmtId="0" fontId="40" fillId="7" borderId="7" xfId="10" applyFont="1" applyFill="1" applyBorder="1" applyAlignment="1">
      <alignment horizontal="left" vertical="top"/>
    </xf>
    <xf numFmtId="0" fontId="40" fillId="7" borderId="27" xfId="10" applyFont="1" applyFill="1" applyBorder="1"/>
    <xf numFmtId="0" fontId="37" fillId="7" borderId="6" xfId="10" applyFont="1" applyFill="1" applyBorder="1"/>
    <xf numFmtId="0" fontId="37" fillId="7" borderId="7" xfId="10" applyFont="1" applyFill="1" applyBorder="1"/>
    <xf numFmtId="0" fontId="37" fillId="7" borderId="5" xfId="10" applyFont="1" applyFill="1" applyBorder="1"/>
    <xf numFmtId="0" fontId="40" fillId="7" borderId="5" xfId="10" applyFont="1" applyFill="1" applyBorder="1"/>
    <xf numFmtId="0" fontId="40" fillId="7" borderId="5" xfId="10" applyFont="1" applyFill="1" applyBorder="1" applyAlignment="1"/>
    <xf numFmtId="0" fontId="40" fillId="7" borderId="5" xfId="10" applyFont="1" applyFill="1" applyBorder="1" applyAlignment="1">
      <alignment wrapText="1"/>
    </xf>
    <xf numFmtId="0" fontId="49" fillId="7" borderId="27" xfId="10" applyFont="1" applyFill="1" applyBorder="1"/>
    <xf numFmtId="0" fontId="61" fillId="7" borderId="7" xfId="10" applyFont="1" applyFill="1" applyBorder="1"/>
    <xf numFmtId="0" fontId="49" fillId="7" borderId="7" xfId="10" applyFont="1" applyFill="1" applyBorder="1"/>
    <xf numFmtId="0" fontId="49" fillId="7" borderId="7" xfId="10" applyFont="1" applyFill="1" applyBorder="1" applyAlignment="1">
      <alignment horizontal="left"/>
    </xf>
    <xf numFmtId="166" fontId="49" fillId="7" borderId="7" xfId="4" quotePrefix="1" applyNumberFormat="1" applyFont="1" applyFill="1" applyBorder="1" applyAlignment="1">
      <alignment horizontal="left" vertical="center"/>
    </xf>
    <xf numFmtId="0" fontId="33" fillId="7" borderId="1" xfId="10" applyFont="1" applyFill="1" applyBorder="1"/>
    <xf numFmtId="0" fontId="49" fillId="7" borderId="1" xfId="10" applyFont="1" applyFill="1" applyBorder="1" applyAlignment="1">
      <alignment horizontal="center"/>
    </xf>
    <xf numFmtId="0" fontId="40" fillId="7" borderId="6" xfId="10" applyFont="1" applyFill="1" applyBorder="1"/>
    <xf numFmtId="0" fontId="40" fillId="7" borderId="6" xfId="10" applyFont="1" applyFill="1" applyBorder="1" applyAlignment="1">
      <alignment horizontal="center"/>
    </xf>
    <xf numFmtId="0" fontId="40" fillId="7" borderId="1" xfId="10" applyFont="1" applyFill="1" applyBorder="1"/>
    <xf numFmtId="0" fontId="33" fillId="7" borderId="28" xfId="10" applyFont="1" applyFill="1" applyBorder="1"/>
    <xf numFmtId="0" fontId="34" fillId="7" borderId="0" xfId="10" applyFont="1" applyFill="1" applyAlignment="1">
      <alignment horizontal="center"/>
    </xf>
    <xf numFmtId="0" fontId="34" fillId="7" borderId="7" xfId="10" applyFont="1" applyFill="1" applyBorder="1" applyAlignment="1">
      <alignment vertical="top"/>
    </xf>
    <xf numFmtId="0" fontId="34" fillId="7" borderId="30" xfId="10" applyFont="1" applyFill="1" applyBorder="1" applyAlignment="1">
      <alignment horizontal="center"/>
    </xf>
    <xf numFmtId="0" fontId="34" fillId="7" borderId="7" xfId="10" quotePrefix="1" applyFont="1" applyFill="1" applyBorder="1"/>
    <xf numFmtId="0" fontId="24" fillId="0" borderId="7" xfId="10" quotePrefix="1" applyFont="1" applyBorder="1"/>
    <xf numFmtId="0" fontId="26" fillId="0" borderId="7" xfId="14" applyFont="1" applyBorder="1" applyAlignment="1">
      <alignment horizontal="left" wrapText="1"/>
    </xf>
    <xf numFmtId="170" fontId="26" fillId="0" borderId="7" xfId="17" applyNumberFormat="1" applyFont="1" applyFill="1" applyBorder="1" applyAlignment="1" applyProtection="1">
      <alignment horizontal="center" wrapText="1"/>
    </xf>
    <xf numFmtId="170" fontId="26" fillId="0" borderId="7" xfId="18" applyNumberFormat="1" applyFont="1" applyFill="1" applyBorder="1" applyAlignment="1" applyProtection="1">
      <alignment horizontal="center" wrapText="1"/>
    </xf>
    <xf numFmtId="170" fontId="26" fillId="0" borderId="28" xfId="17" applyNumberFormat="1" applyFont="1" applyFill="1" applyBorder="1" applyAlignment="1" applyProtection="1">
      <alignment horizontal="center" wrapText="1"/>
    </xf>
    <xf numFmtId="0" fontId="24" fillId="0" borderId="7" xfId="10" applyFont="1" applyBorder="1" applyAlignment="1">
      <alignment horizontal="justify" vertical="top" wrapText="1"/>
    </xf>
    <xf numFmtId="0" fontId="24" fillId="0" borderId="7" xfId="14" applyFont="1" applyBorder="1" applyAlignment="1">
      <alignment vertical="center"/>
    </xf>
    <xf numFmtId="0" fontId="24" fillId="0" borderId="28" xfId="10" applyFont="1" applyBorder="1"/>
    <xf numFmtId="0" fontId="24" fillId="0" borderId="1" xfId="10" applyFont="1" applyBorder="1" applyAlignment="1">
      <alignment horizontal="left" vertical="top" wrapText="1"/>
    </xf>
    <xf numFmtId="0" fontId="24" fillId="0" borderId="1" xfId="10" applyFont="1" applyBorder="1" applyAlignment="1">
      <alignment horizontal="center" vertical="center"/>
    </xf>
    <xf numFmtId="0" fontId="24" fillId="0" borderId="0" xfId="10" applyFont="1" applyAlignment="1">
      <alignment horizontal="justify" vertical="justify" wrapText="1"/>
    </xf>
    <xf numFmtId="0" fontId="24" fillId="0" borderId="6" xfId="10" applyFont="1" applyBorder="1" applyAlignment="1">
      <alignment horizontal="center"/>
    </xf>
    <xf numFmtId="0" fontId="24" fillId="0" borderId="6" xfId="10" quotePrefix="1" applyFont="1" applyBorder="1" applyAlignment="1">
      <alignment horizontal="center"/>
    </xf>
    <xf numFmtId="0" fontId="24" fillId="0" borderId="7" xfId="10" quotePrefix="1" applyFont="1" applyBorder="1" applyAlignment="1">
      <alignment horizontal="left" vertical="top"/>
    </xf>
    <xf numFmtId="0" fontId="62" fillId="0" borderId="7" xfId="10" applyFont="1" applyBorder="1" applyAlignment="1">
      <alignment horizontal="center"/>
    </xf>
    <xf numFmtId="0" fontId="63" fillId="0" borderId="7" xfId="10" quotePrefix="1" applyFont="1" applyBorder="1" applyAlignment="1">
      <alignment horizontal="center"/>
    </xf>
    <xf numFmtId="0" fontId="63" fillId="0" borderId="7" xfId="10" applyFont="1" applyBorder="1" applyAlignment="1">
      <alignment horizontal="center"/>
    </xf>
    <xf numFmtId="0" fontId="63" fillId="0" borderId="7" xfId="10" quotePrefix="1" applyFont="1" applyBorder="1" applyAlignment="1">
      <alignment horizontal="left" vertical="top"/>
    </xf>
    <xf numFmtId="0" fontId="64" fillId="0" borderId="48" xfId="10" applyFont="1" applyBorder="1"/>
    <xf numFmtId="0" fontId="63" fillId="0" borderId="7" xfId="10" applyFont="1" applyBorder="1" applyAlignment="1">
      <alignment horizontal="left" vertical="top"/>
    </xf>
    <xf numFmtId="0" fontId="24" fillId="0" borderId="1" xfId="10" applyFont="1" applyBorder="1" applyAlignment="1">
      <alignment horizontal="justify" vertical="top" wrapText="1"/>
    </xf>
    <xf numFmtId="0" fontId="63" fillId="0" borderId="0" xfId="10" applyFont="1" applyAlignment="1">
      <alignment horizontal="justify" vertical="center" wrapText="1"/>
    </xf>
    <xf numFmtId="0" fontId="63" fillId="0" borderId="28" xfId="10" applyFont="1" applyBorder="1" applyAlignment="1">
      <alignment horizontal="center"/>
    </xf>
    <xf numFmtId="0" fontId="62" fillId="0" borderId="1" xfId="10" applyFont="1" applyBorder="1" applyAlignment="1">
      <alignment horizontal="center"/>
    </xf>
    <xf numFmtId="0" fontId="24" fillId="0" borderId="5" xfId="10" applyFont="1" applyBorder="1" applyAlignment="1">
      <alignment horizontal="justify" vertical="top" wrapText="1"/>
    </xf>
    <xf numFmtId="0" fontId="63" fillId="0" borderId="7" xfId="10" applyFont="1" applyBorder="1" applyAlignment="1">
      <alignment horizontal="justify" vertical="top" wrapText="1"/>
    </xf>
    <xf numFmtId="0" fontId="25" fillId="7" borderId="0" xfId="10" applyFont="1" applyFill="1" applyAlignment="1">
      <alignment horizontal="justify" wrapText="1"/>
    </xf>
    <xf numFmtId="0" fontId="25" fillId="7" borderId="27" xfId="10" quotePrefix="1" applyFont="1" applyFill="1" applyBorder="1" applyAlignment="1">
      <alignment horizontal="center"/>
    </xf>
    <xf numFmtId="0" fontId="33" fillId="14" borderId="1" xfId="10" applyFont="1" applyFill="1" applyBorder="1"/>
    <xf numFmtId="0" fontId="34" fillId="14" borderId="2" xfId="10" applyFont="1" applyFill="1" applyBorder="1"/>
    <xf numFmtId="0" fontId="34" fillId="14" borderId="2" xfId="10" applyFont="1" applyFill="1" applyBorder="1" applyAlignment="1">
      <alignment horizontal="center"/>
    </xf>
    <xf numFmtId="0" fontId="34" fillId="14" borderId="3" xfId="10" applyFont="1" applyFill="1" applyBorder="1" applyAlignment="1">
      <alignment horizontal="center"/>
    </xf>
    <xf numFmtId="0" fontId="34" fillId="14" borderId="4" xfId="10" applyFont="1" applyFill="1" applyBorder="1" applyAlignment="1">
      <alignment horizontal="center"/>
    </xf>
    <xf numFmtId="0" fontId="33" fillId="14" borderId="1" xfId="10" applyFont="1" applyFill="1" applyBorder="1" applyAlignment="1">
      <alignment horizontal="center"/>
    </xf>
    <xf numFmtId="0" fontId="25" fillId="7" borderId="27" xfId="10" applyFont="1" applyFill="1" applyBorder="1"/>
    <xf numFmtId="0" fontId="25" fillId="7" borderId="24" xfId="10" applyFont="1" applyFill="1" applyBorder="1" applyAlignment="1">
      <alignment horizontal="center"/>
    </xf>
    <xf numFmtId="0" fontId="25" fillId="7" borderId="26" xfId="10" applyFont="1" applyFill="1" applyBorder="1" applyAlignment="1">
      <alignment horizontal="center"/>
    </xf>
    <xf numFmtId="0" fontId="38" fillId="7" borderId="6" xfId="10" applyFont="1" applyFill="1" applyBorder="1" applyAlignment="1">
      <alignment horizontal="center"/>
    </xf>
    <xf numFmtId="0" fontId="33" fillId="7" borderId="27" xfId="10" applyFont="1" applyFill="1" applyBorder="1"/>
    <xf numFmtId="0" fontId="34" fillId="7" borderId="27" xfId="10" applyFont="1" applyFill="1" applyBorder="1" applyAlignment="1">
      <alignment horizontal="justify" vertical="justify" wrapText="1"/>
    </xf>
    <xf numFmtId="0" fontId="34" fillId="7" borderId="2" xfId="10" applyFont="1" applyFill="1" applyBorder="1"/>
    <xf numFmtId="0" fontId="34" fillId="7" borderId="4" xfId="10" quotePrefix="1" applyFont="1" applyFill="1" applyBorder="1" applyAlignment="1">
      <alignment horizontal="center"/>
    </xf>
    <xf numFmtId="0" fontId="25" fillId="7" borderId="28" xfId="10" quotePrefix="1" applyFont="1" applyFill="1" applyBorder="1" applyAlignment="1">
      <alignment horizontal="center"/>
    </xf>
    <xf numFmtId="0" fontId="34" fillId="7" borderId="28" xfId="10" quotePrefix="1" applyFont="1" applyFill="1" applyBorder="1" applyAlignment="1">
      <alignment horizontal="center"/>
    </xf>
    <xf numFmtId="0" fontId="34" fillId="7" borderId="29" xfId="10" applyFont="1" applyFill="1" applyBorder="1"/>
    <xf numFmtId="0" fontId="25" fillId="7" borderId="5" xfId="10" applyFont="1" applyFill="1" applyBorder="1" applyAlignment="1">
      <alignment horizontal="left" vertical="top"/>
    </xf>
    <xf numFmtId="0" fontId="25" fillId="7" borderId="29" xfId="10" applyFont="1" applyFill="1" applyBorder="1"/>
    <xf numFmtId="0" fontId="25" fillId="7" borderId="5" xfId="10" applyFont="1" applyFill="1" applyBorder="1" applyAlignment="1">
      <alignment horizontal="center"/>
    </xf>
    <xf numFmtId="0" fontId="25" fillId="7" borderId="30" xfId="10" applyFont="1" applyFill="1" applyBorder="1" applyAlignment="1">
      <alignment horizontal="center"/>
    </xf>
    <xf numFmtId="0" fontId="25" fillId="7" borderId="7" xfId="10" applyFont="1" applyFill="1" applyBorder="1" applyAlignment="1">
      <alignment vertical="top"/>
    </xf>
    <xf numFmtId="0" fontId="25" fillId="7" borderId="27" xfId="10" applyFont="1" applyFill="1" applyBorder="1" applyAlignment="1">
      <alignment horizontal="justify" vertical="justify" wrapText="1"/>
    </xf>
    <xf numFmtId="0" fontId="34" fillId="7" borderId="27" xfId="10" applyFont="1" applyFill="1" applyBorder="1" applyAlignment="1">
      <alignment horizontal="justify" vertical="top" wrapText="1"/>
    </xf>
    <xf numFmtId="0" fontId="34" fillId="7" borderId="7" xfId="19" applyFont="1" applyFill="1" applyBorder="1" applyAlignment="1">
      <alignment horizontal="justify" vertical="justify" wrapText="1"/>
    </xf>
    <xf numFmtId="0" fontId="25" fillId="7" borderId="7" xfId="10" quotePrefix="1" applyFont="1" applyFill="1" applyBorder="1" applyAlignment="1">
      <alignment horizontal="left" vertical="top"/>
    </xf>
    <xf numFmtId="0" fontId="50" fillId="7" borderId="27" xfId="10" applyFont="1" applyFill="1" applyBorder="1" applyAlignment="1">
      <alignment horizontal="justify" vertical="justify" wrapText="1"/>
    </xf>
    <xf numFmtId="0" fontId="25" fillId="7" borderId="2" xfId="10" applyFont="1" applyFill="1" applyBorder="1"/>
    <xf numFmtId="0" fontId="25" fillId="7" borderId="3" xfId="10" applyFont="1" applyFill="1" applyBorder="1" applyAlignment="1">
      <alignment horizontal="center"/>
    </xf>
    <xf numFmtId="0" fontId="25" fillId="7" borderId="4" xfId="10" applyFont="1" applyFill="1" applyBorder="1" applyAlignment="1">
      <alignment horizontal="center"/>
    </xf>
    <xf numFmtId="0" fontId="33" fillId="14" borderId="1" xfId="10" applyFont="1" applyFill="1" applyBorder="1" applyAlignment="1">
      <alignment horizontal="left"/>
    </xf>
    <xf numFmtId="0" fontId="33" fillId="14" borderId="2" xfId="10" applyFont="1" applyFill="1" applyBorder="1" applyAlignment="1">
      <alignment horizontal="center"/>
    </xf>
    <xf numFmtId="0" fontId="33" fillId="14" borderId="3" xfId="10" applyFont="1" applyFill="1" applyBorder="1" applyAlignment="1">
      <alignment horizontal="center"/>
    </xf>
    <xf numFmtId="0" fontId="33" fillId="14" borderId="4" xfId="10" applyFont="1" applyFill="1" applyBorder="1" applyAlignment="1">
      <alignment horizontal="center"/>
    </xf>
    <xf numFmtId="0" fontId="38" fillId="7" borderId="7" xfId="10" applyFont="1" applyFill="1" applyBorder="1" applyAlignment="1">
      <alignment horizontal="left"/>
    </xf>
    <xf numFmtId="0" fontId="38" fillId="7" borderId="7" xfId="10" applyFont="1" applyFill="1" applyBorder="1" applyAlignment="1">
      <alignment horizontal="center"/>
    </xf>
    <xf numFmtId="0" fontId="25" fillId="7" borderId="7" xfId="10" quotePrefix="1" applyFont="1" applyFill="1" applyBorder="1" applyAlignment="1">
      <alignment vertical="top"/>
    </xf>
    <xf numFmtId="0" fontId="34" fillId="7" borderId="2" xfId="10" applyFont="1" applyFill="1" applyBorder="1" applyAlignment="1">
      <alignment vertical="justify"/>
    </xf>
    <xf numFmtId="0" fontId="34" fillId="7" borderId="0" xfId="10" quotePrefix="1" applyFont="1" applyFill="1" applyAlignment="1">
      <alignment horizontal="center"/>
    </xf>
    <xf numFmtId="0" fontId="25" fillId="7" borderId="27" xfId="10" applyFont="1" applyFill="1" applyBorder="1" applyAlignment="1">
      <alignment vertical="justify"/>
    </xf>
    <xf numFmtId="0" fontId="34" fillId="7" borderId="7" xfId="10" quotePrefix="1" applyFont="1" applyFill="1" applyBorder="1" applyAlignment="1">
      <alignment horizontal="justify" vertical="top" wrapText="1"/>
    </xf>
    <xf numFmtId="0" fontId="25" fillId="7" borderId="7" xfId="10" quotePrefix="1" applyFont="1" applyFill="1" applyBorder="1" applyAlignment="1">
      <alignment horizontal="justify" vertical="top" wrapText="1"/>
    </xf>
    <xf numFmtId="0" fontId="25" fillId="7" borderId="7" xfId="10" applyFont="1" applyFill="1" applyBorder="1" applyAlignment="1">
      <alignment horizontal="left" vertical="justify" wrapText="1"/>
    </xf>
    <xf numFmtId="0" fontId="34" fillId="7" borderId="7" xfId="10" applyFont="1" applyFill="1" applyBorder="1" applyAlignment="1">
      <alignment wrapText="1"/>
    </xf>
    <xf numFmtId="0" fontId="25" fillId="7" borderId="28" xfId="10" applyFont="1" applyFill="1" applyBorder="1"/>
    <xf numFmtId="0" fontId="34" fillId="7" borderId="28" xfId="10" applyFont="1" applyFill="1" applyBorder="1" applyAlignment="1">
      <alignment horizontal="justify" vertical="justify" wrapText="1"/>
    </xf>
    <xf numFmtId="0" fontId="34" fillId="7" borderId="1" xfId="20" applyFont="1" applyFill="1" applyBorder="1" applyAlignment="1">
      <alignment horizontal="center"/>
    </xf>
    <xf numFmtId="0" fontId="34" fillId="7" borderId="5" xfId="20" applyFont="1" applyFill="1" applyBorder="1" applyAlignment="1">
      <alignment horizontal="center"/>
    </xf>
    <xf numFmtId="0" fontId="34" fillId="7" borderId="7" xfId="10" quotePrefix="1" applyFont="1" applyFill="1" applyBorder="1" applyAlignment="1">
      <alignment horizontal="center" vertical="top"/>
    </xf>
    <xf numFmtId="0" fontId="33" fillId="7" borderId="7" xfId="10" quotePrefix="1" applyFont="1" applyFill="1" applyBorder="1" applyAlignment="1">
      <alignment horizontal="center" vertical="top"/>
    </xf>
    <xf numFmtId="0" fontId="33" fillId="7" borderId="7" xfId="10" applyFont="1" applyFill="1" applyBorder="1" applyAlignment="1">
      <alignment horizontal="center" vertical="top"/>
    </xf>
    <xf numFmtId="1" fontId="34" fillId="7" borderId="1" xfId="10" applyNumberFormat="1" applyFont="1" applyFill="1" applyBorder="1" applyAlignment="1">
      <alignment horizontal="center"/>
    </xf>
    <xf numFmtId="0" fontId="25" fillId="0" borderId="7" xfId="10" quotePrefix="1" applyFont="1" applyBorder="1" applyAlignment="1">
      <alignment vertical="top"/>
    </xf>
    <xf numFmtId="0" fontId="34" fillId="0" borderId="0" xfId="10" quotePrefix="1" applyFont="1" applyAlignment="1">
      <alignment horizontal="center"/>
    </xf>
    <xf numFmtId="0" fontId="33" fillId="7" borderId="7" xfId="21" applyFont="1" applyFill="1" applyBorder="1"/>
    <xf numFmtId="0" fontId="34" fillId="7" borderId="7" xfId="22" quotePrefix="1" applyFont="1" applyFill="1" applyBorder="1" applyAlignment="1">
      <alignment horizontal="center"/>
    </xf>
    <xf numFmtId="0" fontId="34" fillId="7" borderId="7" xfId="22" applyFont="1" applyFill="1" applyBorder="1" applyAlignment="1">
      <alignment horizontal="center"/>
    </xf>
    <xf numFmtId="0" fontId="34" fillId="7" borderId="7" xfId="23" applyFont="1" applyFill="1" applyBorder="1" applyAlignment="1">
      <alignment horizontal="justify" vertical="justify" wrapText="1"/>
    </xf>
    <xf numFmtId="0" fontId="25" fillId="7" borderId="7" xfId="23" applyFont="1" applyFill="1" applyBorder="1" applyAlignment="1">
      <alignment horizontal="justify" vertical="justify" wrapText="1"/>
    </xf>
    <xf numFmtId="0" fontId="33" fillId="7" borderId="7" xfId="10" applyFont="1" applyFill="1" applyBorder="1" applyAlignment="1">
      <alignment wrapText="1"/>
    </xf>
    <xf numFmtId="0" fontId="33" fillId="7" borderId="7" xfId="24" applyFont="1" applyFill="1" applyBorder="1" applyAlignment="1">
      <alignment wrapText="1"/>
    </xf>
    <xf numFmtId="0" fontId="37" fillId="7" borderId="7" xfId="24" applyFont="1" applyFill="1" applyBorder="1"/>
    <xf numFmtId="0" fontId="34" fillId="7" borderId="7" xfId="24" applyFont="1" applyFill="1" applyBorder="1" applyAlignment="1">
      <alignment horizontal="justify" vertical="top" wrapText="1"/>
    </xf>
    <xf numFmtId="0" fontId="34" fillId="0" borderId="0" xfId="10" applyFont="1" applyAlignment="1">
      <alignment horizontal="center"/>
    </xf>
    <xf numFmtId="2" fontId="34" fillId="0" borderId="7" xfId="10" applyNumberFormat="1" applyFont="1" applyBorder="1" applyAlignment="1">
      <alignment horizontal="left" vertical="top"/>
    </xf>
    <xf numFmtId="0" fontId="34" fillId="0" borderId="7" xfId="10" applyFont="1" applyBorder="1" applyAlignment="1">
      <alignment horizontal="left" vertical="top"/>
    </xf>
    <xf numFmtId="0" fontId="34" fillId="0" borderId="7" xfId="10" applyFont="1" applyBorder="1" applyAlignment="1">
      <alignment horizontal="justify" vertical="justify" wrapText="1"/>
    </xf>
    <xf numFmtId="0" fontId="34" fillId="0" borderId="7" xfId="10" quotePrefix="1" applyFont="1" applyBorder="1" applyAlignment="1">
      <alignment horizontal="left" vertical="top"/>
    </xf>
    <xf numFmtId="0" fontId="34" fillId="0" borderId="1" xfId="10" applyFont="1" applyBorder="1" applyAlignment="1">
      <alignment horizontal="justify" vertical="justify" wrapText="1"/>
    </xf>
    <xf numFmtId="0" fontId="7" fillId="7" borderId="7" xfId="10" quotePrefix="1" applyFont="1" applyFill="1" applyBorder="1" applyAlignment="1">
      <alignment horizontal="left" vertical="top"/>
    </xf>
    <xf numFmtId="0" fontId="65" fillId="14" borderId="1" xfId="10" applyFont="1" applyFill="1" applyBorder="1"/>
    <xf numFmtId="0" fontId="34" fillId="0" borderId="7" xfId="10" quotePrefix="1" applyFont="1" applyBorder="1"/>
    <xf numFmtId="1" fontId="34" fillId="0" borderId="7" xfId="10" applyNumberFormat="1" applyFont="1" applyBorder="1" applyAlignment="1">
      <alignment horizontal="center" vertical="center"/>
    </xf>
    <xf numFmtId="0" fontId="34" fillId="0" borderId="7" xfId="10" applyFont="1" applyBorder="1" applyAlignment="1"/>
    <xf numFmtId="0" fontId="29" fillId="0" borderId="0" xfId="10" applyFont="1" applyAlignment="1">
      <alignment horizontal="center" vertical="center" wrapText="1"/>
    </xf>
    <xf numFmtId="0" fontId="33" fillId="0" borderId="28" xfId="10" applyFont="1" applyBorder="1" applyAlignment="1">
      <alignment horizontal="center"/>
    </xf>
    <xf numFmtId="0" fontId="34" fillId="0" borderId="4" xfId="10" applyFont="1" applyBorder="1" applyAlignment="1">
      <alignment horizontal="center"/>
    </xf>
    <xf numFmtId="0" fontId="38" fillId="0" borderId="7" xfId="10" applyFont="1" applyBorder="1" applyAlignment="1">
      <alignment horizontal="left"/>
    </xf>
    <xf numFmtId="0" fontId="38" fillId="0" borderId="28" xfId="10" applyFont="1" applyBorder="1" applyAlignment="1">
      <alignment horizontal="center"/>
    </xf>
    <xf numFmtId="0" fontId="34" fillId="0" borderId="7" xfId="10" applyFont="1" applyBorder="1" applyAlignment="1">
      <alignment horizontal="left" vertical="top" wrapText="1"/>
    </xf>
    <xf numFmtId="0" fontId="41" fillId="0" borderId="7" xfId="10" applyFont="1" applyBorder="1" applyAlignment="1">
      <alignment horizontal="justify" vertical="justify" wrapText="1"/>
    </xf>
    <xf numFmtId="0" fontId="25" fillId="0" borderId="7" xfId="10" applyFont="1" applyBorder="1" applyAlignment="1">
      <alignment horizontal="left"/>
    </xf>
    <xf numFmtId="0" fontId="50" fillId="0" borderId="7" xfId="10" applyFont="1" applyBorder="1" applyAlignment="1">
      <alignment horizontal="justify" vertical="justify" wrapText="1"/>
    </xf>
    <xf numFmtId="0" fontId="34" fillId="0" borderId="7" xfId="10" applyFont="1" applyBorder="1" applyAlignment="1">
      <alignment vertical="top" wrapText="1"/>
    </xf>
    <xf numFmtId="0" fontId="34" fillId="0" borderId="5" xfId="10" applyFont="1" applyBorder="1" applyAlignment="1">
      <alignment horizontal="justify" vertical="top" wrapText="1"/>
    </xf>
    <xf numFmtId="0" fontId="34" fillId="0" borderId="28" xfId="10" quotePrefix="1" applyFont="1" applyBorder="1" applyAlignment="1">
      <alignment horizontal="center"/>
    </xf>
    <xf numFmtId="0" fontId="34" fillId="0" borderId="1" xfId="10" applyFont="1" applyBorder="1" applyAlignment="1">
      <alignment vertical="top"/>
    </xf>
    <xf numFmtId="0" fontId="7" fillId="0" borderId="1" xfId="10" applyFont="1" applyBorder="1" applyAlignment="1">
      <alignment horizontal="center" vertical="top"/>
    </xf>
    <xf numFmtId="0" fontId="25" fillId="0" borderId="7" xfId="10" applyFont="1" applyBorder="1"/>
    <xf numFmtId="0" fontId="34" fillId="0" borderId="7" xfId="25" applyFont="1" applyBorder="1" applyAlignment="1">
      <alignment horizontal="justify" vertical="justify" wrapText="1"/>
    </xf>
    <xf numFmtId="0" fontId="34" fillId="0" borderId="7" xfId="25" applyFont="1" applyBorder="1" applyAlignment="1">
      <alignment horizontal="center"/>
    </xf>
    <xf numFmtId="0" fontId="34" fillId="0" borderId="7" xfId="25" quotePrefix="1" applyFont="1" applyBorder="1" applyAlignment="1">
      <alignment horizontal="center"/>
    </xf>
    <xf numFmtId="0" fontId="34" fillId="0" borderId="7" xfId="10" quotePrefix="1" applyFont="1" applyBorder="1" applyAlignment="1">
      <alignment horizontal="center"/>
    </xf>
    <xf numFmtId="0" fontId="25" fillId="0" borderId="7" xfId="10" quotePrefix="1" applyFont="1" applyBorder="1" applyAlignment="1">
      <alignment horizontal="left" vertical="top"/>
    </xf>
    <xf numFmtId="0" fontId="25" fillId="0" borderId="7" xfId="10" applyFont="1" applyBorder="1" applyAlignment="1">
      <alignment horizontal="justify" vertical="top" wrapText="1"/>
    </xf>
    <xf numFmtId="0" fontId="25" fillId="0" borderId="7" xfId="10" applyFont="1" applyBorder="1" applyAlignment="1">
      <alignment horizontal="center" vertical="center"/>
    </xf>
    <xf numFmtId="0" fontId="34" fillId="0" borderId="7" xfId="10" applyFont="1" applyBorder="1" applyAlignment="1">
      <alignment horizontal="justify" wrapText="1"/>
    </xf>
    <xf numFmtId="0" fontId="34" fillId="0" borderId="7" xfId="10" applyFont="1" applyBorder="1" applyAlignment="1">
      <alignment horizontal="center" vertical="center"/>
    </xf>
    <xf numFmtId="166" fontId="34" fillId="0" borderId="7" xfId="10" quotePrefix="1" applyNumberFormat="1" applyFont="1" applyBorder="1" applyAlignment="1">
      <alignment horizontal="left" vertical="top"/>
    </xf>
    <xf numFmtId="0" fontId="34" fillId="0" borderId="5" xfId="10" applyFont="1" applyBorder="1"/>
    <xf numFmtId="0" fontId="34" fillId="0" borderId="1" xfId="10" applyFont="1" applyBorder="1" applyAlignment="1">
      <alignment horizontal="center" vertical="top"/>
    </xf>
    <xf numFmtId="0" fontId="25" fillId="0" borderId="28" xfId="10" applyFont="1" applyBorder="1" applyAlignment="1">
      <alignment horizontal="center" vertical="top"/>
    </xf>
    <xf numFmtId="0" fontId="49" fillId="0" borderId="28" xfId="11" applyFont="1" applyBorder="1" applyAlignment="1">
      <alignment horizontal="center"/>
    </xf>
    <xf numFmtId="2" fontId="34" fillId="0" borderId="7" xfId="10" quotePrefix="1" applyNumberFormat="1" applyFont="1" applyBorder="1" applyAlignment="1">
      <alignment horizontal="left" vertical="top"/>
    </xf>
    <xf numFmtId="1" fontId="34" fillId="0" borderId="1" xfId="10" quotePrefix="1" applyNumberFormat="1" applyFont="1" applyBorder="1" applyAlignment="1">
      <alignment horizontal="center"/>
    </xf>
    <xf numFmtId="0" fontId="25" fillId="0" borderId="28" xfId="10" quotePrefix="1" applyFont="1" applyBorder="1" applyAlignment="1">
      <alignment horizontal="center"/>
    </xf>
    <xf numFmtId="1" fontId="25" fillId="0" borderId="28" xfId="10" quotePrefix="1" applyNumberFormat="1" applyFont="1" applyBorder="1" applyAlignment="1">
      <alignment horizontal="center"/>
    </xf>
    <xf numFmtId="0" fontId="34" fillId="0" borderId="6" xfId="10" applyFont="1" applyBorder="1" applyAlignment="1">
      <alignment horizontal="center"/>
    </xf>
    <xf numFmtId="0" fontId="25" fillId="0" borderId="0" xfId="10" applyFont="1" applyAlignment="1">
      <alignment horizontal="center"/>
    </xf>
    <xf numFmtId="0" fontId="33" fillId="16" borderId="1" xfId="10" applyFont="1" applyFill="1" applyBorder="1" applyAlignment="1">
      <alignment horizontal="left" vertical="center"/>
    </xf>
    <xf numFmtId="0" fontId="34" fillId="16" borderId="1" xfId="10" applyFont="1" applyFill="1" applyBorder="1" applyAlignment="1">
      <alignment horizontal="justify" vertical="justify" wrapText="1"/>
    </xf>
    <xf numFmtId="0" fontId="34" fillId="16" borderId="1" xfId="10" applyFont="1" applyFill="1" applyBorder="1" applyAlignment="1">
      <alignment horizontal="center" vertical="center"/>
    </xf>
    <xf numFmtId="169" fontId="33" fillId="16" borderId="1" xfId="10" applyNumberFormat="1" applyFont="1" applyFill="1" applyBorder="1" applyAlignment="1">
      <alignment horizontal="center"/>
    </xf>
    <xf numFmtId="0" fontId="38" fillId="0" borderId="6" xfId="10" applyFont="1" applyBorder="1" applyAlignment="1">
      <alignment horizontal="left" vertical="center"/>
    </xf>
    <xf numFmtId="169" fontId="38" fillId="0" borderId="7" xfId="10" applyNumberFormat="1" applyFont="1" applyBorder="1" applyAlignment="1">
      <alignment horizontal="center"/>
    </xf>
    <xf numFmtId="0" fontId="34" fillId="0" borderId="5" xfId="26" applyFont="1" applyBorder="1" applyAlignment="1">
      <alignment horizontal="justify" vertical="justify" wrapText="1"/>
    </xf>
    <xf numFmtId="0" fontId="34" fillId="0" borderId="0" xfId="10" applyFont="1" applyAlignment="1">
      <alignment vertical="justify"/>
    </xf>
    <xf numFmtId="1" fontId="34" fillId="7" borderId="5" xfId="10" applyNumberFormat="1" applyFont="1" applyFill="1" applyBorder="1" applyAlignment="1">
      <alignment horizontal="center"/>
    </xf>
    <xf numFmtId="0" fontId="34" fillId="7" borderId="4" xfId="10" applyFont="1" applyFill="1" applyBorder="1"/>
    <xf numFmtId="0" fontId="25" fillId="7" borderId="7" xfId="10" applyFont="1" applyFill="1" applyBorder="1" applyAlignment="1">
      <alignment horizontal="justify" vertical="top" wrapText="1"/>
    </xf>
    <xf numFmtId="0" fontId="34" fillId="0" borderId="5" xfId="10" applyFont="1" applyBorder="1" applyAlignment="1">
      <alignment horizontal="justify" vertical="justify" wrapText="1"/>
    </xf>
    <xf numFmtId="0" fontId="7" fillId="0" borderId="1" xfId="10" applyFont="1" applyBorder="1" applyAlignment="1">
      <alignment horizontal="center"/>
    </xf>
    <xf numFmtId="0" fontId="34" fillId="16" borderId="2" xfId="10" applyFont="1" applyFill="1" applyBorder="1" applyAlignment="1">
      <alignment horizontal="justify" vertical="justify" wrapText="1"/>
    </xf>
    <xf numFmtId="0" fontId="34" fillId="16" borderId="4" xfId="10" applyFont="1" applyFill="1" applyBorder="1" applyAlignment="1">
      <alignment horizontal="center" vertical="center"/>
    </xf>
    <xf numFmtId="169" fontId="33" fillId="16" borderId="4" xfId="10" applyNumberFormat="1" applyFont="1" applyFill="1" applyBorder="1" applyAlignment="1">
      <alignment horizontal="center"/>
    </xf>
    <xf numFmtId="0" fontId="25" fillId="2" borderId="0" xfId="10" applyFont="1" applyFill="1"/>
    <xf numFmtId="0" fontId="25" fillId="0" borderId="27" xfId="10" applyFont="1" applyBorder="1" applyAlignment="1">
      <alignment horizontal="left"/>
    </xf>
    <xf numFmtId="0" fontId="25" fillId="0" borderId="6" xfId="10" applyFont="1" applyBorder="1" applyAlignment="1">
      <alignment vertical="center"/>
    </xf>
    <xf numFmtId="0" fontId="25" fillId="0" borderId="6" xfId="10" applyFont="1" applyBorder="1" applyAlignment="1">
      <alignment horizontal="center"/>
    </xf>
    <xf numFmtId="166" fontId="34" fillId="0" borderId="27" xfId="10" applyNumberFormat="1" applyFont="1" applyBorder="1" applyAlignment="1">
      <alignment horizontal="left"/>
    </xf>
    <xf numFmtId="0" fontId="34" fillId="0" borderId="7" xfId="10" applyFont="1" applyBorder="1" applyAlignment="1">
      <alignment vertical="center"/>
    </xf>
    <xf numFmtId="0" fontId="34" fillId="0" borderId="27" xfId="10" applyFont="1" applyBorder="1" applyAlignment="1">
      <alignment horizontal="left"/>
    </xf>
    <xf numFmtId="0" fontId="34" fillId="7" borderId="7" xfId="10" quotePrefix="1" applyFont="1" applyFill="1" applyBorder="1" applyAlignment="1">
      <alignment horizontal="left" vertical="top" wrapText="1"/>
    </xf>
    <xf numFmtId="0" fontId="33" fillId="7" borderId="7" xfId="10" applyFont="1" applyFill="1" applyBorder="1" applyAlignment="1">
      <alignment vertical="justify" wrapText="1"/>
    </xf>
    <xf numFmtId="0" fontId="34" fillId="7" borderId="7" xfId="10" applyFont="1" applyFill="1" applyBorder="1" applyAlignment="1">
      <alignment horizontal="justify" wrapText="1"/>
    </xf>
    <xf numFmtId="0" fontId="34" fillId="0" borderId="0" xfId="10" applyFont="1" applyAlignment="1">
      <alignment horizontal="left" vertical="center"/>
    </xf>
    <xf numFmtId="0" fontId="34" fillId="0" borderId="0" xfId="10" applyFont="1" applyAlignment="1">
      <alignment horizontal="justify" vertical="justify" wrapText="1"/>
    </xf>
    <xf numFmtId="1" fontId="34" fillId="0" borderId="1" xfId="10" applyNumberFormat="1" applyFont="1" applyBorder="1" applyAlignment="1">
      <alignment horizontal="center"/>
    </xf>
    <xf numFmtId="1" fontId="25" fillId="0" borderId="7" xfId="10" applyNumberFormat="1" applyFont="1" applyBorder="1" applyAlignment="1">
      <alignment horizontal="center"/>
    </xf>
    <xf numFmtId="0" fontId="34" fillId="0" borderId="7" xfId="10" quotePrefix="1" applyFont="1" applyBorder="1" applyAlignment="1">
      <alignment horizontal="center" vertical="center"/>
    </xf>
    <xf numFmtId="0" fontId="34" fillId="0" borderId="1" xfId="10" quotePrefix="1" applyFont="1" applyBorder="1" applyAlignment="1">
      <alignment horizontal="center" vertical="center"/>
    </xf>
    <xf numFmtId="0" fontId="38" fillId="0" borderId="6" xfId="10" quotePrefix="1" applyFont="1" applyBorder="1" applyAlignment="1">
      <alignment horizontal="left"/>
    </xf>
    <xf numFmtId="0" fontId="25" fillId="0" borderId="24" xfId="10" applyFont="1" applyBorder="1"/>
    <xf numFmtId="0" fontId="34" fillId="0" borderId="5" xfId="10" applyFont="1" applyBorder="1" applyAlignment="1">
      <alignment horizontal="center"/>
    </xf>
    <xf numFmtId="0" fontId="34" fillId="16" borderId="3" xfId="10" applyFont="1" applyFill="1" applyBorder="1"/>
    <xf numFmtId="0" fontId="34" fillId="16" borderId="1" xfId="10" applyFont="1" applyFill="1" applyBorder="1" applyAlignment="1">
      <alignment vertical="center"/>
    </xf>
    <xf numFmtId="0" fontId="33" fillId="16" borderId="4" xfId="10" applyFont="1" applyFill="1" applyBorder="1" applyAlignment="1">
      <alignment horizontal="center"/>
    </xf>
    <xf numFmtId="0" fontId="34" fillId="7" borderId="24" xfId="10" applyFont="1" applyFill="1" applyBorder="1"/>
    <xf numFmtId="0" fontId="34" fillId="7" borderId="25" xfId="10" applyFont="1" applyFill="1" applyBorder="1"/>
    <xf numFmtId="0" fontId="54" fillId="0" borderId="0" xfId="10" applyFont="1" applyAlignment="1">
      <alignment horizontal="left" vertical="center"/>
    </xf>
    <xf numFmtId="0" fontId="54" fillId="0" borderId="0" xfId="10" applyFont="1"/>
    <xf numFmtId="0" fontId="34" fillId="0" borderId="0" xfId="10" applyFont="1" applyAlignment="1">
      <alignment horizontal="left"/>
    </xf>
    <xf numFmtId="0" fontId="25" fillId="0" borderId="27" xfId="10" applyFont="1" applyBorder="1"/>
    <xf numFmtId="0" fontId="25" fillId="0" borderId="28" xfId="10" applyFont="1" applyBorder="1"/>
    <xf numFmtId="0" fontId="25" fillId="14" borderId="0" xfId="10" applyFont="1" applyFill="1" applyAlignment="1">
      <alignment wrapText="1"/>
    </xf>
    <xf numFmtId="0" fontId="33" fillId="7" borderId="7" xfId="10" applyFont="1" applyFill="1" applyBorder="1" applyAlignment="1">
      <alignment horizontal="justify" vertical="top"/>
    </xf>
    <xf numFmtId="0" fontId="24" fillId="7" borderId="7" xfId="10" applyFont="1" applyFill="1" applyBorder="1" applyAlignment="1">
      <alignment horizontal="center"/>
    </xf>
    <xf numFmtId="0" fontId="24" fillId="7" borderId="27" xfId="10" applyFont="1" applyFill="1" applyBorder="1" applyAlignment="1">
      <alignment horizontal="center"/>
    </xf>
    <xf numFmtId="0" fontId="33" fillId="7" borderId="0" xfId="10" applyFont="1" applyFill="1" applyAlignment="1">
      <alignment horizontal="justify" vertical="top"/>
    </xf>
    <xf numFmtId="0" fontId="0" fillId="15" borderId="7" xfId="15" applyFont="1" applyFill="1" applyBorder="1" applyAlignment="1">
      <alignment horizontal="justify" vertical="justify" wrapText="1"/>
    </xf>
    <xf numFmtId="0" fontId="7" fillId="0" borderId="29" xfId="1" applyBorder="1" applyAlignment="1">
      <alignment horizontal="left" vertical="justify" wrapText="1"/>
    </xf>
    <xf numFmtId="0" fontId="7" fillId="0" borderId="9" xfId="1" applyBorder="1" applyAlignment="1">
      <alignment horizontal="left" vertical="justify" wrapText="1"/>
    </xf>
    <xf numFmtId="0" fontId="7" fillId="0" borderId="30" xfId="1" applyBorder="1" applyAlignment="1">
      <alignment horizontal="left" vertical="justify" wrapText="1"/>
    </xf>
    <xf numFmtId="0" fontId="23" fillId="0" borderId="0" xfId="1" applyFont="1"/>
    <xf numFmtId="166" fontId="68" fillId="0" borderId="0" xfId="1" applyNumberFormat="1" applyFont="1" applyAlignment="1">
      <alignment wrapText="1"/>
    </xf>
    <xf numFmtId="0" fontId="68" fillId="0" borderId="0" xfId="1" applyFont="1"/>
    <xf numFmtId="166" fontId="23" fillId="0" borderId="0" xfId="1" applyNumberFormat="1" applyFont="1"/>
    <xf numFmtId="0" fontId="7" fillId="0" borderId="27" xfId="1" applyBorder="1" applyAlignment="1">
      <alignment horizontal="center" vertical="center" wrapText="1"/>
    </xf>
    <xf numFmtId="0" fontId="14" fillId="0" borderId="28" xfId="1" applyFont="1" applyBorder="1" applyAlignment="1">
      <alignment horizontal="left" vertical="justify" wrapText="1"/>
    </xf>
    <xf numFmtId="0" fontId="7" fillId="0" borderId="27" xfId="1" applyBorder="1" applyAlignment="1">
      <alignment horizontal="center" vertical="center"/>
    </xf>
    <xf numFmtId="0" fontId="17" fillId="0" borderId="22" xfId="1" applyFont="1" applyBorder="1" applyAlignment="1">
      <alignment horizontal="center"/>
    </xf>
    <xf numFmtId="2" fontId="7" fillId="0" borderId="7" xfId="1" applyNumberFormat="1" applyBorder="1" applyAlignment="1">
      <alignment horizontal="center"/>
    </xf>
    <xf numFmtId="0" fontId="7" fillId="0" borderId="0" xfId="1" quotePrefix="1" applyAlignment="1">
      <alignment horizontal="right"/>
    </xf>
    <xf numFmtId="0" fontId="28" fillId="0" borderId="1" xfId="1" applyFont="1" applyBorder="1" applyAlignment="1">
      <alignment vertical="justify" wrapText="1"/>
    </xf>
    <xf numFmtId="0" fontId="14" fillId="0" borderId="1" xfId="1" applyFont="1" applyBorder="1" applyAlignment="1">
      <alignment horizontal="center" vertical="justify" wrapText="1"/>
    </xf>
    <xf numFmtId="0" fontId="14" fillId="0" borderId="1" xfId="1" applyFont="1" applyBorder="1" applyAlignment="1">
      <alignment horizontal="centerContinuous" vertical="justify" wrapText="1"/>
    </xf>
    <xf numFmtId="0" fontId="28" fillId="0" borderId="1" xfId="1" applyFont="1" applyBorder="1" applyAlignment="1">
      <alignment horizontal="centerContinuous" vertical="justify" wrapText="1"/>
    </xf>
    <xf numFmtId="0" fontId="14" fillId="0" borderId="1" xfId="1" applyFont="1" applyBorder="1" applyAlignment="1">
      <alignment horizontal="left" vertical="justify" wrapText="1"/>
    </xf>
    <xf numFmtId="1" fontId="17" fillId="0" borderId="3" xfId="1" applyNumberFormat="1" applyFont="1" applyBorder="1" applyAlignment="1">
      <alignment horizontal="center" vertical="justify" wrapText="1"/>
    </xf>
    <xf numFmtId="0" fontId="3" fillId="5" borderId="1" xfId="0" applyFont="1" applyFill="1" applyBorder="1" applyAlignment="1" applyProtection="1">
      <alignment horizontal="center"/>
      <protection hidden="1"/>
    </xf>
    <xf numFmtId="0" fontId="1" fillId="2" borderId="0" xfId="0" applyFont="1" applyFill="1" applyAlignment="1">
      <alignment horizontal="center" vertical="center" wrapText="1"/>
    </xf>
    <xf numFmtId="0" fontId="0" fillId="0" borderId="0" xfId="0" applyAlignment="1">
      <alignment horizontal="center"/>
    </xf>
    <xf numFmtId="0" fontId="6" fillId="8" borderId="7" xfId="0" applyFont="1" applyFill="1" applyBorder="1" applyAlignment="1" applyProtection="1">
      <alignment horizontal="center"/>
      <protection hidden="1"/>
    </xf>
    <xf numFmtId="0" fontId="3" fillId="0" borderId="0" xfId="0" applyFont="1" applyAlignment="1" applyProtection="1">
      <alignment horizontal="center"/>
      <protection hidden="1"/>
    </xf>
    <xf numFmtId="0" fontId="28" fillId="0" borderId="3" xfId="1" applyFont="1" applyBorder="1" applyAlignment="1">
      <alignment horizontal="center" vertical="justify" wrapText="1"/>
    </xf>
    <xf numFmtId="0" fontId="7" fillId="0" borderId="28" xfId="1" applyBorder="1" applyAlignment="1">
      <alignment horizontal="center" wrapText="1"/>
    </xf>
    <xf numFmtId="0" fontId="7" fillId="0" borderId="7" xfId="1" applyBorder="1" applyAlignment="1">
      <alignment horizontal="centerContinuous" vertical="center"/>
    </xf>
    <xf numFmtId="2" fontId="7" fillId="0" borderId="7" xfId="1" applyNumberFormat="1" applyBorder="1" applyAlignment="1">
      <alignment horizontal="centerContinuous" vertical="center"/>
    </xf>
    <xf numFmtId="0" fontId="7" fillId="0" borderId="3" xfId="1" applyBorder="1" applyAlignment="1">
      <alignment horizontal="centerContinuous" vertical="justify"/>
    </xf>
    <xf numFmtId="0" fontId="7" fillId="0" borderId="4" xfId="1" applyBorder="1" applyAlignment="1">
      <alignment horizontal="centerContinuous" vertical="justify"/>
    </xf>
    <xf numFmtId="0" fontId="7" fillId="0" borderId="2" xfId="1" applyBorder="1" applyAlignment="1">
      <alignment horizontal="centerContinuous" vertical="distributed"/>
    </xf>
    <xf numFmtId="0" fontId="17" fillId="0" borderId="27" xfId="1" applyFont="1" applyBorder="1" applyAlignment="1">
      <alignment horizontal="center" vertical="center" wrapText="1"/>
    </xf>
    <xf numFmtId="0" fontId="14" fillId="0" borderId="28" xfId="1" applyFont="1" applyBorder="1" applyAlignment="1">
      <alignment horizontal="centerContinuous" vertical="justify" wrapText="1"/>
    </xf>
    <xf numFmtId="0" fontId="17" fillId="0" borderId="0" xfId="1" applyFont="1" applyAlignment="1">
      <alignment horizontal="centerContinuous" vertical="center" wrapText="1"/>
    </xf>
    <xf numFmtId="0" fontId="17" fillId="0" borderId="0" xfId="1" applyFont="1" applyAlignment="1">
      <alignment horizontal="centerContinuous" vertical="center"/>
    </xf>
    <xf numFmtId="0" fontId="28" fillId="0" borderId="1" xfId="1" applyFont="1" applyBorder="1" applyAlignment="1">
      <alignment horizontal="center" vertical="center" wrapText="1"/>
    </xf>
    <xf numFmtId="0" fontId="28" fillId="0" borderId="1" xfId="1" applyFont="1" applyBorder="1" applyAlignment="1">
      <alignment vertical="center" wrapText="1"/>
    </xf>
    <xf numFmtId="0" fontId="3" fillId="4" borderId="1" xfId="0" applyFont="1" applyFill="1" applyBorder="1" applyAlignment="1">
      <alignment horizontal="center" vertical="center"/>
    </xf>
    <xf numFmtId="0" fontId="3" fillId="3" borderId="1" xfId="0" applyFont="1" applyFill="1" applyBorder="1"/>
    <xf numFmtId="0" fontId="3" fillId="3" borderId="1" xfId="0" applyFont="1" applyFill="1" applyBorder="1" applyAlignment="1">
      <alignment horizontal="center" vertical="center"/>
    </xf>
    <xf numFmtId="0" fontId="3" fillId="7" borderId="0" xfId="0" applyFont="1" applyFill="1"/>
    <xf numFmtId="0" fontId="75" fillId="6" borderId="1" xfId="0" applyFont="1" applyFill="1" applyBorder="1" applyAlignment="1">
      <alignment horizontal="center" vertical="top"/>
    </xf>
    <xf numFmtId="0" fontId="75" fillId="2" borderId="1" xfId="0" applyFont="1" applyFill="1" applyBorder="1" applyAlignment="1">
      <alignment horizontal="center" vertical="top"/>
    </xf>
    <xf numFmtId="0" fontId="75" fillId="20" borderId="1" xfId="0" applyFont="1" applyFill="1" applyBorder="1" applyAlignment="1">
      <alignment horizontal="center" vertical="top"/>
    </xf>
    <xf numFmtId="0" fontId="75" fillId="6" borderId="0" xfId="0" applyFont="1" applyFill="1"/>
    <xf numFmtId="0" fontId="75" fillId="2" borderId="0" xfId="0" applyFont="1" applyFill="1"/>
    <xf numFmtId="0" fontId="75" fillId="20" borderId="0" xfId="0" applyFont="1" applyFill="1"/>
    <xf numFmtId="0" fontId="77" fillId="21" borderId="27" xfId="0" applyFont="1" applyFill="1" applyBorder="1" applyAlignment="1">
      <alignment horizontal="center"/>
    </xf>
    <xf numFmtId="0" fontId="77" fillId="22" borderId="27" xfId="0" applyFont="1" applyFill="1" applyBorder="1" applyAlignment="1">
      <alignment horizontal="center"/>
    </xf>
    <xf numFmtId="0" fontId="77" fillId="22" borderId="24" xfId="0" applyFont="1" applyFill="1" applyBorder="1" applyAlignment="1">
      <alignment horizontal="center"/>
    </xf>
    <xf numFmtId="0" fontId="77" fillId="0" borderId="0" xfId="0" applyFont="1"/>
    <xf numFmtId="0" fontId="78" fillId="23" borderId="24" xfId="0" applyFont="1" applyFill="1" applyBorder="1"/>
    <xf numFmtId="0" fontId="77" fillId="21" borderId="24" xfId="0" applyFont="1" applyFill="1" applyBorder="1"/>
    <xf numFmtId="0" fontId="77" fillId="22" borderId="24" xfId="0" applyFont="1" applyFill="1" applyBorder="1"/>
    <xf numFmtId="0" fontId="78" fillId="23" borderId="7" xfId="0" applyFont="1" applyFill="1" applyBorder="1"/>
    <xf numFmtId="0" fontId="80" fillId="0" borderId="0" xfId="0" applyFont="1"/>
    <xf numFmtId="0" fontId="77" fillId="22" borderId="49" xfId="0" applyFont="1" applyFill="1" applyBorder="1"/>
    <xf numFmtId="0" fontId="77" fillId="21" borderId="49" xfId="0" applyFont="1" applyFill="1" applyBorder="1"/>
    <xf numFmtId="0" fontId="77" fillId="21" borderId="2" xfId="0" applyFont="1" applyFill="1" applyBorder="1"/>
    <xf numFmtId="0" fontId="77" fillId="0" borderId="7" xfId="0" applyFont="1" applyBorder="1"/>
    <xf numFmtId="0" fontId="78" fillId="23" borderId="25" xfId="0" applyFont="1" applyFill="1" applyBorder="1"/>
    <xf numFmtId="0" fontId="77" fillId="21" borderId="25" xfId="0" applyFont="1" applyFill="1" applyBorder="1"/>
    <xf numFmtId="0" fontId="77" fillId="22" borderId="25" xfId="0" applyFont="1" applyFill="1" applyBorder="1"/>
    <xf numFmtId="0" fontId="77" fillId="21" borderId="3" xfId="0" applyFont="1" applyFill="1" applyBorder="1"/>
    <xf numFmtId="0" fontId="3" fillId="3" borderId="1" xfId="0" applyFont="1" applyFill="1" applyBorder="1" applyAlignment="1" applyProtection="1">
      <alignment horizontal="left"/>
      <protection locked="0"/>
    </xf>
    <xf numFmtId="0" fontId="78" fillId="8" borderId="1" xfId="0" applyFont="1" applyFill="1" applyBorder="1" applyAlignment="1">
      <alignment horizontal="center" textRotation="45" wrapText="1"/>
    </xf>
    <xf numFmtId="0" fontId="78" fillId="8" borderId="7" xfId="0" applyFont="1" applyFill="1" applyBorder="1" applyAlignment="1">
      <alignment horizontal="center" textRotation="45" wrapText="1"/>
    </xf>
    <xf numFmtId="0" fontId="81" fillId="8" borderId="1" xfId="0" applyFont="1" applyFill="1" applyBorder="1" applyAlignment="1">
      <alignment horizontal="center" textRotation="45" wrapText="1"/>
    </xf>
    <xf numFmtId="165" fontId="5" fillId="6" borderId="1" xfId="0" applyNumberFormat="1" applyFont="1" applyFill="1" applyBorder="1" applyAlignment="1" applyProtection="1">
      <alignment horizontal="center" vertical="center" textRotation="255"/>
      <protection hidden="1"/>
    </xf>
    <xf numFmtId="166" fontId="5" fillId="6" borderId="1" xfId="0" applyNumberFormat="1" applyFont="1" applyFill="1" applyBorder="1" applyAlignment="1" applyProtection="1">
      <alignment horizontal="center" vertical="center" textRotation="255"/>
      <protection hidden="1"/>
    </xf>
    <xf numFmtId="0" fontId="5" fillId="4" borderId="1" xfId="0" applyFont="1" applyFill="1" applyBorder="1" applyAlignment="1" applyProtection="1">
      <alignment horizontal="center" vertical="center" textRotation="255"/>
      <protection hidden="1"/>
    </xf>
    <xf numFmtId="2" fontId="5" fillId="6" borderId="1" xfId="0" applyNumberFormat="1" applyFont="1" applyFill="1" applyBorder="1" applyAlignment="1" applyProtection="1">
      <alignment horizontal="center" vertical="center" textRotation="255"/>
      <protection hidden="1"/>
    </xf>
    <xf numFmtId="0" fontId="5" fillId="6" borderId="1" xfId="0" applyFont="1" applyFill="1" applyBorder="1" applyAlignment="1" applyProtection="1">
      <alignment horizontal="center" vertical="center" textRotation="255"/>
      <protection hidden="1"/>
    </xf>
    <xf numFmtId="0" fontId="17" fillId="0" borderId="17" xfId="1" applyFont="1" applyBorder="1" applyAlignment="1">
      <alignment vertical="center"/>
    </xf>
    <xf numFmtId="0" fontId="17" fillId="0" borderId="18" xfId="1" applyFont="1" applyBorder="1" applyAlignment="1">
      <alignment vertical="center"/>
    </xf>
    <xf numFmtId="0" fontId="17" fillId="0" borderId="19" xfId="1" applyFont="1" applyBorder="1" applyAlignment="1">
      <alignment vertical="center"/>
    </xf>
    <xf numFmtId="0" fontId="17" fillId="0" borderId="2" xfId="1" applyFont="1" applyBorder="1" applyAlignment="1">
      <alignment horizontal="left" vertical="center"/>
    </xf>
    <xf numFmtId="0" fontId="17" fillId="0" borderId="3" xfId="1" applyFont="1" applyBorder="1" applyAlignment="1">
      <alignment horizontal="left" vertical="center"/>
    </xf>
    <xf numFmtId="0" fontId="17" fillId="0" borderId="4" xfId="1" applyFont="1" applyBorder="1" applyAlignment="1">
      <alignment horizontal="left" vertical="center"/>
    </xf>
    <xf numFmtId="0" fontId="7" fillId="0" borderId="29" xfId="1" applyBorder="1" applyAlignment="1">
      <alignment horizontal="left" vertical="justify" wrapText="1"/>
    </xf>
    <xf numFmtId="0" fontId="7" fillId="0" borderId="9" xfId="1" applyBorder="1" applyAlignment="1">
      <alignment horizontal="left" vertical="justify" wrapText="1"/>
    </xf>
    <xf numFmtId="0" fontId="7" fillId="0" borderId="30" xfId="1" applyBorder="1" applyAlignment="1">
      <alignment horizontal="left" vertical="justify" wrapText="1"/>
    </xf>
    <xf numFmtId="0" fontId="14" fillId="0" borderId="1" xfId="1" applyFont="1" applyBorder="1" applyAlignment="1">
      <alignment horizontal="left" vertical="justify"/>
    </xf>
    <xf numFmtId="0" fontId="7" fillId="0" borderId="7" xfId="1" applyBorder="1" applyAlignment="1">
      <alignment horizontal="center" vertical="center"/>
    </xf>
    <xf numFmtId="0" fontId="8" fillId="0" borderId="0" xfId="1" applyFont="1" applyAlignment="1">
      <alignment horizontal="center" vertical="center" wrapText="1"/>
    </xf>
    <xf numFmtId="0" fontId="8" fillId="0" borderId="9" xfId="1" applyFont="1" applyBorder="1" applyAlignment="1">
      <alignment horizontal="center" vertical="center" wrapText="1"/>
    </xf>
    <xf numFmtId="0" fontId="14" fillId="0" borderId="0" xfId="1" applyFont="1" applyAlignment="1">
      <alignment horizontal="center" vertical="center" wrapText="1"/>
    </xf>
    <xf numFmtId="0" fontId="15" fillId="0" borderId="0" xfId="1" applyFont="1" applyAlignment="1">
      <alignment horizontal="center" vertical="center" wrapText="1"/>
    </xf>
    <xf numFmtId="0" fontId="7" fillId="0" borderId="10" xfId="1" applyBorder="1" applyAlignment="1">
      <alignment horizontal="center" vertical="center"/>
    </xf>
    <xf numFmtId="0" fontId="7" fillId="0" borderId="13" xfId="1" applyBorder="1" applyAlignment="1">
      <alignment horizontal="center" vertical="center"/>
    </xf>
    <xf numFmtId="0" fontId="7" fillId="0" borderId="11" xfId="1" applyBorder="1" applyAlignment="1">
      <alignment horizontal="center" vertical="center"/>
    </xf>
    <xf numFmtId="0" fontId="7" fillId="0" borderId="14" xfId="1" applyBorder="1" applyAlignment="1">
      <alignment horizontal="center" vertical="center"/>
    </xf>
    <xf numFmtId="0" fontId="7" fillId="0" borderId="12" xfId="1" applyBorder="1" applyAlignment="1">
      <alignment horizontal="center" vertical="center"/>
    </xf>
    <xf numFmtId="0" fontId="7" fillId="0" borderId="0" xfId="1" applyAlignment="1">
      <alignment horizontal="center" vertical="center"/>
    </xf>
    <xf numFmtId="2" fontId="7" fillId="0" borderId="0" xfId="1" applyNumberFormat="1" applyAlignment="1">
      <alignment horizontal="center" vertical="center"/>
    </xf>
    <xf numFmtId="0" fontId="28" fillId="0" borderId="1" xfId="1" applyFont="1" applyBorder="1" applyAlignment="1">
      <alignment horizontal="center" vertical="justify"/>
    </xf>
    <xf numFmtId="166" fontId="7" fillId="0" borderId="0" xfId="1" applyNumberFormat="1" applyAlignment="1">
      <alignment horizontal="center" vertical="center"/>
    </xf>
    <xf numFmtId="0" fontId="7" fillId="0" borderId="0" xfId="1" applyAlignment="1">
      <alignment horizontal="center" vertical="center" wrapText="1"/>
    </xf>
    <xf numFmtId="2" fontId="7" fillId="0" borderId="7" xfId="1" applyNumberFormat="1" applyBorder="1" applyAlignment="1">
      <alignment horizontal="center" vertical="center"/>
    </xf>
    <xf numFmtId="2" fontId="7" fillId="0" borderId="27" xfId="1" applyNumberFormat="1" applyBorder="1" applyAlignment="1">
      <alignment horizontal="center" vertical="center"/>
    </xf>
    <xf numFmtId="0" fontId="28" fillId="0" borderId="2" xfId="1" applyFont="1" applyBorder="1" applyAlignment="1">
      <alignment horizontal="center" vertical="justify"/>
    </xf>
    <xf numFmtId="0" fontId="28" fillId="0" borderId="3" xfId="1" applyFont="1" applyBorder="1" applyAlignment="1">
      <alignment horizontal="center" vertical="justify"/>
    </xf>
    <xf numFmtId="0" fontId="28" fillId="0" borderId="4" xfId="1" applyFont="1" applyBorder="1" applyAlignment="1">
      <alignment horizontal="center" vertical="justify"/>
    </xf>
    <xf numFmtId="0" fontId="28" fillId="0" borderId="24" xfId="1" applyFont="1" applyBorder="1" applyAlignment="1">
      <alignment horizontal="center" vertical="justify"/>
    </xf>
    <xf numFmtId="0" fontId="28" fillId="0" borderId="25" xfId="1" applyFont="1" applyBorder="1" applyAlignment="1">
      <alignment horizontal="center" vertical="justify"/>
    </xf>
    <xf numFmtId="0" fontId="28" fillId="0" borderId="26" xfId="1" applyFont="1" applyBorder="1" applyAlignment="1">
      <alignment horizontal="center" vertical="justify"/>
    </xf>
    <xf numFmtId="0" fontId="14" fillId="0" borderId="3" xfId="1" applyFont="1" applyBorder="1" applyAlignment="1">
      <alignment horizontal="center" vertical="justify" wrapText="1"/>
    </xf>
    <xf numFmtId="0" fontId="14" fillId="0" borderId="4" xfId="1" applyFont="1" applyBorder="1" applyAlignment="1">
      <alignment horizontal="center" vertical="justify" wrapText="1"/>
    </xf>
    <xf numFmtId="0" fontId="7" fillId="0" borderId="31" xfId="1" applyBorder="1" applyAlignment="1">
      <alignment horizontal="center" vertical="top" wrapText="1"/>
    </xf>
    <xf numFmtId="0" fontId="7" fillId="0" borderId="33" xfId="1" applyBorder="1" applyAlignment="1">
      <alignment horizontal="center" vertical="top" wrapText="1"/>
    </xf>
    <xf numFmtId="0" fontId="7" fillId="0" borderId="1" xfId="1" applyBorder="1" applyAlignment="1">
      <alignment horizontal="center" vertical="center"/>
    </xf>
    <xf numFmtId="2" fontId="7" fillId="0" borderId="1" xfId="1" applyNumberFormat="1" applyBorder="1" applyAlignment="1">
      <alignment horizontal="center" vertical="center"/>
    </xf>
    <xf numFmtId="0" fontId="15" fillId="0" borderId="24" xfId="1" applyFont="1" applyBorder="1" applyAlignment="1">
      <alignment horizontal="left" vertical="justify" wrapText="1"/>
    </xf>
    <xf numFmtId="0" fontId="15" fillId="0" borderId="25" xfId="1" applyFont="1" applyBorder="1" applyAlignment="1">
      <alignment horizontal="left" vertical="justify" wrapText="1"/>
    </xf>
    <xf numFmtId="0" fontId="15" fillId="0" borderId="26" xfId="1" applyFont="1" applyBorder="1" applyAlignment="1">
      <alignment horizontal="left" vertical="justify" wrapText="1"/>
    </xf>
    <xf numFmtId="0" fontId="15" fillId="0" borderId="27" xfId="1" applyFont="1" applyBorder="1" applyAlignment="1">
      <alignment horizontal="left" vertical="justify" wrapText="1"/>
    </xf>
    <xf numFmtId="0" fontId="15" fillId="0" borderId="0" xfId="1" applyFont="1" applyAlignment="1">
      <alignment horizontal="left" vertical="justify" wrapText="1"/>
    </xf>
    <xf numFmtId="0" fontId="15" fillId="0" borderId="28" xfId="1" applyFont="1" applyBorder="1" applyAlignment="1">
      <alignment horizontal="left" vertical="justify" wrapText="1"/>
    </xf>
    <xf numFmtId="0" fontId="14" fillId="0" borderId="2" xfId="1" applyFont="1" applyBorder="1" applyAlignment="1">
      <alignment horizontal="left" vertical="justify" wrapText="1"/>
    </xf>
    <xf numFmtId="0" fontId="14" fillId="0" borderId="3" xfId="1" applyFont="1" applyBorder="1" applyAlignment="1">
      <alignment horizontal="left" vertical="justify" wrapText="1"/>
    </xf>
    <xf numFmtId="0" fontId="14" fillId="0" borderId="4" xfId="1" applyFont="1" applyBorder="1" applyAlignment="1">
      <alignment horizontal="left" vertical="justify" wrapText="1"/>
    </xf>
    <xf numFmtId="2" fontId="7" fillId="0" borderId="32" xfId="1" applyNumberFormat="1" applyBorder="1" applyAlignment="1">
      <alignment horizontal="center" vertical="center"/>
    </xf>
    <xf numFmtId="0" fontId="17" fillId="0" borderId="17" xfId="1" applyFont="1" applyBorder="1" applyAlignment="1">
      <alignment horizontal="left" vertical="center"/>
    </xf>
    <xf numFmtId="0" fontId="17" fillId="0" borderId="18" xfId="1" applyFont="1" applyBorder="1" applyAlignment="1">
      <alignment horizontal="left" vertical="center"/>
    </xf>
    <xf numFmtId="0" fontId="17" fillId="0" borderId="19" xfId="1" applyFont="1" applyBorder="1" applyAlignment="1">
      <alignment horizontal="left" vertical="center"/>
    </xf>
    <xf numFmtId="0" fontId="7" fillId="0" borderId="5" xfId="1" applyBorder="1" applyAlignment="1">
      <alignment horizontal="center"/>
    </xf>
    <xf numFmtId="0" fontId="7" fillId="0" borderId="1" xfId="1" applyBorder="1" applyAlignment="1">
      <alignment horizontal="center"/>
    </xf>
    <xf numFmtId="0" fontId="7" fillId="0" borderId="35" xfId="1" applyBorder="1" applyAlignment="1">
      <alignment horizontal="center"/>
    </xf>
    <xf numFmtId="0" fontId="7" fillId="0" borderId="32" xfId="1" applyBorder="1" applyAlignment="1">
      <alignment horizontal="center"/>
    </xf>
    <xf numFmtId="0" fontId="17" fillId="0" borderId="22" xfId="1" applyFont="1" applyBorder="1" applyAlignment="1">
      <alignment horizontal="center" vertical="top"/>
    </xf>
    <xf numFmtId="0" fontId="17" fillId="0" borderId="33" xfId="1" applyFont="1" applyBorder="1" applyAlignment="1">
      <alignment horizontal="center" vertical="top"/>
    </xf>
    <xf numFmtId="0" fontId="15" fillId="0" borderId="27" xfId="1" applyFont="1" applyBorder="1" applyAlignment="1">
      <alignment horizontal="left" vertical="top" wrapText="1"/>
    </xf>
    <xf numFmtId="0" fontId="15" fillId="0" borderId="0" xfId="1" applyFont="1" applyAlignment="1">
      <alignment horizontal="left" vertical="top" wrapText="1"/>
    </xf>
    <xf numFmtId="0" fontId="15" fillId="0" borderId="28" xfId="1" applyFont="1" applyBorder="1" applyAlignment="1">
      <alignment horizontal="left" vertical="top" wrapText="1"/>
    </xf>
    <xf numFmtId="0" fontId="15" fillId="0" borderId="29" xfId="1" applyFont="1" applyBorder="1" applyAlignment="1">
      <alignment horizontal="left" vertical="top" wrapText="1"/>
    </xf>
    <xf numFmtId="0" fontId="15" fillId="0" borderId="9" xfId="1" applyFont="1" applyBorder="1" applyAlignment="1">
      <alignment horizontal="left" vertical="top" wrapText="1"/>
    </xf>
    <xf numFmtId="0" fontId="15" fillId="0" borderId="30" xfId="1" applyFont="1" applyBorder="1" applyAlignment="1">
      <alignment horizontal="left" vertical="top" wrapText="1"/>
    </xf>
    <xf numFmtId="0" fontId="20" fillId="0" borderId="0" xfId="1" applyFont="1" applyAlignment="1">
      <alignment horizontal="center" vertical="center"/>
    </xf>
    <xf numFmtId="0" fontId="17" fillId="0" borderId="25" xfId="1" applyFont="1" applyBorder="1" applyAlignment="1">
      <alignment horizontal="left"/>
    </xf>
    <xf numFmtId="2" fontId="17" fillId="0" borderId="9" xfId="1" applyNumberFormat="1" applyFont="1" applyBorder="1" applyAlignment="1">
      <alignment horizontal="center"/>
    </xf>
    <xf numFmtId="0" fontId="17" fillId="0" borderId="9" xfId="1" applyFont="1" applyBorder="1" applyAlignment="1">
      <alignment horizontal="center"/>
    </xf>
    <xf numFmtId="0" fontId="7" fillId="0" borderId="25" xfId="1" applyBorder="1" applyAlignment="1">
      <alignment horizontal="center"/>
    </xf>
    <xf numFmtId="0" fontId="7" fillId="0" borderId="0" xfId="1" applyAlignment="1">
      <alignment horizontal="left"/>
    </xf>
    <xf numFmtId="166" fontId="19" fillId="0" borderId="0" xfId="1" applyNumberFormat="1" applyFont="1" applyAlignment="1">
      <alignment horizontal="center" vertical="center"/>
    </xf>
    <xf numFmtId="0" fontId="19" fillId="0" borderId="0" xfId="1" applyFont="1" applyAlignment="1">
      <alignment horizontal="center" vertical="center"/>
    </xf>
    <xf numFmtId="0" fontId="7" fillId="0" borderId="27" xfId="1" applyBorder="1" applyAlignment="1">
      <alignment horizontal="left"/>
    </xf>
    <xf numFmtId="0" fontId="5" fillId="6" borderId="6" xfId="0" applyFont="1" applyFill="1" applyBorder="1" applyAlignment="1" applyProtection="1">
      <alignment horizontal="center" vertical="center" textRotation="255"/>
      <protection hidden="1"/>
    </xf>
    <xf numFmtId="0" fontId="5" fillId="6" borderId="7" xfId="0" applyFont="1" applyFill="1" applyBorder="1" applyAlignment="1" applyProtection="1">
      <alignment horizontal="center" vertical="center" textRotation="255"/>
      <protection hidden="1"/>
    </xf>
    <xf numFmtId="0" fontId="5" fillId="6" borderId="5" xfId="0" applyFont="1" applyFill="1" applyBorder="1" applyAlignment="1" applyProtection="1">
      <alignment horizontal="center" vertical="center" textRotation="255"/>
      <protection hidden="1"/>
    </xf>
    <xf numFmtId="166" fontId="5" fillId="6" borderId="6" xfId="0" applyNumberFormat="1" applyFont="1" applyFill="1" applyBorder="1" applyAlignment="1" applyProtection="1">
      <alignment horizontal="center" vertical="center" textRotation="255"/>
      <protection hidden="1"/>
    </xf>
    <xf numFmtId="166" fontId="5" fillId="6" borderId="7" xfId="0" applyNumberFormat="1" applyFont="1" applyFill="1" applyBorder="1" applyAlignment="1" applyProtection="1">
      <alignment horizontal="center" vertical="center" textRotation="255"/>
      <protection hidden="1"/>
    </xf>
    <xf numFmtId="166" fontId="5" fillId="6" borderId="5" xfId="0" applyNumberFormat="1" applyFont="1" applyFill="1" applyBorder="1" applyAlignment="1" applyProtection="1">
      <alignment horizontal="center" vertical="center" textRotation="255"/>
      <protection hidden="1"/>
    </xf>
    <xf numFmtId="164" fontId="5" fillId="6" borderId="6" xfId="0" applyNumberFormat="1" applyFont="1" applyFill="1" applyBorder="1" applyAlignment="1" applyProtection="1">
      <alignment horizontal="center" vertical="center" textRotation="255"/>
      <protection hidden="1"/>
    </xf>
    <xf numFmtId="164" fontId="5" fillId="6" borderId="7" xfId="0" applyNumberFormat="1" applyFont="1" applyFill="1" applyBorder="1" applyAlignment="1" applyProtection="1">
      <alignment horizontal="center" vertical="center" textRotation="255"/>
      <protection hidden="1"/>
    </xf>
    <xf numFmtId="164" fontId="5" fillId="6" borderId="5" xfId="0" applyNumberFormat="1" applyFont="1" applyFill="1" applyBorder="1" applyAlignment="1" applyProtection="1">
      <alignment horizontal="center" vertical="center" textRotation="255"/>
      <protection hidden="1"/>
    </xf>
    <xf numFmtId="0" fontId="5" fillId="4" borderId="6" xfId="0" applyFont="1" applyFill="1" applyBorder="1" applyAlignment="1" applyProtection="1">
      <alignment horizontal="center" vertical="center" textRotation="255"/>
      <protection hidden="1"/>
    </xf>
    <xf numFmtId="0" fontId="5" fillId="4" borderId="7" xfId="0" applyFont="1" applyFill="1" applyBorder="1" applyAlignment="1" applyProtection="1">
      <alignment horizontal="center" vertical="center" textRotation="255"/>
      <protection hidden="1"/>
    </xf>
    <xf numFmtId="0" fontId="5" fillId="4" borderId="5" xfId="0" applyFont="1" applyFill="1" applyBorder="1" applyAlignment="1" applyProtection="1">
      <alignment horizontal="center" vertical="center" textRotation="255"/>
      <protection hidden="1"/>
    </xf>
    <xf numFmtId="0" fontId="5" fillId="0" borderId="7" xfId="0" applyFont="1" applyBorder="1" applyAlignment="1" applyProtection="1">
      <alignment horizontal="center" vertical="center" textRotation="255"/>
      <protection hidden="1"/>
    </xf>
    <xf numFmtId="0" fontId="5" fillId="0" borderId="5" xfId="0" applyFont="1" applyBorder="1" applyAlignment="1" applyProtection="1">
      <alignment horizontal="center" vertical="center" textRotation="255"/>
      <protection hidden="1"/>
    </xf>
    <xf numFmtId="166" fontId="5" fillId="0" borderId="7" xfId="0" applyNumberFormat="1" applyFont="1" applyBorder="1" applyAlignment="1" applyProtection="1">
      <alignment horizontal="center" vertical="center" textRotation="255"/>
      <protection hidden="1"/>
    </xf>
    <xf numFmtId="166" fontId="5" fillId="0" borderId="5" xfId="0" applyNumberFormat="1" applyFont="1" applyBorder="1" applyAlignment="1" applyProtection="1">
      <alignment horizontal="center" vertical="center" textRotation="255"/>
      <protection hidden="1"/>
    </xf>
    <xf numFmtId="165" fontId="5" fillId="6" borderId="6" xfId="0" applyNumberFormat="1" applyFont="1" applyFill="1" applyBorder="1" applyAlignment="1" applyProtection="1">
      <alignment horizontal="center" vertical="center" textRotation="255"/>
      <protection hidden="1"/>
    </xf>
    <xf numFmtId="165" fontId="5" fillId="6" borderId="7" xfId="0" applyNumberFormat="1" applyFont="1" applyFill="1" applyBorder="1" applyAlignment="1" applyProtection="1">
      <alignment horizontal="center" vertical="center" textRotation="255"/>
      <protection hidden="1"/>
    </xf>
    <xf numFmtId="165" fontId="5" fillId="6" borderId="5" xfId="0" applyNumberFormat="1" applyFont="1" applyFill="1" applyBorder="1" applyAlignment="1" applyProtection="1">
      <alignment horizontal="center" vertical="center" textRotation="255"/>
      <protection hidden="1"/>
    </xf>
    <xf numFmtId="2" fontId="5" fillId="6" borderId="6" xfId="0" applyNumberFormat="1" applyFont="1" applyFill="1" applyBorder="1" applyAlignment="1" applyProtection="1">
      <alignment horizontal="center" vertical="center" textRotation="255"/>
      <protection hidden="1"/>
    </xf>
    <xf numFmtId="2" fontId="5" fillId="6" borderId="7" xfId="0" applyNumberFormat="1" applyFont="1" applyFill="1" applyBorder="1" applyAlignment="1" applyProtection="1">
      <alignment horizontal="center" vertical="center" textRotation="255"/>
      <protection hidden="1"/>
    </xf>
    <xf numFmtId="2" fontId="5" fillId="6" borderId="5" xfId="0" applyNumberFormat="1" applyFont="1" applyFill="1" applyBorder="1" applyAlignment="1" applyProtection="1">
      <alignment horizontal="center" vertical="center" textRotation="255"/>
      <protection hidden="1"/>
    </xf>
    <xf numFmtId="0" fontId="30" fillId="0" borderId="0" xfId="1" applyFont="1" applyAlignment="1">
      <alignment wrapText="1"/>
    </xf>
    <xf numFmtId="0" fontId="23" fillId="0" borderId="0" xfId="1" applyFont="1" applyAlignment="1">
      <alignment wrapText="1"/>
    </xf>
    <xf numFmtId="0" fontId="32" fillId="0" borderId="0" xfId="1" applyFont="1" applyAlignment="1">
      <alignment horizontal="center" vertical="center" wrapText="1"/>
    </xf>
    <xf numFmtId="0" fontId="33" fillId="0" borderId="27" xfId="1" applyFont="1" applyBorder="1" applyAlignment="1">
      <alignment horizontal="center"/>
    </xf>
    <xf numFmtId="0" fontId="33" fillId="0" borderId="0" xfId="1" applyFont="1" applyAlignment="1">
      <alignment horizontal="center"/>
    </xf>
    <xf numFmtId="0" fontId="33" fillId="0" borderId="28" xfId="1" applyFont="1" applyBorder="1" applyAlignment="1">
      <alignment horizontal="center"/>
    </xf>
    <xf numFmtId="0" fontId="33" fillId="0" borderId="25" xfId="3" applyFont="1" applyBorder="1" applyAlignment="1">
      <alignment horizontal="left" vertical="top"/>
    </xf>
    <xf numFmtId="0" fontId="40" fillId="7" borderId="7" xfId="10" applyFont="1" applyFill="1" applyBorder="1" applyAlignment="1">
      <alignment horizontal="center"/>
    </xf>
    <xf numFmtId="0" fontId="24" fillId="15" borderId="27" xfId="10" applyFont="1" applyFill="1" applyBorder="1" applyAlignment="1">
      <alignment horizontal="center"/>
    </xf>
    <xf numFmtId="0" fontId="54" fillId="0" borderId="0" xfId="10" applyFont="1" applyAlignment="1">
      <alignment horizontal="left" vertical="center"/>
    </xf>
    <xf numFmtId="0" fontId="34" fillId="0" borderId="0" xfId="10" applyFont="1" applyAlignment="1">
      <alignment horizontal="left"/>
    </xf>
    <xf numFmtId="0" fontId="34" fillId="7" borderId="7" xfId="10" applyFont="1" applyFill="1" applyBorder="1" applyAlignment="1">
      <alignment horizontal="left"/>
    </xf>
    <xf numFmtId="0" fontId="53" fillId="0" borderId="0" xfId="10" applyFont="1" applyAlignment="1">
      <alignment horizontal="center" vertical="center"/>
    </xf>
    <xf numFmtId="0" fontId="32" fillId="0" borderId="0" xfId="10" applyFont="1" applyAlignment="1">
      <alignment horizontal="center" vertical="center"/>
    </xf>
    <xf numFmtId="0" fontId="33" fillId="0" borderId="27" xfId="10" applyFont="1" applyBorder="1" applyAlignment="1">
      <alignment horizontal="center" vertical="justify" wrapText="1"/>
    </xf>
    <xf numFmtId="0" fontId="7" fillId="0" borderId="28" xfId="10" applyFont="1" applyBorder="1" applyAlignment="1">
      <alignment horizontal="center" vertical="justify" wrapText="1"/>
    </xf>
    <xf numFmtId="169" fontId="33" fillId="0" borderId="27" xfId="10" applyNumberFormat="1" applyFont="1" applyBorder="1" applyAlignment="1">
      <alignment horizontal="center" vertical="justify" wrapText="1"/>
    </xf>
    <xf numFmtId="0" fontId="33" fillId="0" borderId="2" xfId="10" applyFont="1" applyBorder="1" applyAlignment="1">
      <alignment horizontal="center" vertical="justify" wrapText="1"/>
    </xf>
    <xf numFmtId="0" fontId="7" fillId="0" borderId="4" xfId="10" applyFont="1" applyBorder="1" applyAlignment="1">
      <alignment horizontal="center" vertical="justify" wrapText="1"/>
    </xf>
    <xf numFmtId="0" fontId="34" fillId="7" borderId="7" xfId="10" applyFont="1" applyFill="1" applyBorder="1" applyAlignment="1">
      <alignment horizontal="justify" vertical="top" wrapText="1"/>
    </xf>
    <xf numFmtId="0" fontId="82" fillId="0" borderId="0" xfId="0" applyFont="1"/>
    <xf numFmtId="0" fontId="82" fillId="0" borderId="50" xfId="0" applyFont="1" applyBorder="1"/>
    <xf numFmtId="0" fontId="69" fillId="17" borderId="50" xfId="0" applyFont="1" applyFill="1" applyBorder="1" applyAlignment="1">
      <alignment horizontal="center" vertical="center"/>
    </xf>
    <xf numFmtId="0" fontId="69" fillId="18" borderId="50" xfId="0" applyFont="1" applyFill="1" applyBorder="1" applyAlignment="1">
      <alignment horizontal="center" vertical="center"/>
    </xf>
    <xf numFmtId="0" fontId="70" fillId="3" borderId="50" xfId="0" applyFont="1" applyFill="1" applyBorder="1" applyAlignment="1">
      <alignment horizontal="centerContinuous" vertical="center"/>
    </xf>
    <xf numFmtId="0" fontId="71" fillId="3" borderId="50" xfId="0" applyFont="1" applyFill="1" applyBorder="1" applyAlignment="1">
      <alignment horizontal="centerContinuous" vertical="center"/>
    </xf>
    <xf numFmtId="0" fontId="70" fillId="20" borderId="50" xfId="0" applyFont="1" applyFill="1" applyBorder="1" applyAlignment="1">
      <alignment horizontal="centerContinuous" vertical="center"/>
    </xf>
    <xf numFmtId="0" fontId="72" fillId="17" borderId="50" xfId="0" applyFont="1" applyFill="1" applyBorder="1" applyAlignment="1">
      <alignment horizontal="center"/>
    </xf>
    <xf numFmtId="0" fontId="72" fillId="18" borderId="50" xfId="0" applyFont="1" applyFill="1" applyBorder="1" applyAlignment="1">
      <alignment horizontal="center"/>
    </xf>
    <xf numFmtId="0" fontId="73" fillId="3" borderId="50" xfId="0" applyFont="1" applyFill="1" applyBorder="1" applyAlignment="1">
      <alignment horizontal="center"/>
    </xf>
    <xf numFmtId="9" fontId="73" fillId="20" borderId="50" xfId="0" applyNumberFormat="1" applyFont="1" applyFill="1" applyBorder="1" applyAlignment="1">
      <alignment horizontal="center"/>
    </xf>
    <xf numFmtId="0" fontId="72" fillId="19" borderId="50" xfId="0" applyFont="1" applyFill="1" applyBorder="1" applyAlignment="1">
      <alignment horizontal="center"/>
    </xf>
    <xf numFmtId="0" fontId="76" fillId="20" borderId="50" xfId="0" applyFont="1" applyFill="1" applyBorder="1"/>
    <xf numFmtId="0" fontId="74" fillId="2" borderId="50" xfId="0" applyFont="1" applyFill="1" applyBorder="1" applyAlignment="1">
      <alignment horizontal="center"/>
    </xf>
    <xf numFmtId="0" fontId="83" fillId="17" borderId="50" xfId="0" applyFont="1" applyFill="1" applyBorder="1" applyAlignment="1">
      <alignment horizontal="center" vertical="center"/>
    </xf>
    <xf numFmtId="0" fontId="83" fillId="18" borderId="50" xfId="0" applyFont="1" applyFill="1" applyBorder="1" applyAlignment="1">
      <alignment horizontal="center" vertical="center"/>
    </xf>
    <xf numFmtId="0" fontId="73" fillId="3" borderId="50" xfId="0" applyFont="1" applyFill="1" applyBorder="1" applyAlignment="1">
      <alignment horizontal="centerContinuous" vertical="center"/>
    </xf>
    <xf numFmtId="0" fontId="76" fillId="3" borderId="50" xfId="0" applyFont="1" applyFill="1" applyBorder="1" applyAlignment="1">
      <alignment horizontal="centerContinuous" vertical="center"/>
    </xf>
  </cellXfs>
  <cellStyles count="27">
    <cellStyle name="Comma 10 2" xfId="17" xr:uid="{B0C5686D-4E2A-41A6-9556-C799BADF1DF7}"/>
    <cellStyle name="Comma 112" xfId="18" xr:uid="{5A56BB06-0C06-4D39-A4F2-C7C88B8F536D}"/>
    <cellStyle name="Hyperlink 2" xfId="2" xr:uid="{BEB424E1-B78B-43CE-8606-ACAA9CEAB5B5}"/>
    <cellStyle name="Normal" xfId="0" builtinId="0"/>
    <cellStyle name="Normal 101" xfId="14" xr:uid="{1B1E2FD2-A01F-43CD-9336-EAC33F43CEF9}"/>
    <cellStyle name="Normal 11 2" xfId="10" xr:uid="{68B56A6F-CB08-4CE6-8CDF-9A21E17F39B8}"/>
    <cellStyle name="Normal 122" xfId="6" xr:uid="{D48FAA01-11E4-4BE2-B605-64574286D86A}"/>
    <cellStyle name="Normal 2" xfId="1" xr:uid="{C57CAB94-8F16-47E4-8341-AD452E4DE7BD}"/>
    <cellStyle name="Normal 2 2" xfId="7" xr:uid="{2326E558-F812-4144-8F0D-6253ED77E054}"/>
    <cellStyle name="Normal 2 2 23 2" xfId="26" xr:uid="{69CB1EDB-3E38-45F5-9404-C5043847475A}"/>
    <cellStyle name="Normal 25" xfId="12" xr:uid="{9CAF7C86-CF72-4A3E-AF7D-B2DB218BB038}"/>
    <cellStyle name="Normal 26" xfId="13" xr:uid="{4C984900-C7C5-45D5-A7E6-1B997A6064BB}"/>
    <cellStyle name="Normal 30 2" xfId="25" xr:uid="{ED195F49-C9E3-4DEE-BFAF-5D95AF2BA69E}"/>
    <cellStyle name="Normal 4" xfId="8" xr:uid="{F8B6A208-2829-44F7-BD9A-C6CAF4102B19}"/>
    <cellStyle name="Normal 5" xfId="9" xr:uid="{43462DF9-D695-4F92-8329-9E5C030551E6}"/>
    <cellStyle name="Normal 6 2" xfId="5" xr:uid="{72BC5D2D-E70F-4D3A-A6D7-F9740E3BB58A}"/>
    <cellStyle name="Normal 73" xfId="20" xr:uid="{2ECD0B92-5DE3-45E7-A009-934F9CE31527}"/>
    <cellStyle name="Normal 85" xfId="16" xr:uid="{5937443F-8B87-4FB4-83BF-FDB9B958DB55}"/>
    <cellStyle name="Normal 87" xfId="19" xr:uid="{1D6E553A-E858-40CB-B861-67A884DAB659}"/>
    <cellStyle name="Normal 88" xfId="23" xr:uid="{2D411A92-E117-405E-BD48-551300F73CBC}"/>
    <cellStyle name="Normal 89" xfId="21" xr:uid="{05540D74-60B6-4F06-9AD9-5618A08CD4CF}"/>
    <cellStyle name="Normal 9" xfId="11" xr:uid="{6291A6A8-4E4E-44DD-9759-ACEA0ED914F9}"/>
    <cellStyle name="Normal 90" xfId="24" xr:uid="{FCF186FC-D19E-4D8D-846C-44AD02264904}"/>
    <cellStyle name="Normal 91" xfId="22" xr:uid="{BB85FC89-BA42-4032-B5AE-33FE279B3DD6}"/>
    <cellStyle name="Normal 93" xfId="3" xr:uid="{D1F71964-3BA6-45F7-A00C-2E4D61038998}"/>
    <cellStyle name="Normal_E&amp;Y - Hyd - Modular boq - 060809" xfId="4" xr:uid="{3F2CF521-1F77-4F90-B608-B890B37FD752}"/>
    <cellStyle name="Normal_Infosys Hyderabad SDB-2 AHU and lowside BOQ 021110" xfId="15" xr:uid="{C57A528A-C817-4AD8-8AE1-0AE59B800683}"/>
  </cellStyles>
  <dxfs count="28">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right/>
        <top style="thin">
          <color indexed="64"/>
        </top>
        <bottom/>
        <vertical/>
        <horizontal/>
      </border>
    </dxf>
    <dxf>
      <border outline="0">
        <left style="thin">
          <color indexed="64"/>
        </left>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border diagonalUp="0" diagonalDown="0">
        <left/>
        <right/>
        <top style="thin">
          <color indexed="64"/>
        </top>
        <bottom/>
        <vertical/>
        <horizontal/>
      </border>
    </dxf>
    <dxf>
      <border outline="0">
        <left style="thin">
          <color indexed="64"/>
        </left>
      </border>
    </dxf>
    <dxf>
      <font>
        <b val="0"/>
        <i val="0"/>
        <strike val="0"/>
        <condense val="0"/>
        <extend val="0"/>
        <outline val="0"/>
        <shadow val="0"/>
        <u val="none"/>
        <vertAlign val="baseline"/>
        <sz val="18"/>
        <color theme="1"/>
        <name val="Aptos"/>
        <family val="2"/>
        <scheme val="none"/>
      </font>
      <fill>
        <patternFill patternType="solid">
          <fgColor theme="4" tint="0.59999389629810485"/>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Arrant%20Dynamics\SCA%20-%20HVAC%20Matrix\Tech%20Specs%20BOD%20-%2015.05.2025.xlsm" TargetMode="External"/><Relationship Id="rId1" Type="http://schemas.openxmlformats.org/officeDocument/2006/relationships/externalLinkPath" Target="file:///D:\Arrant%20Dynamics\SCA%20-%20HVAC%20Matrix\Tech%20Specs%20BOD%20-%2015.05.202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Arrant%20Dynamics\SCA%20-%20HVAC%20Matrix\BOD%20PB-C%20Pilot%20-%2011.04.2025.xlsm" TargetMode="External"/><Relationship Id="rId1" Type="http://schemas.openxmlformats.org/officeDocument/2006/relationships/externalLinkPath" Target="file:///D:\Arrant%20Dynamics\SCA%20-%20HVAC%20Matrix\BOD%20PB-C%20Pilot%20-%2011.04.2025.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VIJAY\Desktop\Tech%20Specs%20BOD%20-%2011.07.2025.xlsm" TargetMode="External"/><Relationship Id="rId1" Type="http://schemas.openxmlformats.org/officeDocument/2006/relationships/externalLinkPath" Target="Tech%20Specs%20BOD%20-%2011.07.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ffer"/>
      <sheetName val="Macro1"/>
      <sheetName val="Chart1"/>
      <sheetName val="BOD"/>
      <sheetName val="Class Air Changes"/>
      <sheetName val="New BOD with Formulas"/>
      <sheetName val="hot_water_piping_design DT-1-15"/>
      <sheetName val="Hot Water Pipe Design - 19.05.2"/>
      <sheetName val="Delta T"/>
      <sheetName val="Delta W"/>
      <sheetName val="Grains per Pound"/>
      <sheetName val="chilled water pipe sizes"/>
      <sheetName val="hot_water_pipe_sizing -Final"/>
      <sheetName val="steam pipe sizing data"/>
      <sheetName val="Charts"/>
      <sheetName val="Form1"/>
      <sheetName val="Sheet2Form2"/>
      <sheetName val="Form2"/>
      <sheetName val="Form3"/>
      <sheetName val="Motors"/>
      <sheetName val="Blowers"/>
      <sheetName val="Blower Model with CFM"/>
      <sheetName val="Motor Hp Calculations"/>
      <sheetName val="BOQ-GMA Offer"/>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ffer"/>
      <sheetName val="Macro1"/>
      <sheetName val="Chart1"/>
      <sheetName val="BOD"/>
      <sheetName val="Class Air Changes"/>
      <sheetName val="New BOD with Formulas"/>
      <sheetName val="Delta T"/>
      <sheetName val="Delta W"/>
      <sheetName val="Grains per Pound"/>
      <sheetName val="chilled water pipe sizes"/>
      <sheetName val="hot_water_pipe_sizing -Final"/>
      <sheetName val="steam pipe sizing data"/>
      <sheetName val="Charts"/>
      <sheetName val="Form1"/>
      <sheetName val="Sheet2Form2"/>
      <sheetName val="Form2"/>
      <sheetName val="Form3"/>
      <sheetName val="Motors"/>
      <sheetName val="Blowers"/>
      <sheetName val="Blower Model with CFM"/>
      <sheetName val="Motor Hp Calculations"/>
      <sheetName val="BOQ-GMA Offer"/>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ffer"/>
      <sheetName val="Macro1"/>
      <sheetName val="Delta W (2)"/>
      <sheetName val="Chart1"/>
      <sheetName val="Sheet3"/>
      <sheetName val="BOD"/>
      <sheetName val="Class Air Changes"/>
      <sheetName val="New BOD with Formulas"/>
      <sheetName val="hot_water_piping_design DT-1-15"/>
      <sheetName val="Hot Water Pipe Design - 19.05.2"/>
      <sheetName val="Delta T"/>
      <sheetName val="Delta W"/>
      <sheetName val="Grains per Pound"/>
      <sheetName val="chilled water pipe sizes"/>
      <sheetName val="hot_water_pipe_sizing -Final"/>
      <sheetName val="steam pipe sizing data"/>
      <sheetName val="Charts"/>
      <sheetName val="Form1"/>
      <sheetName val="Sheet2Form2"/>
      <sheetName val="Form2"/>
      <sheetName val="Form3"/>
      <sheetName val="Motors"/>
      <sheetName val="Blowers"/>
      <sheetName val="Blower Model with CFM"/>
      <sheetName val="Motor Hp Calculations"/>
      <sheetName val="BOQ-GMA Offer"/>
      <sheetName val="BOQ-HVAC -VRF"/>
      <sheetName val="BOQ-HVAC WORKS -TECHNICAL"/>
      <sheetName val="HVAC LOW SIDE WORKS"/>
      <sheetName val="TR CALCULATIONS"/>
      <sheetName val="supplier-contractorRegistration"/>
      <sheetName val="Sheet2"/>
      <sheetName val="Sheet1"/>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7370E-A9DB-4BFA-9494-3DC7A6881EA9}" name="Table1" displayName="Table1" ref="B1:M12" totalsRowShown="0" dataDxfId="27" tableBorderDxfId="26">
  <autoFilter ref="B1:M12" xr:uid="{C127370E-A9DB-4BFA-9494-3DC7A6881EA9}"/>
  <tableColumns count="12">
    <tableColumn id="1" xr3:uid="{F30B2A95-41D0-440A-A27E-B7F39B580496}" name="Standards" dataDxfId="25"/>
    <tableColumn id="2" xr3:uid="{9CE83ED1-DAB7-4CAF-94DC-4519D6C1036F}" name="ISO_14644" dataDxfId="24"/>
    <tableColumn id="3" xr3:uid="{30CA057C-A692-4B66-A513-5FD87FC9BA2D}" name="FDA" dataDxfId="23"/>
    <tableColumn id="4" xr3:uid="{0C0AC12B-2CF9-46C7-81E4-864CE5DA26E6}" name="GMP" dataDxfId="22"/>
    <tableColumn id="5" xr3:uid="{132581EF-37E7-4A32-AEF0-9E4210AFD25D}" name="JIS_B_9920" dataDxfId="21"/>
    <tableColumn id="6" xr3:uid="{9B55F921-735C-44EF-A9FB-0FB68BD39409}" name="EUGMP" dataDxfId="20"/>
    <tableColumn id="7" xr3:uid="{3E0BB636-A28E-4ED8-996C-1944E3C15767}" name="WHO" dataDxfId="19"/>
    <tableColumn id="8" xr3:uid="{AD7421C8-E60E-46C2-BB00-FE4C54F69BC8}" name="TGA" dataDxfId="18"/>
    <tableColumn id="9" xr3:uid="{3475AD43-B4EC-486F-9D66-F600A09C8EF2}" name="BS_5295" dataDxfId="17"/>
    <tableColumn id="10" xr3:uid="{1820879B-E5A2-4D1C-95A7-1737E6F53940}" name="GERMANY_VD" dataDxfId="16"/>
    <tableColumn id="11" xr3:uid="{2EF3F185-58F2-43FC-9AB4-D08F59054C82}" name="AFNORX44101" dataDxfId="15"/>
    <tableColumn id="12" xr3:uid="{FC93001F-03AC-4A86-8BAA-B52346D97E1D}" name="NC -Non Classified"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C7007D-B6A8-4EC9-B9A1-88B1B6FCE5C8}" name="Table13" displayName="Table13" ref="B37:M48" totalsRowShown="0" dataDxfId="13" tableBorderDxfId="12">
  <autoFilter ref="B37:M48" xr:uid="{A9C7007D-B6A8-4EC9-B9A1-88B1B6FCE5C8}"/>
  <tableColumns count="12">
    <tableColumn id="1" xr3:uid="{AB0002EC-7306-4809-8386-898695000154}" name="Standards" dataDxfId="11"/>
    <tableColumn id="2" xr3:uid="{1BFD9040-4842-4C8C-A5DD-EBA62768FA10}" name="ISO_14644" dataDxfId="10"/>
    <tableColumn id="3" xr3:uid="{F2707785-FA3F-48CD-8173-4B4DB9C536AF}" name="FDA" dataDxfId="9"/>
    <tableColumn id="4" xr3:uid="{8F084CDF-B353-448D-B230-FDF21119FC1A}" name="GMP" dataDxfId="8"/>
    <tableColumn id="5" xr3:uid="{38B9BC78-A8FE-4A97-8E36-1A4B281A0DC0}" name="JIS_B_9920" dataDxfId="7"/>
    <tableColumn id="6" xr3:uid="{0D9459C2-20A6-4DF5-B206-AF0F0B850F6F}" name="EUGMP" dataDxfId="6"/>
    <tableColumn id="7" xr3:uid="{6BC84392-4AF7-4BBB-9CC7-33F9D68773FD}" name="WHO" dataDxfId="5"/>
    <tableColumn id="8" xr3:uid="{E4E041B7-B32C-4A81-BA97-ABFCE4EF6BB0}" name="TGA" dataDxfId="4"/>
    <tableColumn id="9" xr3:uid="{F1C2DAB5-06B3-4E8F-AA6F-EBFE61BED85F}" name="BS_5295" dataDxfId="3"/>
    <tableColumn id="10" xr3:uid="{308BB71B-93BB-4833-A189-57F9583814B5}" name="GERMANY_VD" dataDxfId="2"/>
    <tableColumn id="11" xr3:uid="{4E45F70A-6A3B-4062-8561-0D660B046EEF}" name="AFNORX44101" dataDxfId="1"/>
    <tableColumn id="12" xr3:uid="{98CC0385-23AA-4FD4-95C0-6F8A165BDA1C}" name="NC -Non Classifi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GST@18%25%20extra"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GST@18%25%20extra"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D950-4A9E-4C9C-B27A-F41CC3B70BF3}">
  <dimension ref="C4:M81"/>
  <sheetViews>
    <sheetView topLeftCell="A54" zoomScale="71" zoomScaleNormal="40" workbookViewId="0">
      <selection activeCell="C67" sqref="C67:F75"/>
    </sheetView>
  </sheetViews>
  <sheetFormatPr defaultRowHeight="14.45"/>
  <cols>
    <col min="3" max="3" width="34" bestFit="1" customWidth="1"/>
    <col min="4" max="4" width="69.85546875" bestFit="1" customWidth="1"/>
    <col min="5" max="5" width="17" customWidth="1"/>
    <col min="6" max="6" width="16.42578125" customWidth="1"/>
    <col min="7" max="7" width="22.140625" customWidth="1"/>
    <col min="8" max="8" width="17.5703125" customWidth="1"/>
    <col min="11" max="11" width="47.85546875" customWidth="1"/>
    <col min="12" max="12" width="18.42578125" customWidth="1"/>
    <col min="13" max="13" width="49.140625" customWidth="1"/>
  </cols>
  <sheetData>
    <row r="4" spans="3:13" ht="15"/>
    <row r="5" spans="3:13" ht="28.5">
      <c r="C5" s="1009" t="s">
        <v>0</v>
      </c>
      <c r="D5" s="1010" t="s">
        <v>1</v>
      </c>
      <c r="E5" s="1011" t="s">
        <v>2</v>
      </c>
      <c r="F5" s="1012"/>
      <c r="G5" s="1013" t="s">
        <v>3</v>
      </c>
      <c r="H5" s="1013"/>
      <c r="K5" s="860" t="s">
        <v>4</v>
      </c>
      <c r="L5" s="861" t="s">
        <v>5</v>
      </c>
      <c r="M5" s="862" t="s">
        <v>6</v>
      </c>
    </row>
    <row r="6" spans="3:13" ht="28.5">
      <c r="C6" s="1014" t="s">
        <v>7</v>
      </c>
      <c r="D6" s="1015" t="s">
        <v>8</v>
      </c>
      <c r="E6" s="1016">
        <v>5</v>
      </c>
      <c r="F6" s="1016">
        <v>15</v>
      </c>
      <c r="G6" s="1017">
        <v>0.05</v>
      </c>
      <c r="H6" s="1017">
        <v>0.15</v>
      </c>
      <c r="K6" s="863" t="s">
        <v>9</v>
      </c>
      <c r="L6" s="864" t="s">
        <v>10</v>
      </c>
      <c r="M6" s="865" t="s">
        <v>11</v>
      </c>
    </row>
    <row r="7" spans="3:13" ht="28.5">
      <c r="C7" s="1014" t="s">
        <v>7</v>
      </c>
      <c r="D7" s="1015" t="s">
        <v>12</v>
      </c>
      <c r="E7" s="1016">
        <v>20</v>
      </c>
      <c r="F7" s="1016">
        <v>60</v>
      </c>
      <c r="G7" s="1017">
        <v>0.05</v>
      </c>
      <c r="H7" s="1017">
        <v>0.15</v>
      </c>
      <c r="K7" s="863" t="s">
        <v>13</v>
      </c>
      <c r="L7" s="864" t="s">
        <v>10</v>
      </c>
      <c r="M7" s="865"/>
    </row>
    <row r="8" spans="3:13" ht="28.5">
      <c r="C8" s="1014" t="s">
        <v>7</v>
      </c>
      <c r="D8" s="1018" t="s">
        <v>14</v>
      </c>
      <c r="E8" s="1016">
        <v>60</v>
      </c>
      <c r="F8" s="1016">
        <v>150</v>
      </c>
      <c r="G8" s="1017">
        <v>0.15</v>
      </c>
      <c r="H8" s="1017">
        <v>0.25</v>
      </c>
      <c r="K8" s="863" t="s">
        <v>15</v>
      </c>
      <c r="L8" s="864" t="s">
        <v>16</v>
      </c>
      <c r="M8" s="865"/>
    </row>
    <row r="9" spans="3:13" ht="28.5">
      <c r="C9" s="1014" t="s">
        <v>7</v>
      </c>
      <c r="D9" s="1015" t="s">
        <v>17</v>
      </c>
      <c r="E9" s="1016">
        <v>150</v>
      </c>
      <c r="F9" s="1016">
        <v>240</v>
      </c>
      <c r="G9" s="1017">
        <v>0.25</v>
      </c>
      <c r="H9" s="1017">
        <v>0.4</v>
      </c>
      <c r="K9" s="863" t="s">
        <v>18</v>
      </c>
      <c r="L9" s="864" t="s">
        <v>19</v>
      </c>
      <c r="M9" s="865" t="s">
        <v>20</v>
      </c>
    </row>
    <row r="10" spans="3:13" ht="28.5">
      <c r="C10" s="1014" t="s">
        <v>7</v>
      </c>
      <c r="D10" s="1018" t="s">
        <v>21</v>
      </c>
      <c r="E10" s="1016">
        <v>240</v>
      </c>
      <c r="F10" s="1016">
        <v>500</v>
      </c>
      <c r="G10" s="1017">
        <v>0.35</v>
      </c>
      <c r="H10" s="1017">
        <v>0.7</v>
      </c>
      <c r="K10" s="863" t="s">
        <v>22</v>
      </c>
      <c r="L10" s="864" t="s">
        <v>23</v>
      </c>
      <c r="M10" s="865"/>
    </row>
    <row r="11" spans="3:13" ht="28.5">
      <c r="C11" s="1014" t="s">
        <v>7</v>
      </c>
      <c r="D11" s="1015" t="s">
        <v>24</v>
      </c>
      <c r="E11" s="1016">
        <v>300</v>
      </c>
      <c r="F11" s="1016">
        <v>600</v>
      </c>
      <c r="G11" s="1017">
        <v>0.5</v>
      </c>
      <c r="H11" s="1017">
        <v>0.9</v>
      </c>
      <c r="K11" s="863" t="s">
        <v>25</v>
      </c>
      <c r="L11" s="864" t="s">
        <v>26</v>
      </c>
      <c r="M11" s="865"/>
    </row>
    <row r="12" spans="3:13" ht="28.5">
      <c r="C12" s="1014" t="s">
        <v>7</v>
      </c>
      <c r="D12" s="1018" t="s">
        <v>27</v>
      </c>
      <c r="E12" s="1016">
        <v>400</v>
      </c>
      <c r="F12" s="1016">
        <v>750</v>
      </c>
      <c r="G12" s="1017">
        <v>0.6</v>
      </c>
      <c r="H12" s="1017">
        <v>1</v>
      </c>
      <c r="K12" s="863" t="s">
        <v>28</v>
      </c>
      <c r="L12" s="864" t="s">
        <v>29</v>
      </c>
      <c r="M12" s="865"/>
    </row>
    <row r="13" spans="3:13" ht="28.5">
      <c r="C13" s="1014" t="s">
        <v>7</v>
      </c>
      <c r="D13" s="1018" t="s">
        <v>30</v>
      </c>
      <c r="E13" s="1016">
        <v>500</v>
      </c>
      <c r="F13" s="1016">
        <v>750</v>
      </c>
      <c r="G13" s="1017">
        <v>0.8</v>
      </c>
      <c r="H13" s="1017">
        <v>1</v>
      </c>
      <c r="K13" s="863" t="s">
        <v>31</v>
      </c>
      <c r="L13" s="864" t="s">
        <v>32</v>
      </c>
      <c r="M13" s="865" t="s">
        <v>33</v>
      </c>
    </row>
    <row r="14" spans="3:13" ht="28.5">
      <c r="C14" s="1014" t="s">
        <v>7</v>
      </c>
      <c r="D14" s="1015" t="s">
        <v>34</v>
      </c>
      <c r="E14" s="1016">
        <v>500</v>
      </c>
      <c r="F14" s="1016">
        <v>750</v>
      </c>
      <c r="G14" s="1017">
        <v>0.8</v>
      </c>
      <c r="H14" s="1017">
        <v>1</v>
      </c>
      <c r="K14" s="863" t="s">
        <v>35</v>
      </c>
      <c r="L14" s="864" t="s">
        <v>19</v>
      </c>
      <c r="M14" s="865"/>
    </row>
    <row r="15" spans="3:13" ht="28.5">
      <c r="C15" s="1014" t="s">
        <v>36</v>
      </c>
      <c r="D15" s="1018" t="s">
        <v>37</v>
      </c>
      <c r="E15" s="1016">
        <v>12</v>
      </c>
      <c r="F15" s="1016">
        <v>25</v>
      </c>
      <c r="G15" s="1019"/>
      <c r="H15" s="1019"/>
      <c r="K15" s="863" t="s">
        <v>38</v>
      </c>
      <c r="L15" s="864" t="s">
        <v>39</v>
      </c>
      <c r="M15" s="865" t="s">
        <v>40</v>
      </c>
    </row>
    <row r="16" spans="3:13" ht="28.5">
      <c r="C16" s="1014" t="s">
        <v>36</v>
      </c>
      <c r="D16" s="1015" t="s">
        <v>41</v>
      </c>
      <c r="E16" s="1016">
        <v>30</v>
      </c>
      <c r="F16" s="1016">
        <v>60</v>
      </c>
      <c r="G16" s="1019"/>
      <c r="H16" s="1019"/>
      <c r="K16" s="863" t="s">
        <v>42</v>
      </c>
      <c r="L16" s="864" t="s">
        <v>19</v>
      </c>
      <c r="M16" s="865" t="s">
        <v>43</v>
      </c>
    </row>
    <row r="17" spans="3:13" ht="28.5">
      <c r="C17" s="1014" t="s">
        <v>36</v>
      </c>
      <c r="D17" s="1018" t="s">
        <v>44</v>
      </c>
      <c r="E17" s="1016">
        <v>80</v>
      </c>
      <c r="F17" s="1016">
        <v>130</v>
      </c>
      <c r="G17" s="1019"/>
      <c r="H17" s="1019"/>
      <c r="K17" s="863" t="s">
        <v>45</v>
      </c>
      <c r="L17" s="864" t="s">
        <v>39</v>
      </c>
      <c r="M17" s="865" t="s">
        <v>46</v>
      </c>
    </row>
    <row r="18" spans="3:13" ht="28.5">
      <c r="C18" s="1014" t="s">
        <v>36</v>
      </c>
      <c r="D18" s="1015" t="s">
        <v>47</v>
      </c>
      <c r="E18" s="1016">
        <v>150</v>
      </c>
      <c r="F18" s="1016">
        <v>300</v>
      </c>
      <c r="G18" s="1019"/>
      <c r="H18" s="1019"/>
      <c r="K18" s="863" t="s">
        <v>48</v>
      </c>
      <c r="L18" s="864" t="s">
        <v>49</v>
      </c>
      <c r="M18" s="865" t="s">
        <v>50</v>
      </c>
    </row>
    <row r="19" spans="3:13" ht="28.5">
      <c r="C19" s="1014" t="s">
        <v>36</v>
      </c>
      <c r="D19" s="1018" t="s">
        <v>51</v>
      </c>
      <c r="E19" s="1016">
        <v>180</v>
      </c>
      <c r="F19" s="1016">
        <v>400</v>
      </c>
      <c r="G19" s="1019"/>
      <c r="H19" s="1019"/>
      <c r="K19" s="863" t="s">
        <v>52</v>
      </c>
      <c r="L19" s="864" t="s">
        <v>19</v>
      </c>
      <c r="M19" s="865" t="s">
        <v>53</v>
      </c>
    </row>
    <row r="20" spans="3:13" ht="28.5">
      <c r="C20" s="1014" t="s">
        <v>36</v>
      </c>
      <c r="D20" s="1015" t="s">
        <v>54</v>
      </c>
      <c r="E20" s="1016">
        <v>240</v>
      </c>
      <c r="F20" s="1016">
        <v>500</v>
      </c>
      <c r="G20" s="1019"/>
      <c r="H20" s="1019"/>
      <c r="K20" s="863" t="s">
        <v>55</v>
      </c>
      <c r="L20" s="864" t="s">
        <v>39</v>
      </c>
      <c r="M20" s="865" t="s">
        <v>56</v>
      </c>
    </row>
    <row r="21" spans="3:13" ht="28.5">
      <c r="C21" s="1014" t="s">
        <v>57</v>
      </c>
      <c r="D21" s="1018" t="s">
        <v>58</v>
      </c>
      <c r="E21" s="1016">
        <v>20</v>
      </c>
      <c r="F21" s="1016">
        <v>40</v>
      </c>
      <c r="G21" s="1019"/>
      <c r="H21" s="1019"/>
      <c r="K21" s="863" t="s">
        <v>59</v>
      </c>
      <c r="L21" s="864" t="s">
        <v>60</v>
      </c>
      <c r="M21" s="865" t="s">
        <v>61</v>
      </c>
    </row>
    <row r="22" spans="3:13" ht="28.5">
      <c r="C22" s="1014" t="s">
        <v>57</v>
      </c>
      <c r="D22" s="1015" t="s">
        <v>62</v>
      </c>
      <c r="E22" s="1016">
        <v>60</v>
      </c>
      <c r="F22" s="1016">
        <v>120</v>
      </c>
      <c r="G22" s="1019"/>
      <c r="H22" s="1019"/>
    </row>
    <row r="23" spans="3:13" ht="28.5">
      <c r="C23" s="1014" t="s">
        <v>57</v>
      </c>
      <c r="D23" s="1018" t="s">
        <v>63</v>
      </c>
      <c r="E23" s="1016">
        <v>120</v>
      </c>
      <c r="F23" s="1016">
        <v>180</v>
      </c>
      <c r="G23" s="1019"/>
      <c r="H23" s="1019"/>
    </row>
    <row r="24" spans="3:13" ht="28.5">
      <c r="C24" s="1014" t="s">
        <v>57</v>
      </c>
      <c r="D24" s="1015" t="s">
        <v>64</v>
      </c>
      <c r="E24" s="1016">
        <v>180</v>
      </c>
      <c r="F24" s="1016">
        <v>240</v>
      </c>
      <c r="G24" s="1019"/>
      <c r="H24" s="1019"/>
    </row>
    <row r="25" spans="3:13" ht="28.5">
      <c r="C25" s="1014" t="s">
        <v>65</v>
      </c>
      <c r="D25" s="1015" t="s">
        <v>66</v>
      </c>
      <c r="E25" s="1016">
        <v>10</v>
      </c>
      <c r="F25" s="1016">
        <v>20</v>
      </c>
      <c r="G25" s="1019"/>
      <c r="H25" s="1019"/>
    </row>
    <row r="26" spans="3:13" ht="28.5">
      <c r="C26" s="1014" t="s">
        <v>65</v>
      </c>
      <c r="D26" s="1015" t="s">
        <v>67</v>
      </c>
      <c r="E26" s="1016">
        <v>20</v>
      </c>
      <c r="F26" s="1016">
        <v>60</v>
      </c>
      <c r="G26" s="1019"/>
      <c r="H26" s="1019"/>
    </row>
    <row r="27" spans="3:13" ht="28.5">
      <c r="C27" s="1014" t="s">
        <v>65</v>
      </c>
      <c r="D27" s="1015" t="s">
        <v>68</v>
      </c>
      <c r="E27" s="1016">
        <v>60</v>
      </c>
      <c r="F27" s="1016">
        <v>120</v>
      </c>
      <c r="G27" s="1019"/>
      <c r="H27" s="1019"/>
    </row>
    <row r="28" spans="3:13" ht="28.5">
      <c r="C28" s="1014" t="s">
        <v>65</v>
      </c>
      <c r="D28" s="1015" t="s">
        <v>69</v>
      </c>
      <c r="E28" s="1016">
        <v>120</v>
      </c>
      <c r="F28" s="1016">
        <v>180</v>
      </c>
      <c r="G28" s="1019"/>
      <c r="H28" s="1019"/>
    </row>
    <row r="29" spans="3:13" ht="28.5">
      <c r="C29" s="1014" t="s">
        <v>65</v>
      </c>
      <c r="D29" s="1015" t="s">
        <v>70</v>
      </c>
      <c r="E29" s="1016">
        <v>180</v>
      </c>
      <c r="F29" s="1016">
        <v>240</v>
      </c>
      <c r="G29" s="1019"/>
      <c r="H29" s="1019"/>
    </row>
    <row r="30" spans="3:13" ht="28.5">
      <c r="C30" s="1014" t="s">
        <v>65</v>
      </c>
      <c r="D30" s="1015" t="s">
        <v>71</v>
      </c>
      <c r="E30" s="1016">
        <v>240</v>
      </c>
      <c r="F30" s="1016">
        <v>350</v>
      </c>
      <c r="G30" s="1019"/>
      <c r="H30" s="1019"/>
    </row>
    <row r="31" spans="3:13" ht="28.5">
      <c r="C31" s="1014" t="s">
        <v>65</v>
      </c>
      <c r="D31" s="1015" t="s">
        <v>72</v>
      </c>
      <c r="E31" s="1016">
        <v>350</v>
      </c>
      <c r="F31" s="1016">
        <v>500</v>
      </c>
      <c r="G31" s="1019"/>
      <c r="H31" s="1019"/>
    </row>
    <row r="32" spans="3:13" ht="28.5">
      <c r="C32" s="1014" t="s">
        <v>65</v>
      </c>
      <c r="D32" s="1015" t="s">
        <v>73</v>
      </c>
      <c r="E32" s="1016">
        <v>400</v>
      </c>
      <c r="F32" s="1016">
        <v>600</v>
      </c>
      <c r="G32" s="1019"/>
      <c r="H32" s="1019"/>
    </row>
    <row r="33" spans="3:8" ht="28.5">
      <c r="C33" s="1014" t="s">
        <v>65</v>
      </c>
      <c r="D33" s="1015" t="s">
        <v>74</v>
      </c>
      <c r="E33" s="1016">
        <v>400</v>
      </c>
      <c r="F33" s="1016">
        <v>600</v>
      </c>
      <c r="G33" s="1019"/>
      <c r="H33" s="1019"/>
    </row>
    <row r="34" spans="3:8" ht="28.5">
      <c r="C34" s="1014" t="s">
        <v>75</v>
      </c>
      <c r="D34" s="1018" t="s">
        <v>76</v>
      </c>
      <c r="E34" s="1016">
        <v>40</v>
      </c>
      <c r="F34" s="1016">
        <v>80</v>
      </c>
      <c r="G34" s="1019"/>
      <c r="H34" s="1019"/>
    </row>
    <row r="35" spans="3:8" ht="28.5">
      <c r="C35" s="1014" t="s">
        <v>75</v>
      </c>
      <c r="D35" s="1015" t="s">
        <v>77</v>
      </c>
      <c r="E35" s="1016">
        <v>80</v>
      </c>
      <c r="F35" s="1016">
        <v>120</v>
      </c>
      <c r="G35" s="1019"/>
      <c r="H35" s="1019"/>
    </row>
    <row r="36" spans="3:8" ht="28.5">
      <c r="C36" s="1014" t="s">
        <v>75</v>
      </c>
      <c r="D36" s="1018" t="s">
        <v>63</v>
      </c>
      <c r="E36" s="1016">
        <v>120</v>
      </c>
      <c r="F36" s="1016">
        <v>180</v>
      </c>
      <c r="G36" s="1019"/>
      <c r="H36" s="1019"/>
    </row>
    <row r="37" spans="3:8" ht="28.5">
      <c r="C37" s="1014" t="s">
        <v>75</v>
      </c>
      <c r="D37" s="1015" t="s">
        <v>64</v>
      </c>
      <c r="E37" s="1016">
        <v>180</v>
      </c>
      <c r="F37" s="1016">
        <v>240</v>
      </c>
      <c r="G37" s="1019"/>
      <c r="H37" s="1019"/>
    </row>
    <row r="38" spans="3:8" ht="28.5">
      <c r="C38" s="1014" t="s">
        <v>78</v>
      </c>
      <c r="D38" s="1018">
        <v>3500</v>
      </c>
      <c r="E38" s="1016">
        <v>15</v>
      </c>
      <c r="F38" s="1016">
        <v>40</v>
      </c>
      <c r="G38" s="1019"/>
      <c r="H38" s="1019"/>
    </row>
    <row r="39" spans="3:8" ht="28.5">
      <c r="C39" s="1014" t="s">
        <v>78</v>
      </c>
      <c r="D39" s="1015">
        <v>350</v>
      </c>
      <c r="E39" s="1016">
        <v>40</v>
      </c>
      <c r="F39" s="1016">
        <v>80</v>
      </c>
      <c r="G39" s="1019"/>
      <c r="H39" s="1019"/>
    </row>
    <row r="40" spans="3:8" ht="28.5">
      <c r="C40" s="1014" t="s">
        <v>78</v>
      </c>
      <c r="D40" s="1018">
        <v>35</v>
      </c>
      <c r="E40" s="1016">
        <v>80</v>
      </c>
      <c r="F40" s="1016">
        <v>130</v>
      </c>
      <c r="G40" s="1019"/>
      <c r="H40" s="1019"/>
    </row>
    <row r="41" spans="3:8" ht="28.5">
      <c r="C41" s="1014" t="s">
        <v>78</v>
      </c>
      <c r="D41" s="1015">
        <v>3.5</v>
      </c>
      <c r="E41" s="1016">
        <v>130</v>
      </c>
      <c r="F41" s="1016">
        <v>300</v>
      </c>
      <c r="G41" s="1019"/>
      <c r="H41" s="1019"/>
    </row>
    <row r="42" spans="3:8" ht="28.5">
      <c r="C42" s="1014" t="s">
        <v>78</v>
      </c>
      <c r="D42" s="1018">
        <v>0.35</v>
      </c>
      <c r="E42" s="1016">
        <v>180</v>
      </c>
      <c r="F42" s="1016">
        <v>400</v>
      </c>
      <c r="G42" s="1019"/>
      <c r="H42" s="1019"/>
    </row>
    <row r="43" spans="3:8" ht="28.5">
      <c r="C43" s="1014" t="s">
        <v>78</v>
      </c>
      <c r="D43" s="1015">
        <v>3.5000000000000003E-2</v>
      </c>
      <c r="E43" s="1016">
        <v>240</v>
      </c>
      <c r="F43" s="1016">
        <v>500</v>
      </c>
      <c r="G43" s="1019"/>
      <c r="H43" s="1019"/>
    </row>
    <row r="44" spans="3:8" ht="28.5">
      <c r="C44" s="1014" t="s">
        <v>79</v>
      </c>
      <c r="D44" s="1018" t="s">
        <v>80</v>
      </c>
      <c r="E44" s="1016">
        <v>12</v>
      </c>
      <c r="F44" s="1016">
        <v>25</v>
      </c>
      <c r="G44" s="1019"/>
      <c r="H44" s="1019"/>
    </row>
    <row r="45" spans="3:8" ht="28.5">
      <c r="C45" s="1014" t="s">
        <v>79</v>
      </c>
      <c r="D45" s="1015" t="s">
        <v>81</v>
      </c>
      <c r="E45" s="1016">
        <v>30</v>
      </c>
      <c r="F45" s="1016">
        <v>80</v>
      </c>
      <c r="G45" s="1019"/>
      <c r="H45" s="1019"/>
    </row>
    <row r="46" spans="3:8" ht="28.5">
      <c r="C46" s="1014" t="s">
        <v>79</v>
      </c>
      <c r="D46" s="1018" t="s">
        <v>82</v>
      </c>
      <c r="E46" s="1016">
        <v>120</v>
      </c>
      <c r="F46" s="1016">
        <v>180</v>
      </c>
      <c r="G46" s="1019"/>
      <c r="H46" s="1019"/>
    </row>
    <row r="47" spans="3:8" ht="28.5">
      <c r="C47" s="1014" t="s">
        <v>79</v>
      </c>
      <c r="D47" s="1015" t="s">
        <v>83</v>
      </c>
      <c r="E47" s="1016">
        <v>240</v>
      </c>
      <c r="F47" s="1016">
        <v>350</v>
      </c>
      <c r="G47" s="1019"/>
      <c r="H47" s="1019"/>
    </row>
    <row r="48" spans="3:8" ht="28.5">
      <c r="C48" s="1014" t="s">
        <v>79</v>
      </c>
      <c r="D48" s="1018" t="s">
        <v>84</v>
      </c>
      <c r="E48" s="1016">
        <v>350</v>
      </c>
      <c r="F48" s="1016">
        <v>600</v>
      </c>
      <c r="G48" s="1019"/>
      <c r="H48" s="1019"/>
    </row>
    <row r="49" spans="3:8" ht="28.5">
      <c r="C49" s="1014" t="s">
        <v>79</v>
      </c>
      <c r="D49" s="1015" t="s">
        <v>85</v>
      </c>
      <c r="E49" s="1016">
        <v>400</v>
      </c>
      <c r="F49" s="1016">
        <v>600</v>
      </c>
      <c r="G49" s="1019"/>
      <c r="H49" s="1019"/>
    </row>
    <row r="50" spans="3:8" ht="28.5">
      <c r="C50" s="1014" t="s">
        <v>86</v>
      </c>
      <c r="D50" s="1018">
        <v>6</v>
      </c>
      <c r="E50" s="1016">
        <v>20</v>
      </c>
      <c r="F50" s="1016">
        <v>60</v>
      </c>
      <c r="G50" s="1019"/>
      <c r="H50" s="1019"/>
    </row>
    <row r="51" spans="3:8" ht="28.5">
      <c r="C51" s="1014" t="s">
        <v>86</v>
      </c>
      <c r="D51" s="1015">
        <v>5</v>
      </c>
      <c r="E51" s="1016">
        <v>60</v>
      </c>
      <c r="F51" s="1016">
        <v>120</v>
      </c>
      <c r="G51" s="1019"/>
      <c r="H51" s="1019"/>
    </row>
    <row r="52" spans="3:8" ht="28.5">
      <c r="C52" s="1014" t="s">
        <v>86</v>
      </c>
      <c r="D52" s="1018">
        <v>4</v>
      </c>
      <c r="E52" s="1016">
        <v>120</v>
      </c>
      <c r="F52" s="1016">
        <v>180</v>
      </c>
      <c r="G52" s="1019"/>
      <c r="H52" s="1019"/>
    </row>
    <row r="53" spans="3:8" ht="28.5">
      <c r="C53" s="1014" t="s">
        <v>86</v>
      </c>
      <c r="D53" s="1015">
        <v>3</v>
      </c>
      <c r="E53" s="1016">
        <v>180</v>
      </c>
      <c r="F53" s="1016">
        <v>240</v>
      </c>
      <c r="G53" s="1019"/>
      <c r="H53" s="1019"/>
    </row>
    <row r="54" spans="3:8" ht="28.5">
      <c r="C54" s="1014" t="s">
        <v>86</v>
      </c>
      <c r="D54" s="1018">
        <v>2</v>
      </c>
      <c r="E54" s="1016">
        <v>240</v>
      </c>
      <c r="F54" s="1016">
        <v>360</v>
      </c>
      <c r="G54" s="1019"/>
      <c r="H54" s="1019"/>
    </row>
    <row r="55" spans="3:8" ht="28.5">
      <c r="C55" s="1014" t="s">
        <v>86</v>
      </c>
      <c r="D55" s="1015">
        <v>1</v>
      </c>
      <c r="E55" s="1016">
        <v>360</v>
      </c>
      <c r="F55" s="1016">
        <v>550</v>
      </c>
      <c r="G55" s="1019"/>
      <c r="H55" s="1019"/>
    </row>
    <row r="56" spans="3:8" ht="28.5">
      <c r="C56" s="1014" t="s">
        <v>86</v>
      </c>
      <c r="D56" s="1018">
        <v>0</v>
      </c>
      <c r="E56" s="1016">
        <v>400</v>
      </c>
      <c r="F56" s="1016">
        <v>600</v>
      </c>
      <c r="G56" s="1019"/>
      <c r="H56" s="1019"/>
    </row>
    <row r="57" spans="3:8" ht="28.5">
      <c r="C57" s="1014" t="s">
        <v>87</v>
      </c>
      <c r="D57" s="1018">
        <v>4000000</v>
      </c>
      <c r="E57" s="1016">
        <v>20</v>
      </c>
      <c r="F57" s="1016">
        <v>50</v>
      </c>
      <c r="G57" s="1019"/>
      <c r="H57" s="1019"/>
    </row>
    <row r="58" spans="3:8" ht="28.5">
      <c r="C58" s="1014" t="s">
        <v>87</v>
      </c>
      <c r="D58" s="1015">
        <v>400000</v>
      </c>
      <c r="E58" s="1016">
        <v>60</v>
      </c>
      <c r="F58" s="1016">
        <v>120</v>
      </c>
      <c r="G58" s="1019"/>
      <c r="H58" s="1019"/>
    </row>
    <row r="59" spans="3:8" ht="28.5">
      <c r="C59" s="1014" t="s">
        <v>87</v>
      </c>
      <c r="D59" s="1015">
        <v>4000</v>
      </c>
      <c r="E59" s="1016">
        <v>120</v>
      </c>
      <c r="F59" s="1016">
        <v>240</v>
      </c>
      <c r="G59" s="1019"/>
      <c r="H59" s="1019"/>
    </row>
    <row r="60" spans="3:8" ht="28.5">
      <c r="C60" s="1014" t="s">
        <v>88</v>
      </c>
      <c r="D60" s="1020" t="s">
        <v>89</v>
      </c>
      <c r="E60" s="1016">
        <v>5</v>
      </c>
      <c r="F60" s="1016">
        <v>15</v>
      </c>
      <c r="G60" s="1019"/>
      <c r="H60" s="1019"/>
    </row>
    <row r="61" spans="3:8" ht="28.5">
      <c r="C61" s="1014" t="s">
        <v>88</v>
      </c>
      <c r="D61" s="1020" t="s">
        <v>90</v>
      </c>
      <c r="E61" s="1016">
        <v>5</v>
      </c>
      <c r="F61" s="1016">
        <v>20</v>
      </c>
      <c r="G61" s="1019"/>
      <c r="H61" s="1019"/>
    </row>
    <row r="62" spans="3:8" ht="28.5">
      <c r="C62" s="1014" t="s">
        <v>88</v>
      </c>
      <c r="D62" s="1020" t="s">
        <v>91</v>
      </c>
      <c r="E62" s="1016">
        <v>10</v>
      </c>
      <c r="F62" s="1016">
        <v>25</v>
      </c>
      <c r="G62" s="1019"/>
      <c r="H62" s="1019"/>
    </row>
    <row r="63" spans="3:8" ht="28.5">
      <c r="C63" s="1014" t="s">
        <v>88</v>
      </c>
      <c r="D63" s="1020" t="s">
        <v>92</v>
      </c>
      <c r="E63" s="1016">
        <v>15</v>
      </c>
      <c r="F63" s="1016">
        <v>25</v>
      </c>
      <c r="G63" s="1019"/>
      <c r="H63" s="1019"/>
    </row>
    <row r="64" spans="3:8" ht="28.5">
      <c r="C64" s="1014" t="s">
        <v>88</v>
      </c>
      <c r="D64" s="1020" t="s">
        <v>93</v>
      </c>
      <c r="E64" s="1016">
        <v>15</v>
      </c>
      <c r="F64" s="1016">
        <v>25</v>
      </c>
      <c r="G64" s="1019"/>
      <c r="H64" s="1019"/>
    </row>
    <row r="65" spans="3:8" ht="28.5">
      <c r="C65" s="1014" t="s">
        <v>88</v>
      </c>
      <c r="D65" s="1018" t="s">
        <v>94</v>
      </c>
      <c r="E65" s="1016">
        <v>5</v>
      </c>
      <c r="F65" s="1016">
        <v>10</v>
      </c>
      <c r="G65" s="1019"/>
      <c r="H65" s="1019"/>
    </row>
    <row r="66" spans="3:8" ht="28.5">
      <c r="C66" s="1014" t="s">
        <v>88</v>
      </c>
      <c r="D66" s="1015" t="s">
        <v>95</v>
      </c>
      <c r="E66" s="1016">
        <v>5</v>
      </c>
      <c r="F66" s="1016">
        <v>10</v>
      </c>
      <c r="G66" s="1019"/>
      <c r="H66" s="1019"/>
    </row>
    <row r="67" spans="3:8" ht="28.5">
      <c r="C67" s="1014" t="s">
        <v>88</v>
      </c>
      <c r="D67" s="1018" t="s">
        <v>96</v>
      </c>
      <c r="E67" s="1016"/>
      <c r="F67" s="1016"/>
      <c r="G67" s="1019"/>
      <c r="H67" s="1019"/>
    </row>
    <row r="68" spans="3:8" ht="28.5">
      <c r="C68" s="1014" t="s">
        <v>31</v>
      </c>
      <c r="D68" s="1018" t="s">
        <v>97</v>
      </c>
      <c r="E68" s="1016">
        <v>6</v>
      </c>
      <c r="F68" s="1016">
        <v>12</v>
      </c>
      <c r="G68" s="1019"/>
      <c r="H68" s="1019"/>
    </row>
    <row r="69" spans="3:8" ht="28.5">
      <c r="C69" s="1014" t="s">
        <v>31</v>
      </c>
      <c r="D69" s="1018" t="s">
        <v>98</v>
      </c>
      <c r="E69" s="1016">
        <v>10</v>
      </c>
      <c r="F69" s="1016">
        <v>15</v>
      </c>
      <c r="G69" s="1019"/>
      <c r="H69" s="1019"/>
    </row>
    <row r="70" spans="3:8" ht="28.5">
      <c r="C70" s="1014" t="s">
        <v>31</v>
      </c>
      <c r="D70" s="1018" t="s">
        <v>99</v>
      </c>
      <c r="E70" s="1016">
        <v>15</v>
      </c>
      <c r="F70" s="1016">
        <v>20</v>
      </c>
      <c r="G70" s="1019"/>
      <c r="H70" s="1019"/>
    </row>
    <row r="71" spans="3:8" ht="28.5">
      <c r="C71" s="1014" t="s">
        <v>31</v>
      </c>
      <c r="D71" s="1018" t="s">
        <v>100</v>
      </c>
      <c r="E71" s="1016">
        <v>20</v>
      </c>
      <c r="F71" s="1016">
        <v>30</v>
      </c>
      <c r="G71" s="1019"/>
      <c r="H71" s="1019"/>
    </row>
    <row r="72" spans="3:8" ht="28.5">
      <c r="C72" s="1014" t="s">
        <v>101</v>
      </c>
      <c r="D72" s="1018" t="s">
        <v>102</v>
      </c>
      <c r="E72" s="1016">
        <v>80</v>
      </c>
      <c r="F72" s="1016">
        <v>100</v>
      </c>
      <c r="G72" s="1019"/>
      <c r="H72" s="1019"/>
    </row>
    <row r="73" spans="3:8" ht="28.5">
      <c r="C73" s="1014" t="s">
        <v>101</v>
      </c>
      <c r="D73" s="1018" t="s">
        <v>103</v>
      </c>
      <c r="E73" s="1016">
        <v>60</v>
      </c>
      <c r="F73" s="1016">
        <v>80</v>
      </c>
      <c r="G73" s="1019"/>
      <c r="H73" s="1019"/>
    </row>
    <row r="74" spans="3:8" ht="28.5">
      <c r="C74" s="1014" t="s">
        <v>101</v>
      </c>
      <c r="D74" s="1018" t="s">
        <v>104</v>
      </c>
      <c r="E74" s="1016">
        <v>40</v>
      </c>
      <c r="F74" s="1016">
        <v>60</v>
      </c>
      <c r="G74" s="1019"/>
      <c r="H74" s="1019"/>
    </row>
    <row r="75" spans="3:8" ht="28.5">
      <c r="C75" s="1014" t="s">
        <v>101</v>
      </c>
      <c r="D75" s="1018" t="s">
        <v>105</v>
      </c>
      <c r="E75" s="1016">
        <v>20</v>
      </c>
      <c r="F75" s="1016">
        <v>40</v>
      </c>
      <c r="G75" s="1019"/>
      <c r="H75" s="1019"/>
    </row>
    <row r="76" spans="3:8" ht="24">
      <c r="C76" s="866"/>
      <c r="D76" s="867"/>
    </row>
    <row r="77" spans="3:8" ht="23.45">
      <c r="C77" s="866"/>
      <c r="D77" s="868"/>
    </row>
    <row r="78" spans="3:8">
      <c r="C78" s="840"/>
      <c r="D78" s="840"/>
    </row>
    <row r="79" spans="3:8">
      <c r="C79" s="840"/>
      <c r="D79" s="840"/>
    </row>
    <row r="80" spans="3:8">
      <c r="C80" s="840"/>
      <c r="D80" s="840"/>
    </row>
    <row r="81" spans="3:4">
      <c r="C81" s="840"/>
      <c r="D81" s="8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9285-8F62-4E1F-BF8B-7528317B4D59}">
  <dimension ref="A1:E71"/>
  <sheetViews>
    <sheetView tabSelected="1" topLeftCell="A56" workbookViewId="0">
      <selection activeCell="C67" sqref="C67"/>
    </sheetView>
  </sheetViews>
  <sheetFormatPr defaultColWidth="35.5703125" defaultRowHeight="18.75"/>
  <cols>
    <col min="5" max="5" width="35.5703125" style="1007"/>
  </cols>
  <sheetData>
    <row r="1" spans="1:5" ht="28.5">
      <c r="A1" s="1021" t="s">
        <v>0</v>
      </c>
      <c r="B1" s="1022" t="s">
        <v>1</v>
      </c>
      <c r="C1" s="1023" t="s">
        <v>2</v>
      </c>
      <c r="D1" s="1024"/>
      <c r="E1" s="1008"/>
    </row>
    <row r="2" spans="1:5" ht="28.5">
      <c r="A2" s="1014" t="s">
        <v>7</v>
      </c>
      <c r="B2" s="1015" t="s">
        <v>8</v>
      </c>
      <c r="C2" s="1016">
        <v>5</v>
      </c>
      <c r="D2" s="1016">
        <v>15</v>
      </c>
      <c r="E2" s="1008" t="str">
        <f>"INSERT INTO tCR_metadata (standard_name, classification_name, acph_min, acph_max) VALUES ('"&amp;A2&amp;"', '"&amp;B2&amp;"', "&amp;C2&amp;", "&amp;D2&amp;");"</f>
        <v>INSERT INTO tCR_metadata (standard_name, classification_name, acph_min, acph_max) VALUES ('ISO 14644-4', 'ISO 9', 5, 15);</v>
      </c>
    </row>
    <row r="3" spans="1:5" ht="28.5">
      <c r="A3" s="1014" t="s">
        <v>7</v>
      </c>
      <c r="B3" s="1015" t="s">
        <v>12</v>
      </c>
      <c r="C3" s="1016">
        <v>20</v>
      </c>
      <c r="D3" s="1016">
        <v>60</v>
      </c>
      <c r="E3" s="1008" t="str">
        <f t="shared" ref="E3:E66" si="0">"INSERT INTO tCR_metadata (standard_name, classification_name, acph_min, acph_max) VALUES ('"&amp;A3&amp;"', '"&amp;B3&amp;"', "&amp;C3&amp;", "&amp;D3&amp;");"</f>
        <v>INSERT INTO tCR_metadata (standard_name, classification_name, acph_min, acph_max) VALUES ('ISO 14644-4', 'ISO 8', 20, 60);</v>
      </c>
    </row>
    <row r="4" spans="1:5" ht="28.5">
      <c r="A4" s="1014" t="s">
        <v>7</v>
      </c>
      <c r="B4" s="1018" t="s">
        <v>14</v>
      </c>
      <c r="C4" s="1016">
        <v>60</v>
      </c>
      <c r="D4" s="1016">
        <v>150</v>
      </c>
      <c r="E4" s="1008" t="str">
        <f t="shared" si="0"/>
        <v>INSERT INTO tCR_metadata (standard_name, classification_name, acph_min, acph_max) VALUES ('ISO 14644-4', 'ISO 7', 60, 150);</v>
      </c>
    </row>
    <row r="5" spans="1:5" ht="28.5">
      <c r="A5" s="1014" t="s">
        <v>7</v>
      </c>
      <c r="B5" s="1015" t="s">
        <v>17</v>
      </c>
      <c r="C5" s="1016">
        <v>150</v>
      </c>
      <c r="D5" s="1016">
        <v>240</v>
      </c>
      <c r="E5" s="1008" t="str">
        <f t="shared" si="0"/>
        <v>INSERT INTO tCR_metadata (standard_name, classification_name, acph_min, acph_max) VALUES ('ISO 14644-4', 'ISO 6', 150, 240);</v>
      </c>
    </row>
    <row r="6" spans="1:5" ht="28.5">
      <c r="A6" s="1014" t="s">
        <v>7</v>
      </c>
      <c r="B6" s="1018" t="s">
        <v>21</v>
      </c>
      <c r="C6" s="1016">
        <v>240</v>
      </c>
      <c r="D6" s="1016">
        <v>500</v>
      </c>
      <c r="E6" s="1008" t="str">
        <f t="shared" si="0"/>
        <v>INSERT INTO tCR_metadata (standard_name, classification_name, acph_min, acph_max) VALUES ('ISO 14644-4', 'ISO 5', 240, 500);</v>
      </c>
    </row>
    <row r="7" spans="1:5" ht="28.5">
      <c r="A7" s="1014" t="s">
        <v>7</v>
      </c>
      <c r="B7" s="1015" t="s">
        <v>24</v>
      </c>
      <c r="C7" s="1016">
        <v>300</v>
      </c>
      <c r="D7" s="1016">
        <v>600</v>
      </c>
      <c r="E7" s="1008" t="str">
        <f t="shared" si="0"/>
        <v>INSERT INTO tCR_metadata (standard_name, classification_name, acph_min, acph_max) VALUES ('ISO 14644-4', 'ISO 4', 300, 600);</v>
      </c>
    </row>
    <row r="8" spans="1:5" ht="28.5">
      <c r="A8" s="1014" t="s">
        <v>7</v>
      </c>
      <c r="B8" s="1018" t="s">
        <v>27</v>
      </c>
      <c r="C8" s="1016">
        <v>400</v>
      </c>
      <c r="D8" s="1016">
        <v>750</v>
      </c>
      <c r="E8" s="1008" t="str">
        <f t="shared" si="0"/>
        <v>INSERT INTO tCR_metadata (standard_name, classification_name, acph_min, acph_max) VALUES ('ISO 14644-4', 'ISO 3', 400, 750);</v>
      </c>
    </row>
    <row r="9" spans="1:5" ht="28.5">
      <c r="A9" s="1014" t="s">
        <v>7</v>
      </c>
      <c r="B9" s="1018" t="s">
        <v>30</v>
      </c>
      <c r="C9" s="1016">
        <v>500</v>
      </c>
      <c r="D9" s="1016">
        <v>750</v>
      </c>
      <c r="E9" s="1008" t="str">
        <f t="shared" si="0"/>
        <v>INSERT INTO tCR_metadata (standard_name, classification_name, acph_min, acph_max) VALUES ('ISO 14644-4', 'ISO 2', 500, 750);</v>
      </c>
    </row>
    <row r="10" spans="1:5" ht="28.5">
      <c r="A10" s="1014" t="s">
        <v>7</v>
      </c>
      <c r="B10" s="1015" t="s">
        <v>34</v>
      </c>
      <c r="C10" s="1016">
        <v>500</v>
      </c>
      <c r="D10" s="1016">
        <v>750</v>
      </c>
      <c r="E10" s="1008" t="str">
        <f t="shared" si="0"/>
        <v>INSERT INTO tCR_metadata (standard_name, classification_name, acph_min, acph_max) VALUES ('ISO 14644-4', 'ISO 1', 500, 750);</v>
      </c>
    </row>
    <row r="11" spans="1:5" ht="28.5">
      <c r="A11" s="1014" t="s">
        <v>36</v>
      </c>
      <c r="B11" s="1018" t="s">
        <v>37</v>
      </c>
      <c r="C11" s="1016">
        <v>12</v>
      </c>
      <c r="D11" s="1016">
        <v>25</v>
      </c>
      <c r="E11" s="1008" t="str">
        <f t="shared" si="0"/>
        <v>INSERT INTO tCR_metadata (standard_name, classification_name, acph_min, acph_max) VALUES ('FDA 209E', 'Class100K', 12, 25);</v>
      </c>
    </row>
    <row r="12" spans="1:5" ht="28.5">
      <c r="A12" s="1014" t="s">
        <v>36</v>
      </c>
      <c r="B12" s="1015" t="s">
        <v>41</v>
      </c>
      <c r="C12" s="1016">
        <v>30</v>
      </c>
      <c r="D12" s="1016">
        <v>60</v>
      </c>
      <c r="E12" s="1008" t="str">
        <f t="shared" si="0"/>
        <v>INSERT INTO tCR_metadata (standard_name, classification_name, acph_min, acph_max) VALUES ('FDA 209E', 'Class10K', 30, 60);</v>
      </c>
    </row>
    <row r="13" spans="1:5" ht="28.5">
      <c r="A13" s="1014" t="s">
        <v>36</v>
      </c>
      <c r="B13" s="1018" t="s">
        <v>44</v>
      </c>
      <c r="C13" s="1016">
        <v>80</v>
      </c>
      <c r="D13" s="1016">
        <v>130</v>
      </c>
      <c r="E13" s="1008" t="str">
        <f t="shared" si="0"/>
        <v>INSERT INTO tCR_metadata (standard_name, classification_name, acph_min, acph_max) VALUES ('FDA 209E', 'Class1K', 80, 130);</v>
      </c>
    </row>
    <row r="14" spans="1:5" ht="28.5">
      <c r="A14" s="1014" t="s">
        <v>36</v>
      </c>
      <c r="B14" s="1015" t="s">
        <v>47</v>
      </c>
      <c r="C14" s="1016">
        <v>150</v>
      </c>
      <c r="D14" s="1016">
        <v>300</v>
      </c>
      <c r="E14" s="1008" t="str">
        <f t="shared" si="0"/>
        <v>INSERT INTO tCR_metadata (standard_name, classification_name, acph_min, acph_max) VALUES ('FDA 209E', 'Class 100', 150, 300);</v>
      </c>
    </row>
    <row r="15" spans="1:5" ht="28.5">
      <c r="A15" s="1014" t="s">
        <v>36</v>
      </c>
      <c r="B15" s="1018" t="s">
        <v>51</v>
      </c>
      <c r="C15" s="1016">
        <v>180</v>
      </c>
      <c r="D15" s="1016">
        <v>400</v>
      </c>
      <c r="E15" s="1008" t="str">
        <f t="shared" si="0"/>
        <v>INSERT INTO tCR_metadata (standard_name, classification_name, acph_min, acph_max) VALUES ('FDA 209E', 'Class 10', 180, 400);</v>
      </c>
    </row>
    <row r="16" spans="1:5" ht="28.5">
      <c r="A16" s="1014" t="s">
        <v>36</v>
      </c>
      <c r="B16" s="1015" t="s">
        <v>54</v>
      </c>
      <c r="C16" s="1016">
        <v>240</v>
      </c>
      <c r="D16" s="1016">
        <v>500</v>
      </c>
      <c r="E16" s="1008" t="str">
        <f t="shared" si="0"/>
        <v>INSERT INTO tCR_metadata (standard_name, classification_name, acph_min, acph_max) VALUES ('FDA 209E', 'Class 1', 240, 500);</v>
      </c>
    </row>
    <row r="17" spans="1:5" ht="28.5">
      <c r="A17" s="1014" t="s">
        <v>57</v>
      </c>
      <c r="B17" s="1018" t="s">
        <v>58</v>
      </c>
      <c r="C17" s="1016">
        <v>20</v>
      </c>
      <c r="D17" s="1016">
        <v>40</v>
      </c>
      <c r="E17" s="1008" t="str">
        <f t="shared" si="0"/>
        <v>INSERT INTO tCR_metadata (standard_name, classification_name, acph_min, acph_max) VALUES ('GMP', 'Grade D (ISO 8 at Rest &amp; Not Defined)', 20, 40);</v>
      </c>
    </row>
    <row r="18" spans="1:5" ht="28.5">
      <c r="A18" s="1014" t="s">
        <v>57</v>
      </c>
      <c r="B18" s="1015" t="s">
        <v>62</v>
      </c>
      <c r="C18" s="1016">
        <v>60</v>
      </c>
      <c r="D18" s="1016">
        <v>120</v>
      </c>
      <c r="E18" s="1008" t="str">
        <f t="shared" si="0"/>
        <v>INSERT INTO tCR_metadata (standard_name, classification_name, acph_min, acph_max) VALUES ('GMP', 'Grade C (ISO 7 at Rest &amp; ISO 8 in Oper.)', 60, 120);</v>
      </c>
    </row>
    <row r="19" spans="1:5" ht="28.5">
      <c r="A19" s="1014" t="s">
        <v>57</v>
      </c>
      <c r="B19" s="1018" t="s">
        <v>63</v>
      </c>
      <c r="C19" s="1016">
        <v>120</v>
      </c>
      <c r="D19" s="1016">
        <v>180</v>
      </c>
      <c r="E19" s="1008" t="str">
        <f t="shared" si="0"/>
        <v>INSERT INTO tCR_metadata (standard_name, classification_name, acph_min, acph_max) VALUES ('GMP', 'Grade B (ISO 5 at Rest &amp; ISO 7 in Oper.)', 120, 180);</v>
      </c>
    </row>
    <row r="20" spans="1:5" ht="28.5">
      <c r="A20" s="1014" t="s">
        <v>57</v>
      </c>
      <c r="B20" s="1015" t="s">
        <v>64</v>
      </c>
      <c r="C20" s="1016">
        <v>180</v>
      </c>
      <c r="D20" s="1016">
        <v>240</v>
      </c>
      <c r="E20" s="1008" t="str">
        <f t="shared" si="0"/>
        <v>INSERT INTO tCR_metadata (standard_name, classification_name, acph_min, acph_max) VALUES ('GMP', 'Grade A (ISO 5 at Rest &amp; ISO 5 in Oper.)', 180, 240);</v>
      </c>
    </row>
    <row r="21" spans="1:5" ht="28.5">
      <c r="A21" s="1014" t="s">
        <v>65</v>
      </c>
      <c r="B21" s="1015" t="s">
        <v>66</v>
      </c>
      <c r="C21" s="1016">
        <v>10</v>
      </c>
      <c r="D21" s="1016">
        <v>20</v>
      </c>
      <c r="E21" s="1008" t="str">
        <f t="shared" si="0"/>
        <v>INSERT INTO tCR_metadata (standard_name, classification_name, acph_min, acph_max) VALUES ('JIS B 9920', 'JIS Class 9', 10, 20);</v>
      </c>
    </row>
    <row r="22" spans="1:5" ht="28.5">
      <c r="A22" s="1014" t="s">
        <v>65</v>
      </c>
      <c r="B22" s="1015" t="s">
        <v>67</v>
      </c>
      <c r="C22" s="1016">
        <v>20</v>
      </c>
      <c r="D22" s="1016">
        <v>60</v>
      </c>
      <c r="E22" s="1008" t="str">
        <f t="shared" si="0"/>
        <v>INSERT INTO tCR_metadata (standard_name, classification_name, acph_min, acph_max) VALUES ('JIS B 9920', 'JIS Class 8', 20, 60);</v>
      </c>
    </row>
    <row r="23" spans="1:5" ht="28.5">
      <c r="A23" s="1014" t="s">
        <v>65</v>
      </c>
      <c r="B23" s="1015" t="s">
        <v>68</v>
      </c>
      <c r="C23" s="1016">
        <v>60</v>
      </c>
      <c r="D23" s="1016">
        <v>120</v>
      </c>
      <c r="E23" s="1008" t="str">
        <f t="shared" si="0"/>
        <v>INSERT INTO tCR_metadata (standard_name, classification_name, acph_min, acph_max) VALUES ('JIS B 9920', 'JIS Class 7', 60, 120);</v>
      </c>
    </row>
    <row r="24" spans="1:5" ht="28.5">
      <c r="A24" s="1014" t="s">
        <v>65</v>
      </c>
      <c r="B24" s="1015" t="s">
        <v>69</v>
      </c>
      <c r="C24" s="1016">
        <v>120</v>
      </c>
      <c r="D24" s="1016">
        <v>180</v>
      </c>
      <c r="E24" s="1008" t="str">
        <f t="shared" si="0"/>
        <v>INSERT INTO tCR_metadata (standard_name, classification_name, acph_min, acph_max) VALUES ('JIS B 9920', 'JIS Class 6', 120, 180);</v>
      </c>
    </row>
    <row r="25" spans="1:5" ht="28.5">
      <c r="A25" s="1014" t="s">
        <v>65</v>
      </c>
      <c r="B25" s="1015" t="s">
        <v>70</v>
      </c>
      <c r="C25" s="1016">
        <v>180</v>
      </c>
      <c r="D25" s="1016">
        <v>240</v>
      </c>
      <c r="E25" s="1008" t="str">
        <f t="shared" si="0"/>
        <v>INSERT INTO tCR_metadata (standard_name, classification_name, acph_min, acph_max) VALUES ('JIS B 9920', 'JIS Class 5', 180, 240);</v>
      </c>
    </row>
    <row r="26" spans="1:5" ht="28.5">
      <c r="A26" s="1014" t="s">
        <v>65</v>
      </c>
      <c r="B26" s="1015" t="s">
        <v>71</v>
      </c>
      <c r="C26" s="1016">
        <v>240</v>
      </c>
      <c r="D26" s="1016">
        <v>350</v>
      </c>
      <c r="E26" s="1008" t="str">
        <f t="shared" si="0"/>
        <v>INSERT INTO tCR_metadata (standard_name, classification_name, acph_min, acph_max) VALUES ('JIS B 9920', 'JIS Class 4', 240, 350);</v>
      </c>
    </row>
    <row r="27" spans="1:5" ht="28.5">
      <c r="A27" s="1014" t="s">
        <v>65</v>
      </c>
      <c r="B27" s="1015" t="s">
        <v>72</v>
      </c>
      <c r="C27" s="1016">
        <v>350</v>
      </c>
      <c r="D27" s="1016">
        <v>500</v>
      </c>
      <c r="E27" s="1008" t="str">
        <f t="shared" si="0"/>
        <v>INSERT INTO tCR_metadata (standard_name, classification_name, acph_min, acph_max) VALUES ('JIS B 9920', 'JIS Class 3', 350, 500);</v>
      </c>
    </row>
    <row r="28" spans="1:5" ht="28.5">
      <c r="A28" s="1014" t="s">
        <v>65</v>
      </c>
      <c r="B28" s="1015" t="s">
        <v>73</v>
      </c>
      <c r="C28" s="1016">
        <v>400</v>
      </c>
      <c r="D28" s="1016">
        <v>600</v>
      </c>
      <c r="E28" s="1008" t="str">
        <f t="shared" si="0"/>
        <v>INSERT INTO tCR_metadata (standard_name, classification_name, acph_min, acph_max) VALUES ('JIS B 9920', 'JIS Class 2', 400, 600);</v>
      </c>
    </row>
    <row r="29" spans="1:5" ht="28.5">
      <c r="A29" s="1014" t="s">
        <v>65</v>
      </c>
      <c r="B29" s="1015" t="s">
        <v>74</v>
      </c>
      <c r="C29" s="1016">
        <v>400</v>
      </c>
      <c r="D29" s="1016">
        <v>600</v>
      </c>
      <c r="E29" s="1008" t="str">
        <f t="shared" si="0"/>
        <v>INSERT INTO tCR_metadata (standard_name, classification_name, acph_min, acph_max) VALUES ('JIS B 9920', 'JIS Class 1', 400, 600);</v>
      </c>
    </row>
    <row r="30" spans="1:5" ht="28.5">
      <c r="A30" s="1014" t="s">
        <v>75</v>
      </c>
      <c r="B30" s="1018" t="s">
        <v>76</v>
      </c>
      <c r="C30" s="1016">
        <v>40</v>
      </c>
      <c r="D30" s="1016">
        <v>80</v>
      </c>
      <c r="E30" s="1008" t="str">
        <f t="shared" si="0"/>
        <v>INSERT INTO tCR_metadata (standard_name, classification_name, acph_min, acph_max) VALUES ('EU GMP', 'Grade D (ISO 7 at Rest &amp; ISO 8 in Oper.)', 40, 80);</v>
      </c>
    </row>
    <row r="31" spans="1:5" ht="28.5">
      <c r="A31" s="1014" t="s">
        <v>75</v>
      </c>
      <c r="B31" s="1015" t="s">
        <v>77</v>
      </c>
      <c r="C31" s="1016">
        <v>80</v>
      </c>
      <c r="D31" s="1016">
        <v>120</v>
      </c>
      <c r="E31" s="1008" t="str">
        <f t="shared" si="0"/>
        <v>INSERT INTO tCR_metadata (standard_name, classification_name, acph_min, acph_max) VALUES ('EU GMP', 'Grade C (ISO 7 at Rest &amp; ISO 7 in Oper.)', 80, 120);</v>
      </c>
    </row>
    <row r="32" spans="1:5" ht="28.5">
      <c r="A32" s="1014" t="s">
        <v>75</v>
      </c>
      <c r="B32" s="1018" t="s">
        <v>63</v>
      </c>
      <c r="C32" s="1016">
        <v>120</v>
      </c>
      <c r="D32" s="1016">
        <v>180</v>
      </c>
      <c r="E32" s="1008" t="str">
        <f t="shared" si="0"/>
        <v>INSERT INTO tCR_metadata (standard_name, classification_name, acph_min, acph_max) VALUES ('EU GMP', 'Grade B (ISO 5 at Rest &amp; ISO 7 in Oper.)', 120, 180);</v>
      </c>
    </row>
    <row r="33" spans="1:5" ht="28.5">
      <c r="A33" s="1014" t="s">
        <v>75</v>
      </c>
      <c r="B33" s="1015" t="s">
        <v>64</v>
      </c>
      <c r="C33" s="1016">
        <v>180</v>
      </c>
      <c r="D33" s="1016">
        <v>240</v>
      </c>
      <c r="E33" s="1008" t="str">
        <f t="shared" si="0"/>
        <v>INSERT INTO tCR_metadata (standard_name, classification_name, acph_min, acph_max) VALUES ('EU GMP', 'Grade A (ISO 5 at Rest &amp; ISO 5 in Oper.)', 180, 240);</v>
      </c>
    </row>
    <row r="34" spans="1:5" ht="28.5">
      <c r="A34" s="1014" t="s">
        <v>78</v>
      </c>
      <c r="B34" s="1018">
        <v>3500</v>
      </c>
      <c r="C34" s="1016">
        <v>15</v>
      </c>
      <c r="D34" s="1016">
        <v>40</v>
      </c>
      <c r="E34" s="1008" t="str">
        <f t="shared" si="0"/>
        <v>INSERT INTO tCR_metadata (standard_name, classification_name, acph_min, acph_max) VALUES ('TGA', '3500', 15, 40);</v>
      </c>
    </row>
    <row r="35" spans="1:5" ht="28.5">
      <c r="A35" s="1014" t="s">
        <v>78</v>
      </c>
      <c r="B35" s="1015">
        <v>350</v>
      </c>
      <c r="C35" s="1016">
        <v>40</v>
      </c>
      <c r="D35" s="1016">
        <v>80</v>
      </c>
      <c r="E35" s="1008" t="str">
        <f t="shared" si="0"/>
        <v>INSERT INTO tCR_metadata (standard_name, classification_name, acph_min, acph_max) VALUES ('TGA', '350', 40, 80);</v>
      </c>
    </row>
    <row r="36" spans="1:5" ht="28.5">
      <c r="A36" s="1014" t="s">
        <v>78</v>
      </c>
      <c r="B36" s="1018">
        <v>35</v>
      </c>
      <c r="C36" s="1016">
        <v>80</v>
      </c>
      <c r="D36" s="1016">
        <v>130</v>
      </c>
      <c r="E36" s="1008" t="str">
        <f t="shared" si="0"/>
        <v>INSERT INTO tCR_metadata (standard_name, classification_name, acph_min, acph_max) VALUES ('TGA', '35', 80, 130);</v>
      </c>
    </row>
    <row r="37" spans="1:5" ht="28.5">
      <c r="A37" s="1014" t="s">
        <v>78</v>
      </c>
      <c r="B37" s="1015">
        <v>3.5</v>
      </c>
      <c r="C37" s="1016">
        <v>130</v>
      </c>
      <c r="D37" s="1016">
        <v>300</v>
      </c>
      <c r="E37" s="1008" t="str">
        <f t="shared" si="0"/>
        <v>INSERT INTO tCR_metadata (standard_name, classification_name, acph_min, acph_max) VALUES ('TGA', '3.5', 130, 300);</v>
      </c>
    </row>
    <row r="38" spans="1:5" ht="28.5">
      <c r="A38" s="1014" t="s">
        <v>78</v>
      </c>
      <c r="B38" s="1018">
        <v>0.35</v>
      </c>
      <c r="C38" s="1016">
        <v>180</v>
      </c>
      <c r="D38" s="1016">
        <v>400</v>
      </c>
      <c r="E38" s="1008" t="str">
        <f t="shared" si="0"/>
        <v>INSERT INTO tCR_metadata (standard_name, classification_name, acph_min, acph_max) VALUES ('TGA', '0.35', 180, 400);</v>
      </c>
    </row>
    <row r="39" spans="1:5" ht="28.5">
      <c r="A39" s="1014" t="s">
        <v>78</v>
      </c>
      <c r="B39" s="1015">
        <v>3.5000000000000003E-2</v>
      </c>
      <c r="C39" s="1016">
        <v>240</v>
      </c>
      <c r="D39" s="1016">
        <v>500</v>
      </c>
      <c r="E39" s="1008" t="str">
        <f t="shared" si="0"/>
        <v>INSERT INTO tCR_metadata (standard_name, classification_name, acph_min, acph_max) VALUES ('TGA', '0.035', 240, 500);</v>
      </c>
    </row>
    <row r="40" spans="1:5" ht="28.5">
      <c r="A40" s="1014" t="s">
        <v>79</v>
      </c>
      <c r="B40" s="1018" t="s">
        <v>80</v>
      </c>
      <c r="C40" s="1016">
        <v>12</v>
      </c>
      <c r="D40" s="1016">
        <v>25</v>
      </c>
      <c r="E40" s="1008" t="str">
        <f t="shared" si="0"/>
        <v>INSERT INTO tCR_metadata (standard_name, classification_name, acph_min, acph_max) VALUES ('BS 5295', 'K', 12, 25);</v>
      </c>
    </row>
    <row r="41" spans="1:5" ht="28.5">
      <c r="A41" s="1014" t="s">
        <v>79</v>
      </c>
      <c r="B41" s="1015" t="s">
        <v>81</v>
      </c>
      <c r="C41" s="1016">
        <v>30</v>
      </c>
      <c r="D41" s="1016">
        <v>80</v>
      </c>
      <c r="E41" s="1008" t="str">
        <f t="shared" si="0"/>
        <v>INSERT INTO tCR_metadata (standard_name, classification_name, acph_min, acph_max) VALUES ('BS 5295', 'J', 30, 80);</v>
      </c>
    </row>
    <row r="42" spans="1:5" ht="28.5">
      <c r="A42" s="1014" t="s">
        <v>79</v>
      </c>
      <c r="B42" s="1018" t="s">
        <v>82</v>
      </c>
      <c r="C42" s="1016">
        <v>120</v>
      </c>
      <c r="D42" s="1016">
        <v>180</v>
      </c>
      <c r="E42" s="1008" t="str">
        <f t="shared" si="0"/>
        <v>INSERT INTO tCR_metadata (standard_name, classification_name, acph_min, acph_max) VALUES ('BS 5295', 'G or H', 120, 180);</v>
      </c>
    </row>
    <row r="43" spans="1:5" ht="28.5">
      <c r="A43" s="1014" t="s">
        <v>79</v>
      </c>
      <c r="B43" s="1015" t="s">
        <v>83</v>
      </c>
      <c r="C43" s="1016">
        <v>240</v>
      </c>
      <c r="D43" s="1016">
        <v>350</v>
      </c>
      <c r="E43" s="1008" t="str">
        <f t="shared" si="0"/>
        <v>INSERT INTO tCR_metadata (standard_name, classification_name, acph_min, acph_max) VALUES ('BS 5295', 'E or F', 240, 350);</v>
      </c>
    </row>
    <row r="44" spans="1:5" ht="28.5">
      <c r="A44" s="1014" t="s">
        <v>79</v>
      </c>
      <c r="B44" s="1018" t="s">
        <v>84</v>
      </c>
      <c r="C44" s="1016">
        <v>350</v>
      </c>
      <c r="D44" s="1016">
        <v>600</v>
      </c>
      <c r="E44" s="1008" t="str">
        <f t="shared" si="0"/>
        <v>INSERT INTO tCR_metadata (standard_name, classification_name, acph_min, acph_max) VALUES ('BS 5295', 'D', 350, 600);</v>
      </c>
    </row>
    <row r="45" spans="1:5" ht="28.5">
      <c r="A45" s="1014" t="s">
        <v>79</v>
      </c>
      <c r="B45" s="1015" t="s">
        <v>85</v>
      </c>
      <c r="C45" s="1016">
        <v>400</v>
      </c>
      <c r="D45" s="1016">
        <v>600</v>
      </c>
      <c r="E45" s="1008" t="str">
        <f t="shared" si="0"/>
        <v>INSERT INTO tCR_metadata (standard_name, classification_name, acph_min, acph_max) VALUES ('BS 5295', 'C', 400, 600);</v>
      </c>
    </row>
    <row r="46" spans="1:5" ht="28.5">
      <c r="A46" s="1014" t="s">
        <v>86</v>
      </c>
      <c r="B46" s="1018">
        <v>6</v>
      </c>
      <c r="C46" s="1016">
        <v>20</v>
      </c>
      <c r="D46" s="1016">
        <v>60</v>
      </c>
      <c r="E46" s="1008" t="str">
        <f t="shared" si="0"/>
        <v>INSERT INTO tCR_metadata (standard_name, classification_name, acph_min, acph_max) VALUES ('GERMANY VD', '6', 20, 60);</v>
      </c>
    </row>
    <row r="47" spans="1:5" ht="28.5">
      <c r="A47" s="1014" t="s">
        <v>86</v>
      </c>
      <c r="B47" s="1015">
        <v>5</v>
      </c>
      <c r="C47" s="1016">
        <v>60</v>
      </c>
      <c r="D47" s="1016">
        <v>120</v>
      </c>
      <c r="E47" s="1008" t="str">
        <f t="shared" si="0"/>
        <v>INSERT INTO tCR_metadata (standard_name, classification_name, acph_min, acph_max) VALUES ('GERMANY VD', '5', 60, 120);</v>
      </c>
    </row>
    <row r="48" spans="1:5" ht="28.5">
      <c r="A48" s="1014" t="s">
        <v>86</v>
      </c>
      <c r="B48" s="1018">
        <v>4</v>
      </c>
      <c r="C48" s="1016">
        <v>120</v>
      </c>
      <c r="D48" s="1016">
        <v>180</v>
      </c>
      <c r="E48" s="1008" t="str">
        <f t="shared" si="0"/>
        <v>INSERT INTO tCR_metadata (standard_name, classification_name, acph_min, acph_max) VALUES ('GERMANY VD', '4', 120, 180);</v>
      </c>
    </row>
    <row r="49" spans="1:5" ht="28.5">
      <c r="A49" s="1014" t="s">
        <v>86</v>
      </c>
      <c r="B49" s="1015">
        <v>3</v>
      </c>
      <c r="C49" s="1016">
        <v>180</v>
      </c>
      <c r="D49" s="1016">
        <v>240</v>
      </c>
      <c r="E49" s="1008" t="str">
        <f t="shared" si="0"/>
        <v>INSERT INTO tCR_metadata (standard_name, classification_name, acph_min, acph_max) VALUES ('GERMANY VD', '3', 180, 240);</v>
      </c>
    </row>
    <row r="50" spans="1:5" ht="28.5">
      <c r="A50" s="1014" t="s">
        <v>86</v>
      </c>
      <c r="B50" s="1018">
        <v>2</v>
      </c>
      <c r="C50" s="1016">
        <v>240</v>
      </c>
      <c r="D50" s="1016">
        <v>360</v>
      </c>
      <c r="E50" s="1008" t="str">
        <f t="shared" si="0"/>
        <v>INSERT INTO tCR_metadata (standard_name, classification_name, acph_min, acph_max) VALUES ('GERMANY VD', '2', 240, 360);</v>
      </c>
    </row>
    <row r="51" spans="1:5" ht="28.5">
      <c r="A51" s="1014" t="s">
        <v>86</v>
      </c>
      <c r="B51" s="1015">
        <v>1</v>
      </c>
      <c r="C51" s="1016">
        <v>360</v>
      </c>
      <c r="D51" s="1016">
        <v>550</v>
      </c>
      <c r="E51" s="1008" t="str">
        <f t="shared" si="0"/>
        <v>INSERT INTO tCR_metadata (standard_name, classification_name, acph_min, acph_max) VALUES ('GERMANY VD', '1', 360, 550);</v>
      </c>
    </row>
    <row r="52" spans="1:5" ht="28.5">
      <c r="A52" s="1014" t="s">
        <v>86</v>
      </c>
      <c r="B52" s="1018">
        <v>0</v>
      </c>
      <c r="C52" s="1016">
        <v>400</v>
      </c>
      <c r="D52" s="1016">
        <v>600</v>
      </c>
      <c r="E52" s="1008" t="str">
        <f t="shared" si="0"/>
        <v>INSERT INTO tCR_metadata (standard_name, classification_name, acph_min, acph_max) VALUES ('GERMANY VD', '0', 400, 600);</v>
      </c>
    </row>
    <row r="53" spans="1:5" ht="28.5">
      <c r="A53" s="1014" t="s">
        <v>87</v>
      </c>
      <c r="B53" s="1018">
        <v>4000000</v>
      </c>
      <c r="C53" s="1016">
        <v>20</v>
      </c>
      <c r="D53" s="1016">
        <v>50</v>
      </c>
      <c r="E53" s="1008" t="str">
        <f t="shared" si="0"/>
        <v>INSERT INTO tCR_metadata (standard_name, classification_name, acph_min, acph_max) VALUES ('AFNOR X44101', '4000000', 20, 50);</v>
      </c>
    </row>
    <row r="54" spans="1:5" ht="28.5">
      <c r="A54" s="1014" t="s">
        <v>87</v>
      </c>
      <c r="B54" s="1015">
        <v>400000</v>
      </c>
      <c r="C54" s="1016">
        <v>60</v>
      </c>
      <c r="D54" s="1016">
        <v>120</v>
      </c>
      <c r="E54" s="1008" t="str">
        <f t="shared" si="0"/>
        <v>INSERT INTO tCR_metadata (standard_name, classification_name, acph_min, acph_max) VALUES ('AFNOR X44101', '400000', 60, 120);</v>
      </c>
    </row>
    <row r="55" spans="1:5" ht="28.5">
      <c r="A55" s="1014" t="s">
        <v>87</v>
      </c>
      <c r="B55" s="1015">
        <v>4000</v>
      </c>
      <c r="C55" s="1016">
        <v>120</v>
      </c>
      <c r="D55" s="1016">
        <v>240</v>
      </c>
      <c r="E55" s="1008" t="str">
        <f t="shared" si="0"/>
        <v>INSERT INTO tCR_metadata (standard_name, classification_name, acph_min, acph_max) VALUES ('AFNOR X44101', '4000', 120, 240);</v>
      </c>
    </row>
    <row r="56" spans="1:5" ht="28.5">
      <c r="A56" s="1014" t="s">
        <v>88</v>
      </c>
      <c r="B56" s="1020" t="s">
        <v>89</v>
      </c>
      <c r="C56" s="1016">
        <v>5</v>
      </c>
      <c r="D56" s="1016">
        <v>15</v>
      </c>
      <c r="E56" s="1008" t="str">
        <f t="shared" si="0"/>
        <v>INSERT INTO tCR_metadata (standard_name, classification_name, acph_min, acph_max) VALUES ('NC-Non Classified', '20µ', 5, 15);</v>
      </c>
    </row>
    <row r="57" spans="1:5" ht="28.5">
      <c r="A57" s="1014" t="s">
        <v>88</v>
      </c>
      <c r="B57" s="1020" t="s">
        <v>90</v>
      </c>
      <c r="C57" s="1016">
        <v>5</v>
      </c>
      <c r="D57" s="1016">
        <v>20</v>
      </c>
      <c r="E57" s="1008" t="str">
        <f t="shared" si="0"/>
        <v>INSERT INTO tCR_metadata (standard_name, classification_name, acph_min, acph_max) VALUES ('NC-Non Classified', '15µ', 5, 20);</v>
      </c>
    </row>
    <row r="58" spans="1:5" ht="28.5">
      <c r="A58" s="1014" t="s">
        <v>88</v>
      </c>
      <c r="B58" s="1020" t="s">
        <v>91</v>
      </c>
      <c r="C58" s="1016">
        <v>10</v>
      </c>
      <c r="D58" s="1016">
        <v>25</v>
      </c>
      <c r="E58" s="1008" t="str">
        <f t="shared" si="0"/>
        <v>INSERT INTO tCR_metadata (standard_name, classification_name, acph_min, acph_max) VALUES ('NC-Non Classified', '10µ', 10, 25);</v>
      </c>
    </row>
    <row r="59" spans="1:5" ht="28.5">
      <c r="A59" s="1014" t="s">
        <v>88</v>
      </c>
      <c r="B59" s="1020" t="s">
        <v>92</v>
      </c>
      <c r="C59" s="1016">
        <v>15</v>
      </c>
      <c r="D59" s="1016">
        <v>25</v>
      </c>
      <c r="E59" s="1008" t="str">
        <f t="shared" si="0"/>
        <v>INSERT INTO tCR_metadata (standard_name, classification_name, acph_min, acph_max) VALUES ('NC-Non Classified', '5µ', 15, 25);</v>
      </c>
    </row>
    <row r="60" spans="1:5" ht="28.5">
      <c r="A60" s="1014" t="s">
        <v>88</v>
      </c>
      <c r="B60" s="1020" t="s">
        <v>93</v>
      </c>
      <c r="C60" s="1016">
        <v>15</v>
      </c>
      <c r="D60" s="1016">
        <v>25</v>
      </c>
      <c r="E60" s="1008" t="str">
        <f t="shared" si="0"/>
        <v>INSERT INTO tCR_metadata (standard_name, classification_name, acph_min, acph_max) VALUES ('NC-Non Classified', '1µ', 15, 25);</v>
      </c>
    </row>
    <row r="61" spans="1:5" ht="28.5">
      <c r="A61" s="1014" t="s">
        <v>88</v>
      </c>
      <c r="B61" s="1018" t="s">
        <v>94</v>
      </c>
      <c r="C61" s="1016">
        <v>5</v>
      </c>
      <c r="D61" s="1016">
        <v>10</v>
      </c>
      <c r="E61" s="1008" t="str">
        <f t="shared" si="0"/>
        <v>INSERT INTO tCR_metadata (standard_name, classification_name, acph_min, acph_max) VALUES ('NC-Non Classified', 'No-Filtration', 5, 10);</v>
      </c>
    </row>
    <row r="62" spans="1:5" ht="28.5">
      <c r="A62" s="1014" t="s">
        <v>88</v>
      </c>
      <c r="B62" s="1015" t="s">
        <v>95</v>
      </c>
      <c r="C62" s="1016">
        <v>5</v>
      </c>
      <c r="D62" s="1016">
        <v>10</v>
      </c>
      <c r="E62" s="1008" t="str">
        <f t="shared" si="0"/>
        <v>INSERT INTO tCR_metadata (standard_name, classification_name, acph_min, acph_max) VALUES ('NC-Non Classified', 'Positive Pressure', 5, 10);</v>
      </c>
    </row>
    <row r="63" spans="1:5" ht="28.5">
      <c r="A63" s="1014" t="s">
        <v>88</v>
      </c>
      <c r="B63" s="1018" t="s">
        <v>96</v>
      </c>
      <c r="C63" s="1016">
        <v>0</v>
      </c>
      <c r="D63" s="1016">
        <v>0</v>
      </c>
      <c r="E63" s="1008" t="str">
        <f t="shared" si="0"/>
        <v>INSERT INTO tCR_metadata (standard_name, classification_name, acph_min, acph_max) VALUES ('NC-Non Classified', 'Exhaust', 0, 0);</v>
      </c>
    </row>
    <row r="64" spans="1:5" ht="28.5">
      <c r="A64" s="1014" t="s">
        <v>31</v>
      </c>
      <c r="B64" s="1018" t="s">
        <v>97</v>
      </c>
      <c r="C64" s="1016">
        <v>6</v>
      </c>
      <c r="D64" s="1016">
        <v>12</v>
      </c>
      <c r="E64" s="1008" t="str">
        <f t="shared" si="0"/>
        <v>INSERT INTO tCR_metadata (standard_name, classification_name, acph_min, acph_max) VALUES ('ISO 14698', 'BSL - 1', 6, 12);</v>
      </c>
    </row>
    <row r="65" spans="1:5" ht="28.5">
      <c r="A65" s="1014" t="s">
        <v>31</v>
      </c>
      <c r="B65" s="1018" t="s">
        <v>98</v>
      </c>
      <c r="C65" s="1016">
        <v>10</v>
      </c>
      <c r="D65" s="1016">
        <v>15</v>
      </c>
      <c r="E65" s="1008" t="str">
        <f t="shared" si="0"/>
        <v>INSERT INTO tCR_metadata (standard_name, classification_name, acph_min, acph_max) VALUES ('ISO 14698', 'BSL - 2', 10, 15);</v>
      </c>
    </row>
    <row r="66" spans="1:5" ht="28.5">
      <c r="A66" s="1014" t="s">
        <v>31</v>
      </c>
      <c r="B66" s="1018" t="s">
        <v>99</v>
      </c>
      <c r="C66" s="1016">
        <v>15</v>
      </c>
      <c r="D66" s="1016">
        <v>20</v>
      </c>
      <c r="E66" s="1008" t="str">
        <f t="shared" si="0"/>
        <v>INSERT INTO tCR_metadata (standard_name, classification_name, acph_min, acph_max) VALUES ('ISO 14698', 'BSL - 3', 15, 20);</v>
      </c>
    </row>
    <row r="67" spans="1:5" ht="28.5">
      <c r="A67" s="1014" t="s">
        <v>31</v>
      </c>
      <c r="B67" s="1018" t="s">
        <v>100</v>
      </c>
      <c r="C67" s="1016">
        <v>20</v>
      </c>
      <c r="D67" s="1016">
        <v>30</v>
      </c>
      <c r="E67" s="1008" t="str">
        <f t="shared" ref="E67:E71" si="1">"INSERT INTO tCR_metadata (standard_name, classification_name, acph_min, acph_max) VALUES ('"&amp;A67&amp;"', '"&amp;B67&amp;"', "&amp;C67&amp;", "&amp;D67&amp;");"</f>
        <v>INSERT INTO tCR_metadata (standard_name, classification_name, acph_min, acph_max) VALUES ('ISO 14698', 'BSL - 4', 20, 30);</v>
      </c>
    </row>
    <row r="68" spans="1:5" ht="28.5">
      <c r="A68" s="1014" t="s">
        <v>101</v>
      </c>
      <c r="B68" s="1018" t="s">
        <v>102</v>
      </c>
      <c r="C68" s="1016">
        <v>80</v>
      </c>
      <c r="D68" s="1016">
        <v>100</v>
      </c>
      <c r="E68" s="1008" t="str">
        <f t="shared" si="1"/>
        <v>INSERT INTO tCR_metadata (standard_name, classification_name, acph_min, acph_max) VALUES ('SCHEDULE M', 'GRADE CLASS A', 80, 100);</v>
      </c>
    </row>
    <row r="69" spans="1:5" ht="28.5">
      <c r="A69" s="1014" t="s">
        <v>101</v>
      </c>
      <c r="B69" s="1018" t="s">
        <v>103</v>
      </c>
      <c r="C69" s="1016">
        <v>60</v>
      </c>
      <c r="D69" s="1016">
        <v>80</v>
      </c>
      <c r="E69" s="1008" t="str">
        <f t="shared" si="1"/>
        <v>INSERT INTO tCR_metadata (standard_name, classification_name, acph_min, acph_max) VALUES ('SCHEDULE M', 'GRADE CLASS B', 60, 80);</v>
      </c>
    </row>
    <row r="70" spans="1:5" ht="28.5">
      <c r="A70" s="1014" t="s">
        <v>101</v>
      </c>
      <c r="B70" s="1018" t="s">
        <v>104</v>
      </c>
      <c r="C70" s="1016">
        <v>40</v>
      </c>
      <c r="D70" s="1016">
        <v>60</v>
      </c>
      <c r="E70" s="1008" t="str">
        <f t="shared" si="1"/>
        <v>INSERT INTO tCR_metadata (standard_name, classification_name, acph_min, acph_max) VALUES ('SCHEDULE M', 'GRADE CLASS C', 40, 60);</v>
      </c>
    </row>
    <row r="71" spans="1:5" ht="28.5">
      <c r="A71" s="1014" t="s">
        <v>101</v>
      </c>
      <c r="B71" s="1018" t="s">
        <v>105</v>
      </c>
      <c r="C71" s="1016">
        <v>20</v>
      </c>
      <c r="D71" s="1016">
        <v>40</v>
      </c>
      <c r="E71" s="1008" t="str">
        <f t="shared" si="1"/>
        <v>INSERT INTO tCR_metadata (standard_name, classification_name, acph_min, acph_max) VALUES ('SCHEDULE M', 'GRADE CLASS D', 20, 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5E0F-428A-43A8-AD70-E04EB3C314D5}">
  <sheetPr codeName="Sheet11"/>
  <dimension ref="A1:M48"/>
  <sheetViews>
    <sheetView topLeftCell="A8" zoomScale="46" workbookViewId="0">
      <selection activeCell="G40" sqref="G40"/>
    </sheetView>
  </sheetViews>
  <sheetFormatPr defaultRowHeight="14.45"/>
  <cols>
    <col min="1" max="1" width="55.42578125" bestFit="1" customWidth="1"/>
    <col min="2" max="2" width="32.7109375" bestFit="1" customWidth="1"/>
    <col min="3" max="3" width="18" customWidth="1"/>
    <col min="4" max="4" width="16.140625" customWidth="1"/>
    <col min="5" max="5" width="29.85546875" customWidth="1"/>
    <col min="6" max="6" width="18.140625" customWidth="1"/>
    <col min="7" max="7" width="27.42578125" customWidth="1"/>
    <col min="8" max="8" width="25.42578125" customWidth="1"/>
    <col min="9" max="9" width="18.140625" customWidth="1"/>
    <col min="10" max="10" width="15.140625" customWidth="1"/>
    <col min="11" max="11" width="23.7109375" customWidth="1"/>
    <col min="12" max="12" width="24.85546875" customWidth="1"/>
    <col min="13" max="13" width="32" customWidth="1"/>
  </cols>
  <sheetData>
    <row r="1" spans="1:13" ht="23.45">
      <c r="A1" s="869" t="s">
        <v>106</v>
      </c>
      <c r="B1" s="879" t="s">
        <v>107</v>
      </c>
      <c r="C1" s="870" t="s">
        <v>108</v>
      </c>
      <c r="D1" s="870" t="s">
        <v>109</v>
      </c>
      <c r="E1" s="870" t="s">
        <v>57</v>
      </c>
      <c r="F1" s="871" t="s">
        <v>110</v>
      </c>
      <c r="G1" s="870" t="s">
        <v>111</v>
      </c>
      <c r="H1" s="870" t="s">
        <v>112</v>
      </c>
      <c r="I1" s="870" t="s">
        <v>78</v>
      </c>
      <c r="J1" s="872" t="s">
        <v>113</v>
      </c>
      <c r="K1" s="871" t="s">
        <v>114</v>
      </c>
      <c r="L1" s="872" t="s">
        <v>115</v>
      </c>
      <c r="M1" s="873" t="s">
        <v>116</v>
      </c>
    </row>
    <row r="2" spans="1:13" ht="23.45">
      <c r="A2" s="869" t="str">
        <f>IF(B2&amp;C3&amp;D2="","",TRIM(TEXT(B2 &amp; C3 &amp; D2,0))&amp;TEXT(ROW()-1,"00000"))</f>
        <v>ISO_14644ISO 8Class100K00001</v>
      </c>
      <c r="B2" s="880" t="s">
        <v>108</v>
      </c>
      <c r="C2" s="871" t="s">
        <v>8</v>
      </c>
      <c r="D2" s="872" t="s">
        <v>37</v>
      </c>
      <c r="E2" s="872" t="s">
        <v>117</v>
      </c>
      <c r="F2" s="871" t="s">
        <v>66</v>
      </c>
      <c r="G2" s="872" t="s">
        <v>118</v>
      </c>
      <c r="H2" s="871" t="s">
        <v>119</v>
      </c>
      <c r="I2" s="872">
        <v>3500</v>
      </c>
      <c r="J2" s="872" t="s">
        <v>80</v>
      </c>
      <c r="K2" s="871"/>
      <c r="L2" s="871"/>
      <c r="M2" s="874" t="s">
        <v>89</v>
      </c>
    </row>
    <row r="3" spans="1:13" ht="23.45">
      <c r="A3" s="869" t="str">
        <f>IF(B3&amp;C4&amp;D3="","",TRIM(TEXT(B3&amp;C4&amp;D3,0))&amp;TEXT(ROW()-1,"00000"))</f>
        <v>FDAISO 7Class10K00002</v>
      </c>
      <c r="B3" s="881" t="s">
        <v>109</v>
      </c>
      <c r="C3" s="871" t="s">
        <v>12</v>
      </c>
      <c r="D3" s="871" t="s">
        <v>41</v>
      </c>
      <c r="E3" s="871" t="s">
        <v>120</v>
      </c>
      <c r="F3" s="871" t="s">
        <v>67</v>
      </c>
      <c r="G3" s="871" t="s">
        <v>121</v>
      </c>
      <c r="H3" s="872" t="s">
        <v>122</v>
      </c>
      <c r="I3" s="871">
        <v>350</v>
      </c>
      <c r="J3" s="871" t="s">
        <v>81</v>
      </c>
      <c r="K3" s="872">
        <v>6</v>
      </c>
      <c r="L3" s="872">
        <v>4000000</v>
      </c>
      <c r="M3" s="874" t="s">
        <v>90</v>
      </c>
    </row>
    <row r="4" spans="1:13" ht="23.45">
      <c r="A4" s="869" t="str">
        <f>IF(B4&amp;C5&amp;D4="","",TRIM(TEXT(B4&amp;C5&amp;D4,0))&amp;TEXT(ROW()-1,"00000"))</f>
        <v>GMPISO 6Class1K00003</v>
      </c>
      <c r="B4" s="880" t="s">
        <v>57</v>
      </c>
      <c r="C4" s="872" t="s">
        <v>14</v>
      </c>
      <c r="D4" s="872" t="s">
        <v>44</v>
      </c>
      <c r="E4" s="872" t="s">
        <v>123</v>
      </c>
      <c r="F4" s="871" t="s">
        <v>68</v>
      </c>
      <c r="G4" s="872" t="s">
        <v>123</v>
      </c>
      <c r="H4" s="871" t="s">
        <v>124</v>
      </c>
      <c r="I4" s="872">
        <v>35</v>
      </c>
      <c r="J4" s="872" t="s">
        <v>82</v>
      </c>
      <c r="K4" s="871">
        <v>5</v>
      </c>
      <c r="L4" s="871">
        <v>400000</v>
      </c>
      <c r="M4" s="874" t="s">
        <v>91</v>
      </c>
    </row>
    <row r="5" spans="1:13" ht="23.45">
      <c r="A5" s="869" t="str">
        <f>IF(B5&amp;C6&amp;D5="","",TRIM(TEXT(B5&amp;C6&amp;D5,0))&amp;TEXT(ROW()-1,"00000"))</f>
        <v>TGAISO 5Class 10000004</v>
      </c>
      <c r="B5" s="881" t="s">
        <v>78</v>
      </c>
      <c r="C5" s="871" t="s">
        <v>17</v>
      </c>
      <c r="D5" s="871" t="s">
        <v>47</v>
      </c>
      <c r="E5" s="871" t="s">
        <v>125</v>
      </c>
      <c r="F5" s="871" t="s">
        <v>69</v>
      </c>
      <c r="G5" s="871" t="s">
        <v>125</v>
      </c>
      <c r="H5" s="872" t="s">
        <v>126</v>
      </c>
      <c r="I5" s="871">
        <v>3.5</v>
      </c>
      <c r="J5" s="871" t="s">
        <v>83</v>
      </c>
      <c r="K5" s="872">
        <v>4</v>
      </c>
      <c r="L5" s="872" t="s">
        <v>127</v>
      </c>
      <c r="M5" s="874" t="s">
        <v>92</v>
      </c>
    </row>
    <row r="6" spans="1:13" ht="23.45">
      <c r="A6" s="869" t="str">
        <f>IF(B6&amp;C7&amp;D6="","",TRIM(TEXT(B6&amp;C7&amp;D6,0))&amp;TEXT(ROW()-1,"00000"))</f>
        <v>JIS_B_9920ISO 4Class 1000005</v>
      </c>
      <c r="B6" s="880" t="s">
        <v>110</v>
      </c>
      <c r="C6" s="872" t="s">
        <v>21</v>
      </c>
      <c r="D6" s="872" t="s">
        <v>51</v>
      </c>
      <c r="E6" s="871"/>
      <c r="F6" s="871" t="s">
        <v>70</v>
      </c>
      <c r="G6" s="871"/>
      <c r="H6" s="871" t="s">
        <v>128</v>
      </c>
      <c r="I6" s="872">
        <v>0.35</v>
      </c>
      <c r="J6" s="872" t="s">
        <v>84</v>
      </c>
      <c r="K6" s="871">
        <v>3</v>
      </c>
      <c r="L6" s="871">
        <v>4000</v>
      </c>
      <c r="M6" s="874" t="s">
        <v>93</v>
      </c>
    </row>
    <row r="7" spans="1:13" ht="23.45">
      <c r="A7" s="869" t="str">
        <f>IF(B7&amp;C8&amp;D7="","",TRIM(TEXT(B7&amp;C8&amp;D7,0))&amp;TEXT(ROW()-1,"00000"))</f>
        <v>EUGMPISO 3Class 100006</v>
      </c>
      <c r="B7" s="881" t="s">
        <v>111</v>
      </c>
      <c r="C7" s="871" t="s">
        <v>24</v>
      </c>
      <c r="D7" s="871" t="s">
        <v>54</v>
      </c>
      <c r="E7" s="872"/>
      <c r="F7" s="871" t="s">
        <v>71</v>
      </c>
      <c r="G7" s="872"/>
      <c r="H7" s="872" t="s">
        <v>129</v>
      </c>
      <c r="I7" s="871">
        <v>3.5000000000000003E-2</v>
      </c>
      <c r="J7" s="871" t="s">
        <v>85</v>
      </c>
      <c r="K7" s="872">
        <v>2</v>
      </c>
      <c r="L7" s="872" t="s">
        <v>127</v>
      </c>
      <c r="M7" s="875" t="s">
        <v>94</v>
      </c>
    </row>
    <row r="8" spans="1:13" ht="23.45">
      <c r="A8" s="869" t="e">
        <f>IF(B8&amp;#REF!&amp;D8="","",TRIM(TEXT(B8&amp;#REF!&amp;D8,0))&amp;TEXT(ROW()-1,"00000"))</f>
        <v>#REF!</v>
      </c>
      <c r="B8" s="880" t="s">
        <v>112</v>
      </c>
      <c r="C8" s="872" t="s">
        <v>27</v>
      </c>
      <c r="D8" s="871"/>
      <c r="E8" s="871"/>
      <c r="F8" s="871" t="s">
        <v>72</v>
      </c>
      <c r="G8" s="871"/>
      <c r="H8" s="871" t="s">
        <v>130</v>
      </c>
      <c r="I8" s="871"/>
      <c r="J8" s="871"/>
      <c r="K8" s="871">
        <v>1</v>
      </c>
      <c r="L8" s="871" t="s">
        <v>127</v>
      </c>
      <c r="M8" s="876" t="s">
        <v>95</v>
      </c>
    </row>
    <row r="9" spans="1:13" ht="23.45">
      <c r="A9" s="869" t="str">
        <f t="shared" ref="A9:A15" si="0">IF(B9&amp;C9&amp;D9="","",TRIM(TEXT(B9&amp;C9&amp;D9,0))&amp;TEXT(ROW()-1,"00000"))</f>
        <v>BS_5295ISO 200008</v>
      </c>
      <c r="B9" s="881" t="s">
        <v>113</v>
      </c>
      <c r="C9" s="872" t="s">
        <v>30</v>
      </c>
      <c r="D9" s="872"/>
      <c r="E9" s="872"/>
      <c r="F9" s="871" t="s">
        <v>73</v>
      </c>
      <c r="G9" s="872"/>
      <c r="H9" s="872"/>
      <c r="I9" s="872"/>
      <c r="J9" s="872"/>
      <c r="K9" s="872">
        <v>0</v>
      </c>
      <c r="L9" s="872" t="s">
        <v>127</v>
      </c>
      <c r="M9" s="875" t="s">
        <v>96</v>
      </c>
    </row>
    <row r="10" spans="1:13" ht="23.45">
      <c r="A10" s="869" t="str">
        <f t="shared" si="0"/>
        <v>GERMANY_VDISO 100009</v>
      </c>
      <c r="B10" s="880" t="s">
        <v>114</v>
      </c>
      <c r="C10" s="871" t="s">
        <v>34</v>
      </c>
      <c r="D10" s="871"/>
      <c r="E10" s="871"/>
      <c r="F10" s="871" t="s">
        <v>74</v>
      </c>
      <c r="G10" s="871"/>
      <c r="H10" s="871"/>
      <c r="I10" s="871"/>
      <c r="J10" s="871"/>
      <c r="K10" s="871"/>
      <c r="L10" s="871"/>
      <c r="M10" s="876"/>
    </row>
    <row r="11" spans="1:13" ht="23.45">
      <c r="A11" s="869" t="str">
        <f t="shared" si="0"/>
        <v>AFNORX4410100010</v>
      </c>
      <c r="B11" s="881" t="s">
        <v>115</v>
      </c>
      <c r="C11" s="872"/>
      <c r="D11" s="872"/>
      <c r="E11" s="872"/>
      <c r="F11" s="872"/>
      <c r="G11" s="872"/>
      <c r="H11" s="872"/>
      <c r="I11" s="872"/>
      <c r="J11" s="872"/>
      <c r="K11" s="872"/>
      <c r="L11" s="872"/>
      <c r="M11" s="875"/>
    </row>
    <row r="12" spans="1:13" ht="23.45">
      <c r="A12" s="869" t="str">
        <f t="shared" si="0"/>
        <v>NC_Non_Classified00011</v>
      </c>
      <c r="B12" s="882" t="s">
        <v>131</v>
      </c>
      <c r="C12" s="877"/>
      <c r="D12" s="877"/>
      <c r="E12" s="877"/>
      <c r="F12" s="877"/>
      <c r="G12" s="877"/>
      <c r="H12" s="877"/>
      <c r="I12" s="877"/>
      <c r="J12" s="877"/>
      <c r="K12" s="877"/>
      <c r="L12" s="877"/>
      <c r="M12" s="876"/>
    </row>
    <row r="13" spans="1:13" ht="23.45">
      <c r="A13" s="869" t="str">
        <f t="shared" si="0"/>
        <v/>
      </c>
      <c r="B13" s="878"/>
      <c r="C13" s="869"/>
      <c r="D13" s="869"/>
      <c r="E13" s="869"/>
      <c r="F13" s="869"/>
      <c r="G13" s="869"/>
      <c r="H13" s="869"/>
      <c r="I13" s="869"/>
      <c r="J13" s="869"/>
      <c r="K13" s="869"/>
      <c r="L13" s="869"/>
      <c r="M13" s="869"/>
    </row>
    <row r="14" spans="1:13" ht="23.45">
      <c r="A14" s="869" t="str">
        <f t="shared" si="0"/>
        <v/>
      </c>
      <c r="B14" s="878"/>
      <c r="C14" s="869"/>
      <c r="D14" s="869"/>
      <c r="E14" s="869"/>
      <c r="F14" s="869"/>
      <c r="G14" s="869"/>
      <c r="H14" s="869"/>
      <c r="I14" s="869"/>
      <c r="J14" s="869"/>
      <c r="K14" s="869"/>
      <c r="L14" s="869"/>
      <c r="M14" s="869"/>
    </row>
    <row r="15" spans="1:13" ht="23.45">
      <c r="A15" s="869" t="str">
        <f t="shared" si="0"/>
        <v/>
      </c>
      <c r="B15" s="878"/>
      <c r="C15" s="869"/>
      <c r="D15" s="869"/>
      <c r="E15" s="869"/>
      <c r="F15" s="869"/>
      <c r="G15" s="869"/>
      <c r="H15" s="869"/>
      <c r="I15" s="869"/>
      <c r="J15" s="869"/>
      <c r="K15" s="869"/>
      <c r="L15" s="874"/>
      <c r="M15" s="869"/>
    </row>
    <row r="16" spans="1:13" ht="23.45">
      <c r="A16" s="869" t="str">
        <f>IF(B16&amp;C16&amp;D16="","",TRIM(TEXT(B16,6))&amp;TEXT(ROW()-1,"00000"))</f>
        <v/>
      </c>
      <c r="B16" s="878"/>
      <c r="C16" s="869"/>
      <c r="D16" s="869"/>
      <c r="E16" s="869"/>
      <c r="F16" s="869"/>
      <c r="G16" s="869"/>
      <c r="H16" s="869"/>
      <c r="I16" s="869"/>
      <c r="J16" s="869"/>
      <c r="K16" s="869"/>
      <c r="L16" s="869"/>
      <c r="M16" s="869"/>
    </row>
    <row r="17" spans="1:13" ht="23.45">
      <c r="A17" s="869" t="str">
        <f>IF(B17&amp;C17&amp;D17="","",TRIM(TEXT(B17,6))&amp;TEXT(ROW()-1,"00000"))</f>
        <v/>
      </c>
      <c r="B17" s="878"/>
      <c r="C17" s="869"/>
      <c r="D17" s="869"/>
      <c r="E17" s="869"/>
      <c r="F17" s="869"/>
      <c r="G17" s="869"/>
      <c r="H17" s="869"/>
      <c r="I17" s="869"/>
      <c r="J17" s="869"/>
      <c r="K17" s="869"/>
      <c r="L17" s="869"/>
      <c r="M17" s="869"/>
    </row>
    <row r="18" spans="1:13">
      <c r="A18" t="str">
        <f>IF(B18&amp;C18&amp;D18="","",TRIM(TEXT(B18,6))&amp;TEXT(ROW()-1,"00000"))</f>
        <v/>
      </c>
      <c r="E18" t="s">
        <v>132</v>
      </c>
    </row>
    <row r="19" spans="1:13">
      <c r="B19" t="s">
        <v>133</v>
      </c>
      <c r="E19" t="s">
        <v>134</v>
      </c>
      <c r="F19" t="s">
        <v>135</v>
      </c>
    </row>
    <row r="20" spans="1:13">
      <c r="B20" t="s">
        <v>136</v>
      </c>
      <c r="E20" t="s">
        <v>137</v>
      </c>
      <c r="F20" t="s">
        <v>138</v>
      </c>
    </row>
    <row r="21" spans="1:13">
      <c r="E21" t="s">
        <v>139</v>
      </c>
      <c r="F21" t="s">
        <v>140</v>
      </c>
    </row>
    <row r="22" spans="1:13">
      <c r="A22" t="s">
        <v>78</v>
      </c>
      <c r="B22" t="s">
        <v>141</v>
      </c>
      <c r="E22" t="s">
        <v>142</v>
      </c>
      <c r="F22" t="s">
        <v>143</v>
      </c>
    </row>
    <row r="23" spans="1:13">
      <c r="E23" t="s">
        <v>144</v>
      </c>
      <c r="F23" t="s">
        <v>145</v>
      </c>
    </row>
    <row r="24" spans="1:13">
      <c r="E24" t="s">
        <v>146</v>
      </c>
      <c r="F24" t="s">
        <v>147</v>
      </c>
    </row>
    <row r="25" spans="1:13">
      <c r="E25" t="s">
        <v>148</v>
      </c>
      <c r="F25" t="s">
        <v>149</v>
      </c>
    </row>
    <row r="26" spans="1:13">
      <c r="E26" t="s">
        <v>150</v>
      </c>
      <c r="F26" t="s">
        <v>151</v>
      </c>
    </row>
    <row r="27" spans="1:13">
      <c r="E27" t="s">
        <v>152</v>
      </c>
      <c r="F27" t="s">
        <v>153</v>
      </c>
    </row>
    <row r="28" spans="1:13">
      <c r="E28" t="s">
        <v>154</v>
      </c>
      <c r="F28" t="s">
        <v>155</v>
      </c>
    </row>
    <row r="29" spans="1:13">
      <c r="E29" t="s">
        <v>156</v>
      </c>
      <c r="F29" t="s">
        <v>157</v>
      </c>
    </row>
    <row r="30" spans="1:13">
      <c r="E30" t="s">
        <v>158</v>
      </c>
      <c r="F30" t="s">
        <v>159</v>
      </c>
    </row>
    <row r="31" spans="1:13">
      <c r="E31" t="s">
        <v>160</v>
      </c>
      <c r="F31" t="s">
        <v>161</v>
      </c>
    </row>
    <row r="32" spans="1:13">
      <c r="E32" t="s">
        <v>162</v>
      </c>
      <c r="F32" t="s">
        <v>163</v>
      </c>
    </row>
    <row r="37" spans="1:13" ht="24">
      <c r="A37" s="869" t="s">
        <v>106</v>
      </c>
      <c r="B37" s="879" t="s">
        <v>107</v>
      </c>
      <c r="C37" s="870" t="s">
        <v>108</v>
      </c>
      <c r="D37" s="870" t="s">
        <v>109</v>
      </c>
      <c r="E37" s="870" t="s">
        <v>57</v>
      </c>
      <c r="F37" s="871" t="s">
        <v>110</v>
      </c>
      <c r="G37" s="870" t="s">
        <v>111</v>
      </c>
      <c r="H37" s="870" t="s">
        <v>112</v>
      </c>
      <c r="I37" s="870" t="s">
        <v>78</v>
      </c>
      <c r="J37" s="872" t="s">
        <v>113</v>
      </c>
      <c r="K37" s="871" t="s">
        <v>114</v>
      </c>
      <c r="L37" s="872" t="s">
        <v>115</v>
      </c>
      <c r="M37" s="873" t="s">
        <v>116</v>
      </c>
    </row>
    <row r="38" spans="1:13" ht="24">
      <c r="A38" s="869" t="str">
        <f>IF(B38&amp;C39&amp;D38="","",TRIM(TEXT(B38 &amp; C39 &amp; D38,0))&amp;TEXT(ROW()-1,"00000"))</f>
        <v>ISO_14644ISO 8Class100K00037</v>
      </c>
      <c r="B38" s="880" t="s">
        <v>108</v>
      </c>
      <c r="C38" s="871" t="s">
        <v>8</v>
      </c>
      <c r="D38" s="872" t="s">
        <v>37</v>
      </c>
      <c r="E38" s="872" t="s">
        <v>117</v>
      </c>
      <c r="F38" s="871" t="s">
        <v>66</v>
      </c>
      <c r="G38" s="872" t="s">
        <v>118</v>
      </c>
      <c r="H38" s="871" t="s">
        <v>119</v>
      </c>
      <c r="I38" s="872">
        <v>3500</v>
      </c>
      <c r="J38" s="872" t="s">
        <v>80</v>
      </c>
      <c r="K38" s="871"/>
      <c r="L38" s="871"/>
      <c r="M38" s="874" t="s">
        <v>89</v>
      </c>
    </row>
    <row r="39" spans="1:13" ht="24">
      <c r="A39" s="869" t="str">
        <f>IF(B39&amp;C40&amp;D39="","",TRIM(TEXT(B39&amp;C40&amp;D39,0))&amp;TEXT(ROW()-1,"00000"))</f>
        <v>FDAISO 7Class10K00038</v>
      </c>
      <c r="B39" s="881" t="s">
        <v>109</v>
      </c>
      <c r="C39" s="871" t="s">
        <v>12</v>
      </c>
      <c r="D39" s="871" t="s">
        <v>41</v>
      </c>
      <c r="E39" s="871" t="s">
        <v>120</v>
      </c>
      <c r="F39" s="871" t="s">
        <v>67</v>
      </c>
      <c r="G39" s="871" t="s">
        <v>121</v>
      </c>
      <c r="H39" s="872" t="s">
        <v>122</v>
      </c>
      <c r="I39" s="871">
        <v>350</v>
      </c>
      <c r="J39" s="871" t="s">
        <v>81</v>
      </c>
      <c r="K39" s="872">
        <v>6</v>
      </c>
      <c r="L39" s="872">
        <v>4000000</v>
      </c>
      <c r="M39" s="874" t="s">
        <v>90</v>
      </c>
    </row>
    <row r="40" spans="1:13" ht="24">
      <c r="A40" s="869" t="str">
        <f>IF(B40&amp;C41&amp;D40="","",TRIM(TEXT(B40&amp;C41&amp;D40,0))&amp;TEXT(ROW()-1,"00000"))</f>
        <v>GMPISO 6Class1K00039</v>
      </c>
      <c r="B40" s="880" t="s">
        <v>57</v>
      </c>
      <c r="C40" s="872" t="s">
        <v>14</v>
      </c>
      <c r="D40" s="872" t="s">
        <v>44</v>
      </c>
      <c r="E40" s="872" t="s">
        <v>123</v>
      </c>
      <c r="F40" s="871" t="s">
        <v>68</v>
      </c>
      <c r="G40" s="872" t="s">
        <v>123</v>
      </c>
      <c r="H40" s="871" t="s">
        <v>124</v>
      </c>
      <c r="I40" s="872">
        <v>35</v>
      </c>
      <c r="J40" s="872" t="s">
        <v>82</v>
      </c>
      <c r="K40" s="871">
        <v>5</v>
      </c>
      <c r="L40" s="871">
        <v>400000</v>
      </c>
      <c r="M40" s="874" t="s">
        <v>91</v>
      </c>
    </row>
    <row r="41" spans="1:13" ht="24">
      <c r="A41" s="869" t="str">
        <f>IF(B41&amp;C42&amp;D41="","",TRIM(TEXT(B41&amp;C42&amp;D41,0))&amp;TEXT(ROW()-1,"00000"))</f>
        <v>TGAISO 5Class 10000040</v>
      </c>
      <c r="B41" s="881" t="s">
        <v>78</v>
      </c>
      <c r="C41" s="871" t="s">
        <v>17</v>
      </c>
      <c r="D41" s="871" t="s">
        <v>47</v>
      </c>
      <c r="E41" s="871" t="s">
        <v>125</v>
      </c>
      <c r="F41" s="871" t="s">
        <v>69</v>
      </c>
      <c r="G41" s="871" t="s">
        <v>125</v>
      </c>
      <c r="H41" s="872" t="s">
        <v>126</v>
      </c>
      <c r="I41" s="871">
        <v>3.5</v>
      </c>
      <c r="J41" s="871" t="s">
        <v>83</v>
      </c>
      <c r="K41" s="872">
        <v>4</v>
      </c>
      <c r="L41" s="872" t="s">
        <v>127</v>
      </c>
      <c r="M41" s="874" t="s">
        <v>92</v>
      </c>
    </row>
    <row r="42" spans="1:13" ht="24">
      <c r="A42" s="869" t="str">
        <f>IF(B42&amp;C43&amp;D42="","",TRIM(TEXT(B42&amp;C43&amp;D42,0))&amp;TEXT(ROW()-1,"00000"))</f>
        <v>JIS_B_9920ISO 4Class 1000041</v>
      </c>
      <c r="B42" s="880" t="s">
        <v>110</v>
      </c>
      <c r="C42" s="872" t="s">
        <v>21</v>
      </c>
      <c r="D42" s="872" t="s">
        <v>51</v>
      </c>
      <c r="E42" s="871"/>
      <c r="F42" s="871" t="s">
        <v>70</v>
      </c>
      <c r="G42" s="871"/>
      <c r="H42" s="871" t="s">
        <v>128</v>
      </c>
      <c r="I42" s="872">
        <v>0.35</v>
      </c>
      <c r="J42" s="872" t="s">
        <v>84</v>
      </c>
      <c r="K42" s="871">
        <v>3</v>
      </c>
      <c r="L42" s="871">
        <v>4000</v>
      </c>
      <c r="M42" s="874" t="s">
        <v>93</v>
      </c>
    </row>
    <row r="43" spans="1:13" ht="24">
      <c r="A43" s="869" t="str">
        <f>IF(B43&amp;C44&amp;D43="","",TRIM(TEXT(B43&amp;C44&amp;D43,0))&amp;TEXT(ROW()-1,"00000"))</f>
        <v>EUGMPISO 3Class 100042</v>
      </c>
      <c r="B43" s="881" t="s">
        <v>111</v>
      </c>
      <c r="C43" s="871" t="s">
        <v>24</v>
      </c>
      <c r="D43" s="871" t="s">
        <v>54</v>
      </c>
      <c r="E43" s="872"/>
      <c r="F43" s="871" t="s">
        <v>71</v>
      </c>
      <c r="G43" s="872"/>
      <c r="H43" s="872" t="s">
        <v>129</v>
      </c>
      <c r="I43" s="871">
        <v>3.5000000000000003E-2</v>
      </c>
      <c r="J43" s="871" t="s">
        <v>85</v>
      </c>
      <c r="K43" s="872">
        <v>2</v>
      </c>
      <c r="L43" s="872" t="s">
        <v>127</v>
      </c>
      <c r="M43" s="875" t="s">
        <v>94</v>
      </c>
    </row>
    <row r="44" spans="1:13" ht="24">
      <c r="A44" s="869" t="e">
        <f>IF(B44&amp;#REF!&amp;D44="","",TRIM(TEXT(B44&amp;#REF!&amp;D44,0))&amp;TEXT(ROW()-1,"00000"))</f>
        <v>#REF!</v>
      </c>
      <c r="B44" s="880" t="s">
        <v>112</v>
      </c>
      <c r="C44" s="872" t="s">
        <v>27</v>
      </c>
      <c r="D44" s="871"/>
      <c r="E44" s="871"/>
      <c r="F44" s="871" t="s">
        <v>72</v>
      </c>
      <c r="G44" s="871"/>
      <c r="H44" s="871" t="s">
        <v>130</v>
      </c>
      <c r="I44" s="871"/>
      <c r="J44" s="871"/>
      <c r="K44" s="871">
        <v>1</v>
      </c>
      <c r="L44" s="871" t="s">
        <v>127</v>
      </c>
      <c r="M44" s="876" t="s">
        <v>95</v>
      </c>
    </row>
    <row r="45" spans="1:13" ht="24">
      <c r="A45" s="869" t="str">
        <f>IF(B45&amp;C45&amp;D45="","",TRIM(TEXT(B45&amp;C45&amp;D45,0))&amp;TEXT(ROW()-1,"00000"))</f>
        <v>BS_5295ISO 200044</v>
      </c>
      <c r="B45" s="881" t="s">
        <v>113</v>
      </c>
      <c r="C45" s="872" t="s">
        <v>30</v>
      </c>
      <c r="D45" s="872"/>
      <c r="E45" s="872"/>
      <c r="F45" s="871" t="s">
        <v>73</v>
      </c>
      <c r="G45" s="872"/>
      <c r="H45" s="872"/>
      <c r="I45" s="872"/>
      <c r="J45" s="872"/>
      <c r="K45" s="872">
        <v>0</v>
      </c>
      <c r="L45" s="872" t="s">
        <v>127</v>
      </c>
      <c r="M45" s="875" t="s">
        <v>96</v>
      </c>
    </row>
    <row r="46" spans="1:13" ht="24">
      <c r="A46" s="869" t="str">
        <f t="shared" ref="A46:A48" si="1">IF(B46&amp;C46&amp;D46="","",TRIM(TEXT(B46&amp;C46&amp;D46,0))&amp;TEXT(ROW()-1,"00000"))</f>
        <v>GERMANY_VDISO 100045</v>
      </c>
      <c r="B46" s="880" t="s">
        <v>114</v>
      </c>
      <c r="C46" s="871" t="s">
        <v>34</v>
      </c>
      <c r="D46" s="871"/>
      <c r="E46" s="871"/>
      <c r="F46" s="871" t="s">
        <v>74</v>
      </c>
      <c r="G46" s="871"/>
      <c r="H46" s="871"/>
      <c r="I46" s="871"/>
      <c r="J46" s="871"/>
      <c r="K46" s="871"/>
      <c r="L46" s="871"/>
      <c r="M46" s="876"/>
    </row>
    <row r="47" spans="1:13" ht="24">
      <c r="A47" s="869" t="str">
        <f t="shared" si="1"/>
        <v>AFNORX4410100046</v>
      </c>
      <c r="B47" s="881" t="s">
        <v>115</v>
      </c>
      <c r="C47" s="872"/>
      <c r="D47" s="872"/>
      <c r="E47" s="872"/>
      <c r="F47" s="872"/>
      <c r="G47" s="872"/>
      <c r="H47" s="872"/>
      <c r="I47" s="872"/>
      <c r="J47" s="872"/>
      <c r="K47" s="872"/>
      <c r="L47" s="872"/>
      <c r="M47" s="875"/>
    </row>
    <row r="48" spans="1:13" ht="24">
      <c r="A48" s="869" t="str">
        <f t="shared" si="1"/>
        <v>NC_Non_Classified00047</v>
      </c>
      <c r="B48" s="882" t="s">
        <v>131</v>
      </c>
      <c r="C48" s="877"/>
      <c r="D48" s="877"/>
      <c r="E48" s="877"/>
      <c r="F48" s="877"/>
      <c r="G48" s="877"/>
      <c r="H48" s="877"/>
      <c r="I48" s="877"/>
      <c r="J48" s="877"/>
      <c r="K48" s="877"/>
      <c r="L48" s="877"/>
      <c r="M48" s="876"/>
    </row>
  </sheetData>
  <dataValidations count="9">
    <dataValidation type="list" allowBlank="1" showInputMessage="1" showErrorMessage="1" sqref="B24" xr:uid="{37622868-CD4D-4960-8440-F92929A46BFF}">
      <formula1>INDIRECT($A$22)</formula1>
    </dataValidation>
    <dataValidation type="list" allowBlank="1" showInputMessage="1" showErrorMessage="1" sqref="A22" xr:uid="{B680AE71-A1D7-44D6-8F11-10E92AA6A286}">
      <formula1>Arrant</formula1>
    </dataValidation>
    <dataValidation type="list" allowBlank="1" showInputMessage="1" showErrorMessage="1" sqref="M1 M37" xr:uid="{E3B00012-3C07-43DF-BAC9-6D363FFC2E6D}">
      <formula1>"n1:n9"</formula1>
    </dataValidation>
    <dataValidation type="list" allowBlank="1" showInputMessage="1" showErrorMessage="1" sqref="I1 I37" xr:uid="{4E74687D-C7EA-4D5A-B7C2-A9D2B473A4BD}">
      <formula1>"i1:i9"</formula1>
    </dataValidation>
    <dataValidation type="list" allowBlank="1" showInputMessage="1" showErrorMessage="1" sqref="H1 H37" xr:uid="{964F3B5B-47D8-439F-95A7-C48F88C0B05B}">
      <formula1>"h1:h8"</formula1>
    </dataValidation>
    <dataValidation type="list" allowBlank="1" showInputMessage="1" showErrorMessage="1" sqref="G1 G37" xr:uid="{C2E46CEC-42E8-4C67-8202-18EF23553FA5}">
      <formula1>"g1:g7"</formula1>
    </dataValidation>
    <dataValidation type="list" allowBlank="1" showInputMessage="1" showErrorMessage="1" sqref="E1 E37" xr:uid="{28E8DFB2-86E7-478E-BE25-7B36E1482BCC}">
      <formula1>"e1:e5"</formula1>
    </dataValidation>
    <dataValidation type="list" allowBlank="1" showInputMessage="1" showErrorMessage="1" sqref="D1 D37" xr:uid="{C1CD764E-D4CA-437E-9CCB-A7BFDDA09825}">
      <formula1>"d1:d9"</formula1>
    </dataValidation>
    <dataValidation type="list" allowBlank="1" showInputMessage="1" showErrorMessage="1" sqref="B22" xr:uid="{FBA3B868-7208-4D00-9CAA-53E3D0E51006}">
      <formula1>OFFSET($A$1,1,MATCH($A22,$A$1:$L$1,0)-1,COUNTA(OFFSET($A$1,1,MATCH($A22,$A$1:$M$1,0)-1,10,1)),1)</formula1>
    </dataValidation>
  </dataValidation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256A-B12A-4630-81B2-7820C42A5897}">
  <sheetPr>
    <pageSetUpPr fitToPage="1"/>
  </sheetPr>
  <dimension ref="C8:Y406"/>
  <sheetViews>
    <sheetView topLeftCell="A9" zoomScale="111" workbookViewId="0">
      <selection activeCell="S1" sqref="S1"/>
    </sheetView>
  </sheetViews>
  <sheetFormatPr defaultRowHeight="14.45"/>
  <cols>
    <col min="3" max="3" width="5.85546875" customWidth="1"/>
    <col min="4" max="4" width="24.5703125" customWidth="1"/>
    <col min="5" max="17" width="5.85546875" customWidth="1"/>
    <col min="18" max="18" width="19.5703125" bestFit="1" customWidth="1"/>
    <col min="19" max="19" width="5.85546875" hidden="1" customWidth="1"/>
    <col min="20" max="20" width="7.140625" customWidth="1"/>
    <col min="21" max="21" width="13.85546875" customWidth="1"/>
    <col min="22" max="22" width="12.140625" customWidth="1"/>
  </cols>
  <sheetData>
    <row r="8" spans="3:25" ht="26.1">
      <c r="C8" s="8" t="str">
        <f>"Zoning Area AHU - " &amp; INT((ROW()-8)/20)+1 &amp; "  " &amp; IF(ISNUMBER(N10),"Air-Conditioning System " &amp; IF(AH10="D","(DX)",IF(AH10="C","(Chilled Water)","")),IF(AND(N10="Amb",ISTEXT(N10)),"Ventilation System","Refer"))</f>
        <v xml:space="preserve">Zoning Area AHU - 1  Air-Conditioning System </v>
      </c>
      <c r="D8" s="8"/>
      <c r="E8" s="8"/>
      <c r="F8" s="8"/>
      <c r="G8" s="8"/>
      <c r="H8" s="8"/>
      <c r="I8" s="8"/>
      <c r="J8" s="8"/>
      <c r="K8" s="8"/>
      <c r="L8" s="8"/>
      <c r="M8" s="8"/>
      <c r="N8" s="8"/>
      <c r="O8" s="8"/>
      <c r="P8" s="8"/>
      <c r="Q8" s="8"/>
      <c r="R8" s="8"/>
      <c r="S8" s="8"/>
    </row>
    <row r="9" spans="3:25" ht="106.5" customHeight="1">
      <c r="C9" s="4" t="s">
        <v>164</v>
      </c>
      <c r="D9" s="5" t="s">
        <v>165</v>
      </c>
      <c r="E9" s="5" t="s">
        <v>166</v>
      </c>
      <c r="F9" s="5" t="s">
        <v>167</v>
      </c>
      <c r="G9" s="5" t="s">
        <v>168</v>
      </c>
      <c r="H9" s="5" t="s">
        <v>169</v>
      </c>
      <c r="I9" s="5" t="s">
        <v>170</v>
      </c>
      <c r="J9" s="5" t="s">
        <v>171</v>
      </c>
      <c r="K9" s="5" t="s">
        <v>172</v>
      </c>
      <c r="L9" s="5" t="s">
        <v>173</v>
      </c>
      <c r="M9" s="5" t="s">
        <v>174</v>
      </c>
      <c r="N9" s="5" t="s">
        <v>175</v>
      </c>
      <c r="O9" s="5" t="s">
        <v>176</v>
      </c>
      <c r="P9" s="5" t="s">
        <v>177</v>
      </c>
      <c r="Q9" s="5" t="s">
        <v>178</v>
      </c>
      <c r="R9" s="886" t="s">
        <v>179</v>
      </c>
      <c r="S9" s="5" t="s">
        <v>180</v>
      </c>
      <c r="T9" s="5" t="s">
        <v>181</v>
      </c>
      <c r="U9" s="884" t="s">
        <v>182</v>
      </c>
      <c r="V9" s="885" t="s">
        <v>183</v>
      </c>
    </row>
    <row r="10" spans="3:25">
      <c r="C10" s="857">
        <v>1</v>
      </c>
      <c r="D10" s="14" t="s">
        <v>184</v>
      </c>
      <c r="E10" s="14">
        <v>1</v>
      </c>
      <c r="F10" s="14">
        <v>1</v>
      </c>
      <c r="G10" s="14">
        <v>2</v>
      </c>
      <c r="H10" s="14">
        <v>1</v>
      </c>
      <c r="I10" s="14">
        <v>2</v>
      </c>
      <c r="J10" s="14">
        <v>1.75</v>
      </c>
      <c r="K10" s="14">
        <v>2</v>
      </c>
      <c r="L10" s="15">
        <v>0.1</v>
      </c>
      <c r="M10" s="15">
        <v>0</v>
      </c>
      <c r="N10" s="14">
        <v>24</v>
      </c>
      <c r="O10" s="14">
        <v>50</v>
      </c>
      <c r="P10" s="857">
        <v>41</v>
      </c>
      <c r="Q10" s="857">
        <v>85</v>
      </c>
      <c r="R10" s="857" t="s">
        <v>37</v>
      </c>
      <c r="S10" s="857">
        <f>Y10</f>
        <v>12</v>
      </c>
      <c r="T10" s="858" t="s">
        <v>84</v>
      </c>
      <c r="U10" t="s">
        <v>109</v>
      </c>
      <c r="V10">
        <v>0</v>
      </c>
      <c r="Y10">
        <f>IF(AND(ISNUMBER(V10), V10&gt;0), V10, IFERROR(INDEX('Class Air Changes'!$E$6:$E$75, MATCH(R10, 'Class Air Changes'!$D$6:$D$75, 0)), "Not Found"))</f>
        <v>12</v>
      </c>
    </row>
    <row r="11" spans="3:25">
      <c r="C11" s="857">
        <v>2</v>
      </c>
      <c r="D11" s="14" t="s">
        <v>185</v>
      </c>
      <c r="E11" s="14">
        <v>1</v>
      </c>
      <c r="F11" s="14">
        <v>1</v>
      </c>
      <c r="G11" s="14">
        <v>2</v>
      </c>
      <c r="H11" s="14">
        <v>1</v>
      </c>
      <c r="I11" s="14">
        <v>2</v>
      </c>
      <c r="J11" s="14">
        <v>1.75</v>
      </c>
      <c r="K11" s="14">
        <v>2</v>
      </c>
      <c r="L11" s="15">
        <v>0.1</v>
      </c>
      <c r="M11" s="15">
        <v>0</v>
      </c>
      <c r="N11" s="14">
        <f>N10</f>
        <v>24</v>
      </c>
      <c r="O11" s="14">
        <v>50</v>
      </c>
      <c r="P11" s="857">
        <f>P10</f>
        <v>41</v>
      </c>
      <c r="Q11" s="857">
        <v>85</v>
      </c>
      <c r="R11" s="857" t="str">
        <f>R10</f>
        <v>Class100K</v>
      </c>
      <c r="S11" s="857">
        <f>S10</f>
        <v>12</v>
      </c>
      <c r="T11" s="858" t="s">
        <v>84</v>
      </c>
      <c r="U11" t="str">
        <f>U10</f>
        <v>FDA</v>
      </c>
      <c r="V11">
        <f>V10</f>
        <v>0</v>
      </c>
      <c r="Y11">
        <f>IF(AND(ISNUMBER(X11), X11&gt;0), X11, IFERROR(INDEX('Class Air Changes'!$E$6:$E$75, MATCH(R11, 'Class Air Changes'!$D$6:$D$75, 0)), "Not Found"))</f>
        <v>12</v>
      </c>
    </row>
    <row r="12" spans="3:25">
      <c r="C12" s="857">
        <v>3</v>
      </c>
      <c r="D12" s="14" t="s">
        <v>186</v>
      </c>
      <c r="E12" s="14">
        <v>1</v>
      </c>
      <c r="F12" s="14">
        <v>1</v>
      </c>
      <c r="G12" s="14">
        <v>2</v>
      </c>
      <c r="H12" s="14">
        <v>1</v>
      </c>
      <c r="I12" s="14">
        <v>2</v>
      </c>
      <c r="J12" s="14">
        <v>1.75</v>
      </c>
      <c r="K12" s="14">
        <v>2</v>
      </c>
      <c r="L12" s="15">
        <v>0.1</v>
      </c>
      <c r="M12" s="15">
        <v>0</v>
      </c>
      <c r="N12" s="14">
        <f t="shared" ref="N12:N25" si="0">N11</f>
        <v>24</v>
      </c>
      <c r="O12" s="14">
        <v>50</v>
      </c>
      <c r="P12" s="857">
        <f t="shared" ref="P12:P25" si="1">P11</f>
        <v>41</v>
      </c>
      <c r="Q12" s="857">
        <v>85</v>
      </c>
      <c r="R12" s="857" t="str">
        <f t="shared" ref="R12:S25" si="2">R11</f>
        <v>Class100K</v>
      </c>
      <c r="S12" s="857">
        <f t="shared" si="2"/>
        <v>12</v>
      </c>
      <c r="T12" s="858" t="s">
        <v>84</v>
      </c>
      <c r="U12" t="str">
        <f t="shared" ref="U12:U25" si="3">U11</f>
        <v>FDA</v>
      </c>
      <c r="V12">
        <f t="shared" ref="V12:V25" si="4">V11</f>
        <v>0</v>
      </c>
      <c r="Y12">
        <f>IF(AND(ISNUMBER(X12), X12&gt;0), X12, IFERROR(INDEX('Class Air Changes'!$E$6:$E$75, MATCH(R12, 'Class Air Changes'!$D$6:$D$75, 0)), "Not Found"))</f>
        <v>12</v>
      </c>
    </row>
    <row r="13" spans="3:25">
      <c r="C13" s="857">
        <v>4</v>
      </c>
      <c r="D13" s="14" t="s">
        <v>187</v>
      </c>
      <c r="E13" s="14">
        <v>1</v>
      </c>
      <c r="F13" s="14">
        <v>1</v>
      </c>
      <c r="G13" s="14">
        <v>2</v>
      </c>
      <c r="H13" s="14">
        <v>1</v>
      </c>
      <c r="I13" s="14">
        <v>2</v>
      </c>
      <c r="J13" s="14">
        <v>1.75</v>
      </c>
      <c r="K13" s="14">
        <v>2</v>
      </c>
      <c r="L13" s="15">
        <v>0.1</v>
      </c>
      <c r="M13" s="15">
        <v>0</v>
      </c>
      <c r="N13" s="14">
        <f t="shared" si="0"/>
        <v>24</v>
      </c>
      <c r="O13" s="14">
        <v>50</v>
      </c>
      <c r="P13" s="857">
        <f t="shared" si="1"/>
        <v>41</v>
      </c>
      <c r="Q13" s="857">
        <v>85</v>
      </c>
      <c r="R13" s="857" t="str">
        <f t="shared" si="2"/>
        <v>Class100K</v>
      </c>
      <c r="S13" s="857">
        <f t="shared" si="2"/>
        <v>12</v>
      </c>
      <c r="T13" s="858" t="s">
        <v>84</v>
      </c>
      <c r="U13" t="str">
        <f t="shared" si="3"/>
        <v>FDA</v>
      </c>
      <c r="V13">
        <f t="shared" si="4"/>
        <v>0</v>
      </c>
      <c r="Y13">
        <f>IF(AND(ISNUMBER(X13), X13&gt;0), X13, IFERROR(INDEX('Class Air Changes'!$E$6:$E$75, MATCH(R13, 'Class Air Changes'!$D$6:$D$75, 0)), "Not Found"))</f>
        <v>12</v>
      </c>
    </row>
    <row r="14" spans="3:25">
      <c r="C14" s="857">
        <v>5</v>
      </c>
      <c r="D14" s="14" t="s">
        <v>188</v>
      </c>
      <c r="E14" s="14">
        <v>1</v>
      </c>
      <c r="F14" s="14">
        <v>1</v>
      </c>
      <c r="G14" s="14">
        <v>2</v>
      </c>
      <c r="H14" s="14">
        <v>1</v>
      </c>
      <c r="I14" s="14">
        <v>2</v>
      </c>
      <c r="J14" s="14">
        <v>1.75</v>
      </c>
      <c r="K14" s="14">
        <v>2</v>
      </c>
      <c r="L14" s="15">
        <v>0.1</v>
      </c>
      <c r="M14" s="15">
        <v>0</v>
      </c>
      <c r="N14" s="14">
        <f t="shared" si="0"/>
        <v>24</v>
      </c>
      <c r="O14" s="14">
        <v>50</v>
      </c>
      <c r="P14" s="857">
        <f t="shared" si="1"/>
        <v>41</v>
      </c>
      <c r="Q14" s="857">
        <v>85</v>
      </c>
      <c r="R14" s="857" t="str">
        <f t="shared" si="2"/>
        <v>Class100K</v>
      </c>
      <c r="S14" s="857">
        <f t="shared" si="2"/>
        <v>12</v>
      </c>
      <c r="T14" s="858" t="s">
        <v>84</v>
      </c>
      <c r="U14" t="str">
        <f t="shared" si="3"/>
        <v>FDA</v>
      </c>
      <c r="V14">
        <f t="shared" si="4"/>
        <v>0</v>
      </c>
      <c r="Y14">
        <f>IF(AND(ISNUMBER(X14), X14&gt;0), X14, IFERROR(INDEX('Class Air Changes'!$E$6:$E$75, MATCH(R14, 'Class Air Changes'!$D$6:$D$75, 0)), "Not Found"))</f>
        <v>12</v>
      </c>
    </row>
    <row r="15" spans="3:25">
      <c r="C15" s="857">
        <v>6</v>
      </c>
      <c r="D15" s="14" t="s">
        <v>189</v>
      </c>
      <c r="E15" s="14">
        <v>1</v>
      </c>
      <c r="F15" s="14">
        <v>1</v>
      </c>
      <c r="G15" s="14">
        <v>2</v>
      </c>
      <c r="H15" s="14">
        <v>1</v>
      </c>
      <c r="I15" s="14">
        <v>2</v>
      </c>
      <c r="J15" s="14">
        <v>1.75</v>
      </c>
      <c r="K15" s="14">
        <v>2</v>
      </c>
      <c r="L15" s="15">
        <v>0.1</v>
      </c>
      <c r="M15" s="15">
        <v>0</v>
      </c>
      <c r="N15" s="14">
        <f t="shared" si="0"/>
        <v>24</v>
      </c>
      <c r="O15" s="14">
        <v>50</v>
      </c>
      <c r="P15" s="857">
        <f t="shared" si="1"/>
        <v>41</v>
      </c>
      <c r="Q15" s="857">
        <v>85</v>
      </c>
      <c r="R15" s="857" t="str">
        <f t="shared" si="2"/>
        <v>Class100K</v>
      </c>
      <c r="S15" s="857">
        <f t="shared" si="2"/>
        <v>12</v>
      </c>
      <c r="T15" s="858" t="s">
        <v>84</v>
      </c>
      <c r="U15" t="str">
        <f t="shared" si="3"/>
        <v>FDA</v>
      </c>
      <c r="V15">
        <f t="shared" si="4"/>
        <v>0</v>
      </c>
      <c r="Y15">
        <f>IF(AND(ISNUMBER(X15), X15&gt;0), X15, IFERROR(INDEX('Class Air Changes'!$E$6:$E$75, MATCH(R15, 'Class Air Changes'!$D$6:$D$75, 0)), "Not Found"))</f>
        <v>12</v>
      </c>
    </row>
    <row r="16" spans="3:25">
      <c r="C16" s="857">
        <v>7</v>
      </c>
      <c r="D16" s="14" t="s">
        <v>190</v>
      </c>
      <c r="E16" s="14">
        <v>1</v>
      </c>
      <c r="F16" s="14">
        <v>1</v>
      </c>
      <c r="G16" s="14">
        <v>2</v>
      </c>
      <c r="H16" s="14">
        <v>1</v>
      </c>
      <c r="I16" s="14">
        <v>2</v>
      </c>
      <c r="J16" s="14">
        <v>1.75</v>
      </c>
      <c r="K16" s="14">
        <v>2</v>
      </c>
      <c r="L16" s="15">
        <v>0.1</v>
      </c>
      <c r="M16" s="15">
        <v>0</v>
      </c>
      <c r="N16" s="14">
        <f t="shared" si="0"/>
        <v>24</v>
      </c>
      <c r="O16" s="14">
        <v>50</v>
      </c>
      <c r="P16" s="857">
        <f t="shared" si="1"/>
        <v>41</v>
      </c>
      <c r="Q16" s="857">
        <v>85</v>
      </c>
      <c r="R16" s="857" t="str">
        <f t="shared" si="2"/>
        <v>Class100K</v>
      </c>
      <c r="S16" s="857">
        <f t="shared" si="2"/>
        <v>12</v>
      </c>
      <c r="T16" s="858" t="s">
        <v>84</v>
      </c>
      <c r="U16" t="str">
        <f t="shared" si="3"/>
        <v>FDA</v>
      </c>
      <c r="V16">
        <f t="shared" si="4"/>
        <v>0</v>
      </c>
      <c r="Y16">
        <f>IF(AND(ISNUMBER(X16), X16&gt;0), X16, IFERROR(INDEX('Class Air Changes'!$E$6:$E$75, MATCH(R16, 'Class Air Changes'!$D$6:$D$75, 0)), "Not Found"))</f>
        <v>12</v>
      </c>
    </row>
    <row r="17" spans="3:25">
      <c r="C17" s="857">
        <v>8</v>
      </c>
      <c r="D17" s="14" t="s">
        <v>191</v>
      </c>
      <c r="E17" s="14">
        <v>1</v>
      </c>
      <c r="F17" s="14">
        <v>1</v>
      </c>
      <c r="G17" s="14">
        <v>2</v>
      </c>
      <c r="H17" s="14">
        <v>1</v>
      </c>
      <c r="I17" s="14">
        <v>2</v>
      </c>
      <c r="J17" s="14">
        <v>1.75</v>
      </c>
      <c r="K17" s="14">
        <v>2</v>
      </c>
      <c r="L17" s="15">
        <v>0.1</v>
      </c>
      <c r="M17" s="15">
        <v>0</v>
      </c>
      <c r="N17" s="14">
        <f t="shared" si="0"/>
        <v>24</v>
      </c>
      <c r="O17" s="14">
        <v>50</v>
      </c>
      <c r="P17" s="857">
        <f t="shared" si="1"/>
        <v>41</v>
      </c>
      <c r="Q17" s="857">
        <v>85</v>
      </c>
      <c r="R17" s="857" t="str">
        <f t="shared" si="2"/>
        <v>Class100K</v>
      </c>
      <c r="S17" s="857">
        <f t="shared" si="2"/>
        <v>12</v>
      </c>
      <c r="T17" s="858" t="s">
        <v>84</v>
      </c>
      <c r="U17" t="str">
        <f t="shared" si="3"/>
        <v>FDA</v>
      </c>
      <c r="V17">
        <f t="shared" si="4"/>
        <v>0</v>
      </c>
      <c r="Y17">
        <f>IF(AND(ISNUMBER(X17), X17&gt;0), X17, IFERROR(INDEX('Class Air Changes'!$E$6:$E$75, MATCH(R17, 'Class Air Changes'!$D$6:$D$75, 0)), "Not Found"))</f>
        <v>12</v>
      </c>
    </row>
    <row r="18" spans="3:25">
      <c r="C18" s="857">
        <v>9</v>
      </c>
      <c r="D18" s="14" t="s">
        <v>192</v>
      </c>
      <c r="E18" s="14">
        <v>1</v>
      </c>
      <c r="F18" s="14">
        <v>1</v>
      </c>
      <c r="G18" s="14">
        <v>2</v>
      </c>
      <c r="H18" s="14">
        <v>1</v>
      </c>
      <c r="I18" s="14">
        <v>2</v>
      </c>
      <c r="J18" s="14">
        <v>1.75</v>
      </c>
      <c r="K18" s="14">
        <v>2</v>
      </c>
      <c r="L18" s="15">
        <v>0.1</v>
      </c>
      <c r="M18" s="15">
        <v>0</v>
      </c>
      <c r="N18" s="14">
        <f t="shared" si="0"/>
        <v>24</v>
      </c>
      <c r="O18" s="14">
        <v>50</v>
      </c>
      <c r="P18" s="857">
        <f t="shared" si="1"/>
        <v>41</v>
      </c>
      <c r="Q18" s="857">
        <v>85</v>
      </c>
      <c r="R18" s="857" t="str">
        <f t="shared" si="2"/>
        <v>Class100K</v>
      </c>
      <c r="S18" s="857">
        <f t="shared" si="2"/>
        <v>12</v>
      </c>
      <c r="T18" s="858" t="s">
        <v>84</v>
      </c>
      <c r="U18" t="str">
        <f t="shared" si="3"/>
        <v>FDA</v>
      </c>
      <c r="V18">
        <f t="shared" si="4"/>
        <v>0</v>
      </c>
      <c r="Y18">
        <f>IF(AND(ISNUMBER(X18), X18&gt;0), X18, IFERROR(INDEX('Class Air Changes'!$E$6:$E$75, MATCH(R18, 'Class Air Changes'!$D$6:$D$75, 0)), "Not Found"))</f>
        <v>12</v>
      </c>
    </row>
    <row r="19" spans="3:25">
      <c r="C19" s="857">
        <v>10</v>
      </c>
      <c r="D19" s="883">
        <v>12345</v>
      </c>
      <c r="E19" s="14">
        <v>1</v>
      </c>
      <c r="F19" s="14">
        <v>1</v>
      </c>
      <c r="G19" s="14">
        <v>2</v>
      </c>
      <c r="H19" s="14">
        <v>1</v>
      </c>
      <c r="I19" s="14">
        <v>2</v>
      </c>
      <c r="J19" s="14">
        <v>1.75</v>
      </c>
      <c r="K19" s="14">
        <v>2</v>
      </c>
      <c r="L19" s="15">
        <v>0.1</v>
      </c>
      <c r="M19" s="15">
        <v>0</v>
      </c>
      <c r="N19" s="14">
        <f t="shared" si="0"/>
        <v>24</v>
      </c>
      <c r="O19" s="14">
        <v>50</v>
      </c>
      <c r="P19" s="857">
        <f t="shared" si="1"/>
        <v>41</v>
      </c>
      <c r="Q19" s="857">
        <v>85</v>
      </c>
      <c r="R19" s="857" t="str">
        <f t="shared" si="2"/>
        <v>Class100K</v>
      </c>
      <c r="S19" s="857">
        <f t="shared" si="2"/>
        <v>12</v>
      </c>
      <c r="T19" s="858" t="s">
        <v>84</v>
      </c>
      <c r="U19" t="str">
        <f t="shared" si="3"/>
        <v>FDA</v>
      </c>
      <c r="V19">
        <f t="shared" si="4"/>
        <v>0</v>
      </c>
      <c r="Y19">
        <f>IF(AND(ISNUMBER(X19), X19&gt;0), X19, IFERROR(INDEX('Class Air Changes'!$E$6:$E$75, MATCH(R19, 'Class Air Changes'!$D$6:$D$75, 0)), "Not Found"))</f>
        <v>12</v>
      </c>
    </row>
    <row r="20" spans="3:25">
      <c r="C20" s="857">
        <v>11</v>
      </c>
      <c r="D20" s="14" t="s">
        <v>193</v>
      </c>
      <c r="E20" s="14">
        <v>1</v>
      </c>
      <c r="F20" s="14">
        <v>1</v>
      </c>
      <c r="G20" s="14">
        <v>2</v>
      </c>
      <c r="H20" s="14">
        <v>1</v>
      </c>
      <c r="I20" s="14">
        <v>2</v>
      </c>
      <c r="J20" s="14">
        <v>1.75</v>
      </c>
      <c r="K20" s="14">
        <v>2</v>
      </c>
      <c r="L20" s="15">
        <v>0.1</v>
      </c>
      <c r="M20" s="15">
        <v>0</v>
      </c>
      <c r="N20" s="14">
        <f t="shared" si="0"/>
        <v>24</v>
      </c>
      <c r="O20" s="14">
        <v>50</v>
      </c>
      <c r="P20" s="857">
        <f t="shared" si="1"/>
        <v>41</v>
      </c>
      <c r="Q20" s="857">
        <v>85</v>
      </c>
      <c r="R20" s="857" t="str">
        <f t="shared" si="2"/>
        <v>Class100K</v>
      </c>
      <c r="S20" s="857">
        <f t="shared" si="2"/>
        <v>12</v>
      </c>
      <c r="T20" s="858" t="s">
        <v>84</v>
      </c>
      <c r="U20" t="str">
        <f t="shared" si="3"/>
        <v>FDA</v>
      </c>
      <c r="V20">
        <f t="shared" si="4"/>
        <v>0</v>
      </c>
      <c r="Y20">
        <f>IF(AND(ISNUMBER(X20), X20&gt;0), X20, IFERROR(INDEX('Class Air Changes'!$E$6:$E$75, MATCH(R20, 'Class Air Changes'!$D$6:$D$75, 0)), "Not Found"))</f>
        <v>12</v>
      </c>
    </row>
    <row r="21" spans="3:25">
      <c r="C21" s="857">
        <v>12</v>
      </c>
      <c r="D21" s="14" t="s">
        <v>194</v>
      </c>
      <c r="E21" s="14">
        <v>1</v>
      </c>
      <c r="F21" s="14">
        <v>1</v>
      </c>
      <c r="G21" s="14">
        <v>2</v>
      </c>
      <c r="H21" s="14">
        <v>1</v>
      </c>
      <c r="I21" s="14">
        <v>2</v>
      </c>
      <c r="J21" s="14">
        <v>1.75</v>
      </c>
      <c r="K21" s="14">
        <v>2</v>
      </c>
      <c r="L21" s="15">
        <v>0.1</v>
      </c>
      <c r="M21" s="15">
        <v>0</v>
      </c>
      <c r="N21" s="14">
        <f t="shared" si="0"/>
        <v>24</v>
      </c>
      <c r="O21" s="14">
        <v>50</v>
      </c>
      <c r="P21" s="857">
        <f t="shared" si="1"/>
        <v>41</v>
      </c>
      <c r="Q21" s="857">
        <v>85</v>
      </c>
      <c r="R21" s="857" t="str">
        <f t="shared" si="2"/>
        <v>Class100K</v>
      </c>
      <c r="S21" s="857">
        <f t="shared" si="2"/>
        <v>12</v>
      </c>
      <c r="T21" s="858" t="s">
        <v>84</v>
      </c>
      <c r="U21" t="str">
        <f t="shared" si="3"/>
        <v>FDA</v>
      </c>
      <c r="V21">
        <f t="shared" si="4"/>
        <v>0</v>
      </c>
      <c r="Y21">
        <f>IF(AND(ISNUMBER(X21), X21&gt;0), X21, IFERROR(INDEX('Class Air Changes'!$E$6:$E$75, MATCH(R21, 'Class Air Changes'!$D$6:$D$75, 0)), "Not Found"))</f>
        <v>12</v>
      </c>
    </row>
    <row r="22" spans="3:25">
      <c r="C22" s="857">
        <v>13</v>
      </c>
      <c r="D22" s="14" t="s">
        <v>195</v>
      </c>
      <c r="E22" s="14">
        <v>1</v>
      </c>
      <c r="F22" s="14">
        <v>1</v>
      </c>
      <c r="G22" s="14">
        <v>2</v>
      </c>
      <c r="H22" s="14">
        <v>1</v>
      </c>
      <c r="I22" s="14">
        <v>2</v>
      </c>
      <c r="J22" s="14">
        <v>1.75</v>
      </c>
      <c r="K22" s="14">
        <v>2</v>
      </c>
      <c r="L22" s="15">
        <v>0.1</v>
      </c>
      <c r="M22" s="15">
        <v>0</v>
      </c>
      <c r="N22" s="14">
        <f t="shared" si="0"/>
        <v>24</v>
      </c>
      <c r="O22" s="14">
        <v>50</v>
      </c>
      <c r="P22" s="857">
        <f t="shared" si="1"/>
        <v>41</v>
      </c>
      <c r="Q22" s="857">
        <v>85</v>
      </c>
      <c r="R22" s="857" t="str">
        <f t="shared" si="2"/>
        <v>Class100K</v>
      </c>
      <c r="S22" s="857">
        <f t="shared" si="2"/>
        <v>12</v>
      </c>
      <c r="T22" s="858" t="s">
        <v>84</v>
      </c>
      <c r="U22" t="str">
        <f t="shared" si="3"/>
        <v>FDA</v>
      </c>
      <c r="V22">
        <f t="shared" si="4"/>
        <v>0</v>
      </c>
      <c r="Y22">
        <f>IF(AND(ISNUMBER(X22), X22&gt;0), X22, IFERROR(INDEX('Class Air Changes'!$E$6:$E$75, MATCH(R22, 'Class Air Changes'!$D$6:$D$75, 0)), "Not Found"))</f>
        <v>12</v>
      </c>
    </row>
    <row r="23" spans="3:25">
      <c r="C23" s="857">
        <v>14</v>
      </c>
      <c r="D23" s="14" t="s">
        <v>196</v>
      </c>
      <c r="E23" s="14">
        <v>1</v>
      </c>
      <c r="F23" s="14">
        <v>1</v>
      </c>
      <c r="G23" s="14">
        <v>2</v>
      </c>
      <c r="H23" s="14">
        <v>1</v>
      </c>
      <c r="I23" s="14">
        <v>2</v>
      </c>
      <c r="J23" s="14">
        <v>1.75</v>
      </c>
      <c r="K23" s="14">
        <v>2</v>
      </c>
      <c r="L23" s="15">
        <v>0.1</v>
      </c>
      <c r="M23" s="15">
        <v>0</v>
      </c>
      <c r="N23" s="14">
        <f t="shared" si="0"/>
        <v>24</v>
      </c>
      <c r="O23" s="14">
        <v>50</v>
      </c>
      <c r="P23" s="857">
        <f t="shared" si="1"/>
        <v>41</v>
      </c>
      <c r="Q23" s="857">
        <v>85</v>
      </c>
      <c r="R23" s="857" t="str">
        <f t="shared" si="2"/>
        <v>Class100K</v>
      </c>
      <c r="S23" s="857">
        <f t="shared" si="2"/>
        <v>12</v>
      </c>
      <c r="T23" s="858" t="s">
        <v>84</v>
      </c>
      <c r="U23" t="str">
        <f t="shared" si="3"/>
        <v>FDA</v>
      </c>
      <c r="V23">
        <f t="shared" si="4"/>
        <v>0</v>
      </c>
      <c r="Y23">
        <f>IF(AND(ISNUMBER(X23), X23&gt;0), X23, IFERROR(INDEX('Class Air Changes'!$E$6:$E$75, MATCH(R23, 'Class Air Changes'!$D$6:$D$75, 0)), "Not Found"))</f>
        <v>12</v>
      </c>
    </row>
    <row r="24" spans="3:25">
      <c r="C24" s="857">
        <v>15</v>
      </c>
      <c r="D24" s="14" t="s">
        <v>197</v>
      </c>
      <c r="E24" s="14">
        <v>1</v>
      </c>
      <c r="F24" s="14">
        <v>1</v>
      </c>
      <c r="G24" s="14">
        <v>2</v>
      </c>
      <c r="H24" s="14">
        <v>1</v>
      </c>
      <c r="I24" s="14">
        <v>2</v>
      </c>
      <c r="J24" s="14">
        <v>1.75</v>
      </c>
      <c r="K24" s="14">
        <v>2</v>
      </c>
      <c r="L24" s="15">
        <v>0.1</v>
      </c>
      <c r="M24" s="15">
        <v>0</v>
      </c>
      <c r="N24" s="14">
        <f t="shared" si="0"/>
        <v>24</v>
      </c>
      <c r="O24" s="14">
        <v>50</v>
      </c>
      <c r="P24" s="857">
        <f t="shared" si="1"/>
        <v>41</v>
      </c>
      <c r="Q24" s="857">
        <v>85</v>
      </c>
      <c r="R24" s="857" t="str">
        <f t="shared" si="2"/>
        <v>Class100K</v>
      </c>
      <c r="S24" s="857">
        <f t="shared" si="2"/>
        <v>12</v>
      </c>
      <c r="T24" s="858" t="s">
        <v>84</v>
      </c>
      <c r="U24" t="str">
        <f t="shared" si="3"/>
        <v>FDA</v>
      </c>
      <c r="V24">
        <f t="shared" si="4"/>
        <v>0</v>
      </c>
      <c r="Y24">
        <f>IF(AND(ISNUMBER(X24), X24&gt;0), X24, IFERROR(INDEX('Class Air Changes'!$E$6:$E$75, MATCH(R24, 'Class Air Changes'!$D$6:$D$75, 0)), "Not Found"))</f>
        <v>12</v>
      </c>
    </row>
    <row r="25" spans="3:25">
      <c r="C25" s="857">
        <v>16</v>
      </c>
      <c r="D25" s="14" t="s">
        <v>198</v>
      </c>
      <c r="E25" s="14">
        <v>1</v>
      </c>
      <c r="F25" s="14">
        <v>1</v>
      </c>
      <c r="G25" s="14">
        <v>2</v>
      </c>
      <c r="H25" s="14">
        <v>1</v>
      </c>
      <c r="I25" s="14">
        <v>2</v>
      </c>
      <c r="J25" s="14">
        <v>1.75</v>
      </c>
      <c r="K25" s="14">
        <v>2</v>
      </c>
      <c r="L25" s="15">
        <v>0.1</v>
      </c>
      <c r="M25" s="15">
        <v>0</v>
      </c>
      <c r="N25" s="14">
        <f t="shared" si="0"/>
        <v>24</v>
      </c>
      <c r="O25" s="14">
        <v>50</v>
      </c>
      <c r="P25" s="857">
        <f t="shared" si="1"/>
        <v>41</v>
      </c>
      <c r="Q25" s="857">
        <v>85</v>
      </c>
      <c r="R25" s="857" t="str">
        <f t="shared" si="2"/>
        <v>Class100K</v>
      </c>
      <c r="S25" s="857">
        <f t="shared" si="2"/>
        <v>12</v>
      </c>
      <c r="T25" s="858" t="s">
        <v>84</v>
      </c>
      <c r="U25" t="str">
        <f t="shared" si="3"/>
        <v>FDA</v>
      </c>
      <c r="V25">
        <f t="shared" si="4"/>
        <v>0</v>
      </c>
      <c r="Y25">
        <f>IF(AND(ISNUMBER(X25), X25&gt;0), X25, IFERROR(INDEX('Class Air Changes'!$E$6:$E$75, MATCH(R25, 'Class Air Changes'!$D$6:$D$75, 0)), "Not Found"))</f>
        <v>12</v>
      </c>
    </row>
    <row r="26" spans="3:25">
      <c r="C26" s="859" t="str">
        <f>IF(D26&lt;&gt;"",COUNTA($D$10:D26),"")</f>
        <v/>
      </c>
      <c r="D26" s="19"/>
      <c r="E26" s="19"/>
      <c r="F26" s="19"/>
      <c r="G26" s="19"/>
      <c r="H26" s="19"/>
      <c r="I26" s="19"/>
      <c r="J26" s="19"/>
      <c r="K26" s="19"/>
      <c r="L26" s="19"/>
      <c r="M26" s="19"/>
      <c r="N26" s="19"/>
      <c r="O26" s="19"/>
      <c r="P26" s="19"/>
      <c r="Q26" s="19"/>
      <c r="R26" s="19"/>
      <c r="S26" s="19"/>
      <c r="T26" s="19"/>
    </row>
    <row r="27" spans="3:25">
      <c r="C27" s="859" t="str">
        <f>IF(D27&lt;&gt;"",COUNTA($D$10:D27),"")</f>
        <v/>
      </c>
      <c r="D27" s="19"/>
      <c r="E27" s="19"/>
      <c r="F27" s="19"/>
      <c r="G27" s="19"/>
      <c r="H27" s="19"/>
      <c r="I27" s="19"/>
      <c r="J27" s="19"/>
      <c r="K27" s="19"/>
      <c r="L27" s="19"/>
      <c r="M27" s="19"/>
      <c r="N27" s="19"/>
      <c r="O27" s="19"/>
      <c r="P27" s="19"/>
      <c r="Q27" s="19"/>
      <c r="R27" s="19"/>
      <c r="S27" s="19"/>
      <c r="T27" s="19"/>
    </row>
    <row r="28" spans="3:25" ht="26.1">
      <c r="C28" s="8" t="str">
        <f>"Zoning Area AHU - " &amp; INT((ROW()-8)/20)+1 &amp; "  " &amp; IF(ISNUMBER(N30),"Air-Conditioning System " &amp; IF(AH30="D","(DX)",IF(AH30="C","(Chilled Water)","")),IF(AND(N30="Amb",ISTEXT(N30)),"Ventilation System","Refer"))</f>
        <v xml:space="preserve">Zoning Area AHU - 2  Air-Conditioning System </v>
      </c>
      <c r="D28" s="8"/>
      <c r="E28" s="8"/>
      <c r="F28" s="8"/>
      <c r="G28" s="8"/>
      <c r="H28" s="8"/>
      <c r="I28" s="8"/>
      <c r="J28" s="8"/>
      <c r="K28" s="8"/>
      <c r="L28" s="8"/>
      <c r="M28" s="8"/>
      <c r="N28" s="8"/>
      <c r="O28" s="8"/>
      <c r="P28" s="8"/>
      <c r="Q28" s="8"/>
      <c r="R28" s="8"/>
      <c r="S28" s="8"/>
      <c r="T28" s="8"/>
    </row>
    <row r="29" spans="3:25" ht="73.5" customHeight="1">
      <c r="C29" s="13"/>
      <c r="D29" s="5" t="s">
        <v>165</v>
      </c>
      <c r="E29" s="5" t="s">
        <v>166</v>
      </c>
      <c r="F29" s="5" t="s">
        <v>167</v>
      </c>
      <c r="G29" s="5" t="s">
        <v>168</v>
      </c>
      <c r="H29" s="5" t="s">
        <v>169</v>
      </c>
      <c r="I29" s="5" t="s">
        <v>170</v>
      </c>
      <c r="J29" s="5" t="s">
        <v>171</v>
      </c>
      <c r="K29" s="5" t="s">
        <v>172</v>
      </c>
      <c r="L29" s="5" t="s">
        <v>173</v>
      </c>
      <c r="M29" s="5" t="s">
        <v>174</v>
      </c>
      <c r="N29" s="5" t="s">
        <v>175</v>
      </c>
      <c r="O29" s="5" t="s">
        <v>176</v>
      </c>
      <c r="P29" s="5" t="s">
        <v>177</v>
      </c>
      <c r="Q29" s="5" t="s">
        <v>178</v>
      </c>
      <c r="R29" s="5" t="s">
        <v>199</v>
      </c>
      <c r="S29" s="5" t="s">
        <v>180</v>
      </c>
      <c r="T29" s="5" t="s">
        <v>180</v>
      </c>
    </row>
    <row r="30" spans="3:25">
      <c r="C30" s="13">
        <f>IF(D30&lt;&gt;"",COUNTA($D$10:D30),"")</f>
        <v>18</v>
      </c>
      <c r="D30" s="14" t="s">
        <v>200</v>
      </c>
      <c r="E30" s="14">
        <v>3</v>
      </c>
      <c r="F30" s="14">
        <v>3</v>
      </c>
      <c r="G30" s="14">
        <v>2.4</v>
      </c>
      <c r="H30" s="14">
        <v>1</v>
      </c>
      <c r="I30" s="14">
        <v>2</v>
      </c>
      <c r="J30" s="14">
        <v>1.75</v>
      </c>
      <c r="K30" s="14">
        <v>3</v>
      </c>
      <c r="L30" s="15">
        <v>0.1</v>
      </c>
      <c r="M30" s="15">
        <v>0</v>
      </c>
      <c r="N30" s="14">
        <v>24</v>
      </c>
      <c r="O30" s="14">
        <v>50</v>
      </c>
      <c r="P30" s="13">
        <v>45</v>
      </c>
      <c r="Q30" s="13">
        <v>85</v>
      </c>
      <c r="R30" s="13" t="s">
        <v>17</v>
      </c>
      <c r="S30" s="13">
        <v>160</v>
      </c>
      <c r="T30" s="856" t="s">
        <v>85</v>
      </c>
    </row>
    <row r="31" spans="3:25">
      <c r="C31" s="13">
        <f>IF(D31&lt;&gt;"",COUNTA($D$10:D31),"")</f>
        <v>19</v>
      </c>
      <c r="D31" s="14" t="s">
        <v>201</v>
      </c>
      <c r="E31" s="14">
        <v>1.8</v>
      </c>
      <c r="F31" s="14">
        <v>2.2000000000000002</v>
      </c>
      <c r="G31" s="14">
        <v>2.4</v>
      </c>
      <c r="H31" s="14">
        <v>2</v>
      </c>
      <c r="I31" s="14">
        <v>1</v>
      </c>
      <c r="J31" s="14">
        <v>1.75</v>
      </c>
      <c r="K31" s="14">
        <v>3</v>
      </c>
      <c r="L31" s="15">
        <v>0.1</v>
      </c>
      <c r="M31" s="15">
        <v>0</v>
      </c>
      <c r="N31" s="14">
        <v>24</v>
      </c>
      <c r="O31" s="14">
        <v>50</v>
      </c>
      <c r="P31" s="13">
        <v>45</v>
      </c>
      <c r="Q31" s="13">
        <v>85</v>
      </c>
      <c r="R31" s="13" t="s">
        <v>17</v>
      </c>
      <c r="S31" s="13">
        <v>160</v>
      </c>
      <c r="T31" s="856" t="s">
        <v>85</v>
      </c>
    </row>
    <row r="32" spans="3:25">
      <c r="C32" s="13">
        <f>IF(D32&lt;&gt;"",COUNTA($D$10:D32),"")</f>
        <v>20</v>
      </c>
      <c r="D32" s="14" t="s">
        <v>202</v>
      </c>
      <c r="E32" s="14">
        <v>1.5</v>
      </c>
      <c r="F32" s="14">
        <v>2.8</v>
      </c>
      <c r="G32" s="14">
        <v>2.4</v>
      </c>
      <c r="H32" s="14">
        <v>2</v>
      </c>
      <c r="I32" s="14">
        <v>3</v>
      </c>
      <c r="J32" s="14">
        <v>1.75</v>
      </c>
      <c r="K32" s="14">
        <v>3</v>
      </c>
      <c r="L32" s="15">
        <v>0.1</v>
      </c>
      <c r="M32" s="15">
        <v>0</v>
      </c>
      <c r="N32" s="14">
        <v>24</v>
      </c>
      <c r="O32" s="14">
        <v>50</v>
      </c>
      <c r="P32" s="13">
        <v>45</v>
      </c>
      <c r="Q32" s="13">
        <v>85</v>
      </c>
      <c r="R32" s="13" t="s">
        <v>17</v>
      </c>
      <c r="S32" s="13">
        <v>160</v>
      </c>
      <c r="T32" s="856" t="s">
        <v>85</v>
      </c>
    </row>
    <row r="33" spans="3:20">
      <c r="C33" s="13">
        <f>IF(D33&lt;&gt;"",COUNTA($D$10:D33),"")</f>
        <v>21</v>
      </c>
      <c r="D33" s="14" t="s">
        <v>203</v>
      </c>
      <c r="E33" s="14">
        <v>2.1</v>
      </c>
      <c r="F33" s="14">
        <v>3.5</v>
      </c>
      <c r="G33" s="14">
        <v>2.4</v>
      </c>
      <c r="H33" s="14">
        <v>0</v>
      </c>
      <c r="I33" s="14">
        <v>1</v>
      </c>
      <c r="J33" s="14">
        <v>1.75</v>
      </c>
      <c r="K33" s="14">
        <v>3</v>
      </c>
      <c r="L33" s="15">
        <v>0.1</v>
      </c>
      <c r="M33" s="15">
        <v>0</v>
      </c>
      <c r="N33" s="14">
        <v>24</v>
      </c>
      <c r="O33" s="14">
        <v>50</v>
      </c>
      <c r="P33" s="13">
        <v>45</v>
      </c>
      <c r="Q33" s="13">
        <v>85</v>
      </c>
      <c r="R33" s="13" t="s">
        <v>17</v>
      </c>
      <c r="S33" s="13">
        <v>160</v>
      </c>
      <c r="T33" s="856" t="s">
        <v>85</v>
      </c>
    </row>
    <row r="34" spans="3:20">
      <c r="C34" s="13">
        <f>IF(D34&lt;&gt;"",COUNTA($D$10:D34),"")</f>
        <v>22</v>
      </c>
      <c r="D34" s="14" t="s">
        <v>204</v>
      </c>
      <c r="E34" s="14">
        <v>2.7</v>
      </c>
      <c r="F34" s="14">
        <v>4</v>
      </c>
      <c r="G34" s="14">
        <v>2.4</v>
      </c>
      <c r="H34" s="14">
        <v>2</v>
      </c>
      <c r="I34" s="14">
        <v>1</v>
      </c>
      <c r="J34" s="14">
        <v>1.75</v>
      </c>
      <c r="K34" s="14">
        <v>3</v>
      </c>
      <c r="L34" s="15">
        <v>0.1</v>
      </c>
      <c r="M34" s="15">
        <v>0</v>
      </c>
      <c r="N34" s="14">
        <v>24</v>
      </c>
      <c r="O34" s="14">
        <v>50</v>
      </c>
      <c r="P34" s="13">
        <v>45</v>
      </c>
      <c r="Q34" s="13">
        <v>85</v>
      </c>
      <c r="R34" s="13" t="s">
        <v>17</v>
      </c>
      <c r="S34" s="13">
        <v>160</v>
      </c>
      <c r="T34" s="856" t="s">
        <v>85</v>
      </c>
    </row>
    <row r="35" spans="3:20">
      <c r="C35" s="13">
        <f>IF(D35&lt;&gt;"",COUNTA($D$10:D35),"")</f>
        <v>23</v>
      </c>
      <c r="D35" s="14" t="s">
        <v>205</v>
      </c>
      <c r="E35" s="14">
        <v>3.8</v>
      </c>
      <c r="F35" s="14">
        <v>4.2</v>
      </c>
      <c r="G35" s="14">
        <v>2.4</v>
      </c>
      <c r="H35" s="14">
        <v>3</v>
      </c>
      <c r="I35" s="14">
        <v>3</v>
      </c>
      <c r="J35" s="14">
        <v>1.75</v>
      </c>
      <c r="K35" s="14">
        <v>3</v>
      </c>
      <c r="L35" s="15">
        <v>0.1</v>
      </c>
      <c r="M35" s="15">
        <v>0</v>
      </c>
      <c r="N35" s="14">
        <v>24</v>
      </c>
      <c r="O35" s="14">
        <v>50</v>
      </c>
      <c r="P35" s="13">
        <v>45</v>
      </c>
      <c r="Q35" s="13">
        <v>85</v>
      </c>
      <c r="R35" s="13" t="s">
        <v>17</v>
      </c>
      <c r="S35" s="13">
        <v>160</v>
      </c>
      <c r="T35" s="856" t="s">
        <v>85</v>
      </c>
    </row>
    <row r="36" spans="3:20">
      <c r="C36" s="13">
        <f>IF(D36&lt;&gt;"",COUNTA($D$10:D36),"")</f>
        <v>24</v>
      </c>
      <c r="D36" s="14" t="s">
        <v>206</v>
      </c>
      <c r="E36" s="14">
        <v>3.1</v>
      </c>
      <c r="F36" s="14">
        <v>2.6</v>
      </c>
      <c r="G36" s="14">
        <v>2.4</v>
      </c>
      <c r="H36" s="14">
        <v>2</v>
      </c>
      <c r="I36" s="14">
        <v>1</v>
      </c>
      <c r="J36" s="14">
        <v>1.75</v>
      </c>
      <c r="K36" s="14">
        <v>3</v>
      </c>
      <c r="L36" s="15">
        <v>0.1</v>
      </c>
      <c r="M36" s="15">
        <v>0</v>
      </c>
      <c r="N36" s="14">
        <v>24</v>
      </c>
      <c r="O36" s="14">
        <v>50</v>
      </c>
      <c r="P36" s="13">
        <v>45</v>
      </c>
      <c r="Q36" s="13">
        <v>85</v>
      </c>
      <c r="R36" s="13" t="s">
        <v>17</v>
      </c>
      <c r="S36" s="13">
        <v>160</v>
      </c>
      <c r="T36" s="856" t="s">
        <v>85</v>
      </c>
    </row>
    <row r="37" spans="3:20">
      <c r="C37" s="13">
        <f>IF(D37&lt;&gt;"",COUNTA($D$10:D37),"")</f>
        <v>25</v>
      </c>
      <c r="D37" s="14" t="s">
        <v>207</v>
      </c>
      <c r="E37" s="14">
        <v>1.9</v>
      </c>
      <c r="F37" s="14">
        <v>2.4</v>
      </c>
      <c r="G37" s="14">
        <v>2.4</v>
      </c>
      <c r="H37" s="14">
        <v>3</v>
      </c>
      <c r="I37" s="14">
        <v>2</v>
      </c>
      <c r="J37" s="14">
        <v>1.75</v>
      </c>
      <c r="K37" s="14">
        <v>3</v>
      </c>
      <c r="L37" s="15">
        <v>0.1</v>
      </c>
      <c r="M37" s="15">
        <v>0</v>
      </c>
      <c r="N37" s="14">
        <v>24</v>
      </c>
      <c r="O37" s="14">
        <v>50</v>
      </c>
      <c r="P37" s="13">
        <v>45</v>
      </c>
      <c r="Q37" s="13">
        <v>85</v>
      </c>
      <c r="R37" s="13" t="s">
        <v>17</v>
      </c>
      <c r="S37" s="13">
        <v>160</v>
      </c>
      <c r="T37" s="856" t="s">
        <v>85</v>
      </c>
    </row>
    <row r="38" spans="3:20">
      <c r="C38" s="13">
        <f>IF(D38&lt;&gt;"",COUNTA($D$10:D38),"")</f>
        <v>26</v>
      </c>
      <c r="D38" s="14" t="s">
        <v>208</v>
      </c>
      <c r="E38" s="14">
        <v>3</v>
      </c>
      <c r="F38" s="14">
        <v>2.9</v>
      </c>
      <c r="G38" s="14">
        <v>2.4</v>
      </c>
      <c r="H38" s="14">
        <v>2</v>
      </c>
      <c r="I38" s="14">
        <v>1</v>
      </c>
      <c r="J38" s="14">
        <v>1.75</v>
      </c>
      <c r="K38" s="14">
        <v>3</v>
      </c>
      <c r="L38" s="15">
        <v>0.1</v>
      </c>
      <c r="M38" s="15">
        <v>0</v>
      </c>
      <c r="N38" s="14">
        <v>24</v>
      </c>
      <c r="O38" s="14">
        <v>50</v>
      </c>
      <c r="P38" s="13">
        <v>45</v>
      </c>
      <c r="Q38" s="13">
        <v>85</v>
      </c>
      <c r="R38" s="13" t="s">
        <v>17</v>
      </c>
      <c r="S38" s="13">
        <v>160</v>
      </c>
      <c r="T38" s="856" t="s">
        <v>85</v>
      </c>
    </row>
    <row r="39" spans="3:20">
      <c r="C39" s="13">
        <f>IF(D39&lt;&gt;"",COUNTA($D$10:D39),"")</f>
        <v>27</v>
      </c>
      <c r="D39" s="14" t="s">
        <v>209</v>
      </c>
      <c r="E39" s="14">
        <v>2.4</v>
      </c>
      <c r="F39" s="14">
        <v>2</v>
      </c>
      <c r="G39" s="14">
        <v>2.4</v>
      </c>
      <c r="H39" s="14">
        <v>2</v>
      </c>
      <c r="I39" s="14">
        <v>1</v>
      </c>
      <c r="J39" s="14">
        <v>1.75</v>
      </c>
      <c r="K39" s="14">
        <v>3</v>
      </c>
      <c r="L39" s="15">
        <v>0.1</v>
      </c>
      <c r="M39" s="15">
        <v>0</v>
      </c>
      <c r="N39" s="14">
        <v>24</v>
      </c>
      <c r="O39" s="14">
        <v>50</v>
      </c>
      <c r="P39" s="13">
        <v>45</v>
      </c>
      <c r="Q39" s="13">
        <v>85</v>
      </c>
      <c r="R39" s="13" t="s">
        <v>17</v>
      </c>
      <c r="S39" s="13">
        <v>160</v>
      </c>
      <c r="T39" s="856" t="s">
        <v>85</v>
      </c>
    </row>
    <row r="40" spans="3:20">
      <c r="C40" s="13">
        <f>IF(D40&lt;&gt;"",COUNTA($D$10:D40),"")</f>
        <v>28</v>
      </c>
      <c r="D40" s="14" t="s">
        <v>210</v>
      </c>
      <c r="E40" s="14">
        <v>2.1</v>
      </c>
      <c r="F40" s="14">
        <v>1.8</v>
      </c>
      <c r="G40" s="14">
        <v>2.4</v>
      </c>
      <c r="H40" s="14">
        <v>2</v>
      </c>
      <c r="I40" s="14">
        <v>1</v>
      </c>
      <c r="J40" s="14">
        <v>1.75</v>
      </c>
      <c r="K40" s="14">
        <v>3</v>
      </c>
      <c r="L40" s="15">
        <v>0.1</v>
      </c>
      <c r="M40" s="15">
        <v>0</v>
      </c>
      <c r="N40" s="14">
        <v>24</v>
      </c>
      <c r="O40" s="14">
        <v>50</v>
      </c>
      <c r="P40" s="13">
        <v>45</v>
      </c>
      <c r="Q40" s="13">
        <v>85</v>
      </c>
      <c r="R40" s="13" t="s">
        <v>17</v>
      </c>
      <c r="S40" s="13">
        <v>160</v>
      </c>
      <c r="T40" s="856" t="s">
        <v>85</v>
      </c>
    </row>
    <row r="41" spans="3:20">
      <c r="C41" s="13">
        <f>IF(D41&lt;&gt;"",COUNTA($D$10:D41),"")</f>
        <v>29</v>
      </c>
      <c r="D41" s="14" t="s">
        <v>211</v>
      </c>
      <c r="E41" s="14">
        <v>1.8</v>
      </c>
      <c r="F41" s="14">
        <v>1.9</v>
      </c>
      <c r="G41" s="14">
        <v>2.4</v>
      </c>
      <c r="H41" s="14">
        <v>2</v>
      </c>
      <c r="I41" s="14">
        <v>1</v>
      </c>
      <c r="J41" s="14">
        <v>1.75</v>
      </c>
      <c r="K41" s="14">
        <v>3</v>
      </c>
      <c r="L41" s="15">
        <v>0.1</v>
      </c>
      <c r="M41" s="15">
        <v>0</v>
      </c>
      <c r="N41" s="14">
        <v>24</v>
      </c>
      <c r="O41" s="14">
        <v>50</v>
      </c>
      <c r="P41" s="13">
        <v>45</v>
      </c>
      <c r="Q41" s="13">
        <v>85</v>
      </c>
      <c r="R41" s="13" t="s">
        <v>17</v>
      </c>
      <c r="S41" s="13">
        <v>160</v>
      </c>
      <c r="T41" s="856" t="s">
        <v>85</v>
      </c>
    </row>
    <row r="42" spans="3:20">
      <c r="C42" s="13">
        <f>IF(D42&lt;&gt;"",COUNTA($D$10:D42),"")</f>
        <v>30</v>
      </c>
      <c r="D42" s="14" t="s">
        <v>212</v>
      </c>
      <c r="E42" s="14">
        <v>1.9</v>
      </c>
      <c r="F42" s="14">
        <v>2</v>
      </c>
      <c r="G42" s="14">
        <v>2.4</v>
      </c>
      <c r="H42" s="14">
        <v>2</v>
      </c>
      <c r="I42" s="14">
        <v>1</v>
      </c>
      <c r="J42" s="14">
        <v>1.75</v>
      </c>
      <c r="K42" s="14">
        <v>3</v>
      </c>
      <c r="L42" s="15">
        <v>0.1</v>
      </c>
      <c r="M42" s="15">
        <v>0</v>
      </c>
      <c r="N42" s="14">
        <v>24</v>
      </c>
      <c r="O42" s="14">
        <v>50</v>
      </c>
      <c r="P42" s="13">
        <v>45</v>
      </c>
      <c r="Q42" s="13">
        <v>85</v>
      </c>
      <c r="R42" s="13" t="s">
        <v>17</v>
      </c>
      <c r="S42" s="13">
        <v>160</v>
      </c>
      <c r="T42" s="856" t="s">
        <v>85</v>
      </c>
    </row>
    <row r="43" spans="3:20">
      <c r="C43" s="13">
        <f>IF(D43&lt;&gt;"",COUNTA($D$10:D43),"")</f>
        <v>31</v>
      </c>
      <c r="D43" s="14" t="s">
        <v>213</v>
      </c>
      <c r="E43" s="14">
        <v>2.2999999999999998</v>
      </c>
      <c r="F43" s="14">
        <v>2.2000000000000002</v>
      </c>
      <c r="G43" s="14">
        <v>2.4</v>
      </c>
      <c r="H43" s="14">
        <v>2</v>
      </c>
      <c r="I43" s="14">
        <v>1</v>
      </c>
      <c r="J43" s="14">
        <v>1.75</v>
      </c>
      <c r="K43" s="14">
        <v>3</v>
      </c>
      <c r="L43" s="15">
        <v>0.1</v>
      </c>
      <c r="M43" s="15">
        <v>0</v>
      </c>
      <c r="N43" s="14">
        <v>24</v>
      </c>
      <c r="O43" s="14">
        <v>50</v>
      </c>
      <c r="P43" s="13">
        <v>45</v>
      </c>
      <c r="Q43" s="13">
        <v>85</v>
      </c>
      <c r="R43" s="13" t="s">
        <v>17</v>
      </c>
      <c r="S43" s="13">
        <v>160</v>
      </c>
      <c r="T43" s="856" t="s">
        <v>85</v>
      </c>
    </row>
    <row r="44" spans="3:20">
      <c r="C44" s="13">
        <f>IF(D44&lt;&gt;"",COUNTA($D$10:D44),"")</f>
        <v>32</v>
      </c>
      <c r="D44" s="14" t="s">
        <v>214</v>
      </c>
      <c r="E44" s="14">
        <v>2.2000000000000002</v>
      </c>
      <c r="F44" s="14">
        <v>2.8</v>
      </c>
      <c r="G44" s="14">
        <v>2.4</v>
      </c>
      <c r="H44" s="14">
        <v>2</v>
      </c>
      <c r="I44" s="14">
        <v>1</v>
      </c>
      <c r="J44" s="14">
        <v>1.75</v>
      </c>
      <c r="K44" s="14">
        <v>3</v>
      </c>
      <c r="L44" s="15">
        <v>0.1</v>
      </c>
      <c r="M44" s="15">
        <v>0</v>
      </c>
      <c r="N44" s="14">
        <v>24</v>
      </c>
      <c r="O44" s="14">
        <v>50</v>
      </c>
      <c r="P44" s="13">
        <v>45</v>
      </c>
      <c r="Q44" s="13">
        <v>85</v>
      </c>
      <c r="R44" s="13" t="s">
        <v>17</v>
      </c>
      <c r="S44" s="13">
        <v>160</v>
      </c>
      <c r="T44" s="856" t="s">
        <v>85</v>
      </c>
    </row>
    <row r="45" spans="3:20">
      <c r="C45" s="13">
        <f>IF(D45&lt;&gt;"",COUNTA($D$10:D45),"")</f>
        <v>33</v>
      </c>
      <c r="D45" s="14" t="s">
        <v>215</v>
      </c>
      <c r="E45" s="14">
        <v>2.8</v>
      </c>
      <c r="F45" s="14">
        <v>2.4</v>
      </c>
      <c r="G45" s="14">
        <v>2.4</v>
      </c>
      <c r="H45" s="14">
        <v>2</v>
      </c>
      <c r="I45" s="14">
        <v>1</v>
      </c>
      <c r="J45" s="14">
        <v>1.75</v>
      </c>
      <c r="K45" s="14">
        <v>3</v>
      </c>
      <c r="L45" s="15">
        <v>0.1</v>
      </c>
      <c r="M45" s="15">
        <v>0</v>
      </c>
      <c r="N45" s="14">
        <v>24</v>
      </c>
      <c r="O45" s="14">
        <v>50</v>
      </c>
      <c r="P45" s="13">
        <v>45</v>
      </c>
      <c r="Q45" s="13">
        <v>85</v>
      </c>
      <c r="R45" s="13" t="s">
        <v>17</v>
      </c>
      <c r="S45" s="13">
        <v>160</v>
      </c>
      <c r="T45" s="856" t="s">
        <v>85</v>
      </c>
    </row>
    <row r="46" spans="3:20">
      <c r="C46" s="13" t="str">
        <f>IF(D46&lt;&gt;"",COUNTA($D$10:D46),"")</f>
        <v/>
      </c>
      <c r="D46" s="19"/>
      <c r="E46" s="19"/>
      <c r="F46" s="19"/>
      <c r="G46" s="19"/>
      <c r="H46" s="19"/>
      <c r="I46" s="19"/>
      <c r="J46" s="19"/>
      <c r="K46" s="19"/>
      <c r="L46" s="19"/>
      <c r="M46" s="19"/>
      <c r="N46" s="19"/>
      <c r="O46" s="19"/>
      <c r="P46" s="19"/>
      <c r="Q46" s="19"/>
      <c r="R46" s="19"/>
      <c r="S46" s="19"/>
      <c r="T46" s="19"/>
    </row>
    <row r="47" spans="3:20">
      <c r="C47" s="13" t="str">
        <f>IF(D47&lt;&gt;"",COUNTA($D$10:D47),"")</f>
        <v/>
      </c>
    </row>
    <row r="48" spans="3:20" ht="26.1">
      <c r="C48" s="8" t="str">
        <f>"Zoning Area AHU - " &amp; INT((ROW()-8)/20)+1 &amp; "  " &amp; IF(ISNUMBER(N50),"Air-Conditioning System " &amp; IF(AH50="D","(DX)",IF(AH50="C","(Chilled Water)","")),IF(AND(N50="Amb",ISTEXT(N50)),"Ventilation System","Refer"))</f>
        <v xml:space="preserve">Zoning Area AHU - 3  Air-Conditioning System </v>
      </c>
      <c r="D48" s="8"/>
      <c r="E48" s="8"/>
      <c r="F48" s="8"/>
      <c r="G48" s="8"/>
      <c r="H48" s="8"/>
      <c r="I48" s="8"/>
      <c r="J48" s="8"/>
      <c r="K48" s="8"/>
      <c r="L48" s="8"/>
      <c r="M48" s="8"/>
      <c r="N48" s="8"/>
      <c r="O48" s="8"/>
      <c r="P48" s="8"/>
      <c r="Q48" s="8"/>
      <c r="R48" s="8"/>
      <c r="S48" s="8"/>
      <c r="T48" s="8"/>
    </row>
    <row r="49" spans="3:20">
      <c r="C49" s="13">
        <f>IF(D49&lt;&gt;"",COUNTA($D$10:D49),"")</f>
        <v>34</v>
      </c>
      <c r="D49" s="5" t="s">
        <v>165</v>
      </c>
      <c r="E49" s="5" t="s">
        <v>166</v>
      </c>
      <c r="F49" s="5" t="s">
        <v>167</v>
      </c>
      <c r="G49" s="5" t="s">
        <v>168</v>
      </c>
      <c r="H49" s="5" t="s">
        <v>169</v>
      </c>
      <c r="I49" s="5" t="s">
        <v>170</v>
      </c>
      <c r="J49" s="5" t="s">
        <v>171</v>
      </c>
      <c r="K49" s="5" t="s">
        <v>172</v>
      </c>
      <c r="L49" s="5" t="s">
        <v>173</v>
      </c>
      <c r="M49" s="5" t="s">
        <v>174</v>
      </c>
      <c r="N49" s="5" t="s">
        <v>175</v>
      </c>
      <c r="O49" s="5" t="s">
        <v>176</v>
      </c>
      <c r="P49" s="5" t="s">
        <v>177</v>
      </c>
      <c r="Q49" s="5" t="s">
        <v>178</v>
      </c>
      <c r="R49" s="5" t="s">
        <v>199</v>
      </c>
      <c r="S49" s="5" t="s">
        <v>180</v>
      </c>
      <c r="T49" s="5" t="s">
        <v>180</v>
      </c>
    </row>
    <row r="50" spans="3:20">
      <c r="C50" s="13">
        <f>IF(D50&lt;&gt;"",COUNTA($D$10:D50),"")</f>
        <v>35</v>
      </c>
      <c r="D50" s="14" t="s">
        <v>200</v>
      </c>
      <c r="E50" s="14">
        <v>3</v>
      </c>
      <c r="F50" s="14">
        <v>3</v>
      </c>
      <c r="G50" s="14">
        <v>2.4</v>
      </c>
      <c r="H50" s="14">
        <v>1</v>
      </c>
      <c r="I50" s="14">
        <v>2</v>
      </c>
      <c r="J50" s="14">
        <v>1.75</v>
      </c>
      <c r="K50" s="14">
        <v>3</v>
      </c>
      <c r="L50" s="15">
        <v>0.1</v>
      </c>
      <c r="M50" s="15">
        <v>0</v>
      </c>
      <c r="N50" s="14">
        <v>24</v>
      </c>
      <c r="O50" s="14">
        <v>50</v>
      </c>
      <c r="P50" s="13">
        <v>45</v>
      </c>
      <c r="Q50" s="13">
        <v>85</v>
      </c>
      <c r="R50" s="13" t="s">
        <v>216</v>
      </c>
      <c r="S50" s="13">
        <v>150</v>
      </c>
      <c r="T50" s="856" t="s">
        <v>85</v>
      </c>
    </row>
    <row r="51" spans="3:20">
      <c r="C51" s="13">
        <f>IF(D51&lt;&gt;"",COUNTA($D$10:D51),"")</f>
        <v>36</v>
      </c>
      <c r="D51" s="14" t="s">
        <v>201</v>
      </c>
      <c r="E51" s="14">
        <v>1.8</v>
      </c>
      <c r="F51" s="14">
        <v>2.2000000000000002</v>
      </c>
      <c r="G51" s="14">
        <v>2.4</v>
      </c>
      <c r="H51" s="14">
        <v>2</v>
      </c>
      <c r="I51" s="14">
        <v>1</v>
      </c>
      <c r="J51" s="14">
        <v>1.75</v>
      </c>
      <c r="K51" s="14">
        <v>3</v>
      </c>
      <c r="L51" s="15">
        <v>0.1</v>
      </c>
      <c r="M51" s="15">
        <v>0</v>
      </c>
      <c r="N51" s="14">
        <v>24</v>
      </c>
      <c r="O51" s="14">
        <v>50</v>
      </c>
      <c r="P51" s="13">
        <v>45</v>
      </c>
      <c r="Q51" s="13">
        <v>85</v>
      </c>
      <c r="R51" s="13" t="s">
        <v>216</v>
      </c>
      <c r="S51" s="13">
        <v>150</v>
      </c>
      <c r="T51" s="856" t="s">
        <v>85</v>
      </c>
    </row>
    <row r="52" spans="3:20">
      <c r="C52" s="13">
        <f>IF(D52&lt;&gt;"",COUNTA($D$10:D52),"")</f>
        <v>37</v>
      </c>
      <c r="D52" s="14" t="s">
        <v>202</v>
      </c>
      <c r="E52" s="14">
        <v>1.5</v>
      </c>
      <c r="F52" s="14">
        <v>2.8</v>
      </c>
      <c r="G52" s="14">
        <v>2.4</v>
      </c>
      <c r="H52" s="14">
        <v>2</v>
      </c>
      <c r="I52" s="14">
        <v>3</v>
      </c>
      <c r="J52" s="14">
        <v>1.75</v>
      </c>
      <c r="K52" s="14">
        <v>3</v>
      </c>
      <c r="L52" s="15">
        <v>0.1</v>
      </c>
      <c r="M52" s="15">
        <v>0</v>
      </c>
      <c r="N52" s="14">
        <v>24</v>
      </c>
      <c r="O52" s="14">
        <v>50</v>
      </c>
      <c r="P52" s="13">
        <v>45</v>
      </c>
      <c r="Q52" s="13">
        <v>85</v>
      </c>
      <c r="R52" s="13" t="s">
        <v>216</v>
      </c>
      <c r="S52" s="13">
        <v>150</v>
      </c>
      <c r="T52" s="856" t="s">
        <v>85</v>
      </c>
    </row>
    <row r="53" spans="3:20">
      <c r="C53" s="13">
        <f>IF(D53&lt;&gt;"",COUNTA($D$10:D53),"")</f>
        <v>38</v>
      </c>
      <c r="D53" s="14" t="s">
        <v>203</v>
      </c>
      <c r="E53" s="14">
        <v>2.1</v>
      </c>
      <c r="F53" s="14">
        <v>3.5</v>
      </c>
      <c r="G53" s="14">
        <v>2.4</v>
      </c>
      <c r="H53" s="14">
        <v>0</v>
      </c>
      <c r="I53" s="14">
        <v>1</v>
      </c>
      <c r="J53" s="14">
        <v>1.75</v>
      </c>
      <c r="K53" s="14">
        <v>3</v>
      </c>
      <c r="L53" s="15">
        <v>0.1</v>
      </c>
      <c r="M53" s="15">
        <v>0</v>
      </c>
      <c r="N53" s="14">
        <v>24</v>
      </c>
      <c r="O53" s="14">
        <v>50</v>
      </c>
      <c r="P53" s="13">
        <v>45</v>
      </c>
      <c r="Q53" s="13">
        <v>85</v>
      </c>
      <c r="R53" s="13" t="s">
        <v>216</v>
      </c>
      <c r="S53" s="13">
        <v>150</v>
      </c>
      <c r="T53" s="856" t="s">
        <v>85</v>
      </c>
    </row>
    <row r="54" spans="3:20">
      <c r="C54" s="13">
        <f>IF(D54&lt;&gt;"",COUNTA($D$10:D54),"")</f>
        <v>39</v>
      </c>
      <c r="D54" s="14" t="s">
        <v>204</v>
      </c>
      <c r="E54" s="14">
        <v>2.7</v>
      </c>
      <c r="F54" s="14">
        <v>4</v>
      </c>
      <c r="G54" s="14">
        <v>2.4</v>
      </c>
      <c r="H54" s="14">
        <v>2</v>
      </c>
      <c r="I54" s="14">
        <v>1</v>
      </c>
      <c r="J54" s="14">
        <v>1.75</v>
      </c>
      <c r="K54" s="14">
        <v>3</v>
      </c>
      <c r="L54" s="15">
        <v>0.1</v>
      </c>
      <c r="M54" s="15">
        <v>0</v>
      </c>
      <c r="N54" s="14">
        <v>24</v>
      </c>
      <c r="O54" s="14">
        <v>50</v>
      </c>
      <c r="P54" s="13">
        <v>45</v>
      </c>
      <c r="Q54" s="13">
        <v>85</v>
      </c>
      <c r="R54" s="13" t="s">
        <v>216</v>
      </c>
      <c r="S54" s="13">
        <v>150</v>
      </c>
      <c r="T54" s="856" t="s">
        <v>85</v>
      </c>
    </row>
    <row r="55" spans="3:20">
      <c r="C55" s="13">
        <f>IF(D55&lt;&gt;"",COUNTA($D$10:D55),"")</f>
        <v>40</v>
      </c>
      <c r="D55" s="14" t="s">
        <v>205</v>
      </c>
      <c r="E55" s="14">
        <v>3.8</v>
      </c>
      <c r="F55" s="14">
        <v>4.2</v>
      </c>
      <c r="G55" s="14">
        <v>2.4</v>
      </c>
      <c r="H55" s="14">
        <v>3</v>
      </c>
      <c r="I55" s="14">
        <v>3</v>
      </c>
      <c r="J55" s="14">
        <v>1.75</v>
      </c>
      <c r="K55" s="14">
        <v>3</v>
      </c>
      <c r="L55" s="15">
        <v>0.1</v>
      </c>
      <c r="M55" s="15">
        <v>0</v>
      </c>
      <c r="N55" s="14">
        <v>24</v>
      </c>
      <c r="O55" s="14">
        <v>50</v>
      </c>
      <c r="P55" s="13">
        <v>45</v>
      </c>
      <c r="Q55" s="13">
        <v>85</v>
      </c>
      <c r="R55" s="13" t="s">
        <v>216</v>
      </c>
      <c r="S55" s="13">
        <v>150</v>
      </c>
      <c r="T55" s="856" t="s">
        <v>85</v>
      </c>
    </row>
    <row r="56" spans="3:20">
      <c r="C56" s="13">
        <f>IF(D56&lt;&gt;"",COUNTA($D$10:D56),"")</f>
        <v>41</v>
      </c>
      <c r="D56" s="14" t="s">
        <v>206</v>
      </c>
      <c r="E56" s="14">
        <v>3.1</v>
      </c>
      <c r="F56" s="14">
        <v>2.6</v>
      </c>
      <c r="G56" s="14">
        <v>2.4</v>
      </c>
      <c r="H56" s="14">
        <v>2</v>
      </c>
      <c r="I56" s="14">
        <v>1</v>
      </c>
      <c r="J56" s="14">
        <v>1.75</v>
      </c>
      <c r="K56" s="14">
        <v>3</v>
      </c>
      <c r="L56" s="15">
        <v>0.1</v>
      </c>
      <c r="M56" s="15">
        <v>0</v>
      </c>
      <c r="N56" s="14">
        <v>24</v>
      </c>
      <c r="O56" s="14">
        <v>50</v>
      </c>
      <c r="P56" s="13">
        <v>45</v>
      </c>
      <c r="Q56" s="13">
        <v>85</v>
      </c>
      <c r="R56" s="13" t="s">
        <v>216</v>
      </c>
      <c r="S56" s="13">
        <v>150</v>
      </c>
      <c r="T56" s="856" t="s">
        <v>85</v>
      </c>
    </row>
    <row r="57" spans="3:20">
      <c r="C57" s="13">
        <f>IF(D57&lt;&gt;"",COUNTA($D$10:D57),"")</f>
        <v>42</v>
      </c>
      <c r="D57" s="14" t="s">
        <v>207</v>
      </c>
      <c r="E57" s="14">
        <v>1.9</v>
      </c>
      <c r="F57" s="14">
        <v>2.4</v>
      </c>
      <c r="G57" s="14">
        <v>2.4</v>
      </c>
      <c r="H57" s="14">
        <v>3</v>
      </c>
      <c r="I57" s="14">
        <v>2</v>
      </c>
      <c r="J57" s="14">
        <v>1.75</v>
      </c>
      <c r="K57" s="14">
        <v>3</v>
      </c>
      <c r="L57" s="15">
        <v>0.1</v>
      </c>
      <c r="M57" s="15">
        <v>0</v>
      </c>
      <c r="N57" s="14">
        <v>24</v>
      </c>
      <c r="O57" s="14">
        <v>50</v>
      </c>
      <c r="P57" s="13">
        <v>45</v>
      </c>
      <c r="Q57" s="13">
        <v>85</v>
      </c>
      <c r="R57" s="13" t="s">
        <v>216</v>
      </c>
      <c r="S57" s="13">
        <v>150</v>
      </c>
      <c r="T57" s="856" t="s">
        <v>85</v>
      </c>
    </row>
    <row r="58" spans="3:20">
      <c r="C58" s="13">
        <f>IF(D58&lt;&gt;"",COUNTA($D$10:D58),"")</f>
        <v>43</v>
      </c>
      <c r="D58" s="14" t="s">
        <v>208</v>
      </c>
      <c r="E58" s="14">
        <v>3</v>
      </c>
      <c r="F58" s="14">
        <v>2.9</v>
      </c>
      <c r="G58" s="14">
        <v>2.4</v>
      </c>
      <c r="H58" s="14">
        <v>2</v>
      </c>
      <c r="I58" s="14">
        <v>1</v>
      </c>
      <c r="J58" s="14">
        <v>1.75</v>
      </c>
      <c r="K58" s="14">
        <v>3</v>
      </c>
      <c r="L58" s="15">
        <v>0.1</v>
      </c>
      <c r="M58" s="15">
        <v>0</v>
      </c>
      <c r="N58" s="14">
        <v>24</v>
      </c>
      <c r="O58" s="14">
        <v>50</v>
      </c>
      <c r="P58" s="13">
        <v>45</v>
      </c>
      <c r="Q58" s="13">
        <v>85</v>
      </c>
      <c r="R58" s="13" t="s">
        <v>216</v>
      </c>
      <c r="S58" s="13">
        <v>150</v>
      </c>
      <c r="T58" s="856" t="s">
        <v>85</v>
      </c>
    </row>
    <row r="59" spans="3:20">
      <c r="C59" s="13">
        <f>IF(D59&lt;&gt;"",COUNTA($D$10:D59),"")</f>
        <v>44</v>
      </c>
      <c r="D59" s="14" t="s">
        <v>209</v>
      </c>
      <c r="E59" s="14">
        <v>2.4</v>
      </c>
      <c r="F59" s="14">
        <v>2</v>
      </c>
      <c r="G59" s="14">
        <v>2.4</v>
      </c>
      <c r="H59" s="14">
        <v>2</v>
      </c>
      <c r="I59" s="14">
        <v>1</v>
      </c>
      <c r="J59" s="14">
        <v>1.75</v>
      </c>
      <c r="K59" s="14">
        <v>3</v>
      </c>
      <c r="L59" s="15">
        <v>0.1</v>
      </c>
      <c r="M59" s="15">
        <v>0</v>
      </c>
      <c r="N59" s="14">
        <v>24</v>
      </c>
      <c r="O59" s="14">
        <v>50</v>
      </c>
      <c r="P59" s="13">
        <v>45</v>
      </c>
      <c r="Q59" s="13">
        <v>85</v>
      </c>
      <c r="R59" s="13" t="s">
        <v>216</v>
      </c>
      <c r="S59" s="13">
        <v>150</v>
      </c>
      <c r="T59" s="856" t="s">
        <v>85</v>
      </c>
    </row>
    <row r="60" spans="3:20">
      <c r="C60" s="13">
        <f>IF(D60&lt;&gt;"",COUNTA($D$10:D60),"")</f>
        <v>45</v>
      </c>
      <c r="D60" s="14" t="s">
        <v>210</v>
      </c>
      <c r="E60" s="14">
        <v>2.1</v>
      </c>
      <c r="F60" s="14">
        <v>1.8</v>
      </c>
      <c r="G60" s="14">
        <v>2.4</v>
      </c>
      <c r="H60" s="14">
        <v>2</v>
      </c>
      <c r="I60" s="14">
        <v>1</v>
      </c>
      <c r="J60" s="14">
        <v>1.75</v>
      </c>
      <c r="K60" s="14">
        <v>3</v>
      </c>
      <c r="L60" s="15">
        <v>0.1</v>
      </c>
      <c r="M60" s="15">
        <v>0</v>
      </c>
      <c r="N60" s="14">
        <v>24</v>
      </c>
      <c r="O60" s="14">
        <v>50</v>
      </c>
      <c r="P60" s="13">
        <v>45</v>
      </c>
      <c r="Q60" s="13">
        <v>85</v>
      </c>
      <c r="R60" s="13" t="s">
        <v>216</v>
      </c>
      <c r="S60" s="13">
        <v>150</v>
      </c>
      <c r="T60" s="856" t="s">
        <v>85</v>
      </c>
    </row>
    <row r="61" spans="3:20">
      <c r="C61" s="13">
        <f>IF(D61&lt;&gt;"",COUNTA($D$10:D61),"")</f>
        <v>46</v>
      </c>
      <c r="D61" s="14" t="s">
        <v>211</v>
      </c>
      <c r="E61" s="14">
        <v>1.8</v>
      </c>
      <c r="F61" s="14">
        <v>1.9</v>
      </c>
      <c r="G61" s="14">
        <v>2.4</v>
      </c>
      <c r="H61" s="14">
        <v>2</v>
      </c>
      <c r="I61" s="14">
        <v>1</v>
      </c>
      <c r="J61" s="14">
        <v>1.75</v>
      </c>
      <c r="K61" s="14">
        <v>3</v>
      </c>
      <c r="L61" s="15">
        <v>0.1</v>
      </c>
      <c r="M61" s="15">
        <v>0</v>
      </c>
      <c r="N61" s="14">
        <v>24</v>
      </c>
      <c r="O61" s="14">
        <v>50</v>
      </c>
      <c r="P61" s="13">
        <v>45</v>
      </c>
      <c r="Q61" s="13">
        <v>85</v>
      </c>
      <c r="R61" s="13" t="s">
        <v>216</v>
      </c>
      <c r="S61" s="13">
        <v>150</v>
      </c>
      <c r="T61" s="856" t="s">
        <v>85</v>
      </c>
    </row>
    <row r="62" spans="3:20">
      <c r="C62" s="13">
        <f>IF(D62&lt;&gt;"",COUNTA($D$10:D62),"")</f>
        <v>47</v>
      </c>
      <c r="D62" s="14" t="s">
        <v>212</v>
      </c>
      <c r="E62" s="14">
        <v>1.9</v>
      </c>
      <c r="F62" s="14">
        <v>2</v>
      </c>
      <c r="G62" s="14">
        <v>2.4</v>
      </c>
      <c r="H62" s="14">
        <v>2</v>
      </c>
      <c r="I62" s="14">
        <v>1</v>
      </c>
      <c r="J62" s="14">
        <v>1.75</v>
      </c>
      <c r="K62" s="14">
        <v>3</v>
      </c>
      <c r="L62" s="15">
        <v>0.1</v>
      </c>
      <c r="M62" s="15">
        <v>0</v>
      </c>
      <c r="N62" s="14">
        <v>24</v>
      </c>
      <c r="O62" s="14">
        <v>50</v>
      </c>
      <c r="P62" s="13">
        <v>45</v>
      </c>
      <c r="Q62" s="13">
        <v>85</v>
      </c>
      <c r="R62" s="13" t="s">
        <v>216</v>
      </c>
      <c r="S62" s="13">
        <v>150</v>
      </c>
      <c r="T62" s="856" t="s">
        <v>85</v>
      </c>
    </row>
    <row r="63" spans="3:20">
      <c r="C63" s="13">
        <f>IF(D63&lt;&gt;"",COUNTA($D$10:D63),"")</f>
        <v>48</v>
      </c>
      <c r="D63" s="14" t="s">
        <v>213</v>
      </c>
      <c r="E63" s="14">
        <v>2.2999999999999998</v>
      </c>
      <c r="F63" s="14">
        <v>2.2000000000000002</v>
      </c>
      <c r="G63" s="14">
        <v>2.4</v>
      </c>
      <c r="H63" s="14">
        <v>2</v>
      </c>
      <c r="I63" s="14">
        <v>1</v>
      </c>
      <c r="J63" s="14">
        <v>1.75</v>
      </c>
      <c r="K63" s="14">
        <v>3</v>
      </c>
      <c r="L63" s="15">
        <v>0.1</v>
      </c>
      <c r="M63" s="15">
        <v>0</v>
      </c>
      <c r="N63" s="14">
        <v>24</v>
      </c>
      <c r="O63" s="14">
        <v>50</v>
      </c>
      <c r="P63" s="13">
        <v>45</v>
      </c>
      <c r="Q63" s="13">
        <v>85</v>
      </c>
      <c r="R63" s="13" t="s">
        <v>216</v>
      </c>
      <c r="S63" s="13">
        <v>150</v>
      </c>
      <c r="T63" s="856" t="s">
        <v>85</v>
      </c>
    </row>
    <row r="64" spans="3:20">
      <c r="C64" s="13">
        <f>IF(D64&lt;&gt;"",COUNTA($D$10:D64),"")</f>
        <v>49</v>
      </c>
      <c r="D64" s="14" t="s">
        <v>214</v>
      </c>
      <c r="E64" s="14">
        <v>2.2000000000000002</v>
      </c>
      <c r="F64" s="14">
        <v>2.8</v>
      </c>
      <c r="G64" s="14">
        <v>2.4</v>
      </c>
      <c r="H64" s="14">
        <v>2</v>
      </c>
      <c r="I64" s="14">
        <v>1</v>
      </c>
      <c r="J64" s="14">
        <v>1.75</v>
      </c>
      <c r="K64" s="14">
        <v>3</v>
      </c>
      <c r="L64" s="15">
        <v>0.1</v>
      </c>
      <c r="M64" s="15">
        <v>0</v>
      </c>
      <c r="N64" s="14">
        <v>24</v>
      </c>
      <c r="O64" s="14">
        <v>50</v>
      </c>
      <c r="P64" s="13">
        <v>45</v>
      </c>
      <c r="Q64" s="13">
        <v>85</v>
      </c>
      <c r="R64" s="13" t="s">
        <v>216</v>
      </c>
      <c r="S64" s="13">
        <v>150</v>
      </c>
      <c r="T64" s="856" t="s">
        <v>85</v>
      </c>
    </row>
    <row r="65" spans="3:20">
      <c r="C65" s="13">
        <f>IF(D65&lt;&gt;"",COUNTA($D$10:D65),"")</f>
        <v>50</v>
      </c>
      <c r="D65" s="14" t="s">
        <v>215</v>
      </c>
      <c r="E65" s="14">
        <v>2.8</v>
      </c>
      <c r="F65" s="14">
        <v>2.4</v>
      </c>
      <c r="G65" s="14">
        <v>2.4</v>
      </c>
      <c r="H65" s="14">
        <v>2</v>
      </c>
      <c r="I65" s="14">
        <v>1</v>
      </c>
      <c r="J65" s="14">
        <v>1.75</v>
      </c>
      <c r="K65" s="14">
        <v>3</v>
      </c>
      <c r="L65" s="15">
        <v>0.1</v>
      </c>
      <c r="M65" s="15">
        <v>0</v>
      </c>
      <c r="N65" s="14">
        <v>24</v>
      </c>
      <c r="O65" s="14">
        <v>50</v>
      </c>
      <c r="P65" s="13">
        <v>45</v>
      </c>
      <c r="Q65" s="13">
        <v>85</v>
      </c>
      <c r="R65" s="13" t="s">
        <v>216</v>
      </c>
      <c r="S65" s="13">
        <v>150</v>
      </c>
      <c r="T65" s="856" t="s">
        <v>85</v>
      </c>
    </row>
    <row r="66" spans="3:20">
      <c r="C66" s="13" t="str">
        <f>IF(D66&lt;&gt;"",COUNTA($D$10:D66),"")</f>
        <v/>
      </c>
      <c r="D66" s="19"/>
      <c r="E66" s="19"/>
      <c r="F66" s="19"/>
      <c r="G66" s="19"/>
      <c r="H66" s="19"/>
      <c r="I66" s="19"/>
      <c r="J66" s="19"/>
      <c r="K66" s="19"/>
      <c r="L66" s="19"/>
      <c r="M66" s="19"/>
      <c r="N66" s="19"/>
      <c r="O66" s="19"/>
      <c r="P66" s="19"/>
      <c r="Q66" s="19"/>
      <c r="R66" s="19"/>
      <c r="S66" s="19"/>
      <c r="T66" s="19"/>
    </row>
    <row r="67" spans="3:20">
      <c r="C67" s="13" t="str">
        <f>IF(D67&lt;&gt;"",COUNTA($D$10:D67),"")</f>
        <v/>
      </c>
    </row>
    <row r="68" spans="3:20" ht="26.1">
      <c r="C68" s="8" t="str">
        <f>"Zoning Area AHU - " &amp; INT((ROW()-8)/20)+1 &amp; "  " &amp; IF(ISNUMBER(N70),"Air-Conditioning System " &amp; IF(AH70="D","(DX)",IF(AH70="C","(Chilled Water)","")),IF(AND(N70="Amb",ISTEXT(N70)),"Ventilation System","Refer"))</f>
        <v xml:space="preserve">Zoning Area AHU - 4  Air-Conditioning System </v>
      </c>
      <c r="D68" s="8"/>
      <c r="E68" s="8"/>
      <c r="F68" s="8"/>
      <c r="G68" s="8"/>
      <c r="H68" s="8"/>
      <c r="I68" s="8"/>
      <c r="J68" s="8"/>
      <c r="K68" s="8"/>
      <c r="L68" s="8"/>
      <c r="M68" s="8"/>
      <c r="N68" s="8"/>
      <c r="O68" s="8"/>
      <c r="P68" s="8"/>
      <c r="Q68" s="8"/>
      <c r="R68" s="8"/>
      <c r="S68" s="8"/>
      <c r="T68" s="8"/>
    </row>
    <row r="69" spans="3:20">
      <c r="C69" s="13">
        <f>IF(D69&lt;&gt;"",COUNTA($D$10:D69),"")</f>
        <v>51</v>
      </c>
      <c r="D69" s="5" t="s">
        <v>165</v>
      </c>
      <c r="E69" s="5" t="s">
        <v>166</v>
      </c>
      <c r="F69" s="5" t="s">
        <v>167</v>
      </c>
      <c r="G69" s="5" t="s">
        <v>168</v>
      </c>
      <c r="H69" s="5" t="s">
        <v>169</v>
      </c>
      <c r="I69" s="5" t="s">
        <v>170</v>
      </c>
      <c r="J69" s="5" t="s">
        <v>171</v>
      </c>
      <c r="K69" s="5" t="s">
        <v>172</v>
      </c>
      <c r="L69" s="5" t="s">
        <v>173</v>
      </c>
      <c r="M69" s="5" t="s">
        <v>174</v>
      </c>
      <c r="N69" s="5" t="s">
        <v>175</v>
      </c>
      <c r="O69" s="5" t="s">
        <v>176</v>
      </c>
      <c r="P69" s="5" t="s">
        <v>177</v>
      </c>
      <c r="Q69" s="5" t="s">
        <v>178</v>
      </c>
      <c r="R69" s="5" t="s">
        <v>199</v>
      </c>
      <c r="S69" s="5" t="s">
        <v>180</v>
      </c>
      <c r="T69" s="5" t="s">
        <v>180</v>
      </c>
    </row>
    <row r="70" spans="3:20">
      <c r="C70" s="13">
        <f>IF(D70&lt;&gt;"",COUNTA($D$10:D70),"")</f>
        <v>52</v>
      </c>
      <c r="D70" s="14" t="s">
        <v>200</v>
      </c>
      <c r="E70" s="14">
        <v>3</v>
      </c>
      <c r="F70" s="14">
        <v>3</v>
      </c>
      <c r="G70" s="14">
        <v>2.4</v>
      </c>
      <c r="H70" s="14">
        <v>1</v>
      </c>
      <c r="I70" s="14">
        <v>2</v>
      </c>
      <c r="J70" s="14">
        <v>1.75</v>
      </c>
      <c r="K70" s="14">
        <v>3</v>
      </c>
      <c r="L70" s="15">
        <v>0.1</v>
      </c>
      <c r="M70" s="15">
        <v>0</v>
      </c>
      <c r="N70" s="14">
        <v>24</v>
      </c>
      <c r="O70" s="14">
        <v>50</v>
      </c>
      <c r="P70" s="13">
        <v>45</v>
      </c>
      <c r="Q70" s="13">
        <v>85</v>
      </c>
      <c r="R70" s="13" t="s">
        <v>217</v>
      </c>
      <c r="S70" s="13">
        <v>80</v>
      </c>
      <c r="T70" s="856" t="s">
        <v>85</v>
      </c>
    </row>
    <row r="71" spans="3:20">
      <c r="C71" s="13">
        <f>IF(D71&lt;&gt;"",COUNTA($D$10:D71),"")</f>
        <v>53</v>
      </c>
      <c r="D71" s="14" t="s">
        <v>201</v>
      </c>
      <c r="E71" s="14">
        <v>1.8</v>
      </c>
      <c r="F71" s="14">
        <v>2.2000000000000002</v>
      </c>
      <c r="G71" s="14">
        <v>2.4</v>
      </c>
      <c r="H71" s="14">
        <v>2</v>
      </c>
      <c r="I71" s="14">
        <v>1</v>
      </c>
      <c r="J71" s="14">
        <v>1.75</v>
      </c>
      <c r="K71" s="14">
        <v>3</v>
      </c>
      <c r="L71" s="15">
        <v>0.1</v>
      </c>
      <c r="M71" s="15">
        <v>0</v>
      </c>
      <c r="N71" s="14">
        <v>24</v>
      </c>
      <c r="O71" s="14">
        <v>50</v>
      </c>
      <c r="P71" s="13">
        <v>45</v>
      </c>
      <c r="Q71" s="13">
        <v>85</v>
      </c>
      <c r="R71" s="13" t="s">
        <v>217</v>
      </c>
      <c r="S71" s="13">
        <v>80</v>
      </c>
      <c r="T71" s="856" t="s">
        <v>85</v>
      </c>
    </row>
    <row r="72" spans="3:20">
      <c r="C72" s="13">
        <f>IF(D72&lt;&gt;"",COUNTA($D$10:D72),"")</f>
        <v>54</v>
      </c>
      <c r="D72" s="14" t="s">
        <v>202</v>
      </c>
      <c r="E72" s="14">
        <v>1.5</v>
      </c>
      <c r="F72" s="14">
        <v>2.8</v>
      </c>
      <c r="G72" s="14">
        <v>2.4</v>
      </c>
      <c r="H72" s="14">
        <v>2</v>
      </c>
      <c r="I72" s="14">
        <v>3</v>
      </c>
      <c r="J72" s="14">
        <v>1.75</v>
      </c>
      <c r="K72" s="14">
        <v>3</v>
      </c>
      <c r="L72" s="15">
        <v>0.1</v>
      </c>
      <c r="M72" s="15">
        <v>0</v>
      </c>
      <c r="N72" s="14">
        <v>24</v>
      </c>
      <c r="O72" s="14">
        <v>50</v>
      </c>
      <c r="P72" s="13">
        <v>45</v>
      </c>
      <c r="Q72" s="13">
        <v>85</v>
      </c>
      <c r="R72" s="13" t="s">
        <v>217</v>
      </c>
      <c r="S72" s="13">
        <v>80</v>
      </c>
      <c r="T72" s="856" t="s">
        <v>85</v>
      </c>
    </row>
    <row r="73" spans="3:20">
      <c r="C73" s="13">
        <f>IF(D73&lt;&gt;"",COUNTA($D$10:D73),"")</f>
        <v>55</v>
      </c>
      <c r="D73" s="14" t="s">
        <v>203</v>
      </c>
      <c r="E73" s="14">
        <v>2.1</v>
      </c>
      <c r="F73" s="14">
        <v>3.5</v>
      </c>
      <c r="G73" s="14">
        <v>2.4</v>
      </c>
      <c r="H73" s="14">
        <v>0</v>
      </c>
      <c r="I73" s="14">
        <v>1</v>
      </c>
      <c r="J73" s="14">
        <v>1.75</v>
      </c>
      <c r="K73" s="14">
        <v>3</v>
      </c>
      <c r="L73" s="15">
        <v>0.1</v>
      </c>
      <c r="M73" s="15">
        <v>0</v>
      </c>
      <c r="N73" s="14">
        <v>24</v>
      </c>
      <c r="O73" s="14">
        <v>50</v>
      </c>
      <c r="P73" s="13">
        <v>45</v>
      </c>
      <c r="Q73" s="13">
        <v>85</v>
      </c>
      <c r="R73" s="13" t="s">
        <v>217</v>
      </c>
      <c r="S73" s="13">
        <v>80</v>
      </c>
      <c r="T73" s="856" t="s">
        <v>85</v>
      </c>
    </row>
    <row r="74" spans="3:20">
      <c r="C74" s="13">
        <f>IF(D74&lt;&gt;"",COUNTA($D$10:D74),"")</f>
        <v>56</v>
      </c>
      <c r="D74" s="14" t="s">
        <v>204</v>
      </c>
      <c r="E74" s="14">
        <v>2.7</v>
      </c>
      <c r="F74" s="14">
        <v>4</v>
      </c>
      <c r="G74" s="14">
        <v>2.4</v>
      </c>
      <c r="H74" s="14">
        <v>2</v>
      </c>
      <c r="I74" s="14">
        <v>1</v>
      </c>
      <c r="J74" s="14">
        <v>1.75</v>
      </c>
      <c r="K74" s="14">
        <v>3</v>
      </c>
      <c r="L74" s="15">
        <v>0.1</v>
      </c>
      <c r="M74" s="15">
        <v>0</v>
      </c>
      <c r="N74" s="14">
        <v>24</v>
      </c>
      <c r="O74" s="14">
        <v>50</v>
      </c>
      <c r="P74" s="13">
        <v>45</v>
      </c>
      <c r="Q74" s="13">
        <v>85</v>
      </c>
      <c r="R74" s="13" t="s">
        <v>217</v>
      </c>
      <c r="S74" s="13">
        <v>80</v>
      </c>
      <c r="T74" s="856" t="s">
        <v>85</v>
      </c>
    </row>
    <row r="75" spans="3:20">
      <c r="C75" s="13">
        <f>IF(D75&lt;&gt;"",COUNTA($D$10:D75),"")</f>
        <v>57</v>
      </c>
      <c r="D75" s="14" t="s">
        <v>205</v>
      </c>
      <c r="E75" s="14">
        <v>3.8</v>
      </c>
      <c r="F75" s="14">
        <v>4.2</v>
      </c>
      <c r="G75" s="14">
        <v>2.4</v>
      </c>
      <c r="H75" s="14">
        <v>3</v>
      </c>
      <c r="I75" s="14">
        <v>3</v>
      </c>
      <c r="J75" s="14">
        <v>1.75</v>
      </c>
      <c r="K75" s="14">
        <v>3</v>
      </c>
      <c r="L75" s="15">
        <v>0.1</v>
      </c>
      <c r="M75" s="15">
        <v>0</v>
      </c>
      <c r="N75" s="14">
        <v>24</v>
      </c>
      <c r="O75" s="14">
        <v>50</v>
      </c>
      <c r="P75" s="13">
        <v>45</v>
      </c>
      <c r="Q75" s="13">
        <v>85</v>
      </c>
      <c r="R75" s="13" t="s">
        <v>217</v>
      </c>
      <c r="S75" s="13">
        <v>80</v>
      </c>
      <c r="T75" s="856" t="s">
        <v>85</v>
      </c>
    </row>
    <row r="76" spans="3:20">
      <c r="C76" s="13">
        <f>IF(D76&lt;&gt;"",COUNTA($D$10:D76),"")</f>
        <v>58</v>
      </c>
      <c r="D76" s="14" t="s">
        <v>206</v>
      </c>
      <c r="E76" s="14">
        <v>3.1</v>
      </c>
      <c r="F76" s="14">
        <v>2.6</v>
      </c>
      <c r="G76" s="14">
        <v>2.4</v>
      </c>
      <c r="H76" s="14">
        <v>2</v>
      </c>
      <c r="I76" s="14">
        <v>1</v>
      </c>
      <c r="J76" s="14">
        <v>1.75</v>
      </c>
      <c r="K76" s="14">
        <v>3</v>
      </c>
      <c r="L76" s="15">
        <v>0.1</v>
      </c>
      <c r="M76" s="15">
        <v>0</v>
      </c>
      <c r="N76" s="14">
        <v>24</v>
      </c>
      <c r="O76" s="14">
        <v>50</v>
      </c>
      <c r="P76" s="13">
        <v>45</v>
      </c>
      <c r="Q76" s="13">
        <v>85</v>
      </c>
      <c r="R76" s="13" t="s">
        <v>217</v>
      </c>
      <c r="S76" s="13">
        <v>80</v>
      </c>
      <c r="T76" s="856" t="s">
        <v>85</v>
      </c>
    </row>
    <row r="77" spans="3:20">
      <c r="C77" s="13">
        <f>IF(D77&lt;&gt;"",COUNTA($D$10:D77),"")</f>
        <v>59</v>
      </c>
      <c r="D77" s="14" t="s">
        <v>207</v>
      </c>
      <c r="E77" s="14">
        <v>1.9</v>
      </c>
      <c r="F77" s="14">
        <v>2.4</v>
      </c>
      <c r="G77" s="14">
        <v>2.4</v>
      </c>
      <c r="H77" s="14">
        <v>3</v>
      </c>
      <c r="I77" s="14">
        <v>2</v>
      </c>
      <c r="J77" s="14">
        <v>1.75</v>
      </c>
      <c r="K77" s="14">
        <v>3</v>
      </c>
      <c r="L77" s="15">
        <v>0.1</v>
      </c>
      <c r="M77" s="15">
        <v>0</v>
      </c>
      <c r="N77" s="14">
        <v>24</v>
      </c>
      <c r="O77" s="14">
        <v>50</v>
      </c>
      <c r="P77" s="13">
        <v>45</v>
      </c>
      <c r="Q77" s="13">
        <v>85</v>
      </c>
      <c r="R77" s="13" t="s">
        <v>217</v>
      </c>
      <c r="S77" s="13">
        <v>80</v>
      </c>
      <c r="T77" s="856" t="s">
        <v>85</v>
      </c>
    </row>
    <row r="78" spans="3:20">
      <c r="C78" s="13">
        <f>IF(D78&lt;&gt;"",COUNTA($D$10:D78),"")</f>
        <v>60</v>
      </c>
      <c r="D78" s="14" t="s">
        <v>208</v>
      </c>
      <c r="E78" s="14">
        <v>3</v>
      </c>
      <c r="F78" s="14">
        <v>2.9</v>
      </c>
      <c r="G78" s="14">
        <v>2.4</v>
      </c>
      <c r="H78" s="14">
        <v>2</v>
      </c>
      <c r="I78" s="14">
        <v>1</v>
      </c>
      <c r="J78" s="14">
        <v>1.75</v>
      </c>
      <c r="K78" s="14">
        <v>3</v>
      </c>
      <c r="L78" s="15">
        <v>0.1</v>
      </c>
      <c r="M78" s="15">
        <v>0</v>
      </c>
      <c r="N78" s="14">
        <v>24</v>
      </c>
      <c r="O78" s="14">
        <v>50</v>
      </c>
      <c r="P78" s="13">
        <v>45</v>
      </c>
      <c r="Q78" s="13">
        <v>85</v>
      </c>
      <c r="R78" s="13" t="s">
        <v>217</v>
      </c>
      <c r="S78" s="13">
        <v>80</v>
      </c>
      <c r="T78" s="856" t="s">
        <v>85</v>
      </c>
    </row>
    <row r="79" spans="3:20">
      <c r="C79" s="13">
        <f>IF(D79&lt;&gt;"",COUNTA($D$10:D79),"")</f>
        <v>61</v>
      </c>
      <c r="D79" s="14" t="s">
        <v>209</v>
      </c>
      <c r="E79" s="14">
        <v>2.4</v>
      </c>
      <c r="F79" s="14">
        <v>2</v>
      </c>
      <c r="G79" s="14">
        <v>2.4</v>
      </c>
      <c r="H79" s="14">
        <v>2</v>
      </c>
      <c r="I79" s="14">
        <v>1</v>
      </c>
      <c r="J79" s="14">
        <v>1.75</v>
      </c>
      <c r="K79" s="14">
        <v>3</v>
      </c>
      <c r="L79" s="15">
        <v>0.1</v>
      </c>
      <c r="M79" s="15">
        <v>0</v>
      </c>
      <c r="N79" s="14">
        <v>24</v>
      </c>
      <c r="O79" s="14">
        <v>50</v>
      </c>
      <c r="P79" s="13">
        <v>45</v>
      </c>
      <c r="Q79" s="13">
        <v>85</v>
      </c>
      <c r="R79" s="13" t="s">
        <v>217</v>
      </c>
      <c r="S79" s="13">
        <v>80</v>
      </c>
      <c r="T79" s="856" t="s">
        <v>85</v>
      </c>
    </row>
    <row r="80" spans="3:20">
      <c r="C80" s="13">
        <f>IF(D80&lt;&gt;"",COUNTA($D$10:D80),"")</f>
        <v>62</v>
      </c>
      <c r="D80" s="14" t="s">
        <v>210</v>
      </c>
      <c r="E80" s="14">
        <v>2.1</v>
      </c>
      <c r="F80" s="14">
        <v>1.8</v>
      </c>
      <c r="G80" s="14">
        <v>2.4</v>
      </c>
      <c r="H80" s="14">
        <v>2</v>
      </c>
      <c r="I80" s="14">
        <v>1</v>
      </c>
      <c r="J80" s="14">
        <v>1.75</v>
      </c>
      <c r="K80" s="14">
        <v>3</v>
      </c>
      <c r="L80" s="15">
        <v>0.1</v>
      </c>
      <c r="M80" s="15">
        <v>0</v>
      </c>
      <c r="N80" s="14">
        <v>24</v>
      </c>
      <c r="O80" s="14">
        <v>50</v>
      </c>
      <c r="P80" s="13">
        <v>45</v>
      </c>
      <c r="Q80" s="13">
        <v>85</v>
      </c>
      <c r="R80" s="13" t="s">
        <v>217</v>
      </c>
      <c r="S80" s="13">
        <v>80</v>
      </c>
      <c r="T80" s="856" t="s">
        <v>85</v>
      </c>
    </row>
    <row r="81" spans="3:20">
      <c r="C81" s="13">
        <f>IF(D81&lt;&gt;"",COUNTA($D$10:D81),"")</f>
        <v>63</v>
      </c>
      <c r="D81" s="14" t="s">
        <v>211</v>
      </c>
      <c r="E81" s="14">
        <v>1.8</v>
      </c>
      <c r="F81" s="14">
        <v>1.9</v>
      </c>
      <c r="G81" s="14">
        <v>2.4</v>
      </c>
      <c r="H81" s="14">
        <v>2</v>
      </c>
      <c r="I81" s="14">
        <v>1</v>
      </c>
      <c r="J81" s="14">
        <v>1.75</v>
      </c>
      <c r="K81" s="14">
        <v>3</v>
      </c>
      <c r="L81" s="15">
        <v>0.1</v>
      </c>
      <c r="M81" s="15">
        <v>0</v>
      </c>
      <c r="N81" s="14">
        <v>24</v>
      </c>
      <c r="O81" s="14">
        <v>50</v>
      </c>
      <c r="P81" s="13">
        <v>45</v>
      </c>
      <c r="Q81" s="13">
        <v>85</v>
      </c>
      <c r="R81" s="13" t="s">
        <v>217</v>
      </c>
      <c r="S81" s="13">
        <v>80</v>
      </c>
      <c r="T81" s="856" t="s">
        <v>85</v>
      </c>
    </row>
    <row r="82" spans="3:20">
      <c r="C82" s="13">
        <f>IF(D82&lt;&gt;"",COUNTA($D$10:D82),"")</f>
        <v>64</v>
      </c>
      <c r="D82" s="14" t="s">
        <v>212</v>
      </c>
      <c r="E82" s="14">
        <v>1.9</v>
      </c>
      <c r="F82" s="14">
        <v>2</v>
      </c>
      <c r="G82" s="14">
        <v>2.4</v>
      </c>
      <c r="H82" s="14">
        <v>2</v>
      </c>
      <c r="I82" s="14">
        <v>1</v>
      </c>
      <c r="J82" s="14">
        <v>1.75</v>
      </c>
      <c r="K82" s="14">
        <v>3</v>
      </c>
      <c r="L82" s="15">
        <v>0.1</v>
      </c>
      <c r="M82" s="15">
        <v>0</v>
      </c>
      <c r="N82" s="14">
        <v>24</v>
      </c>
      <c r="O82" s="14">
        <v>50</v>
      </c>
      <c r="P82" s="13">
        <v>45</v>
      </c>
      <c r="Q82" s="13">
        <v>85</v>
      </c>
      <c r="R82" s="13" t="s">
        <v>217</v>
      </c>
      <c r="S82" s="13">
        <v>80</v>
      </c>
      <c r="T82" s="856" t="s">
        <v>85</v>
      </c>
    </row>
    <row r="83" spans="3:20">
      <c r="C83" s="13">
        <f>IF(D83&lt;&gt;"",COUNTA($D$10:D83),"")</f>
        <v>65</v>
      </c>
      <c r="D83" s="14" t="s">
        <v>213</v>
      </c>
      <c r="E83" s="14">
        <v>2.2999999999999998</v>
      </c>
      <c r="F83" s="14">
        <v>2.2000000000000002</v>
      </c>
      <c r="G83" s="14">
        <v>2.4</v>
      </c>
      <c r="H83" s="14">
        <v>2</v>
      </c>
      <c r="I83" s="14">
        <v>1</v>
      </c>
      <c r="J83" s="14">
        <v>1.75</v>
      </c>
      <c r="K83" s="14">
        <v>3</v>
      </c>
      <c r="L83" s="15">
        <v>0.1</v>
      </c>
      <c r="M83" s="15">
        <v>0</v>
      </c>
      <c r="N83" s="14">
        <v>24</v>
      </c>
      <c r="O83" s="14">
        <v>50</v>
      </c>
      <c r="P83" s="13">
        <v>45</v>
      </c>
      <c r="Q83" s="13">
        <v>85</v>
      </c>
      <c r="R83" s="13" t="s">
        <v>217</v>
      </c>
      <c r="S83" s="13">
        <v>80</v>
      </c>
      <c r="T83" s="856" t="s">
        <v>85</v>
      </c>
    </row>
    <row r="84" spans="3:20">
      <c r="C84" s="13">
        <f>IF(D84&lt;&gt;"",COUNTA($D$10:D84),"")</f>
        <v>66</v>
      </c>
      <c r="D84" s="14" t="s">
        <v>214</v>
      </c>
      <c r="E84" s="14">
        <v>2.2000000000000002</v>
      </c>
      <c r="F84" s="14">
        <v>2.8</v>
      </c>
      <c r="G84" s="14">
        <v>2.4</v>
      </c>
      <c r="H84" s="14">
        <v>2</v>
      </c>
      <c r="I84" s="14">
        <v>1</v>
      </c>
      <c r="J84" s="14">
        <v>1.75</v>
      </c>
      <c r="K84" s="14">
        <v>3</v>
      </c>
      <c r="L84" s="15">
        <v>0.1</v>
      </c>
      <c r="M84" s="15">
        <v>0</v>
      </c>
      <c r="N84" s="14">
        <v>24</v>
      </c>
      <c r="O84" s="14">
        <v>50</v>
      </c>
      <c r="P84" s="13">
        <v>45</v>
      </c>
      <c r="Q84" s="13">
        <v>85</v>
      </c>
      <c r="R84" s="13" t="s">
        <v>217</v>
      </c>
      <c r="S84" s="13">
        <v>80</v>
      </c>
      <c r="T84" s="856" t="s">
        <v>85</v>
      </c>
    </row>
    <row r="85" spans="3:20">
      <c r="C85" s="13">
        <f>IF(D85&lt;&gt;"",COUNTA($D$10:D85),"")</f>
        <v>67</v>
      </c>
      <c r="D85" s="14" t="s">
        <v>215</v>
      </c>
      <c r="E85" s="14">
        <v>2.8</v>
      </c>
      <c r="F85" s="14">
        <v>2.4</v>
      </c>
      <c r="G85" s="14">
        <v>2.4</v>
      </c>
      <c r="H85" s="14">
        <v>2</v>
      </c>
      <c r="I85" s="14">
        <v>1</v>
      </c>
      <c r="J85" s="14">
        <v>1.75</v>
      </c>
      <c r="K85" s="14">
        <v>3</v>
      </c>
      <c r="L85" s="15">
        <v>0.1</v>
      </c>
      <c r="M85" s="15">
        <v>0</v>
      </c>
      <c r="N85" s="14">
        <v>24</v>
      </c>
      <c r="O85" s="14">
        <v>50</v>
      </c>
      <c r="P85" s="13">
        <v>45</v>
      </c>
      <c r="Q85" s="13">
        <v>85</v>
      </c>
      <c r="R85" s="13" t="s">
        <v>217</v>
      </c>
      <c r="S85" s="13">
        <v>80</v>
      </c>
      <c r="T85" s="856" t="s">
        <v>85</v>
      </c>
    </row>
    <row r="86" spans="3:20">
      <c r="C86" s="13" t="str">
        <f>IF(D86&lt;&gt;"",COUNTA($D$10:D86),"")</f>
        <v/>
      </c>
      <c r="D86" s="19"/>
      <c r="E86" s="19"/>
      <c r="F86" s="19"/>
      <c r="G86" s="19"/>
      <c r="H86" s="19"/>
      <c r="I86" s="19"/>
      <c r="J86" s="19"/>
      <c r="K86" s="19"/>
      <c r="L86" s="19"/>
      <c r="M86" s="19"/>
      <c r="N86" s="19"/>
      <c r="O86" s="19"/>
      <c r="P86" s="19"/>
      <c r="Q86" s="19"/>
      <c r="R86" s="19"/>
      <c r="S86" s="19"/>
      <c r="T86" s="19"/>
    </row>
    <row r="87" spans="3:20">
      <c r="C87" s="13" t="str">
        <f>IF(D87&lt;&gt;"",COUNTA($D$10:D87),"")</f>
        <v/>
      </c>
    </row>
    <row r="88" spans="3:20" ht="26.1">
      <c r="C88" s="8" t="str">
        <f>"Zoning Area AHU - " &amp; INT((ROW()-8)/20)+1 &amp; "  " &amp; IF(ISNUMBER(N90),"Air-Conditioning System " &amp; IF(AH90="D","(DX)",IF(AH90="C","(Chilled Water)","")),IF(AND(N90="Amb",ISTEXT(N90)),"Ventilation System","Refer"))</f>
        <v xml:space="preserve">Zoning Area AHU - 5  Air-Conditioning System </v>
      </c>
      <c r="D88" s="8"/>
      <c r="E88" s="8"/>
      <c r="F88" s="8"/>
      <c r="G88" s="8"/>
      <c r="H88" s="8"/>
      <c r="I88" s="8"/>
      <c r="J88" s="8"/>
      <c r="K88" s="8"/>
      <c r="L88" s="8"/>
      <c r="M88" s="8"/>
      <c r="N88" s="8"/>
      <c r="O88" s="8"/>
      <c r="P88" s="8"/>
      <c r="Q88" s="8"/>
      <c r="R88" s="8"/>
      <c r="S88" s="8"/>
      <c r="T88" s="8"/>
    </row>
    <row r="89" spans="3:20">
      <c r="C89" s="13">
        <f>IF(D89&lt;&gt;"",COUNTA($D$10:D89),"")</f>
        <v>68</v>
      </c>
      <c r="D89" s="5" t="s">
        <v>165</v>
      </c>
      <c r="E89" s="5" t="s">
        <v>166</v>
      </c>
      <c r="F89" s="5" t="s">
        <v>167</v>
      </c>
      <c r="G89" s="5" t="s">
        <v>168</v>
      </c>
      <c r="H89" s="5" t="s">
        <v>169</v>
      </c>
      <c r="I89" s="5" t="s">
        <v>170</v>
      </c>
      <c r="J89" s="5" t="s">
        <v>171</v>
      </c>
      <c r="K89" s="5" t="s">
        <v>172</v>
      </c>
      <c r="L89" s="5" t="s">
        <v>173</v>
      </c>
      <c r="M89" s="5" t="s">
        <v>174</v>
      </c>
      <c r="N89" s="5" t="s">
        <v>175</v>
      </c>
      <c r="O89" s="5" t="s">
        <v>176</v>
      </c>
      <c r="P89" s="5" t="s">
        <v>177</v>
      </c>
      <c r="Q89" s="5" t="s">
        <v>178</v>
      </c>
      <c r="R89" s="5" t="s">
        <v>199</v>
      </c>
      <c r="S89" s="5" t="s">
        <v>180</v>
      </c>
      <c r="T89" s="5" t="s">
        <v>180</v>
      </c>
    </row>
    <row r="90" spans="3:20">
      <c r="C90" s="13">
        <f>IF(D90&lt;&gt;"",COUNTA($D$10:D90),"")</f>
        <v>69</v>
      </c>
      <c r="D90" s="14" t="s">
        <v>200</v>
      </c>
      <c r="E90" s="14">
        <v>3</v>
      </c>
      <c r="F90" s="14">
        <v>3</v>
      </c>
      <c r="G90" s="14">
        <v>2.4</v>
      </c>
      <c r="H90" s="14">
        <v>1</v>
      </c>
      <c r="I90" s="14">
        <v>2</v>
      </c>
      <c r="J90" s="14">
        <v>1.75</v>
      </c>
      <c r="K90" s="14">
        <v>3</v>
      </c>
      <c r="L90" s="15">
        <v>0.1</v>
      </c>
      <c r="M90" s="15">
        <v>0</v>
      </c>
      <c r="N90" s="14">
        <v>24</v>
      </c>
      <c r="O90" s="14">
        <v>50</v>
      </c>
      <c r="P90" s="13">
        <v>45</v>
      </c>
      <c r="Q90" s="13">
        <v>85</v>
      </c>
      <c r="R90" s="13" t="s">
        <v>218</v>
      </c>
      <c r="S90" s="13">
        <v>20</v>
      </c>
      <c r="T90" s="856" t="s">
        <v>85</v>
      </c>
    </row>
    <row r="91" spans="3:20">
      <c r="C91" s="13">
        <f>IF(D91&lt;&gt;"",COUNTA($D$10:D91),"")</f>
        <v>70</v>
      </c>
      <c r="D91" s="14" t="s">
        <v>201</v>
      </c>
      <c r="E91" s="14">
        <v>1.8</v>
      </c>
      <c r="F91" s="14">
        <v>2.2000000000000002</v>
      </c>
      <c r="G91" s="14">
        <v>2.4</v>
      </c>
      <c r="H91" s="14">
        <v>2</v>
      </c>
      <c r="I91" s="14">
        <v>1</v>
      </c>
      <c r="J91" s="14">
        <v>1.75</v>
      </c>
      <c r="K91" s="14">
        <v>3</v>
      </c>
      <c r="L91" s="15">
        <v>0.1</v>
      </c>
      <c r="M91" s="15">
        <v>0</v>
      </c>
      <c r="N91" s="14">
        <v>24</v>
      </c>
      <c r="O91" s="14">
        <v>50</v>
      </c>
      <c r="P91" s="13">
        <v>45</v>
      </c>
      <c r="Q91" s="13">
        <v>85</v>
      </c>
      <c r="R91" s="13" t="s">
        <v>218</v>
      </c>
      <c r="S91" s="13">
        <v>20</v>
      </c>
      <c r="T91" s="856" t="s">
        <v>85</v>
      </c>
    </row>
    <row r="92" spans="3:20">
      <c r="C92" s="13">
        <f>IF(D92&lt;&gt;"",COUNTA($D$10:D92),"")</f>
        <v>71</v>
      </c>
      <c r="D92" s="14" t="s">
        <v>202</v>
      </c>
      <c r="E92" s="14">
        <v>1.5</v>
      </c>
      <c r="F92" s="14">
        <v>2.8</v>
      </c>
      <c r="G92" s="14">
        <v>2.4</v>
      </c>
      <c r="H92" s="14">
        <v>2</v>
      </c>
      <c r="I92" s="14">
        <v>3</v>
      </c>
      <c r="J92" s="14">
        <v>1.75</v>
      </c>
      <c r="K92" s="14">
        <v>3</v>
      </c>
      <c r="L92" s="15">
        <v>0.1</v>
      </c>
      <c r="M92" s="15">
        <v>0</v>
      </c>
      <c r="N92" s="14">
        <v>24</v>
      </c>
      <c r="O92" s="14">
        <v>50</v>
      </c>
      <c r="P92" s="13">
        <v>45</v>
      </c>
      <c r="Q92" s="13">
        <v>85</v>
      </c>
      <c r="R92" s="13" t="s">
        <v>218</v>
      </c>
      <c r="S92" s="13">
        <v>20</v>
      </c>
      <c r="T92" s="856" t="s">
        <v>85</v>
      </c>
    </row>
    <row r="93" spans="3:20">
      <c r="C93" s="13">
        <f>IF(D93&lt;&gt;"",COUNTA($D$10:D93),"")</f>
        <v>72</v>
      </c>
      <c r="D93" s="14" t="s">
        <v>203</v>
      </c>
      <c r="E93" s="14">
        <v>2.1</v>
      </c>
      <c r="F93" s="14">
        <v>3.5</v>
      </c>
      <c r="G93" s="14">
        <v>2.4</v>
      </c>
      <c r="H93" s="14">
        <v>0</v>
      </c>
      <c r="I93" s="14">
        <v>1</v>
      </c>
      <c r="J93" s="14">
        <v>1.75</v>
      </c>
      <c r="K93" s="14">
        <v>3</v>
      </c>
      <c r="L93" s="15">
        <v>0.1</v>
      </c>
      <c r="M93" s="15">
        <v>0</v>
      </c>
      <c r="N93" s="14">
        <v>24</v>
      </c>
      <c r="O93" s="14">
        <v>50</v>
      </c>
      <c r="P93" s="13">
        <v>45</v>
      </c>
      <c r="Q93" s="13">
        <v>85</v>
      </c>
      <c r="R93" s="13" t="s">
        <v>218</v>
      </c>
      <c r="S93" s="13">
        <v>20</v>
      </c>
      <c r="T93" s="856" t="s">
        <v>85</v>
      </c>
    </row>
    <row r="94" spans="3:20">
      <c r="C94" s="13">
        <f>IF(D94&lt;&gt;"",COUNTA($D$10:D94),"")</f>
        <v>73</v>
      </c>
      <c r="D94" s="14" t="s">
        <v>204</v>
      </c>
      <c r="E94" s="14">
        <v>2.7</v>
      </c>
      <c r="F94" s="14">
        <v>4</v>
      </c>
      <c r="G94" s="14">
        <v>2.4</v>
      </c>
      <c r="H94" s="14">
        <v>2</v>
      </c>
      <c r="I94" s="14">
        <v>1</v>
      </c>
      <c r="J94" s="14">
        <v>1.75</v>
      </c>
      <c r="K94" s="14">
        <v>3</v>
      </c>
      <c r="L94" s="15">
        <v>0.1</v>
      </c>
      <c r="M94" s="15">
        <v>0</v>
      </c>
      <c r="N94" s="14">
        <v>24</v>
      </c>
      <c r="O94" s="14">
        <v>50</v>
      </c>
      <c r="P94" s="13">
        <v>45</v>
      </c>
      <c r="Q94" s="13">
        <v>85</v>
      </c>
      <c r="R94" s="13" t="s">
        <v>218</v>
      </c>
      <c r="S94" s="13">
        <v>20</v>
      </c>
      <c r="T94" s="856" t="s">
        <v>85</v>
      </c>
    </row>
    <row r="95" spans="3:20">
      <c r="C95" s="13">
        <f>IF(D95&lt;&gt;"",COUNTA($D$10:D95),"")</f>
        <v>74</v>
      </c>
      <c r="D95" s="14" t="s">
        <v>205</v>
      </c>
      <c r="E95" s="14">
        <v>3.8</v>
      </c>
      <c r="F95" s="14">
        <v>4.2</v>
      </c>
      <c r="G95" s="14">
        <v>2.4</v>
      </c>
      <c r="H95" s="14">
        <v>3</v>
      </c>
      <c r="I95" s="14">
        <v>3</v>
      </c>
      <c r="J95" s="14">
        <v>1.75</v>
      </c>
      <c r="K95" s="14">
        <v>3</v>
      </c>
      <c r="L95" s="15">
        <v>0.1</v>
      </c>
      <c r="M95" s="15">
        <v>0</v>
      </c>
      <c r="N95" s="14">
        <v>24</v>
      </c>
      <c r="O95" s="14">
        <v>50</v>
      </c>
      <c r="P95" s="13">
        <v>45</v>
      </c>
      <c r="Q95" s="13">
        <v>85</v>
      </c>
      <c r="R95" s="13" t="s">
        <v>218</v>
      </c>
      <c r="S95" s="13">
        <v>20</v>
      </c>
      <c r="T95" s="856" t="s">
        <v>85</v>
      </c>
    </row>
    <row r="96" spans="3:20">
      <c r="C96" s="13">
        <f>IF(D96&lt;&gt;"",COUNTA($D$10:D96),"")</f>
        <v>75</v>
      </c>
      <c r="D96" s="14" t="s">
        <v>206</v>
      </c>
      <c r="E96" s="14">
        <v>3.1</v>
      </c>
      <c r="F96" s="14">
        <v>2.6</v>
      </c>
      <c r="G96" s="14">
        <v>2.4</v>
      </c>
      <c r="H96" s="14">
        <v>2</v>
      </c>
      <c r="I96" s="14">
        <v>1</v>
      </c>
      <c r="J96" s="14">
        <v>1.75</v>
      </c>
      <c r="K96" s="14">
        <v>3</v>
      </c>
      <c r="L96" s="15">
        <v>0.1</v>
      </c>
      <c r="M96" s="15">
        <v>0</v>
      </c>
      <c r="N96" s="14">
        <v>24</v>
      </c>
      <c r="O96" s="14">
        <v>50</v>
      </c>
      <c r="P96" s="13">
        <v>45</v>
      </c>
      <c r="Q96" s="13">
        <v>85</v>
      </c>
      <c r="R96" s="13" t="s">
        <v>218</v>
      </c>
      <c r="S96" s="13">
        <v>20</v>
      </c>
      <c r="T96" s="856" t="s">
        <v>85</v>
      </c>
    </row>
    <row r="97" spans="3:20">
      <c r="C97" s="13">
        <f>IF(D97&lt;&gt;"",COUNTA($D$10:D97),"")</f>
        <v>76</v>
      </c>
      <c r="D97" s="14" t="s">
        <v>207</v>
      </c>
      <c r="E97" s="14">
        <v>1.9</v>
      </c>
      <c r="F97" s="14">
        <v>2.4</v>
      </c>
      <c r="G97" s="14">
        <v>2.4</v>
      </c>
      <c r="H97" s="14">
        <v>3</v>
      </c>
      <c r="I97" s="14">
        <v>2</v>
      </c>
      <c r="J97" s="14">
        <v>1.75</v>
      </c>
      <c r="K97" s="14">
        <v>3</v>
      </c>
      <c r="L97" s="15">
        <v>0.1</v>
      </c>
      <c r="M97" s="15">
        <v>0</v>
      </c>
      <c r="N97" s="14">
        <v>24</v>
      </c>
      <c r="O97" s="14">
        <v>50</v>
      </c>
      <c r="P97" s="13">
        <v>45</v>
      </c>
      <c r="Q97" s="13">
        <v>85</v>
      </c>
      <c r="R97" s="13" t="s">
        <v>218</v>
      </c>
      <c r="S97" s="13">
        <v>20</v>
      </c>
      <c r="T97" s="856" t="s">
        <v>85</v>
      </c>
    </row>
    <row r="98" spans="3:20">
      <c r="C98" s="13">
        <f>IF(D98&lt;&gt;"",COUNTA($D$10:D98),"")</f>
        <v>77</v>
      </c>
      <c r="D98" s="14" t="s">
        <v>208</v>
      </c>
      <c r="E98" s="14">
        <v>3</v>
      </c>
      <c r="F98" s="14">
        <v>2.9</v>
      </c>
      <c r="G98" s="14">
        <v>2.4</v>
      </c>
      <c r="H98" s="14">
        <v>2</v>
      </c>
      <c r="I98" s="14">
        <v>1</v>
      </c>
      <c r="J98" s="14">
        <v>1.75</v>
      </c>
      <c r="K98" s="14">
        <v>3</v>
      </c>
      <c r="L98" s="15">
        <v>0.1</v>
      </c>
      <c r="M98" s="15">
        <v>0</v>
      </c>
      <c r="N98" s="14">
        <v>24</v>
      </c>
      <c r="O98" s="14">
        <v>50</v>
      </c>
      <c r="P98" s="13">
        <v>45</v>
      </c>
      <c r="Q98" s="13">
        <v>85</v>
      </c>
      <c r="R98" s="13" t="s">
        <v>218</v>
      </c>
      <c r="S98" s="13">
        <v>20</v>
      </c>
      <c r="T98" s="856" t="s">
        <v>85</v>
      </c>
    </row>
    <row r="99" spans="3:20">
      <c r="C99" s="13">
        <f>IF(D99&lt;&gt;"",COUNTA($D$10:D99),"")</f>
        <v>78</v>
      </c>
      <c r="D99" s="14" t="s">
        <v>209</v>
      </c>
      <c r="E99" s="14">
        <v>2.4</v>
      </c>
      <c r="F99" s="14">
        <v>2</v>
      </c>
      <c r="G99" s="14">
        <v>2.4</v>
      </c>
      <c r="H99" s="14">
        <v>2</v>
      </c>
      <c r="I99" s="14">
        <v>1</v>
      </c>
      <c r="J99" s="14">
        <v>1.75</v>
      </c>
      <c r="K99" s="14">
        <v>3</v>
      </c>
      <c r="L99" s="15">
        <v>0.1</v>
      </c>
      <c r="M99" s="15">
        <v>0</v>
      </c>
      <c r="N99" s="14">
        <v>24</v>
      </c>
      <c r="O99" s="14">
        <v>50</v>
      </c>
      <c r="P99" s="13">
        <v>45</v>
      </c>
      <c r="Q99" s="13">
        <v>85</v>
      </c>
      <c r="R99" s="13" t="s">
        <v>218</v>
      </c>
      <c r="S99" s="13">
        <v>20</v>
      </c>
      <c r="T99" s="856" t="s">
        <v>85</v>
      </c>
    </row>
    <row r="100" spans="3:20">
      <c r="C100" s="13">
        <f>IF(D100&lt;&gt;"",COUNTA($D$10:D100),"")</f>
        <v>79</v>
      </c>
      <c r="D100" s="14" t="s">
        <v>210</v>
      </c>
      <c r="E100" s="14">
        <v>2.1</v>
      </c>
      <c r="F100" s="14">
        <v>1.8</v>
      </c>
      <c r="G100" s="14">
        <v>2.4</v>
      </c>
      <c r="H100" s="14">
        <v>2</v>
      </c>
      <c r="I100" s="14">
        <v>1</v>
      </c>
      <c r="J100" s="14">
        <v>1.75</v>
      </c>
      <c r="K100" s="14">
        <v>3</v>
      </c>
      <c r="L100" s="15">
        <v>0.1</v>
      </c>
      <c r="M100" s="15">
        <v>0</v>
      </c>
      <c r="N100" s="14">
        <v>24</v>
      </c>
      <c r="O100" s="14">
        <v>50</v>
      </c>
      <c r="P100" s="13">
        <v>45</v>
      </c>
      <c r="Q100" s="13">
        <v>85</v>
      </c>
      <c r="R100" s="13" t="s">
        <v>218</v>
      </c>
      <c r="S100" s="13">
        <v>20</v>
      </c>
      <c r="T100" s="856" t="s">
        <v>85</v>
      </c>
    </row>
    <row r="101" spans="3:20">
      <c r="C101" s="13">
        <f>IF(D101&lt;&gt;"",COUNTA($D$10:D101),"")</f>
        <v>80</v>
      </c>
      <c r="D101" s="14" t="s">
        <v>211</v>
      </c>
      <c r="E101" s="14">
        <v>1.8</v>
      </c>
      <c r="F101" s="14">
        <v>1.9</v>
      </c>
      <c r="G101" s="14">
        <v>2.4</v>
      </c>
      <c r="H101" s="14">
        <v>2</v>
      </c>
      <c r="I101" s="14">
        <v>1</v>
      </c>
      <c r="J101" s="14">
        <v>1.75</v>
      </c>
      <c r="K101" s="14">
        <v>3</v>
      </c>
      <c r="L101" s="15">
        <v>0.1</v>
      </c>
      <c r="M101" s="15">
        <v>0</v>
      </c>
      <c r="N101" s="14">
        <v>24</v>
      </c>
      <c r="O101" s="14">
        <v>50</v>
      </c>
      <c r="P101" s="13">
        <v>45</v>
      </c>
      <c r="Q101" s="13">
        <v>85</v>
      </c>
      <c r="R101" s="13" t="s">
        <v>218</v>
      </c>
      <c r="S101" s="13">
        <v>20</v>
      </c>
      <c r="T101" s="856" t="s">
        <v>85</v>
      </c>
    </row>
    <row r="102" spans="3:20">
      <c r="C102" s="13">
        <f>IF(D102&lt;&gt;"",COUNTA($D$10:D102),"")</f>
        <v>81</v>
      </c>
      <c r="D102" s="14" t="s">
        <v>212</v>
      </c>
      <c r="E102" s="14">
        <v>1.9</v>
      </c>
      <c r="F102" s="14">
        <v>2</v>
      </c>
      <c r="G102" s="14">
        <v>2.4</v>
      </c>
      <c r="H102" s="14">
        <v>2</v>
      </c>
      <c r="I102" s="14">
        <v>1</v>
      </c>
      <c r="J102" s="14">
        <v>1.75</v>
      </c>
      <c r="K102" s="14">
        <v>3</v>
      </c>
      <c r="L102" s="15">
        <v>0.1</v>
      </c>
      <c r="M102" s="15">
        <v>0</v>
      </c>
      <c r="N102" s="14">
        <v>24</v>
      </c>
      <c r="O102" s="14">
        <v>50</v>
      </c>
      <c r="P102" s="13">
        <v>45</v>
      </c>
      <c r="Q102" s="13">
        <v>85</v>
      </c>
      <c r="R102" s="13" t="s">
        <v>218</v>
      </c>
      <c r="S102" s="13">
        <v>20</v>
      </c>
      <c r="T102" s="856" t="s">
        <v>85</v>
      </c>
    </row>
    <row r="103" spans="3:20">
      <c r="C103" s="13">
        <f>IF(D103&lt;&gt;"",COUNTA($D$10:D103),"")</f>
        <v>82</v>
      </c>
      <c r="D103" s="14" t="s">
        <v>213</v>
      </c>
      <c r="E103" s="14">
        <v>2.2999999999999998</v>
      </c>
      <c r="F103" s="14">
        <v>2.2000000000000002</v>
      </c>
      <c r="G103" s="14">
        <v>2.4</v>
      </c>
      <c r="H103" s="14">
        <v>2</v>
      </c>
      <c r="I103" s="14">
        <v>1</v>
      </c>
      <c r="J103" s="14">
        <v>1.75</v>
      </c>
      <c r="K103" s="14">
        <v>3</v>
      </c>
      <c r="L103" s="15">
        <v>0.1</v>
      </c>
      <c r="M103" s="15">
        <v>0</v>
      </c>
      <c r="N103" s="14">
        <v>24</v>
      </c>
      <c r="O103" s="14">
        <v>50</v>
      </c>
      <c r="P103" s="13">
        <v>45</v>
      </c>
      <c r="Q103" s="13">
        <v>85</v>
      </c>
      <c r="R103" s="13" t="s">
        <v>218</v>
      </c>
      <c r="S103" s="13">
        <v>20</v>
      </c>
      <c r="T103" s="856" t="s">
        <v>85</v>
      </c>
    </row>
    <row r="104" spans="3:20">
      <c r="C104" s="13">
        <f>IF(D104&lt;&gt;"",COUNTA($D$10:D104),"")</f>
        <v>83</v>
      </c>
      <c r="D104" s="14" t="s">
        <v>214</v>
      </c>
      <c r="E104" s="14">
        <v>2.2000000000000002</v>
      </c>
      <c r="F104" s="14">
        <v>2.8</v>
      </c>
      <c r="G104" s="14">
        <v>2.4</v>
      </c>
      <c r="H104" s="14">
        <v>2</v>
      </c>
      <c r="I104" s="14">
        <v>1</v>
      </c>
      <c r="J104" s="14">
        <v>1.75</v>
      </c>
      <c r="K104" s="14">
        <v>3</v>
      </c>
      <c r="L104" s="15">
        <v>0.1</v>
      </c>
      <c r="M104" s="15">
        <v>0</v>
      </c>
      <c r="N104" s="14">
        <v>24</v>
      </c>
      <c r="O104" s="14">
        <v>50</v>
      </c>
      <c r="P104" s="13">
        <v>45</v>
      </c>
      <c r="Q104" s="13">
        <v>85</v>
      </c>
      <c r="R104" s="13" t="s">
        <v>218</v>
      </c>
      <c r="S104" s="13">
        <v>20</v>
      </c>
      <c r="T104" s="856" t="s">
        <v>85</v>
      </c>
    </row>
    <row r="105" spans="3:20">
      <c r="C105" s="13">
        <f>IF(D105&lt;&gt;"",COUNTA($D$10:D105),"")</f>
        <v>84</v>
      </c>
      <c r="D105" s="14" t="s">
        <v>215</v>
      </c>
      <c r="E105" s="14">
        <v>2.8</v>
      </c>
      <c r="F105" s="14">
        <v>2.4</v>
      </c>
      <c r="G105" s="14">
        <v>2.4</v>
      </c>
      <c r="H105" s="14">
        <v>2</v>
      </c>
      <c r="I105" s="14">
        <v>1</v>
      </c>
      <c r="J105" s="14">
        <v>1.75</v>
      </c>
      <c r="K105" s="14">
        <v>3</v>
      </c>
      <c r="L105" s="15">
        <v>0.1</v>
      </c>
      <c r="M105" s="15">
        <v>0</v>
      </c>
      <c r="N105" s="14">
        <v>24</v>
      </c>
      <c r="O105" s="14">
        <v>50</v>
      </c>
      <c r="P105" s="13">
        <v>45</v>
      </c>
      <c r="Q105" s="13">
        <v>85</v>
      </c>
      <c r="R105" s="13" t="s">
        <v>218</v>
      </c>
      <c r="S105" s="13">
        <v>20</v>
      </c>
      <c r="T105" s="856" t="s">
        <v>85</v>
      </c>
    </row>
    <row r="106" spans="3:20">
      <c r="C106" s="13" t="str">
        <f>IF(D106&lt;&gt;"",COUNTA($D$10:D106),"")</f>
        <v/>
      </c>
      <c r="D106" s="19"/>
      <c r="E106" s="19"/>
      <c r="F106" s="19"/>
      <c r="G106" s="19"/>
      <c r="H106" s="19"/>
      <c r="I106" s="19"/>
      <c r="J106" s="19"/>
      <c r="K106" s="19"/>
      <c r="L106" s="19"/>
      <c r="M106" s="19"/>
      <c r="N106" s="19"/>
      <c r="O106" s="19"/>
      <c r="P106" s="19"/>
      <c r="Q106" s="19"/>
      <c r="R106" s="19"/>
      <c r="S106" s="19"/>
      <c r="T106" s="19"/>
    </row>
    <row r="107" spans="3:20">
      <c r="C107" s="13" t="str">
        <f>IF(D107&lt;&gt;"",COUNTA($D$10:D107),"")</f>
        <v/>
      </c>
    </row>
    <row r="108" spans="3:20" ht="26.1">
      <c r="C108" s="8" t="str">
        <f>"Zoning Area AHU - " &amp; INT((ROW()-8)/20)+1 &amp; "  " &amp; IF(ISNUMBER(N110),"Air-Conditioning System " &amp; IF(AH110="D","(DX)",IF(AH110="C","(Chilled Water)","")),IF(AND(N110="Amb",ISTEXT(N110)),"Ventilation System","Refer"))</f>
        <v xml:space="preserve">Zoning Area AHU - 6  Air-Conditioning System </v>
      </c>
      <c r="D108" s="8"/>
      <c r="E108" s="8"/>
      <c r="F108" s="8"/>
      <c r="G108" s="8"/>
      <c r="H108" s="8"/>
      <c r="I108" s="8"/>
      <c r="J108" s="8"/>
      <c r="K108" s="8"/>
      <c r="L108" s="8"/>
      <c r="M108" s="8"/>
      <c r="N108" s="8"/>
      <c r="O108" s="8"/>
      <c r="P108" s="8"/>
      <c r="Q108" s="8"/>
      <c r="R108" s="8"/>
      <c r="S108" s="8"/>
      <c r="T108" s="8"/>
    </row>
    <row r="109" spans="3:20">
      <c r="C109" s="13">
        <f>IF(D109&lt;&gt;"",COUNTA($D$10:D109),"")</f>
        <v>85</v>
      </c>
      <c r="D109" s="5" t="s">
        <v>165</v>
      </c>
      <c r="E109" s="5" t="s">
        <v>166</v>
      </c>
      <c r="F109" s="5" t="s">
        <v>167</v>
      </c>
      <c r="G109" s="5" t="s">
        <v>168</v>
      </c>
      <c r="H109" s="5" t="s">
        <v>169</v>
      </c>
      <c r="I109" s="5" t="s">
        <v>170</v>
      </c>
      <c r="J109" s="5" t="s">
        <v>171</v>
      </c>
      <c r="K109" s="5" t="s">
        <v>172</v>
      </c>
      <c r="L109" s="5" t="s">
        <v>173</v>
      </c>
      <c r="M109" s="5" t="s">
        <v>174</v>
      </c>
      <c r="N109" s="5" t="s">
        <v>175</v>
      </c>
      <c r="O109" s="5" t="s">
        <v>176</v>
      </c>
      <c r="P109" s="5" t="s">
        <v>177</v>
      </c>
      <c r="Q109" s="5" t="s">
        <v>178</v>
      </c>
      <c r="R109" s="5" t="s">
        <v>199</v>
      </c>
      <c r="S109" s="5" t="s">
        <v>180</v>
      </c>
      <c r="T109" s="5" t="s">
        <v>180</v>
      </c>
    </row>
    <row r="110" spans="3:20">
      <c r="C110" s="13">
        <f>IF(D110&lt;&gt;"",COUNTA($D$10:D110),"")</f>
        <v>86</v>
      </c>
      <c r="D110" s="14" t="s">
        <v>200</v>
      </c>
      <c r="E110" s="14">
        <v>3</v>
      </c>
      <c r="F110" s="14">
        <v>3</v>
      </c>
      <c r="G110" s="14">
        <v>2.4</v>
      </c>
      <c r="H110" s="14">
        <v>1</v>
      </c>
      <c r="I110" s="14">
        <v>2</v>
      </c>
      <c r="J110" s="14">
        <v>1.75</v>
      </c>
      <c r="K110" s="14">
        <v>3</v>
      </c>
      <c r="L110" s="15">
        <v>0.1</v>
      </c>
      <c r="M110" s="15">
        <v>0</v>
      </c>
      <c r="N110" s="14">
        <v>24</v>
      </c>
      <c r="O110" s="14">
        <v>50</v>
      </c>
      <c r="P110" s="13">
        <v>45</v>
      </c>
      <c r="Q110" s="13">
        <v>85</v>
      </c>
      <c r="R110" s="13" t="s">
        <v>219</v>
      </c>
      <c r="S110" s="13">
        <v>25</v>
      </c>
      <c r="T110" s="856" t="s">
        <v>85</v>
      </c>
    </row>
    <row r="111" spans="3:20">
      <c r="C111" s="13">
        <f>IF(D111&lt;&gt;"",COUNTA($D$10:D111),"")</f>
        <v>87</v>
      </c>
      <c r="D111" s="14" t="s">
        <v>201</v>
      </c>
      <c r="E111" s="14">
        <v>1.8</v>
      </c>
      <c r="F111" s="14">
        <v>2.2000000000000002</v>
      </c>
      <c r="G111" s="14">
        <v>2.4</v>
      </c>
      <c r="H111" s="14">
        <v>2</v>
      </c>
      <c r="I111" s="14">
        <v>1</v>
      </c>
      <c r="J111" s="14">
        <v>1.75</v>
      </c>
      <c r="K111" s="14">
        <v>3</v>
      </c>
      <c r="L111" s="15">
        <v>0.1</v>
      </c>
      <c r="M111" s="15">
        <v>0</v>
      </c>
      <c r="N111" s="14">
        <v>24</v>
      </c>
      <c r="O111" s="14">
        <v>50</v>
      </c>
      <c r="P111" s="13">
        <v>45</v>
      </c>
      <c r="Q111" s="13">
        <v>85</v>
      </c>
      <c r="R111" s="13" t="s">
        <v>219</v>
      </c>
      <c r="S111" s="13">
        <v>25</v>
      </c>
      <c r="T111" s="856" t="s">
        <v>85</v>
      </c>
    </row>
    <row r="112" spans="3:20">
      <c r="C112" s="13">
        <f>IF(D112&lt;&gt;"",COUNTA($D$10:D112),"")</f>
        <v>88</v>
      </c>
      <c r="D112" s="14" t="s">
        <v>202</v>
      </c>
      <c r="E112" s="14">
        <v>1.5</v>
      </c>
      <c r="F112" s="14">
        <v>2.8</v>
      </c>
      <c r="G112" s="14">
        <v>2.4</v>
      </c>
      <c r="H112" s="14">
        <v>2</v>
      </c>
      <c r="I112" s="14">
        <v>3</v>
      </c>
      <c r="J112" s="14">
        <v>1.75</v>
      </c>
      <c r="K112" s="14">
        <v>3</v>
      </c>
      <c r="L112" s="15">
        <v>0.1</v>
      </c>
      <c r="M112" s="15">
        <v>0</v>
      </c>
      <c r="N112" s="14">
        <v>24</v>
      </c>
      <c r="O112" s="14">
        <v>50</v>
      </c>
      <c r="P112" s="13">
        <v>45</v>
      </c>
      <c r="Q112" s="13">
        <v>85</v>
      </c>
      <c r="R112" s="13" t="s">
        <v>219</v>
      </c>
      <c r="S112" s="13">
        <v>25</v>
      </c>
      <c r="T112" s="856" t="s">
        <v>85</v>
      </c>
    </row>
    <row r="113" spans="3:20">
      <c r="C113" s="13">
        <f>IF(D113&lt;&gt;"",COUNTA($D$10:D113),"")</f>
        <v>89</v>
      </c>
      <c r="D113" s="14" t="s">
        <v>203</v>
      </c>
      <c r="E113" s="14">
        <v>2.1</v>
      </c>
      <c r="F113" s="14">
        <v>3.5</v>
      </c>
      <c r="G113" s="14">
        <v>2.4</v>
      </c>
      <c r="H113" s="14">
        <v>0</v>
      </c>
      <c r="I113" s="14">
        <v>1</v>
      </c>
      <c r="J113" s="14">
        <v>1.75</v>
      </c>
      <c r="K113" s="14">
        <v>3</v>
      </c>
      <c r="L113" s="15">
        <v>0.1</v>
      </c>
      <c r="M113" s="15">
        <v>0</v>
      </c>
      <c r="N113" s="14">
        <v>24</v>
      </c>
      <c r="O113" s="14">
        <v>50</v>
      </c>
      <c r="P113" s="13">
        <v>45</v>
      </c>
      <c r="Q113" s="13">
        <v>85</v>
      </c>
      <c r="R113" s="13" t="s">
        <v>219</v>
      </c>
      <c r="S113" s="13">
        <v>25</v>
      </c>
      <c r="T113" s="856" t="s">
        <v>85</v>
      </c>
    </row>
    <row r="114" spans="3:20">
      <c r="C114" s="13">
        <f>IF(D114&lt;&gt;"",COUNTA($D$10:D114),"")</f>
        <v>90</v>
      </c>
      <c r="D114" s="14" t="s">
        <v>204</v>
      </c>
      <c r="E114" s="14">
        <v>2.7</v>
      </c>
      <c r="F114" s="14">
        <v>4</v>
      </c>
      <c r="G114" s="14">
        <v>2.4</v>
      </c>
      <c r="H114" s="14">
        <v>2</v>
      </c>
      <c r="I114" s="14">
        <v>1</v>
      </c>
      <c r="J114" s="14">
        <v>1.75</v>
      </c>
      <c r="K114" s="14">
        <v>3</v>
      </c>
      <c r="L114" s="15">
        <v>0.1</v>
      </c>
      <c r="M114" s="15">
        <v>0</v>
      </c>
      <c r="N114" s="14">
        <v>24</v>
      </c>
      <c r="O114" s="14">
        <v>50</v>
      </c>
      <c r="P114" s="13">
        <v>45</v>
      </c>
      <c r="Q114" s="13">
        <v>85</v>
      </c>
      <c r="R114" s="13" t="s">
        <v>219</v>
      </c>
      <c r="S114" s="13">
        <v>25</v>
      </c>
      <c r="T114" s="856" t="s">
        <v>85</v>
      </c>
    </row>
    <row r="115" spans="3:20">
      <c r="C115" s="13">
        <f>IF(D115&lt;&gt;"",COUNTA($D$10:D115),"")</f>
        <v>91</v>
      </c>
      <c r="D115" s="14" t="s">
        <v>205</v>
      </c>
      <c r="E115" s="14">
        <v>3.8</v>
      </c>
      <c r="F115" s="14">
        <v>4.2</v>
      </c>
      <c r="G115" s="14">
        <v>2.4</v>
      </c>
      <c r="H115" s="14">
        <v>3</v>
      </c>
      <c r="I115" s="14">
        <v>3</v>
      </c>
      <c r="J115" s="14">
        <v>1.75</v>
      </c>
      <c r="K115" s="14">
        <v>3</v>
      </c>
      <c r="L115" s="15">
        <v>0.1</v>
      </c>
      <c r="M115" s="15">
        <v>0</v>
      </c>
      <c r="N115" s="14">
        <v>24</v>
      </c>
      <c r="O115" s="14">
        <v>50</v>
      </c>
      <c r="P115" s="13">
        <v>45</v>
      </c>
      <c r="Q115" s="13">
        <v>85</v>
      </c>
      <c r="R115" s="13" t="s">
        <v>219</v>
      </c>
      <c r="S115" s="13">
        <v>25</v>
      </c>
      <c r="T115" s="856" t="s">
        <v>85</v>
      </c>
    </row>
    <row r="116" spans="3:20">
      <c r="C116" s="13">
        <f>IF(D116&lt;&gt;"",COUNTA($D$10:D116),"")</f>
        <v>92</v>
      </c>
      <c r="D116" s="14" t="s">
        <v>206</v>
      </c>
      <c r="E116" s="14">
        <v>3.1</v>
      </c>
      <c r="F116" s="14">
        <v>2.6</v>
      </c>
      <c r="G116" s="14">
        <v>2.4</v>
      </c>
      <c r="H116" s="14">
        <v>2</v>
      </c>
      <c r="I116" s="14">
        <v>1</v>
      </c>
      <c r="J116" s="14">
        <v>1.75</v>
      </c>
      <c r="K116" s="14">
        <v>3</v>
      </c>
      <c r="L116" s="15">
        <v>0.1</v>
      </c>
      <c r="M116" s="15">
        <v>0</v>
      </c>
      <c r="N116" s="14">
        <v>24</v>
      </c>
      <c r="O116" s="14">
        <v>50</v>
      </c>
      <c r="P116" s="13">
        <v>45</v>
      </c>
      <c r="Q116" s="13">
        <v>85</v>
      </c>
      <c r="R116" s="13" t="s">
        <v>219</v>
      </c>
      <c r="S116" s="13">
        <v>25</v>
      </c>
      <c r="T116" s="856" t="s">
        <v>85</v>
      </c>
    </row>
    <row r="117" spans="3:20">
      <c r="C117" s="13">
        <f>IF(D117&lt;&gt;"",COUNTA($D$10:D117),"")</f>
        <v>93</v>
      </c>
      <c r="D117" s="14" t="s">
        <v>207</v>
      </c>
      <c r="E117" s="14">
        <v>1.9</v>
      </c>
      <c r="F117" s="14">
        <v>2.4</v>
      </c>
      <c r="G117" s="14">
        <v>2.4</v>
      </c>
      <c r="H117" s="14">
        <v>3</v>
      </c>
      <c r="I117" s="14">
        <v>2</v>
      </c>
      <c r="J117" s="14">
        <v>1.75</v>
      </c>
      <c r="K117" s="14">
        <v>3</v>
      </c>
      <c r="L117" s="15">
        <v>0.1</v>
      </c>
      <c r="M117" s="15">
        <v>0</v>
      </c>
      <c r="N117" s="14">
        <v>24</v>
      </c>
      <c r="O117" s="14">
        <v>50</v>
      </c>
      <c r="P117" s="13">
        <v>45</v>
      </c>
      <c r="Q117" s="13">
        <v>85</v>
      </c>
      <c r="R117" s="13" t="s">
        <v>219</v>
      </c>
      <c r="S117" s="13">
        <v>25</v>
      </c>
      <c r="T117" s="856" t="s">
        <v>85</v>
      </c>
    </row>
    <row r="118" spans="3:20">
      <c r="C118" s="13">
        <f>IF(D118&lt;&gt;"",COUNTA($D$10:D118),"")</f>
        <v>94</v>
      </c>
      <c r="D118" s="14" t="s">
        <v>208</v>
      </c>
      <c r="E118" s="14">
        <v>3</v>
      </c>
      <c r="F118" s="14">
        <v>2.9</v>
      </c>
      <c r="G118" s="14">
        <v>2.4</v>
      </c>
      <c r="H118" s="14">
        <v>2</v>
      </c>
      <c r="I118" s="14">
        <v>1</v>
      </c>
      <c r="J118" s="14">
        <v>1.75</v>
      </c>
      <c r="K118" s="14">
        <v>3</v>
      </c>
      <c r="L118" s="15">
        <v>0.1</v>
      </c>
      <c r="M118" s="15">
        <v>0</v>
      </c>
      <c r="N118" s="14">
        <v>24</v>
      </c>
      <c r="O118" s="14">
        <v>50</v>
      </c>
      <c r="P118" s="13">
        <v>45</v>
      </c>
      <c r="Q118" s="13">
        <v>85</v>
      </c>
      <c r="R118" s="13" t="s">
        <v>219</v>
      </c>
      <c r="S118" s="13">
        <v>25</v>
      </c>
      <c r="T118" s="856" t="s">
        <v>85</v>
      </c>
    </row>
    <row r="119" spans="3:20">
      <c r="C119" s="13">
        <f>IF(D119&lt;&gt;"",COUNTA($D$10:D119),"")</f>
        <v>95</v>
      </c>
      <c r="D119" s="14" t="s">
        <v>209</v>
      </c>
      <c r="E119" s="14">
        <v>2.4</v>
      </c>
      <c r="F119" s="14">
        <v>2</v>
      </c>
      <c r="G119" s="14">
        <v>2.4</v>
      </c>
      <c r="H119" s="14">
        <v>2</v>
      </c>
      <c r="I119" s="14">
        <v>1</v>
      </c>
      <c r="J119" s="14">
        <v>1.75</v>
      </c>
      <c r="K119" s="14">
        <v>3</v>
      </c>
      <c r="L119" s="15">
        <v>0.1</v>
      </c>
      <c r="M119" s="15">
        <v>0</v>
      </c>
      <c r="N119" s="14">
        <v>24</v>
      </c>
      <c r="O119" s="14">
        <v>50</v>
      </c>
      <c r="P119" s="13">
        <v>45</v>
      </c>
      <c r="Q119" s="13">
        <v>85</v>
      </c>
      <c r="R119" s="13" t="s">
        <v>219</v>
      </c>
      <c r="S119" s="13">
        <v>25</v>
      </c>
      <c r="T119" s="856" t="s">
        <v>85</v>
      </c>
    </row>
    <row r="120" spans="3:20">
      <c r="C120" s="13">
        <f>IF(D120&lt;&gt;"",COUNTA($D$10:D120),"")</f>
        <v>96</v>
      </c>
      <c r="D120" s="14" t="s">
        <v>210</v>
      </c>
      <c r="E120" s="14">
        <v>2.1</v>
      </c>
      <c r="F120" s="14">
        <v>1.8</v>
      </c>
      <c r="G120" s="14">
        <v>2.4</v>
      </c>
      <c r="H120" s="14">
        <v>2</v>
      </c>
      <c r="I120" s="14">
        <v>1</v>
      </c>
      <c r="J120" s="14">
        <v>1.75</v>
      </c>
      <c r="K120" s="14">
        <v>3</v>
      </c>
      <c r="L120" s="15">
        <v>0.1</v>
      </c>
      <c r="M120" s="15">
        <v>0</v>
      </c>
      <c r="N120" s="14">
        <v>24</v>
      </c>
      <c r="O120" s="14">
        <v>50</v>
      </c>
      <c r="P120" s="13">
        <v>45</v>
      </c>
      <c r="Q120" s="13">
        <v>85</v>
      </c>
      <c r="R120" s="13" t="s">
        <v>219</v>
      </c>
      <c r="S120" s="13">
        <v>25</v>
      </c>
      <c r="T120" s="856" t="s">
        <v>85</v>
      </c>
    </row>
    <row r="121" spans="3:20">
      <c r="C121" s="13">
        <f>IF(D121&lt;&gt;"",COUNTA($D$10:D121),"")</f>
        <v>97</v>
      </c>
      <c r="D121" s="14" t="s">
        <v>211</v>
      </c>
      <c r="E121" s="14">
        <v>1.8</v>
      </c>
      <c r="F121" s="14">
        <v>1.9</v>
      </c>
      <c r="G121" s="14">
        <v>2.4</v>
      </c>
      <c r="H121" s="14">
        <v>2</v>
      </c>
      <c r="I121" s="14">
        <v>1</v>
      </c>
      <c r="J121" s="14">
        <v>1.75</v>
      </c>
      <c r="K121" s="14">
        <v>3</v>
      </c>
      <c r="L121" s="15">
        <v>0.1</v>
      </c>
      <c r="M121" s="15">
        <v>0</v>
      </c>
      <c r="N121" s="14">
        <v>24</v>
      </c>
      <c r="O121" s="14">
        <v>50</v>
      </c>
      <c r="P121" s="13">
        <v>45</v>
      </c>
      <c r="Q121" s="13">
        <v>85</v>
      </c>
      <c r="R121" s="13" t="s">
        <v>219</v>
      </c>
      <c r="S121" s="13">
        <v>25</v>
      </c>
      <c r="T121" s="856" t="s">
        <v>85</v>
      </c>
    </row>
    <row r="122" spans="3:20">
      <c r="C122" s="13">
        <f>IF(D122&lt;&gt;"",COUNTA($D$10:D122),"")</f>
        <v>98</v>
      </c>
      <c r="D122" s="14" t="s">
        <v>212</v>
      </c>
      <c r="E122" s="14">
        <v>1.9</v>
      </c>
      <c r="F122" s="14">
        <v>2</v>
      </c>
      <c r="G122" s="14">
        <v>2.4</v>
      </c>
      <c r="H122" s="14">
        <v>2</v>
      </c>
      <c r="I122" s="14">
        <v>1</v>
      </c>
      <c r="J122" s="14">
        <v>1.75</v>
      </c>
      <c r="K122" s="14">
        <v>3</v>
      </c>
      <c r="L122" s="15">
        <v>0.1</v>
      </c>
      <c r="M122" s="15">
        <v>0</v>
      </c>
      <c r="N122" s="14">
        <v>24</v>
      </c>
      <c r="O122" s="14">
        <v>50</v>
      </c>
      <c r="P122" s="13">
        <v>45</v>
      </c>
      <c r="Q122" s="13">
        <v>85</v>
      </c>
      <c r="R122" s="13" t="s">
        <v>219</v>
      </c>
      <c r="S122" s="13">
        <v>25</v>
      </c>
      <c r="T122" s="856" t="s">
        <v>85</v>
      </c>
    </row>
    <row r="123" spans="3:20">
      <c r="C123" s="13">
        <f>IF(D123&lt;&gt;"",COUNTA($D$10:D123),"")</f>
        <v>99</v>
      </c>
      <c r="D123" s="14" t="s">
        <v>213</v>
      </c>
      <c r="E123" s="14">
        <v>2.2999999999999998</v>
      </c>
      <c r="F123" s="14">
        <v>2.2000000000000002</v>
      </c>
      <c r="G123" s="14">
        <v>2.4</v>
      </c>
      <c r="H123" s="14">
        <v>2</v>
      </c>
      <c r="I123" s="14">
        <v>1</v>
      </c>
      <c r="J123" s="14">
        <v>1.75</v>
      </c>
      <c r="K123" s="14">
        <v>3</v>
      </c>
      <c r="L123" s="15">
        <v>0.1</v>
      </c>
      <c r="M123" s="15">
        <v>0</v>
      </c>
      <c r="N123" s="14">
        <v>24</v>
      </c>
      <c r="O123" s="14">
        <v>50</v>
      </c>
      <c r="P123" s="13">
        <v>45</v>
      </c>
      <c r="Q123" s="13">
        <v>85</v>
      </c>
      <c r="R123" s="13" t="s">
        <v>219</v>
      </c>
      <c r="S123" s="13">
        <v>25</v>
      </c>
      <c r="T123" s="856" t="s">
        <v>85</v>
      </c>
    </row>
    <row r="124" spans="3:20">
      <c r="C124" s="13">
        <f>IF(D124&lt;&gt;"",COUNTA($D$10:D124),"")</f>
        <v>100</v>
      </c>
      <c r="D124" s="14" t="s">
        <v>214</v>
      </c>
      <c r="E124" s="14">
        <v>2.2000000000000002</v>
      </c>
      <c r="F124" s="14">
        <v>2.8</v>
      </c>
      <c r="G124" s="14">
        <v>2.4</v>
      </c>
      <c r="H124" s="14">
        <v>2</v>
      </c>
      <c r="I124" s="14">
        <v>1</v>
      </c>
      <c r="J124" s="14">
        <v>1.75</v>
      </c>
      <c r="K124" s="14">
        <v>3</v>
      </c>
      <c r="L124" s="15">
        <v>0.1</v>
      </c>
      <c r="M124" s="15">
        <v>0</v>
      </c>
      <c r="N124" s="14">
        <v>24</v>
      </c>
      <c r="O124" s="14">
        <v>50</v>
      </c>
      <c r="P124" s="13">
        <v>45</v>
      </c>
      <c r="Q124" s="13">
        <v>85</v>
      </c>
      <c r="R124" s="13" t="s">
        <v>219</v>
      </c>
      <c r="S124" s="13">
        <v>25</v>
      </c>
      <c r="T124" s="856" t="s">
        <v>85</v>
      </c>
    </row>
    <row r="125" spans="3:20">
      <c r="C125" s="13">
        <f>IF(D125&lt;&gt;"",COUNTA($D$10:D125),"")</f>
        <v>101</v>
      </c>
      <c r="D125" s="14" t="s">
        <v>215</v>
      </c>
      <c r="E125" s="14">
        <v>2.8</v>
      </c>
      <c r="F125" s="14">
        <v>2.4</v>
      </c>
      <c r="G125" s="14">
        <v>2.4</v>
      </c>
      <c r="H125" s="14">
        <v>2</v>
      </c>
      <c r="I125" s="14">
        <v>1</v>
      </c>
      <c r="J125" s="14">
        <v>1.75</v>
      </c>
      <c r="K125" s="14">
        <v>3</v>
      </c>
      <c r="L125" s="15">
        <v>0.1</v>
      </c>
      <c r="M125" s="15">
        <v>0</v>
      </c>
      <c r="N125" s="14">
        <v>24</v>
      </c>
      <c r="O125" s="14">
        <v>50</v>
      </c>
      <c r="P125" s="13">
        <v>45</v>
      </c>
      <c r="Q125" s="13">
        <v>85</v>
      </c>
      <c r="R125" s="13" t="s">
        <v>219</v>
      </c>
      <c r="S125" s="13">
        <v>25</v>
      </c>
      <c r="T125" s="856" t="s">
        <v>85</v>
      </c>
    </row>
    <row r="126" spans="3:20">
      <c r="C126" s="13" t="str">
        <f>IF(D126&lt;&gt;"",COUNTA($D$10:D126),"")</f>
        <v/>
      </c>
      <c r="D126" s="19"/>
      <c r="E126" s="19"/>
      <c r="F126" s="19"/>
      <c r="G126" s="19"/>
      <c r="H126" s="19"/>
      <c r="I126" s="19"/>
      <c r="J126" s="19"/>
      <c r="K126" s="19"/>
      <c r="L126" s="19"/>
      <c r="M126" s="19"/>
      <c r="N126" s="19"/>
      <c r="O126" s="19"/>
      <c r="P126" s="19"/>
      <c r="Q126" s="19"/>
      <c r="R126" s="19"/>
      <c r="S126" s="19"/>
      <c r="T126" s="19"/>
    </row>
    <row r="127" spans="3:20">
      <c r="C127" s="13" t="str">
        <f>IF(D127&lt;&gt;"",COUNTA($D$10:D127),"")</f>
        <v/>
      </c>
    </row>
    <row r="128" spans="3:20" ht="26.1">
      <c r="C128" s="8" t="str">
        <f>"Zoning Area AHU - " &amp; INT((ROW()-8)/20)+1 &amp; "  " &amp; IF(ISNUMBER(N130),"Air-Conditioning System " &amp; IF(AH130="D","(DX)",IF(AH130="C","(Chilled Water)","")),IF(AND(N130="Amb",ISTEXT(N130)),"Ventilation System","Refer"))</f>
        <v xml:space="preserve">Zoning Area AHU - 7  Air-Conditioning System </v>
      </c>
      <c r="D128" s="8"/>
      <c r="E128" s="8"/>
      <c r="F128" s="8"/>
      <c r="G128" s="8"/>
      <c r="H128" s="8"/>
      <c r="I128" s="8"/>
      <c r="J128" s="8"/>
      <c r="K128" s="8"/>
      <c r="L128" s="8"/>
      <c r="M128" s="8"/>
      <c r="N128" s="8"/>
      <c r="O128" s="8"/>
      <c r="P128" s="8"/>
      <c r="Q128" s="8"/>
      <c r="R128" s="8"/>
      <c r="S128" s="8"/>
      <c r="T128" s="8"/>
    </row>
    <row r="129" spans="3:20">
      <c r="C129" s="13">
        <f>IF(D129&lt;&gt;"",COUNTA($D$10:D129),"")</f>
        <v>102</v>
      </c>
      <c r="D129" s="5" t="s">
        <v>165</v>
      </c>
      <c r="E129" s="5" t="s">
        <v>166</v>
      </c>
      <c r="F129" s="5" t="s">
        <v>167</v>
      </c>
      <c r="G129" s="5" t="s">
        <v>168</v>
      </c>
      <c r="H129" s="5" t="s">
        <v>169</v>
      </c>
      <c r="I129" s="5" t="s">
        <v>170</v>
      </c>
      <c r="J129" s="5" t="s">
        <v>171</v>
      </c>
      <c r="K129" s="5" t="s">
        <v>172</v>
      </c>
      <c r="L129" s="5" t="s">
        <v>173</v>
      </c>
      <c r="M129" s="5" t="s">
        <v>174</v>
      </c>
      <c r="N129" s="5" t="s">
        <v>175</v>
      </c>
      <c r="O129" s="5" t="s">
        <v>176</v>
      </c>
      <c r="P129" s="5" t="s">
        <v>177</v>
      </c>
      <c r="Q129" s="5" t="s">
        <v>178</v>
      </c>
      <c r="R129" s="5" t="s">
        <v>199</v>
      </c>
      <c r="S129" s="5" t="s">
        <v>180</v>
      </c>
      <c r="T129" s="5" t="s">
        <v>180</v>
      </c>
    </row>
    <row r="130" spans="3:20">
      <c r="C130" s="13">
        <f>IF(D130&lt;&gt;"",COUNTA($D$10:D130),"")</f>
        <v>103</v>
      </c>
      <c r="D130" s="14" t="s">
        <v>200</v>
      </c>
      <c r="E130" s="14">
        <v>3</v>
      </c>
      <c r="F130" s="14">
        <v>3</v>
      </c>
      <c r="G130" s="14">
        <v>2.4</v>
      </c>
      <c r="H130" s="14">
        <v>1</v>
      </c>
      <c r="I130" s="14">
        <v>2</v>
      </c>
      <c r="J130" s="14">
        <v>1.75</v>
      </c>
      <c r="K130" s="14">
        <v>3</v>
      </c>
      <c r="L130" s="15">
        <v>0.1</v>
      </c>
      <c r="M130" s="15">
        <v>0</v>
      </c>
      <c r="N130" s="14">
        <v>24</v>
      </c>
      <c r="O130" s="14">
        <v>50</v>
      </c>
      <c r="P130" s="13">
        <v>45</v>
      </c>
      <c r="Q130" s="13">
        <v>85</v>
      </c>
      <c r="R130" s="13" t="s">
        <v>17</v>
      </c>
      <c r="S130" s="13">
        <v>120</v>
      </c>
      <c r="T130" s="856" t="s">
        <v>85</v>
      </c>
    </row>
    <row r="131" spans="3:20">
      <c r="C131" s="13">
        <f>IF(D131&lt;&gt;"",COUNTA($D$10:D131),"")</f>
        <v>104</v>
      </c>
      <c r="D131" s="14" t="s">
        <v>201</v>
      </c>
      <c r="E131" s="14">
        <v>1.8</v>
      </c>
      <c r="F131" s="14">
        <v>2.2000000000000002</v>
      </c>
      <c r="G131" s="14">
        <v>2.4</v>
      </c>
      <c r="H131" s="14">
        <v>2</v>
      </c>
      <c r="I131" s="14">
        <v>1</v>
      </c>
      <c r="J131" s="14">
        <v>1.75</v>
      </c>
      <c r="K131" s="14">
        <v>3</v>
      </c>
      <c r="L131" s="15">
        <v>0.1</v>
      </c>
      <c r="M131" s="15">
        <v>0</v>
      </c>
      <c r="N131" s="14">
        <v>24</v>
      </c>
      <c r="O131" s="14">
        <v>50</v>
      </c>
      <c r="P131" s="13">
        <v>45</v>
      </c>
      <c r="Q131" s="13">
        <v>85</v>
      </c>
      <c r="R131" s="13" t="s">
        <v>17</v>
      </c>
      <c r="S131" s="13">
        <v>120</v>
      </c>
      <c r="T131" s="856" t="s">
        <v>85</v>
      </c>
    </row>
    <row r="132" spans="3:20">
      <c r="C132" s="13">
        <f>IF(D132&lt;&gt;"",COUNTA($D$10:D132),"")</f>
        <v>105</v>
      </c>
      <c r="D132" s="14" t="s">
        <v>202</v>
      </c>
      <c r="E132" s="14">
        <v>1.5</v>
      </c>
      <c r="F132" s="14">
        <v>2.8</v>
      </c>
      <c r="G132" s="14">
        <v>2.4</v>
      </c>
      <c r="H132" s="14">
        <v>2</v>
      </c>
      <c r="I132" s="14">
        <v>3</v>
      </c>
      <c r="J132" s="14">
        <v>1.75</v>
      </c>
      <c r="K132" s="14">
        <v>3</v>
      </c>
      <c r="L132" s="15">
        <v>0.1</v>
      </c>
      <c r="M132" s="15">
        <v>0</v>
      </c>
      <c r="N132" s="14">
        <v>24</v>
      </c>
      <c r="O132" s="14">
        <v>50</v>
      </c>
      <c r="P132" s="13">
        <v>45</v>
      </c>
      <c r="Q132" s="13">
        <v>85</v>
      </c>
      <c r="R132" s="13" t="s">
        <v>17</v>
      </c>
      <c r="S132" s="13">
        <v>120</v>
      </c>
      <c r="T132" s="856" t="s">
        <v>85</v>
      </c>
    </row>
    <row r="133" spans="3:20">
      <c r="C133" s="13">
        <f>IF(D133&lt;&gt;"",COUNTA($D$10:D133),"")</f>
        <v>106</v>
      </c>
      <c r="D133" s="14" t="s">
        <v>203</v>
      </c>
      <c r="E133" s="14">
        <v>2.1</v>
      </c>
      <c r="F133" s="14">
        <v>3.5</v>
      </c>
      <c r="G133" s="14">
        <v>2.4</v>
      </c>
      <c r="H133" s="14">
        <v>0</v>
      </c>
      <c r="I133" s="14">
        <v>1</v>
      </c>
      <c r="J133" s="14">
        <v>1.75</v>
      </c>
      <c r="K133" s="14">
        <v>3</v>
      </c>
      <c r="L133" s="15">
        <v>0.1</v>
      </c>
      <c r="M133" s="15">
        <v>0</v>
      </c>
      <c r="N133" s="14">
        <v>24</v>
      </c>
      <c r="O133" s="14">
        <v>50</v>
      </c>
      <c r="P133" s="13">
        <v>45</v>
      </c>
      <c r="Q133" s="13">
        <v>85</v>
      </c>
      <c r="R133" s="13" t="s">
        <v>17</v>
      </c>
      <c r="S133" s="13">
        <v>120</v>
      </c>
      <c r="T133" s="856" t="s">
        <v>85</v>
      </c>
    </row>
    <row r="134" spans="3:20">
      <c r="C134" s="13">
        <f>IF(D134&lt;&gt;"",COUNTA($D$10:D134),"")</f>
        <v>107</v>
      </c>
      <c r="D134" s="14" t="s">
        <v>204</v>
      </c>
      <c r="E134" s="14">
        <v>2.7</v>
      </c>
      <c r="F134" s="14">
        <v>4</v>
      </c>
      <c r="G134" s="14">
        <v>2.4</v>
      </c>
      <c r="H134" s="14">
        <v>2</v>
      </c>
      <c r="I134" s="14">
        <v>1</v>
      </c>
      <c r="J134" s="14">
        <v>1.75</v>
      </c>
      <c r="K134" s="14">
        <v>3</v>
      </c>
      <c r="L134" s="15">
        <v>0.1</v>
      </c>
      <c r="M134" s="15">
        <v>0</v>
      </c>
      <c r="N134" s="14">
        <v>24</v>
      </c>
      <c r="O134" s="14">
        <v>50</v>
      </c>
      <c r="P134" s="13">
        <v>45</v>
      </c>
      <c r="Q134" s="13">
        <v>85</v>
      </c>
      <c r="R134" s="13" t="s">
        <v>17</v>
      </c>
      <c r="S134" s="13">
        <v>120</v>
      </c>
      <c r="T134" s="856" t="s">
        <v>85</v>
      </c>
    </row>
    <row r="135" spans="3:20">
      <c r="C135" s="13">
        <f>IF(D135&lt;&gt;"",COUNTA($D$10:D135),"")</f>
        <v>108</v>
      </c>
      <c r="D135" s="14" t="s">
        <v>205</v>
      </c>
      <c r="E135" s="14">
        <v>3.8</v>
      </c>
      <c r="F135" s="14">
        <v>4.2</v>
      </c>
      <c r="G135" s="14">
        <v>2.4</v>
      </c>
      <c r="H135" s="14">
        <v>3</v>
      </c>
      <c r="I135" s="14">
        <v>3</v>
      </c>
      <c r="J135" s="14">
        <v>1.75</v>
      </c>
      <c r="K135" s="14">
        <v>3</v>
      </c>
      <c r="L135" s="15">
        <v>0.1</v>
      </c>
      <c r="M135" s="15">
        <v>0</v>
      </c>
      <c r="N135" s="14">
        <v>24</v>
      </c>
      <c r="O135" s="14">
        <v>50</v>
      </c>
      <c r="P135" s="13">
        <v>45</v>
      </c>
      <c r="Q135" s="13">
        <v>85</v>
      </c>
      <c r="R135" s="13" t="s">
        <v>17</v>
      </c>
      <c r="S135" s="13">
        <v>120</v>
      </c>
      <c r="T135" s="856" t="s">
        <v>85</v>
      </c>
    </row>
    <row r="136" spans="3:20">
      <c r="C136" s="13">
        <f>IF(D136&lt;&gt;"",COUNTA($D$10:D136),"")</f>
        <v>109</v>
      </c>
      <c r="D136" s="14" t="s">
        <v>206</v>
      </c>
      <c r="E136" s="14">
        <v>3.1</v>
      </c>
      <c r="F136" s="14">
        <v>2.6</v>
      </c>
      <c r="G136" s="14">
        <v>2.4</v>
      </c>
      <c r="H136" s="14">
        <v>2</v>
      </c>
      <c r="I136" s="14">
        <v>1</v>
      </c>
      <c r="J136" s="14">
        <v>1.75</v>
      </c>
      <c r="K136" s="14">
        <v>3</v>
      </c>
      <c r="L136" s="15">
        <v>0.1</v>
      </c>
      <c r="M136" s="15">
        <v>0</v>
      </c>
      <c r="N136" s="14">
        <v>24</v>
      </c>
      <c r="O136" s="14">
        <v>50</v>
      </c>
      <c r="P136" s="13">
        <v>45</v>
      </c>
      <c r="Q136" s="13">
        <v>85</v>
      </c>
      <c r="R136" s="13" t="s">
        <v>17</v>
      </c>
      <c r="S136" s="13">
        <v>120</v>
      </c>
      <c r="T136" s="856" t="s">
        <v>85</v>
      </c>
    </row>
    <row r="137" spans="3:20">
      <c r="C137" s="13">
        <f>IF(D137&lt;&gt;"",COUNTA($D$10:D137),"")</f>
        <v>110</v>
      </c>
      <c r="D137" s="14" t="s">
        <v>207</v>
      </c>
      <c r="E137" s="14">
        <v>1.9</v>
      </c>
      <c r="F137" s="14">
        <v>2.4</v>
      </c>
      <c r="G137" s="14">
        <v>2.4</v>
      </c>
      <c r="H137" s="14">
        <v>3</v>
      </c>
      <c r="I137" s="14">
        <v>2</v>
      </c>
      <c r="J137" s="14">
        <v>1.75</v>
      </c>
      <c r="K137" s="14">
        <v>3</v>
      </c>
      <c r="L137" s="15">
        <v>0.1</v>
      </c>
      <c r="M137" s="15">
        <v>0</v>
      </c>
      <c r="N137" s="14">
        <v>24</v>
      </c>
      <c r="O137" s="14">
        <v>50</v>
      </c>
      <c r="P137" s="13">
        <v>45</v>
      </c>
      <c r="Q137" s="13">
        <v>85</v>
      </c>
      <c r="R137" s="13" t="s">
        <v>17</v>
      </c>
      <c r="S137" s="13">
        <v>120</v>
      </c>
      <c r="T137" s="856" t="s">
        <v>85</v>
      </c>
    </row>
    <row r="138" spans="3:20">
      <c r="C138" s="13">
        <f>IF(D138&lt;&gt;"",COUNTA($D$10:D138),"")</f>
        <v>111</v>
      </c>
      <c r="D138" s="14" t="s">
        <v>208</v>
      </c>
      <c r="E138" s="14">
        <v>3</v>
      </c>
      <c r="F138" s="14">
        <v>2.9</v>
      </c>
      <c r="G138" s="14">
        <v>2.4</v>
      </c>
      <c r="H138" s="14">
        <v>2</v>
      </c>
      <c r="I138" s="14">
        <v>1</v>
      </c>
      <c r="J138" s="14">
        <v>1.75</v>
      </c>
      <c r="K138" s="14">
        <v>3</v>
      </c>
      <c r="L138" s="15">
        <v>0.1</v>
      </c>
      <c r="M138" s="15">
        <v>0</v>
      </c>
      <c r="N138" s="14">
        <v>24</v>
      </c>
      <c r="O138" s="14">
        <v>50</v>
      </c>
      <c r="P138" s="13">
        <v>45</v>
      </c>
      <c r="Q138" s="13">
        <v>85</v>
      </c>
      <c r="R138" s="13" t="s">
        <v>17</v>
      </c>
      <c r="S138" s="13">
        <v>120</v>
      </c>
      <c r="T138" s="856" t="s">
        <v>85</v>
      </c>
    </row>
    <row r="139" spans="3:20">
      <c r="C139" s="13">
        <f>IF(D139&lt;&gt;"",COUNTA($D$10:D139),"")</f>
        <v>112</v>
      </c>
      <c r="D139" s="14" t="s">
        <v>209</v>
      </c>
      <c r="E139" s="14">
        <v>2.4</v>
      </c>
      <c r="F139" s="14">
        <v>2</v>
      </c>
      <c r="G139" s="14">
        <v>2.4</v>
      </c>
      <c r="H139" s="14">
        <v>2</v>
      </c>
      <c r="I139" s="14">
        <v>1</v>
      </c>
      <c r="J139" s="14">
        <v>1.75</v>
      </c>
      <c r="K139" s="14">
        <v>3</v>
      </c>
      <c r="L139" s="15">
        <v>0.1</v>
      </c>
      <c r="M139" s="15">
        <v>0</v>
      </c>
      <c r="N139" s="14">
        <v>24</v>
      </c>
      <c r="O139" s="14">
        <v>50</v>
      </c>
      <c r="P139" s="13">
        <v>45</v>
      </c>
      <c r="Q139" s="13">
        <v>85</v>
      </c>
      <c r="R139" s="13" t="s">
        <v>17</v>
      </c>
      <c r="S139" s="13">
        <v>120</v>
      </c>
      <c r="T139" s="856" t="s">
        <v>85</v>
      </c>
    </row>
    <row r="140" spans="3:20">
      <c r="C140" s="13">
        <f>IF(D140&lt;&gt;"",COUNTA($D$10:D140),"")</f>
        <v>113</v>
      </c>
      <c r="D140" s="14" t="s">
        <v>210</v>
      </c>
      <c r="E140" s="14">
        <v>2.1</v>
      </c>
      <c r="F140" s="14">
        <v>1.8</v>
      </c>
      <c r="G140" s="14">
        <v>2.4</v>
      </c>
      <c r="H140" s="14">
        <v>2</v>
      </c>
      <c r="I140" s="14">
        <v>1</v>
      </c>
      <c r="J140" s="14">
        <v>1.75</v>
      </c>
      <c r="K140" s="14">
        <v>3</v>
      </c>
      <c r="L140" s="15">
        <v>0.1</v>
      </c>
      <c r="M140" s="15">
        <v>0</v>
      </c>
      <c r="N140" s="14">
        <v>24</v>
      </c>
      <c r="O140" s="14">
        <v>50</v>
      </c>
      <c r="P140" s="13">
        <v>45</v>
      </c>
      <c r="Q140" s="13">
        <v>85</v>
      </c>
      <c r="R140" s="13" t="s">
        <v>17</v>
      </c>
      <c r="S140" s="13">
        <v>120</v>
      </c>
      <c r="T140" s="856" t="s">
        <v>85</v>
      </c>
    </row>
    <row r="141" spans="3:20">
      <c r="C141" s="13">
        <f>IF(D141&lt;&gt;"",COUNTA($D$10:D141),"")</f>
        <v>114</v>
      </c>
      <c r="D141" s="14" t="s">
        <v>211</v>
      </c>
      <c r="E141" s="14">
        <v>1.8</v>
      </c>
      <c r="F141" s="14">
        <v>1.9</v>
      </c>
      <c r="G141" s="14">
        <v>2.4</v>
      </c>
      <c r="H141" s="14">
        <v>2</v>
      </c>
      <c r="I141" s="14">
        <v>1</v>
      </c>
      <c r="J141" s="14">
        <v>1.75</v>
      </c>
      <c r="K141" s="14">
        <v>3</v>
      </c>
      <c r="L141" s="15">
        <v>0.1</v>
      </c>
      <c r="M141" s="15">
        <v>0</v>
      </c>
      <c r="N141" s="14">
        <v>24</v>
      </c>
      <c r="O141" s="14">
        <v>50</v>
      </c>
      <c r="P141" s="13">
        <v>45</v>
      </c>
      <c r="Q141" s="13">
        <v>85</v>
      </c>
      <c r="R141" s="13" t="s">
        <v>17</v>
      </c>
      <c r="S141" s="13">
        <v>120</v>
      </c>
      <c r="T141" s="856" t="s">
        <v>85</v>
      </c>
    </row>
    <row r="142" spans="3:20">
      <c r="C142" s="13">
        <f>IF(D142&lt;&gt;"",COUNTA($D$10:D142),"")</f>
        <v>115</v>
      </c>
      <c r="D142" s="14" t="s">
        <v>212</v>
      </c>
      <c r="E142" s="14">
        <v>1.9</v>
      </c>
      <c r="F142" s="14">
        <v>2</v>
      </c>
      <c r="G142" s="14">
        <v>2.4</v>
      </c>
      <c r="H142" s="14">
        <v>2</v>
      </c>
      <c r="I142" s="14">
        <v>1</v>
      </c>
      <c r="J142" s="14">
        <v>1.75</v>
      </c>
      <c r="K142" s="14">
        <v>3</v>
      </c>
      <c r="L142" s="15">
        <v>0.1</v>
      </c>
      <c r="M142" s="15">
        <v>0</v>
      </c>
      <c r="N142" s="14">
        <v>24</v>
      </c>
      <c r="O142" s="14">
        <v>50</v>
      </c>
      <c r="P142" s="13">
        <v>45</v>
      </c>
      <c r="Q142" s="13">
        <v>85</v>
      </c>
      <c r="R142" s="13" t="s">
        <v>17</v>
      </c>
      <c r="S142" s="13">
        <v>120</v>
      </c>
      <c r="T142" s="856" t="s">
        <v>85</v>
      </c>
    </row>
    <row r="143" spans="3:20">
      <c r="C143" s="13">
        <f>IF(D143&lt;&gt;"",COUNTA($D$10:D143),"")</f>
        <v>116</v>
      </c>
      <c r="D143" s="14" t="s">
        <v>213</v>
      </c>
      <c r="E143" s="14">
        <v>2.2999999999999998</v>
      </c>
      <c r="F143" s="14">
        <v>2.2000000000000002</v>
      </c>
      <c r="G143" s="14">
        <v>2.4</v>
      </c>
      <c r="H143" s="14">
        <v>2</v>
      </c>
      <c r="I143" s="14">
        <v>1</v>
      </c>
      <c r="J143" s="14">
        <v>1.75</v>
      </c>
      <c r="K143" s="14">
        <v>3</v>
      </c>
      <c r="L143" s="15">
        <v>0.1</v>
      </c>
      <c r="M143" s="15">
        <v>0</v>
      </c>
      <c r="N143" s="14">
        <v>24</v>
      </c>
      <c r="O143" s="14">
        <v>50</v>
      </c>
      <c r="P143" s="13">
        <v>45</v>
      </c>
      <c r="Q143" s="13">
        <v>85</v>
      </c>
      <c r="R143" s="13" t="s">
        <v>17</v>
      </c>
      <c r="S143" s="13">
        <v>120</v>
      </c>
      <c r="T143" s="856" t="s">
        <v>85</v>
      </c>
    </row>
    <row r="144" spans="3:20">
      <c r="C144" s="13">
        <f>IF(D144&lt;&gt;"",COUNTA($D$10:D144),"")</f>
        <v>117</v>
      </c>
      <c r="D144" s="14" t="s">
        <v>214</v>
      </c>
      <c r="E144" s="14">
        <v>2.2000000000000002</v>
      </c>
      <c r="F144" s="14">
        <v>2.8</v>
      </c>
      <c r="G144" s="14">
        <v>2.4</v>
      </c>
      <c r="H144" s="14">
        <v>2</v>
      </c>
      <c r="I144" s="14">
        <v>1</v>
      </c>
      <c r="J144" s="14">
        <v>1.75</v>
      </c>
      <c r="K144" s="14">
        <v>3</v>
      </c>
      <c r="L144" s="15">
        <v>0.1</v>
      </c>
      <c r="M144" s="15">
        <v>0</v>
      </c>
      <c r="N144" s="14">
        <v>24</v>
      </c>
      <c r="O144" s="14">
        <v>50</v>
      </c>
      <c r="P144" s="13">
        <v>45</v>
      </c>
      <c r="Q144" s="13">
        <v>85</v>
      </c>
      <c r="R144" s="13" t="s">
        <v>17</v>
      </c>
      <c r="S144" s="13">
        <v>120</v>
      </c>
      <c r="T144" s="856" t="s">
        <v>85</v>
      </c>
    </row>
    <row r="145" spans="3:20">
      <c r="C145" s="13">
        <f>IF(D145&lt;&gt;"",COUNTA($D$10:D145),"")</f>
        <v>118</v>
      </c>
      <c r="D145" s="14" t="s">
        <v>215</v>
      </c>
      <c r="E145" s="14">
        <v>2.8</v>
      </c>
      <c r="F145" s="14">
        <v>2.4</v>
      </c>
      <c r="G145" s="14">
        <v>2.4</v>
      </c>
      <c r="H145" s="14">
        <v>2</v>
      </c>
      <c r="I145" s="14">
        <v>1</v>
      </c>
      <c r="J145" s="14">
        <v>1.75</v>
      </c>
      <c r="K145" s="14">
        <v>3</v>
      </c>
      <c r="L145" s="15">
        <v>0.1</v>
      </c>
      <c r="M145" s="15">
        <v>0</v>
      </c>
      <c r="N145" s="14">
        <v>24</v>
      </c>
      <c r="O145" s="14">
        <v>50</v>
      </c>
      <c r="P145" s="13">
        <v>45</v>
      </c>
      <c r="Q145" s="13">
        <v>85</v>
      </c>
      <c r="R145" s="13" t="s">
        <v>17</v>
      </c>
      <c r="S145" s="13">
        <v>120</v>
      </c>
      <c r="T145" s="856" t="s">
        <v>85</v>
      </c>
    </row>
    <row r="146" spans="3:20">
      <c r="C146" s="13" t="str">
        <f>IF(D146&lt;&gt;"",COUNTA($D$10:D146),"")</f>
        <v/>
      </c>
      <c r="D146" s="19"/>
      <c r="E146" s="19"/>
      <c r="F146" s="19"/>
      <c r="G146" s="19"/>
      <c r="H146" s="19"/>
      <c r="I146" s="19"/>
      <c r="J146" s="19"/>
      <c r="K146" s="19"/>
      <c r="L146" s="19"/>
      <c r="M146" s="19"/>
      <c r="N146" s="19"/>
      <c r="O146" s="19"/>
      <c r="P146" s="19"/>
      <c r="Q146" s="19"/>
      <c r="R146" s="19"/>
      <c r="S146" s="19"/>
      <c r="T146" s="19"/>
    </row>
    <row r="147" spans="3:20">
      <c r="C147" s="13" t="str">
        <f>IF(D147&lt;&gt;"",COUNTA($D$10:D147),"")</f>
        <v/>
      </c>
    </row>
    <row r="148" spans="3:20" ht="26.1">
      <c r="C148" s="8" t="str">
        <f>"Zoning Area AHU - " &amp; INT((ROW()-8)/20)+1 &amp; "  " &amp; IF(ISNUMBER(N150),"Air-Conditioning System " &amp; IF(AH150="D","(DX)",IF(AH150="C","(Chilled Water)","")),IF(AND(N150="Amb",ISTEXT(N150)),"Ventilation System","Refer"))</f>
        <v xml:space="preserve">Zoning Area AHU - 8  Air-Conditioning System </v>
      </c>
      <c r="D148" s="8"/>
      <c r="E148" s="8"/>
      <c r="F148" s="8"/>
      <c r="G148" s="8"/>
      <c r="H148" s="8"/>
      <c r="I148" s="8"/>
      <c r="J148" s="8"/>
      <c r="K148" s="8"/>
      <c r="L148" s="8"/>
      <c r="M148" s="8"/>
      <c r="N148" s="8"/>
      <c r="O148" s="8"/>
      <c r="P148" s="8"/>
      <c r="Q148" s="8"/>
      <c r="R148" s="8"/>
      <c r="S148" s="8"/>
      <c r="T148" s="8"/>
    </row>
    <row r="149" spans="3:20">
      <c r="C149" s="13">
        <f>IF(D149&lt;&gt;"",COUNTA($D$10:D149),"")</f>
        <v>119</v>
      </c>
      <c r="D149" s="5" t="s">
        <v>165</v>
      </c>
      <c r="E149" s="5" t="s">
        <v>166</v>
      </c>
      <c r="F149" s="5" t="s">
        <v>167</v>
      </c>
      <c r="G149" s="5" t="s">
        <v>168</v>
      </c>
      <c r="H149" s="5" t="s">
        <v>169</v>
      </c>
      <c r="I149" s="5" t="s">
        <v>170</v>
      </c>
      <c r="J149" s="5" t="s">
        <v>171</v>
      </c>
      <c r="K149" s="5" t="s">
        <v>172</v>
      </c>
      <c r="L149" s="5" t="s">
        <v>173</v>
      </c>
      <c r="M149" s="5" t="s">
        <v>174</v>
      </c>
      <c r="N149" s="5" t="s">
        <v>175</v>
      </c>
      <c r="O149" s="5" t="s">
        <v>176</v>
      </c>
      <c r="P149" s="5" t="s">
        <v>177</v>
      </c>
      <c r="Q149" s="5" t="s">
        <v>178</v>
      </c>
      <c r="R149" s="5" t="s">
        <v>199</v>
      </c>
      <c r="S149" s="5" t="s">
        <v>180</v>
      </c>
      <c r="T149" s="5" t="s">
        <v>180</v>
      </c>
    </row>
    <row r="150" spans="3:20">
      <c r="C150" s="13">
        <f>IF(D150&lt;&gt;"",COUNTA($D$10:D150),"")</f>
        <v>120</v>
      </c>
      <c r="D150" s="14" t="s">
        <v>200</v>
      </c>
      <c r="E150" s="14">
        <v>3</v>
      </c>
      <c r="F150" s="14">
        <v>3</v>
      </c>
      <c r="G150" s="14">
        <v>2.4</v>
      </c>
      <c r="H150" s="14">
        <v>1</v>
      </c>
      <c r="I150" s="14">
        <v>2</v>
      </c>
      <c r="J150" s="14">
        <v>1.75</v>
      </c>
      <c r="K150" s="14">
        <v>3</v>
      </c>
      <c r="L150" s="15">
        <v>0.1</v>
      </c>
      <c r="M150" s="15">
        <v>0</v>
      </c>
      <c r="N150" s="14">
        <v>24</v>
      </c>
      <c r="O150" s="14">
        <v>50</v>
      </c>
      <c r="P150" s="13">
        <v>45</v>
      </c>
      <c r="Q150" s="13">
        <v>85</v>
      </c>
      <c r="R150" s="13" t="s">
        <v>17</v>
      </c>
      <c r="S150" s="13">
        <v>120</v>
      </c>
      <c r="T150" s="856" t="s">
        <v>85</v>
      </c>
    </row>
    <row r="151" spans="3:20">
      <c r="C151" s="13">
        <f>IF(D151&lt;&gt;"",COUNTA($D$10:D151),"")</f>
        <v>121</v>
      </c>
      <c r="D151" s="14" t="s">
        <v>201</v>
      </c>
      <c r="E151" s="14">
        <v>1.8</v>
      </c>
      <c r="F151" s="14">
        <v>2.2000000000000002</v>
      </c>
      <c r="G151" s="14">
        <v>2.4</v>
      </c>
      <c r="H151" s="14">
        <v>2</v>
      </c>
      <c r="I151" s="14">
        <v>1</v>
      </c>
      <c r="J151" s="14">
        <v>1.75</v>
      </c>
      <c r="K151" s="14">
        <v>3</v>
      </c>
      <c r="L151" s="15">
        <v>0.1</v>
      </c>
      <c r="M151" s="15">
        <v>0</v>
      </c>
      <c r="N151" s="14">
        <v>24</v>
      </c>
      <c r="O151" s="14">
        <v>50</v>
      </c>
      <c r="P151" s="13">
        <v>45</v>
      </c>
      <c r="Q151" s="13">
        <v>85</v>
      </c>
      <c r="R151" s="13" t="s">
        <v>17</v>
      </c>
      <c r="S151" s="13">
        <v>120</v>
      </c>
      <c r="T151" s="856" t="s">
        <v>85</v>
      </c>
    </row>
    <row r="152" spans="3:20">
      <c r="C152" s="13">
        <f>IF(D152&lt;&gt;"",COUNTA($D$10:D152),"")</f>
        <v>122</v>
      </c>
      <c r="D152" s="14" t="s">
        <v>202</v>
      </c>
      <c r="E152" s="14">
        <v>1.5</v>
      </c>
      <c r="F152" s="14">
        <v>2.8</v>
      </c>
      <c r="G152" s="14">
        <v>2.4</v>
      </c>
      <c r="H152" s="14">
        <v>2</v>
      </c>
      <c r="I152" s="14">
        <v>3</v>
      </c>
      <c r="J152" s="14">
        <v>1.75</v>
      </c>
      <c r="K152" s="14">
        <v>3</v>
      </c>
      <c r="L152" s="15">
        <v>0.1</v>
      </c>
      <c r="M152" s="15">
        <v>0</v>
      </c>
      <c r="N152" s="14">
        <v>24</v>
      </c>
      <c r="O152" s="14">
        <v>50</v>
      </c>
      <c r="P152" s="13">
        <v>45</v>
      </c>
      <c r="Q152" s="13">
        <v>85</v>
      </c>
      <c r="R152" s="13" t="s">
        <v>17</v>
      </c>
      <c r="S152" s="13">
        <v>120</v>
      </c>
      <c r="T152" s="856" t="s">
        <v>85</v>
      </c>
    </row>
    <row r="153" spans="3:20">
      <c r="C153" s="13">
        <f>IF(D153&lt;&gt;"",COUNTA($D$10:D153),"")</f>
        <v>123</v>
      </c>
      <c r="D153" s="14" t="s">
        <v>203</v>
      </c>
      <c r="E153" s="14">
        <v>2.1</v>
      </c>
      <c r="F153" s="14">
        <v>3.5</v>
      </c>
      <c r="G153" s="14">
        <v>2.4</v>
      </c>
      <c r="H153" s="14">
        <v>0</v>
      </c>
      <c r="I153" s="14">
        <v>1</v>
      </c>
      <c r="J153" s="14">
        <v>1.75</v>
      </c>
      <c r="K153" s="14">
        <v>3</v>
      </c>
      <c r="L153" s="15">
        <v>0.1</v>
      </c>
      <c r="M153" s="15">
        <v>0</v>
      </c>
      <c r="N153" s="14">
        <v>24</v>
      </c>
      <c r="O153" s="14">
        <v>50</v>
      </c>
      <c r="P153" s="13">
        <v>45</v>
      </c>
      <c r="Q153" s="13">
        <v>85</v>
      </c>
      <c r="R153" s="13" t="s">
        <v>17</v>
      </c>
      <c r="S153" s="13">
        <v>120</v>
      </c>
      <c r="T153" s="856" t="s">
        <v>85</v>
      </c>
    </row>
    <row r="154" spans="3:20">
      <c r="C154" s="13">
        <f>IF(D154&lt;&gt;"",COUNTA($D$10:D154),"")</f>
        <v>124</v>
      </c>
      <c r="D154" s="14" t="s">
        <v>204</v>
      </c>
      <c r="E154" s="14">
        <v>2.7</v>
      </c>
      <c r="F154" s="14">
        <v>4</v>
      </c>
      <c r="G154" s="14">
        <v>2.4</v>
      </c>
      <c r="H154" s="14">
        <v>2</v>
      </c>
      <c r="I154" s="14">
        <v>1</v>
      </c>
      <c r="J154" s="14">
        <v>1.75</v>
      </c>
      <c r="K154" s="14">
        <v>3</v>
      </c>
      <c r="L154" s="15">
        <v>0.1</v>
      </c>
      <c r="M154" s="15">
        <v>0</v>
      </c>
      <c r="N154" s="14">
        <v>24</v>
      </c>
      <c r="O154" s="14">
        <v>50</v>
      </c>
      <c r="P154" s="13">
        <v>45</v>
      </c>
      <c r="Q154" s="13">
        <v>85</v>
      </c>
      <c r="R154" s="13" t="s">
        <v>17</v>
      </c>
      <c r="S154" s="13">
        <v>120</v>
      </c>
      <c r="T154" s="856" t="s">
        <v>85</v>
      </c>
    </row>
    <row r="155" spans="3:20">
      <c r="C155" s="13">
        <f>IF(D155&lt;&gt;"",COUNTA($D$10:D155),"")</f>
        <v>125</v>
      </c>
      <c r="D155" s="14" t="s">
        <v>205</v>
      </c>
      <c r="E155" s="14">
        <v>3.8</v>
      </c>
      <c r="F155" s="14">
        <v>4.2</v>
      </c>
      <c r="G155" s="14">
        <v>2.4</v>
      </c>
      <c r="H155" s="14">
        <v>3</v>
      </c>
      <c r="I155" s="14">
        <v>3</v>
      </c>
      <c r="J155" s="14">
        <v>1.75</v>
      </c>
      <c r="K155" s="14">
        <v>3</v>
      </c>
      <c r="L155" s="15">
        <v>0.1</v>
      </c>
      <c r="M155" s="15">
        <v>0</v>
      </c>
      <c r="N155" s="14">
        <v>24</v>
      </c>
      <c r="O155" s="14">
        <v>50</v>
      </c>
      <c r="P155" s="13">
        <v>45</v>
      </c>
      <c r="Q155" s="13">
        <v>85</v>
      </c>
      <c r="R155" s="13" t="s">
        <v>17</v>
      </c>
      <c r="S155" s="13">
        <v>120</v>
      </c>
      <c r="T155" s="856" t="s">
        <v>85</v>
      </c>
    </row>
    <row r="156" spans="3:20">
      <c r="C156" s="13">
        <f>IF(D156&lt;&gt;"",COUNTA($D$10:D156),"")</f>
        <v>126</v>
      </c>
      <c r="D156" s="14" t="s">
        <v>206</v>
      </c>
      <c r="E156" s="14">
        <v>3.1</v>
      </c>
      <c r="F156" s="14">
        <v>2.6</v>
      </c>
      <c r="G156" s="14">
        <v>2.4</v>
      </c>
      <c r="H156" s="14">
        <v>2</v>
      </c>
      <c r="I156" s="14">
        <v>1</v>
      </c>
      <c r="J156" s="14">
        <v>1.75</v>
      </c>
      <c r="K156" s="14">
        <v>3</v>
      </c>
      <c r="L156" s="15">
        <v>0.1</v>
      </c>
      <c r="M156" s="15">
        <v>0</v>
      </c>
      <c r="N156" s="14">
        <v>24</v>
      </c>
      <c r="O156" s="14">
        <v>50</v>
      </c>
      <c r="P156" s="13">
        <v>45</v>
      </c>
      <c r="Q156" s="13">
        <v>85</v>
      </c>
      <c r="R156" s="13" t="s">
        <v>17</v>
      </c>
      <c r="S156" s="13">
        <v>120</v>
      </c>
      <c r="T156" s="856" t="s">
        <v>85</v>
      </c>
    </row>
    <row r="157" spans="3:20">
      <c r="C157" s="13">
        <f>IF(D157&lt;&gt;"",COUNTA($D$10:D157),"")</f>
        <v>127</v>
      </c>
      <c r="D157" s="14" t="s">
        <v>207</v>
      </c>
      <c r="E157" s="14">
        <v>1.9</v>
      </c>
      <c r="F157" s="14">
        <v>2.4</v>
      </c>
      <c r="G157" s="14">
        <v>2.4</v>
      </c>
      <c r="H157" s="14">
        <v>3</v>
      </c>
      <c r="I157" s="14">
        <v>2</v>
      </c>
      <c r="J157" s="14">
        <v>1.75</v>
      </c>
      <c r="K157" s="14">
        <v>3</v>
      </c>
      <c r="L157" s="15">
        <v>0.1</v>
      </c>
      <c r="M157" s="15">
        <v>0</v>
      </c>
      <c r="N157" s="14">
        <v>24</v>
      </c>
      <c r="O157" s="14">
        <v>50</v>
      </c>
      <c r="P157" s="13">
        <v>45</v>
      </c>
      <c r="Q157" s="13">
        <v>85</v>
      </c>
      <c r="R157" s="13" t="s">
        <v>17</v>
      </c>
      <c r="S157" s="13">
        <v>120</v>
      </c>
      <c r="T157" s="856" t="s">
        <v>85</v>
      </c>
    </row>
    <row r="158" spans="3:20">
      <c r="C158" s="13">
        <f>IF(D158&lt;&gt;"",COUNTA($D$10:D158),"")</f>
        <v>128</v>
      </c>
      <c r="D158" s="14" t="s">
        <v>208</v>
      </c>
      <c r="E158" s="14">
        <v>3</v>
      </c>
      <c r="F158" s="14">
        <v>2.9</v>
      </c>
      <c r="G158" s="14">
        <v>2.4</v>
      </c>
      <c r="H158" s="14">
        <v>2</v>
      </c>
      <c r="I158" s="14">
        <v>1</v>
      </c>
      <c r="J158" s="14">
        <v>1.75</v>
      </c>
      <c r="K158" s="14">
        <v>3</v>
      </c>
      <c r="L158" s="15">
        <v>0.1</v>
      </c>
      <c r="M158" s="15">
        <v>0</v>
      </c>
      <c r="N158" s="14">
        <v>24</v>
      </c>
      <c r="O158" s="14">
        <v>50</v>
      </c>
      <c r="P158" s="13">
        <v>45</v>
      </c>
      <c r="Q158" s="13">
        <v>85</v>
      </c>
      <c r="R158" s="13" t="s">
        <v>17</v>
      </c>
      <c r="S158" s="13">
        <v>120</v>
      </c>
      <c r="T158" s="856" t="s">
        <v>85</v>
      </c>
    </row>
    <row r="159" spans="3:20">
      <c r="C159" s="13">
        <f>IF(D159&lt;&gt;"",COUNTA($D$10:D159),"")</f>
        <v>129</v>
      </c>
      <c r="D159" s="14" t="s">
        <v>209</v>
      </c>
      <c r="E159" s="14">
        <v>2.4</v>
      </c>
      <c r="F159" s="14">
        <v>2</v>
      </c>
      <c r="G159" s="14">
        <v>2.4</v>
      </c>
      <c r="H159" s="14">
        <v>2</v>
      </c>
      <c r="I159" s="14">
        <v>1</v>
      </c>
      <c r="J159" s="14">
        <v>1.75</v>
      </c>
      <c r="K159" s="14">
        <v>3</v>
      </c>
      <c r="L159" s="15">
        <v>0.1</v>
      </c>
      <c r="M159" s="15">
        <v>0</v>
      </c>
      <c r="N159" s="14">
        <v>24</v>
      </c>
      <c r="O159" s="14">
        <v>50</v>
      </c>
      <c r="P159" s="13">
        <v>45</v>
      </c>
      <c r="Q159" s="13">
        <v>85</v>
      </c>
      <c r="R159" s="13" t="s">
        <v>17</v>
      </c>
      <c r="S159" s="13">
        <v>120</v>
      </c>
      <c r="T159" s="856" t="s">
        <v>85</v>
      </c>
    </row>
    <row r="160" spans="3:20">
      <c r="C160" s="13">
        <f>IF(D160&lt;&gt;"",COUNTA($D$10:D160),"")</f>
        <v>130</v>
      </c>
      <c r="D160" s="14" t="s">
        <v>210</v>
      </c>
      <c r="E160" s="14">
        <v>2.1</v>
      </c>
      <c r="F160" s="14">
        <v>1.8</v>
      </c>
      <c r="G160" s="14">
        <v>2.4</v>
      </c>
      <c r="H160" s="14">
        <v>2</v>
      </c>
      <c r="I160" s="14">
        <v>1</v>
      </c>
      <c r="J160" s="14">
        <v>1.75</v>
      </c>
      <c r="K160" s="14">
        <v>3</v>
      </c>
      <c r="L160" s="15">
        <v>0.1</v>
      </c>
      <c r="M160" s="15">
        <v>0</v>
      </c>
      <c r="N160" s="14">
        <v>24</v>
      </c>
      <c r="O160" s="14">
        <v>50</v>
      </c>
      <c r="P160" s="13">
        <v>45</v>
      </c>
      <c r="Q160" s="13">
        <v>85</v>
      </c>
      <c r="R160" s="13" t="s">
        <v>17</v>
      </c>
      <c r="S160" s="13">
        <v>120</v>
      </c>
      <c r="T160" s="856" t="s">
        <v>85</v>
      </c>
    </row>
    <row r="161" spans="3:20">
      <c r="C161" s="13">
        <f>IF(D161&lt;&gt;"",COUNTA($D$10:D161),"")</f>
        <v>131</v>
      </c>
      <c r="D161" s="14" t="s">
        <v>211</v>
      </c>
      <c r="E161" s="14">
        <v>1.8</v>
      </c>
      <c r="F161" s="14">
        <v>1.9</v>
      </c>
      <c r="G161" s="14">
        <v>2.4</v>
      </c>
      <c r="H161" s="14">
        <v>2</v>
      </c>
      <c r="I161" s="14">
        <v>1</v>
      </c>
      <c r="J161" s="14">
        <v>1.75</v>
      </c>
      <c r="K161" s="14">
        <v>3</v>
      </c>
      <c r="L161" s="15">
        <v>0.1</v>
      </c>
      <c r="M161" s="15">
        <v>0</v>
      </c>
      <c r="N161" s="14">
        <v>24</v>
      </c>
      <c r="O161" s="14">
        <v>50</v>
      </c>
      <c r="P161" s="13">
        <v>45</v>
      </c>
      <c r="Q161" s="13">
        <v>85</v>
      </c>
      <c r="R161" s="13" t="s">
        <v>17</v>
      </c>
      <c r="S161" s="13">
        <v>120</v>
      </c>
      <c r="T161" s="856" t="s">
        <v>85</v>
      </c>
    </row>
    <row r="162" spans="3:20">
      <c r="C162" s="13">
        <f>IF(D162&lt;&gt;"",COUNTA($D$10:D162),"")</f>
        <v>132</v>
      </c>
      <c r="D162" s="14" t="s">
        <v>212</v>
      </c>
      <c r="E162" s="14">
        <v>1.9</v>
      </c>
      <c r="F162" s="14">
        <v>2</v>
      </c>
      <c r="G162" s="14">
        <v>2.4</v>
      </c>
      <c r="H162" s="14">
        <v>2</v>
      </c>
      <c r="I162" s="14">
        <v>1</v>
      </c>
      <c r="J162" s="14">
        <v>1.75</v>
      </c>
      <c r="K162" s="14">
        <v>3</v>
      </c>
      <c r="L162" s="15">
        <v>0.1</v>
      </c>
      <c r="M162" s="15">
        <v>0</v>
      </c>
      <c r="N162" s="14">
        <v>24</v>
      </c>
      <c r="O162" s="14">
        <v>50</v>
      </c>
      <c r="P162" s="13">
        <v>45</v>
      </c>
      <c r="Q162" s="13">
        <v>85</v>
      </c>
      <c r="R162" s="13" t="s">
        <v>17</v>
      </c>
      <c r="S162" s="13">
        <v>120</v>
      </c>
      <c r="T162" s="856" t="s">
        <v>85</v>
      </c>
    </row>
    <row r="163" spans="3:20">
      <c r="C163" s="13">
        <f>IF(D163&lt;&gt;"",COUNTA($D$10:D163),"")</f>
        <v>133</v>
      </c>
      <c r="D163" s="14" t="s">
        <v>213</v>
      </c>
      <c r="E163" s="14">
        <v>2.2999999999999998</v>
      </c>
      <c r="F163" s="14">
        <v>2.2000000000000002</v>
      </c>
      <c r="G163" s="14">
        <v>2.4</v>
      </c>
      <c r="H163" s="14">
        <v>2</v>
      </c>
      <c r="I163" s="14">
        <v>1</v>
      </c>
      <c r="J163" s="14">
        <v>1.75</v>
      </c>
      <c r="K163" s="14">
        <v>3</v>
      </c>
      <c r="L163" s="15">
        <v>0.1</v>
      </c>
      <c r="M163" s="15">
        <v>0</v>
      </c>
      <c r="N163" s="14">
        <v>24</v>
      </c>
      <c r="O163" s="14">
        <v>50</v>
      </c>
      <c r="P163" s="13">
        <v>45</v>
      </c>
      <c r="Q163" s="13">
        <v>85</v>
      </c>
      <c r="R163" s="13" t="s">
        <v>17</v>
      </c>
      <c r="S163" s="13">
        <v>120</v>
      </c>
      <c r="T163" s="856" t="s">
        <v>85</v>
      </c>
    </row>
    <row r="164" spans="3:20">
      <c r="C164" s="13">
        <f>IF(D164&lt;&gt;"",COUNTA($D$10:D164),"")</f>
        <v>134</v>
      </c>
      <c r="D164" s="14" t="s">
        <v>214</v>
      </c>
      <c r="E164" s="14">
        <v>2.2000000000000002</v>
      </c>
      <c r="F164" s="14">
        <v>2.8</v>
      </c>
      <c r="G164" s="14">
        <v>2.4</v>
      </c>
      <c r="H164" s="14">
        <v>2</v>
      </c>
      <c r="I164" s="14">
        <v>1</v>
      </c>
      <c r="J164" s="14">
        <v>1.75</v>
      </c>
      <c r="K164" s="14">
        <v>3</v>
      </c>
      <c r="L164" s="15">
        <v>0.1</v>
      </c>
      <c r="M164" s="15">
        <v>0</v>
      </c>
      <c r="N164" s="14">
        <v>24</v>
      </c>
      <c r="O164" s="14">
        <v>50</v>
      </c>
      <c r="P164" s="13">
        <v>45</v>
      </c>
      <c r="Q164" s="13">
        <v>85</v>
      </c>
      <c r="R164" s="13" t="s">
        <v>17</v>
      </c>
      <c r="S164" s="13">
        <v>120</v>
      </c>
      <c r="T164" s="856" t="s">
        <v>85</v>
      </c>
    </row>
    <row r="165" spans="3:20">
      <c r="C165" s="13">
        <f>IF(D165&lt;&gt;"",COUNTA($D$10:D165),"")</f>
        <v>135</v>
      </c>
      <c r="D165" s="14" t="s">
        <v>215</v>
      </c>
      <c r="E165" s="14">
        <v>2.8</v>
      </c>
      <c r="F165" s="14">
        <v>2.4</v>
      </c>
      <c r="G165" s="14">
        <v>2.4</v>
      </c>
      <c r="H165" s="14">
        <v>2</v>
      </c>
      <c r="I165" s="14">
        <v>1</v>
      </c>
      <c r="J165" s="14">
        <v>1.75</v>
      </c>
      <c r="K165" s="14">
        <v>3</v>
      </c>
      <c r="L165" s="15">
        <v>0.1</v>
      </c>
      <c r="M165" s="15">
        <v>0</v>
      </c>
      <c r="N165" s="14">
        <v>24</v>
      </c>
      <c r="O165" s="14">
        <v>50</v>
      </c>
      <c r="P165" s="13">
        <v>45</v>
      </c>
      <c r="Q165" s="13">
        <v>85</v>
      </c>
      <c r="R165" s="13" t="s">
        <v>17</v>
      </c>
      <c r="S165" s="13">
        <v>120</v>
      </c>
      <c r="T165" s="856" t="s">
        <v>85</v>
      </c>
    </row>
    <row r="166" spans="3:20">
      <c r="C166" s="13" t="str">
        <f>IF(D166&lt;&gt;"",COUNTA($D$10:D166),"")</f>
        <v/>
      </c>
      <c r="D166" s="19"/>
      <c r="E166" s="19"/>
      <c r="F166" s="19"/>
      <c r="G166" s="19"/>
      <c r="H166" s="19"/>
      <c r="I166" s="19"/>
      <c r="J166" s="19"/>
      <c r="K166" s="19"/>
      <c r="L166" s="19"/>
      <c r="M166" s="19"/>
      <c r="N166" s="19"/>
      <c r="O166" s="19"/>
      <c r="P166" s="19"/>
      <c r="Q166" s="19"/>
      <c r="R166" s="19"/>
      <c r="S166" s="19"/>
      <c r="T166" s="19"/>
    </row>
    <row r="167" spans="3:20">
      <c r="C167" s="13" t="str">
        <f>IF(D167&lt;&gt;"",COUNTA($D$10:D167),"")</f>
        <v/>
      </c>
    </row>
    <row r="168" spans="3:20" ht="26.1">
      <c r="C168" s="8" t="str">
        <f>"Zoning Area AHU - " &amp; INT((ROW()-8)/20)+1 &amp; "  " &amp; IF(ISNUMBER(N170),"Air-Conditioning System " &amp; IF(AH170="D","(DX)",IF(AH170="C","(Chilled Water)","")),IF(AND(N170="Amb",ISTEXT(N170)),"Ventilation System","Refer"))</f>
        <v xml:space="preserve">Zoning Area AHU - 9  Air-Conditioning System </v>
      </c>
      <c r="D168" s="8"/>
      <c r="E168" s="8"/>
      <c r="F168" s="8"/>
      <c r="G168" s="8"/>
      <c r="H168" s="8"/>
      <c r="I168" s="8"/>
      <c r="J168" s="8"/>
      <c r="K168" s="8"/>
      <c r="L168" s="8"/>
      <c r="M168" s="8"/>
      <c r="N168" s="8"/>
      <c r="O168" s="8"/>
      <c r="P168" s="8"/>
      <c r="Q168" s="8"/>
      <c r="R168" s="8"/>
      <c r="S168" s="8"/>
      <c r="T168" s="8"/>
    </row>
    <row r="169" spans="3:20">
      <c r="C169" s="13">
        <f>IF(D169&lt;&gt;"",COUNTA($D$10:D169),"")</f>
        <v>136</v>
      </c>
      <c r="D169" s="5" t="s">
        <v>165</v>
      </c>
      <c r="E169" s="5" t="s">
        <v>166</v>
      </c>
      <c r="F169" s="5" t="s">
        <v>167</v>
      </c>
      <c r="G169" s="5" t="s">
        <v>168</v>
      </c>
      <c r="H169" s="5" t="s">
        <v>169</v>
      </c>
      <c r="I169" s="5" t="s">
        <v>170</v>
      </c>
      <c r="J169" s="5" t="s">
        <v>171</v>
      </c>
      <c r="K169" s="5" t="s">
        <v>172</v>
      </c>
      <c r="L169" s="5" t="s">
        <v>173</v>
      </c>
      <c r="M169" s="5" t="s">
        <v>174</v>
      </c>
      <c r="N169" s="5" t="s">
        <v>175</v>
      </c>
      <c r="O169" s="5" t="s">
        <v>176</v>
      </c>
      <c r="P169" s="5" t="s">
        <v>177</v>
      </c>
      <c r="Q169" s="5" t="s">
        <v>178</v>
      </c>
      <c r="R169" s="5" t="s">
        <v>199</v>
      </c>
      <c r="S169" s="5" t="s">
        <v>180</v>
      </c>
      <c r="T169" s="5" t="s">
        <v>180</v>
      </c>
    </row>
    <row r="170" spans="3:20">
      <c r="C170" s="13">
        <f>IF(D170&lt;&gt;"",COUNTA($D$10:D170),"")</f>
        <v>137</v>
      </c>
      <c r="D170" s="14" t="s">
        <v>200</v>
      </c>
      <c r="E170" s="14">
        <v>3</v>
      </c>
      <c r="F170" s="14">
        <v>3</v>
      </c>
      <c r="G170" s="14">
        <v>2.4</v>
      </c>
      <c r="H170" s="14">
        <v>1</v>
      </c>
      <c r="I170" s="14">
        <v>2</v>
      </c>
      <c r="J170" s="14">
        <v>1.75</v>
      </c>
      <c r="K170" s="14">
        <v>3</v>
      </c>
      <c r="L170" s="15">
        <v>0.1</v>
      </c>
      <c r="M170" s="15">
        <v>0</v>
      </c>
      <c r="N170" s="14">
        <v>24</v>
      </c>
      <c r="O170" s="14">
        <v>50</v>
      </c>
      <c r="P170" s="13">
        <v>45</v>
      </c>
      <c r="Q170" s="13">
        <v>85</v>
      </c>
      <c r="R170" s="13" t="s">
        <v>17</v>
      </c>
      <c r="S170" s="13">
        <v>120</v>
      </c>
      <c r="T170" s="856" t="s">
        <v>85</v>
      </c>
    </row>
    <row r="171" spans="3:20">
      <c r="C171" s="13">
        <f>IF(D171&lt;&gt;"",COUNTA($D$10:D171),"")</f>
        <v>138</v>
      </c>
      <c r="D171" s="14" t="s">
        <v>201</v>
      </c>
      <c r="E171" s="14">
        <v>1.8</v>
      </c>
      <c r="F171" s="14">
        <v>2.2000000000000002</v>
      </c>
      <c r="G171" s="14">
        <v>2.4</v>
      </c>
      <c r="H171" s="14">
        <v>2</v>
      </c>
      <c r="I171" s="14">
        <v>1</v>
      </c>
      <c r="J171" s="14">
        <v>1.75</v>
      </c>
      <c r="K171" s="14">
        <v>3</v>
      </c>
      <c r="L171" s="15">
        <v>0.1</v>
      </c>
      <c r="M171" s="15">
        <v>0</v>
      </c>
      <c r="N171" s="14">
        <v>24</v>
      </c>
      <c r="O171" s="14">
        <v>50</v>
      </c>
      <c r="P171" s="13">
        <v>45</v>
      </c>
      <c r="Q171" s="13">
        <v>85</v>
      </c>
      <c r="R171" s="13" t="s">
        <v>17</v>
      </c>
      <c r="S171" s="13">
        <v>120</v>
      </c>
      <c r="T171" s="856" t="s">
        <v>85</v>
      </c>
    </row>
    <row r="172" spans="3:20">
      <c r="C172" s="13">
        <f>IF(D172&lt;&gt;"",COUNTA($D$10:D172),"")</f>
        <v>139</v>
      </c>
      <c r="D172" s="14" t="s">
        <v>202</v>
      </c>
      <c r="E172" s="14">
        <v>1.5</v>
      </c>
      <c r="F172" s="14">
        <v>2.8</v>
      </c>
      <c r="G172" s="14">
        <v>2.4</v>
      </c>
      <c r="H172" s="14">
        <v>2</v>
      </c>
      <c r="I172" s="14">
        <v>3</v>
      </c>
      <c r="J172" s="14">
        <v>1.75</v>
      </c>
      <c r="K172" s="14">
        <v>3</v>
      </c>
      <c r="L172" s="15">
        <v>0.1</v>
      </c>
      <c r="M172" s="15">
        <v>0</v>
      </c>
      <c r="N172" s="14">
        <v>24</v>
      </c>
      <c r="O172" s="14">
        <v>50</v>
      </c>
      <c r="P172" s="13">
        <v>45</v>
      </c>
      <c r="Q172" s="13">
        <v>85</v>
      </c>
      <c r="R172" s="13" t="s">
        <v>17</v>
      </c>
      <c r="S172" s="13">
        <v>120</v>
      </c>
      <c r="T172" s="856" t="s">
        <v>85</v>
      </c>
    </row>
    <row r="173" spans="3:20">
      <c r="C173" s="13">
        <f>IF(D173&lt;&gt;"",COUNTA($D$10:D173),"")</f>
        <v>140</v>
      </c>
      <c r="D173" s="14" t="s">
        <v>203</v>
      </c>
      <c r="E173" s="14">
        <v>2.1</v>
      </c>
      <c r="F173" s="14">
        <v>3.5</v>
      </c>
      <c r="G173" s="14">
        <v>2.4</v>
      </c>
      <c r="H173" s="14">
        <v>0</v>
      </c>
      <c r="I173" s="14">
        <v>1</v>
      </c>
      <c r="J173" s="14">
        <v>1.75</v>
      </c>
      <c r="K173" s="14">
        <v>3</v>
      </c>
      <c r="L173" s="15">
        <v>0.1</v>
      </c>
      <c r="M173" s="15">
        <v>0</v>
      </c>
      <c r="N173" s="14">
        <v>24</v>
      </c>
      <c r="O173" s="14">
        <v>50</v>
      </c>
      <c r="P173" s="13">
        <v>45</v>
      </c>
      <c r="Q173" s="13">
        <v>85</v>
      </c>
      <c r="R173" s="13" t="s">
        <v>17</v>
      </c>
      <c r="S173" s="13">
        <v>120</v>
      </c>
      <c r="T173" s="856" t="s">
        <v>85</v>
      </c>
    </row>
    <row r="174" spans="3:20">
      <c r="C174" s="13">
        <f>IF(D174&lt;&gt;"",COUNTA($D$10:D174),"")</f>
        <v>141</v>
      </c>
      <c r="D174" s="14" t="s">
        <v>204</v>
      </c>
      <c r="E174" s="14">
        <v>2.7</v>
      </c>
      <c r="F174" s="14">
        <v>4</v>
      </c>
      <c r="G174" s="14">
        <v>2.4</v>
      </c>
      <c r="H174" s="14">
        <v>2</v>
      </c>
      <c r="I174" s="14">
        <v>1</v>
      </c>
      <c r="J174" s="14">
        <v>1.75</v>
      </c>
      <c r="K174" s="14">
        <v>3</v>
      </c>
      <c r="L174" s="15">
        <v>0.1</v>
      </c>
      <c r="M174" s="15">
        <v>0</v>
      </c>
      <c r="N174" s="14">
        <v>24</v>
      </c>
      <c r="O174" s="14">
        <v>50</v>
      </c>
      <c r="P174" s="13">
        <v>45</v>
      </c>
      <c r="Q174" s="13">
        <v>85</v>
      </c>
      <c r="R174" s="13" t="s">
        <v>17</v>
      </c>
      <c r="S174" s="13">
        <v>120</v>
      </c>
      <c r="T174" s="856" t="s">
        <v>85</v>
      </c>
    </row>
    <row r="175" spans="3:20">
      <c r="C175" s="13">
        <f>IF(D175&lt;&gt;"",COUNTA($D$10:D175),"")</f>
        <v>142</v>
      </c>
      <c r="D175" s="14" t="s">
        <v>205</v>
      </c>
      <c r="E175" s="14">
        <v>3.8</v>
      </c>
      <c r="F175" s="14">
        <v>4.2</v>
      </c>
      <c r="G175" s="14">
        <v>2.4</v>
      </c>
      <c r="H175" s="14">
        <v>3</v>
      </c>
      <c r="I175" s="14">
        <v>3</v>
      </c>
      <c r="J175" s="14">
        <v>1.75</v>
      </c>
      <c r="K175" s="14">
        <v>3</v>
      </c>
      <c r="L175" s="15">
        <v>0.1</v>
      </c>
      <c r="M175" s="15">
        <v>0</v>
      </c>
      <c r="N175" s="14">
        <v>24</v>
      </c>
      <c r="O175" s="14">
        <v>50</v>
      </c>
      <c r="P175" s="13">
        <v>45</v>
      </c>
      <c r="Q175" s="13">
        <v>85</v>
      </c>
      <c r="R175" s="13" t="s">
        <v>17</v>
      </c>
      <c r="S175" s="13">
        <v>120</v>
      </c>
      <c r="T175" s="856" t="s">
        <v>85</v>
      </c>
    </row>
    <row r="176" spans="3:20">
      <c r="C176" s="13">
        <f>IF(D176&lt;&gt;"",COUNTA($D$10:D176),"")</f>
        <v>143</v>
      </c>
      <c r="D176" s="14" t="s">
        <v>206</v>
      </c>
      <c r="E176" s="14">
        <v>3.1</v>
      </c>
      <c r="F176" s="14">
        <v>2.6</v>
      </c>
      <c r="G176" s="14">
        <v>2.4</v>
      </c>
      <c r="H176" s="14">
        <v>2</v>
      </c>
      <c r="I176" s="14">
        <v>1</v>
      </c>
      <c r="J176" s="14">
        <v>1.75</v>
      </c>
      <c r="K176" s="14">
        <v>3</v>
      </c>
      <c r="L176" s="15">
        <v>0.1</v>
      </c>
      <c r="M176" s="15">
        <v>0</v>
      </c>
      <c r="N176" s="14">
        <v>24</v>
      </c>
      <c r="O176" s="14">
        <v>50</v>
      </c>
      <c r="P176" s="13">
        <v>45</v>
      </c>
      <c r="Q176" s="13">
        <v>85</v>
      </c>
      <c r="R176" s="13" t="s">
        <v>17</v>
      </c>
      <c r="S176" s="13">
        <v>120</v>
      </c>
      <c r="T176" s="856" t="s">
        <v>85</v>
      </c>
    </row>
    <row r="177" spans="3:20">
      <c r="C177" s="13">
        <f>IF(D177&lt;&gt;"",COUNTA($D$10:D177),"")</f>
        <v>144</v>
      </c>
      <c r="D177" s="14" t="s">
        <v>207</v>
      </c>
      <c r="E177" s="14">
        <v>1.9</v>
      </c>
      <c r="F177" s="14">
        <v>2.4</v>
      </c>
      <c r="G177" s="14">
        <v>2.4</v>
      </c>
      <c r="H177" s="14">
        <v>3</v>
      </c>
      <c r="I177" s="14">
        <v>2</v>
      </c>
      <c r="J177" s="14">
        <v>1.75</v>
      </c>
      <c r="K177" s="14">
        <v>3</v>
      </c>
      <c r="L177" s="15">
        <v>0.1</v>
      </c>
      <c r="M177" s="15">
        <v>0</v>
      </c>
      <c r="N177" s="14">
        <v>24</v>
      </c>
      <c r="O177" s="14">
        <v>50</v>
      </c>
      <c r="P177" s="13">
        <v>45</v>
      </c>
      <c r="Q177" s="13">
        <v>85</v>
      </c>
      <c r="R177" s="13" t="s">
        <v>17</v>
      </c>
      <c r="S177" s="13">
        <v>120</v>
      </c>
      <c r="T177" s="856" t="s">
        <v>85</v>
      </c>
    </row>
    <row r="178" spans="3:20">
      <c r="C178" s="13">
        <f>IF(D178&lt;&gt;"",COUNTA($D$10:D178),"")</f>
        <v>145</v>
      </c>
      <c r="D178" s="14" t="s">
        <v>208</v>
      </c>
      <c r="E178" s="14">
        <v>3</v>
      </c>
      <c r="F178" s="14">
        <v>2.9</v>
      </c>
      <c r="G178" s="14">
        <v>2.4</v>
      </c>
      <c r="H178" s="14">
        <v>2</v>
      </c>
      <c r="I178" s="14">
        <v>1</v>
      </c>
      <c r="J178" s="14">
        <v>1.75</v>
      </c>
      <c r="K178" s="14">
        <v>3</v>
      </c>
      <c r="L178" s="15">
        <v>0.1</v>
      </c>
      <c r="M178" s="15">
        <v>0</v>
      </c>
      <c r="N178" s="14">
        <v>24</v>
      </c>
      <c r="O178" s="14">
        <v>50</v>
      </c>
      <c r="P178" s="13">
        <v>45</v>
      </c>
      <c r="Q178" s="13">
        <v>85</v>
      </c>
      <c r="R178" s="13" t="s">
        <v>17</v>
      </c>
      <c r="S178" s="13">
        <v>120</v>
      </c>
      <c r="T178" s="856" t="s">
        <v>85</v>
      </c>
    </row>
    <row r="179" spans="3:20">
      <c r="C179" s="13">
        <f>IF(D179&lt;&gt;"",COUNTA($D$10:D179),"")</f>
        <v>146</v>
      </c>
      <c r="D179" s="14" t="s">
        <v>209</v>
      </c>
      <c r="E179" s="14">
        <v>2.4</v>
      </c>
      <c r="F179" s="14">
        <v>2</v>
      </c>
      <c r="G179" s="14">
        <v>2.4</v>
      </c>
      <c r="H179" s="14">
        <v>2</v>
      </c>
      <c r="I179" s="14">
        <v>1</v>
      </c>
      <c r="J179" s="14">
        <v>1.75</v>
      </c>
      <c r="K179" s="14">
        <v>3</v>
      </c>
      <c r="L179" s="15">
        <v>0.1</v>
      </c>
      <c r="M179" s="15">
        <v>0</v>
      </c>
      <c r="N179" s="14">
        <v>24</v>
      </c>
      <c r="O179" s="14">
        <v>50</v>
      </c>
      <c r="P179" s="13">
        <v>45</v>
      </c>
      <c r="Q179" s="13">
        <v>85</v>
      </c>
      <c r="R179" s="13" t="s">
        <v>17</v>
      </c>
      <c r="S179" s="13">
        <v>120</v>
      </c>
      <c r="T179" s="856" t="s">
        <v>85</v>
      </c>
    </row>
    <row r="180" spans="3:20">
      <c r="C180" s="13">
        <f>IF(D180&lt;&gt;"",COUNTA($D$10:D180),"")</f>
        <v>147</v>
      </c>
      <c r="D180" s="14" t="s">
        <v>210</v>
      </c>
      <c r="E180" s="14">
        <v>2.1</v>
      </c>
      <c r="F180" s="14">
        <v>1.8</v>
      </c>
      <c r="G180" s="14">
        <v>2.4</v>
      </c>
      <c r="H180" s="14">
        <v>2</v>
      </c>
      <c r="I180" s="14">
        <v>1</v>
      </c>
      <c r="J180" s="14">
        <v>1.75</v>
      </c>
      <c r="K180" s="14">
        <v>3</v>
      </c>
      <c r="L180" s="15">
        <v>0.1</v>
      </c>
      <c r="M180" s="15">
        <v>0</v>
      </c>
      <c r="N180" s="14">
        <v>24</v>
      </c>
      <c r="O180" s="14">
        <v>50</v>
      </c>
      <c r="P180" s="13">
        <v>45</v>
      </c>
      <c r="Q180" s="13">
        <v>85</v>
      </c>
      <c r="R180" s="13" t="s">
        <v>17</v>
      </c>
      <c r="S180" s="13">
        <v>120</v>
      </c>
      <c r="T180" s="856" t="s">
        <v>85</v>
      </c>
    </row>
    <row r="181" spans="3:20">
      <c r="C181" s="13">
        <f>IF(D181&lt;&gt;"",COUNTA($D$10:D181),"")</f>
        <v>148</v>
      </c>
      <c r="D181" s="14" t="s">
        <v>211</v>
      </c>
      <c r="E181" s="14">
        <v>1.8</v>
      </c>
      <c r="F181" s="14">
        <v>1.9</v>
      </c>
      <c r="G181" s="14">
        <v>2.4</v>
      </c>
      <c r="H181" s="14">
        <v>2</v>
      </c>
      <c r="I181" s="14">
        <v>1</v>
      </c>
      <c r="J181" s="14">
        <v>1.75</v>
      </c>
      <c r="K181" s="14">
        <v>3</v>
      </c>
      <c r="L181" s="15">
        <v>0.1</v>
      </c>
      <c r="M181" s="15">
        <v>0</v>
      </c>
      <c r="N181" s="14">
        <v>24</v>
      </c>
      <c r="O181" s="14">
        <v>50</v>
      </c>
      <c r="P181" s="13">
        <v>45</v>
      </c>
      <c r="Q181" s="13">
        <v>85</v>
      </c>
      <c r="R181" s="13" t="s">
        <v>17</v>
      </c>
      <c r="S181" s="13">
        <v>120</v>
      </c>
      <c r="T181" s="856" t="s">
        <v>85</v>
      </c>
    </row>
    <row r="182" spans="3:20">
      <c r="C182" s="13">
        <f>IF(D182&lt;&gt;"",COUNTA($D$10:D182),"")</f>
        <v>149</v>
      </c>
      <c r="D182" s="14" t="s">
        <v>212</v>
      </c>
      <c r="E182" s="14">
        <v>1.9</v>
      </c>
      <c r="F182" s="14">
        <v>2</v>
      </c>
      <c r="G182" s="14">
        <v>2.4</v>
      </c>
      <c r="H182" s="14">
        <v>2</v>
      </c>
      <c r="I182" s="14">
        <v>1</v>
      </c>
      <c r="J182" s="14">
        <v>1.75</v>
      </c>
      <c r="K182" s="14">
        <v>3</v>
      </c>
      <c r="L182" s="15">
        <v>0.1</v>
      </c>
      <c r="M182" s="15">
        <v>0</v>
      </c>
      <c r="N182" s="14">
        <v>24</v>
      </c>
      <c r="O182" s="14">
        <v>50</v>
      </c>
      <c r="P182" s="13">
        <v>45</v>
      </c>
      <c r="Q182" s="13">
        <v>85</v>
      </c>
      <c r="R182" s="13" t="s">
        <v>17</v>
      </c>
      <c r="S182" s="13">
        <v>120</v>
      </c>
      <c r="T182" s="856" t="s">
        <v>85</v>
      </c>
    </row>
    <row r="183" spans="3:20">
      <c r="C183" s="13">
        <f>IF(D183&lt;&gt;"",COUNTA($D$10:D183),"")</f>
        <v>150</v>
      </c>
      <c r="D183" s="14" t="s">
        <v>213</v>
      </c>
      <c r="E183" s="14">
        <v>2.2999999999999998</v>
      </c>
      <c r="F183" s="14">
        <v>2.2000000000000002</v>
      </c>
      <c r="G183" s="14">
        <v>2.4</v>
      </c>
      <c r="H183" s="14">
        <v>2</v>
      </c>
      <c r="I183" s="14">
        <v>1</v>
      </c>
      <c r="J183" s="14">
        <v>1.75</v>
      </c>
      <c r="K183" s="14">
        <v>3</v>
      </c>
      <c r="L183" s="15">
        <v>0.1</v>
      </c>
      <c r="M183" s="15">
        <v>0</v>
      </c>
      <c r="N183" s="14">
        <v>24</v>
      </c>
      <c r="O183" s="14">
        <v>50</v>
      </c>
      <c r="P183" s="13">
        <v>45</v>
      </c>
      <c r="Q183" s="13">
        <v>85</v>
      </c>
      <c r="R183" s="13" t="s">
        <v>17</v>
      </c>
      <c r="S183" s="13">
        <v>120</v>
      </c>
      <c r="T183" s="856" t="s">
        <v>85</v>
      </c>
    </row>
    <row r="184" spans="3:20">
      <c r="C184" s="13">
        <f>IF(D184&lt;&gt;"",COUNTA($D$10:D184),"")</f>
        <v>151</v>
      </c>
      <c r="D184" s="14" t="s">
        <v>214</v>
      </c>
      <c r="E184" s="14">
        <v>2.2000000000000002</v>
      </c>
      <c r="F184" s="14">
        <v>2.8</v>
      </c>
      <c r="G184" s="14">
        <v>2.4</v>
      </c>
      <c r="H184" s="14">
        <v>2</v>
      </c>
      <c r="I184" s="14">
        <v>1</v>
      </c>
      <c r="J184" s="14">
        <v>1.75</v>
      </c>
      <c r="K184" s="14">
        <v>3</v>
      </c>
      <c r="L184" s="15">
        <v>0.1</v>
      </c>
      <c r="M184" s="15">
        <v>0</v>
      </c>
      <c r="N184" s="14">
        <v>24</v>
      </c>
      <c r="O184" s="14">
        <v>50</v>
      </c>
      <c r="P184" s="13">
        <v>45</v>
      </c>
      <c r="Q184" s="13">
        <v>85</v>
      </c>
      <c r="R184" s="13" t="s">
        <v>17</v>
      </c>
      <c r="S184" s="13">
        <v>120</v>
      </c>
      <c r="T184" s="856" t="s">
        <v>85</v>
      </c>
    </row>
    <row r="185" spans="3:20">
      <c r="C185" s="13">
        <f>IF(D185&lt;&gt;"",COUNTA($D$10:D185),"")</f>
        <v>152</v>
      </c>
      <c r="D185" s="14" t="s">
        <v>215</v>
      </c>
      <c r="E185" s="14">
        <v>2.8</v>
      </c>
      <c r="F185" s="14">
        <v>2.4</v>
      </c>
      <c r="G185" s="14">
        <v>2.4</v>
      </c>
      <c r="H185" s="14">
        <v>2</v>
      </c>
      <c r="I185" s="14">
        <v>1</v>
      </c>
      <c r="J185" s="14">
        <v>1.75</v>
      </c>
      <c r="K185" s="14">
        <v>3</v>
      </c>
      <c r="L185" s="15">
        <v>0.1</v>
      </c>
      <c r="M185" s="15">
        <v>0</v>
      </c>
      <c r="N185" s="14">
        <v>24</v>
      </c>
      <c r="O185" s="14">
        <v>50</v>
      </c>
      <c r="P185" s="13">
        <v>45</v>
      </c>
      <c r="Q185" s="13">
        <v>85</v>
      </c>
      <c r="R185" s="13" t="s">
        <v>17</v>
      </c>
      <c r="S185" s="13">
        <v>120</v>
      </c>
      <c r="T185" s="856" t="s">
        <v>85</v>
      </c>
    </row>
    <row r="186" spans="3:20">
      <c r="C186" s="13" t="str">
        <f>IF(D186&lt;&gt;"",COUNTA($D$10:D186),"")</f>
        <v/>
      </c>
      <c r="D186" s="19"/>
      <c r="E186" s="19"/>
      <c r="F186" s="19"/>
      <c r="G186" s="19"/>
      <c r="H186" s="19"/>
      <c r="I186" s="19"/>
      <c r="J186" s="19"/>
      <c r="K186" s="19"/>
      <c r="L186" s="19"/>
      <c r="M186" s="19"/>
      <c r="N186" s="19"/>
      <c r="O186" s="19"/>
      <c r="P186" s="19"/>
      <c r="Q186" s="19"/>
      <c r="R186" s="19"/>
      <c r="S186" s="19"/>
      <c r="T186" s="19"/>
    </row>
    <row r="187" spans="3:20">
      <c r="C187" s="13" t="str">
        <f>IF(D187&lt;&gt;"",COUNTA($D$10:D187),"")</f>
        <v/>
      </c>
    </row>
    <row r="188" spans="3:20" ht="26.1">
      <c r="C188" s="8" t="str">
        <f>"Zoning Area AHU - " &amp; INT((ROW()-8)/20)+1 &amp; "  " &amp; IF(ISNUMBER(N190),"Air-Conditioning System " &amp; IF(AH190="D","(DX)",IF(AH190="C","(Chilled Water)","")),IF(AND(N190="Amb",ISTEXT(N190)),"Ventilation System","Refer"))</f>
        <v xml:space="preserve">Zoning Area AHU - 10  Air-Conditioning System </v>
      </c>
      <c r="D188" s="8"/>
      <c r="E188" s="8"/>
      <c r="F188" s="8"/>
      <c r="G188" s="8"/>
      <c r="H188" s="8"/>
      <c r="I188" s="8"/>
      <c r="J188" s="8"/>
      <c r="K188" s="8"/>
      <c r="L188" s="8"/>
      <c r="M188" s="8"/>
      <c r="N188" s="8"/>
      <c r="O188" s="8"/>
      <c r="P188" s="8"/>
      <c r="Q188" s="8"/>
      <c r="R188" s="8"/>
      <c r="S188" s="8"/>
      <c r="T188" s="8"/>
    </row>
    <row r="189" spans="3:20">
      <c r="C189" s="13">
        <f>IF(D189&lt;&gt;"",COUNTA($D$10:D189),"")</f>
        <v>153</v>
      </c>
      <c r="D189" s="5" t="s">
        <v>165</v>
      </c>
      <c r="E189" s="5" t="s">
        <v>166</v>
      </c>
      <c r="F189" s="5" t="s">
        <v>167</v>
      </c>
      <c r="G189" s="5" t="s">
        <v>168</v>
      </c>
      <c r="H189" s="5" t="s">
        <v>169</v>
      </c>
      <c r="I189" s="5" t="s">
        <v>170</v>
      </c>
      <c r="J189" s="5" t="s">
        <v>171</v>
      </c>
      <c r="K189" s="5" t="s">
        <v>172</v>
      </c>
      <c r="L189" s="5" t="s">
        <v>173</v>
      </c>
      <c r="M189" s="5" t="s">
        <v>174</v>
      </c>
      <c r="N189" s="5" t="s">
        <v>175</v>
      </c>
      <c r="O189" s="5" t="s">
        <v>176</v>
      </c>
      <c r="P189" s="5" t="s">
        <v>177</v>
      </c>
      <c r="Q189" s="5" t="s">
        <v>178</v>
      </c>
      <c r="R189" s="5" t="s">
        <v>199</v>
      </c>
      <c r="S189" s="5" t="s">
        <v>180</v>
      </c>
      <c r="T189" s="5" t="s">
        <v>180</v>
      </c>
    </row>
    <row r="190" spans="3:20">
      <c r="C190" s="13">
        <f>IF(D190&lt;&gt;"",COUNTA($D$10:D190),"")</f>
        <v>154</v>
      </c>
      <c r="D190" s="14" t="s">
        <v>200</v>
      </c>
      <c r="E190" s="14">
        <v>3</v>
      </c>
      <c r="F190" s="14">
        <v>3</v>
      </c>
      <c r="G190" s="14">
        <v>2.4</v>
      </c>
      <c r="H190" s="14">
        <v>1</v>
      </c>
      <c r="I190" s="14">
        <v>2</v>
      </c>
      <c r="J190" s="14">
        <v>1.75</v>
      </c>
      <c r="K190" s="14">
        <v>3</v>
      </c>
      <c r="L190" s="15">
        <v>0.1</v>
      </c>
      <c r="M190" s="15">
        <v>0</v>
      </c>
      <c r="N190" s="14">
        <v>24</v>
      </c>
      <c r="O190" s="14">
        <v>50</v>
      </c>
      <c r="P190" s="13">
        <v>45</v>
      </c>
      <c r="Q190" s="13">
        <v>85</v>
      </c>
      <c r="R190" s="13" t="s">
        <v>17</v>
      </c>
      <c r="S190" s="13">
        <v>120</v>
      </c>
      <c r="T190" s="856" t="s">
        <v>85</v>
      </c>
    </row>
    <row r="191" spans="3:20">
      <c r="C191" s="13">
        <f>IF(D191&lt;&gt;"",COUNTA($D$10:D191),"")</f>
        <v>155</v>
      </c>
      <c r="D191" s="14" t="s">
        <v>201</v>
      </c>
      <c r="E191" s="14">
        <v>1.8</v>
      </c>
      <c r="F191" s="14">
        <v>2.2000000000000002</v>
      </c>
      <c r="G191" s="14">
        <v>2.4</v>
      </c>
      <c r="H191" s="14">
        <v>2</v>
      </c>
      <c r="I191" s="14">
        <v>1</v>
      </c>
      <c r="J191" s="14">
        <v>1.75</v>
      </c>
      <c r="K191" s="14">
        <v>3</v>
      </c>
      <c r="L191" s="15">
        <v>0.1</v>
      </c>
      <c r="M191" s="15">
        <v>0</v>
      </c>
      <c r="N191" s="14">
        <v>24</v>
      </c>
      <c r="O191" s="14">
        <v>50</v>
      </c>
      <c r="P191" s="13">
        <v>45</v>
      </c>
      <c r="Q191" s="13">
        <v>85</v>
      </c>
      <c r="R191" s="13" t="s">
        <v>17</v>
      </c>
      <c r="S191" s="13">
        <v>120</v>
      </c>
      <c r="T191" s="856" t="s">
        <v>85</v>
      </c>
    </row>
    <row r="192" spans="3:20">
      <c r="C192" s="13">
        <f>IF(D192&lt;&gt;"",COUNTA($D$10:D192),"")</f>
        <v>156</v>
      </c>
      <c r="D192" s="14" t="s">
        <v>202</v>
      </c>
      <c r="E192" s="14">
        <v>1.5</v>
      </c>
      <c r="F192" s="14">
        <v>2.8</v>
      </c>
      <c r="G192" s="14">
        <v>2.4</v>
      </c>
      <c r="H192" s="14">
        <v>2</v>
      </c>
      <c r="I192" s="14">
        <v>3</v>
      </c>
      <c r="J192" s="14">
        <v>1.75</v>
      </c>
      <c r="K192" s="14">
        <v>3</v>
      </c>
      <c r="L192" s="15">
        <v>0.1</v>
      </c>
      <c r="M192" s="15">
        <v>0</v>
      </c>
      <c r="N192" s="14">
        <v>24</v>
      </c>
      <c r="O192" s="14">
        <v>50</v>
      </c>
      <c r="P192" s="13">
        <v>45</v>
      </c>
      <c r="Q192" s="13">
        <v>85</v>
      </c>
      <c r="R192" s="13" t="s">
        <v>17</v>
      </c>
      <c r="S192" s="13">
        <v>120</v>
      </c>
      <c r="T192" s="856" t="s">
        <v>85</v>
      </c>
    </row>
    <row r="193" spans="3:20">
      <c r="C193" s="13">
        <f>IF(D193&lt;&gt;"",COUNTA($D$10:D193),"")</f>
        <v>157</v>
      </c>
      <c r="D193" s="14" t="s">
        <v>203</v>
      </c>
      <c r="E193" s="14">
        <v>2.1</v>
      </c>
      <c r="F193" s="14">
        <v>3.5</v>
      </c>
      <c r="G193" s="14">
        <v>2.4</v>
      </c>
      <c r="H193" s="14">
        <v>0</v>
      </c>
      <c r="I193" s="14">
        <v>1</v>
      </c>
      <c r="J193" s="14">
        <v>1.75</v>
      </c>
      <c r="K193" s="14">
        <v>3</v>
      </c>
      <c r="L193" s="15">
        <v>0.1</v>
      </c>
      <c r="M193" s="15">
        <v>0</v>
      </c>
      <c r="N193" s="14">
        <v>24</v>
      </c>
      <c r="O193" s="14">
        <v>50</v>
      </c>
      <c r="P193" s="13">
        <v>45</v>
      </c>
      <c r="Q193" s="13">
        <v>85</v>
      </c>
      <c r="R193" s="13" t="s">
        <v>17</v>
      </c>
      <c r="S193" s="13">
        <v>120</v>
      </c>
      <c r="T193" s="856" t="s">
        <v>85</v>
      </c>
    </row>
    <row r="194" spans="3:20">
      <c r="C194" s="13">
        <f>IF(D194&lt;&gt;"",COUNTA($D$10:D194),"")</f>
        <v>158</v>
      </c>
      <c r="D194" s="14" t="s">
        <v>204</v>
      </c>
      <c r="E194" s="14">
        <v>2.7</v>
      </c>
      <c r="F194" s="14">
        <v>4</v>
      </c>
      <c r="G194" s="14">
        <v>2.4</v>
      </c>
      <c r="H194" s="14">
        <v>2</v>
      </c>
      <c r="I194" s="14">
        <v>1</v>
      </c>
      <c r="J194" s="14">
        <v>1.75</v>
      </c>
      <c r="K194" s="14">
        <v>3</v>
      </c>
      <c r="L194" s="15">
        <v>0.1</v>
      </c>
      <c r="M194" s="15">
        <v>0</v>
      </c>
      <c r="N194" s="14">
        <v>24</v>
      </c>
      <c r="O194" s="14">
        <v>50</v>
      </c>
      <c r="P194" s="13">
        <v>45</v>
      </c>
      <c r="Q194" s="13">
        <v>85</v>
      </c>
      <c r="R194" s="13" t="s">
        <v>17</v>
      </c>
      <c r="S194" s="13">
        <v>120</v>
      </c>
      <c r="T194" s="856" t="s">
        <v>85</v>
      </c>
    </row>
    <row r="195" spans="3:20">
      <c r="C195" s="13">
        <f>IF(D195&lt;&gt;"",COUNTA($D$10:D195),"")</f>
        <v>159</v>
      </c>
      <c r="D195" s="14" t="s">
        <v>205</v>
      </c>
      <c r="E195" s="14">
        <v>3.8</v>
      </c>
      <c r="F195" s="14">
        <v>4.2</v>
      </c>
      <c r="G195" s="14">
        <v>2.4</v>
      </c>
      <c r="H195" s="14">
        <v>3</v>
      </c>
      <c r="I195" s="14">
        <v>3</v>
      </c>
      <c r="J195" s="14">
        <v>1.75</v>
      </c>
      <c r="K195" s="14">
        <v>3</v>
      </c>
      <c r="L195" s="15">
        <v>0.1</v>
      </c>
      <c r="M195" s="15">
        <v>0</v>
      </c>
      <c r="N195" s="14">
        <v>24</v>
      </c>
      <c r="O195" s="14">
        <v>50</v>
      </c>
      <c r="P195" s="13">
        <v>45</v>
      </c>
      <c r="Q195" s="13">
        <v>85</v>
      </c>
      <c r="R195" s="13" t="s">
        <v>17</v>
      </c>
      <c r="S195" s="13">
        <v>120</v>
      </c>
      <c r="T195" s="856" t="s">
        <v>85</v>
      </c>
    </row>
    <row r="196" spans="3:20">
      <c r="C196" s="13">
        <f>IF(D196&lt;&gt;"",COUNTA($D$10:D196),"")</f>
        <v>160</v>
      </c>
      <c r="D196" s="14" t="s">
        <v>206</v>
      </c>
      <c r="E196" s="14">
        <v>3.1</v>
      </c>
      <c r="F196" s="14">
        <v>2.6</v>
      </c>
      <c r="G196" s="14">
        <v>2.4</v>
      </c>
      <c r="H196" s="14">
        <v>2</v>
      </c>
      <c r="I196" s="14">
        <v>1</v>
      </c>
      <c r="J196" s="14">
        <v>1.75</v>
      </c>
      <c r="K196" s="14">
        <v>3</v>
      </c>
      <c r="L196" s="15">
        <v>0.1</v>
      </c>
      <c r="M196" s="15">
        <v>0</v>
      </c>
      <c r="N196" s="14">
        <v>24</v>
      </c>
      <c r="O196" s="14">
        <v>50</v>
      </c>
      <c r="P196" s="13">
        <v>45</v>
      </c>
      <c r="Q196" s="13">
        <v>85</v>
      </c>
      <c r="R196" s="13" t="s">
        <v>17</v>
      </c>
      <c r="S196" s="13">
        <v>120</v>
      </c>
      <c r="T196" s="856" t="s">
        <v>85</v>
      </c>
    </row>
    <row r="197" spans="3:20">
      <c r="C197" s="13">
        <f>IF(D197&lt;&gt;"",COUNTA($D$10:D197),"")</f>
        <v>161</v>
      </c>
      <c r="D197" s="14" t="s">
        <v>207</v>
      </c>
      <c r="E197" s="14">
        <v>1.9</v>
      </c>
      <c r="F197" s="14">
        <v>2.4</v>
      </c>
      <c r="G197" s="14">
        <v>2.4</v>
      </c>
      <c r="H197" s="14">
        <v>3</v>
      </c>
      <c r="I197" s="14">
        <v>2</v>
      </c>
      <c r="J197" s="14">
        <v>1.75</v>
      </c>
      <c r="K197" s="14">
        <v>3</v>
      </c>
      <c r="L197" s="15">
        <v>0.1</v>
      </c>
      <c r="M197" s="15">
        <v>0</v>
      </c>
      <c r="N197" s="14">
        <v>24</v>
      </c>
      <c r="O197" s="14">
        <v>50</v>
      </c>
      <c r="P197" s="13">
        <v>45</v>
      </c>
      <c r="Q197" s="13">
        <v>85</v>
      </c>
      <c r="R197" s="13" t="s">
        <v>17</v>
      </c>
      <c r="S197" s="13">
        <v>120</v>
      </c>
      <c r="T197" s="856" t="s">
        <v>85</v>
      </c>
    </row>
    <row r="198" spans="3:20">
      <c r="C198" s="13">
        <f>IF(D198&lt;&gt;"",COUNTA($D$10:D198),"")</f>
        <v>162</v>
      </c>
      <c r="D198" s="14" t="s">
        <v>208</v>
      </c>
      <c r="E198" s="14">
        <v>3</v>
      </c>
      <c r="F198" s="14">
        <v>2.9</v>
      </c>
      <c r="G198" s="14">
        <v>2.4</v>
      </c>
      <c r="H198" s="14">
        <v>2</v>
      </c>
      <c r="I198" s="14">
        <v>1</v>
      </c>
      <c r="J198" s="14">
        <v>1.75</v>
      </c>
      <c r="K198" s="14">
        <v>3</v>
      </c>
      <c r="L198" s="15">
        <v>0.1</v>
      </c>
      <c r="M198" s="15">
        <v>0</v>
      </c>
      <c r="N198" s="14">
        <v>24</v>
      </c>
      <c r="O198" s="14">
        <v>50</v>
      </c>
      <c r="P198" s="13">
        <v>45</v>
      </c>
      <c r="Q198" s="13">
        <v>85</v>
      </c>
      <c r="R198" s="13" t="s">
        <v>17</v>
      </c>
      <c r="S198" s="13">
        <v>120</v>
      </c>
      <c r="T198" s="856" t="s">
        <v>85</v>
      </c>
    </row>
    <row r="199" spans="3:20">
      <c r="C199" s="13">
        <f>IF(D199&lt;&gt;"",COUNTA($D$10:D199),"")</f>
        <v>163</v>
      </c>
      <c r="D199" s="14" t="s">
        <v>209</v>
      </c>
      <c r="E199" s="14">
        <v>2.4</v>
      </c>
      <c r="F199" s="14">
        <v>2</v>
      </c>
      <c r="G199" s="14">
        <v>2.4</v>
      </c>
      <c r="H199" s="14">
        <v>2</v>
      </c>
      <c r="I199" s="14">
        <v>1</v>
      </c>
      <c r="J199" s="14">
        <v>1.75</v>
      </c>
      <c r="K199" s="14">
        <v>3</v>
      </c>
      <c r="L199" s="15">
        <v>0.1</v>
      </c>
      <c r="M199" s="15">
        <v>0</v>
      </c>
      <c r="N199" s="14">
        <v>24</v>
      </c>
      <c r="O199" s="14">
        <v>50</v>
      </c>
      <c r="P199" s="13">
        <v>45</v>
      </c>
      <c r="Q199" s="13">
        <v>85</v>
      </c>
      <c r="R199" s="13" t="s">
        <v>17</v>
      </c>
      <c r="S199" s="13">
        <v>120</v>
      </c>
      <c r="T199" s="856" t="s">
        <v>85</v>
      </c>
    </row>
    <row r="200" spans="3:20">
      <c r="C200" s="13">
        <f>IF(D200&lt;&gt;"",COUNTA($D$10:D200),"")</f>
        <v>164</v>
      </c>
      <c r="D200" s="14" t="s">
        <v>210</v>
      </c>
      <c r="E200" s="14">
        <v>2.1</v>
      </c>
      <c r="F200" s="14">
        <v>1.8</v>
      </c>
      <c r="G200" s="14">
        <v>2.4</v>
      </c>
      <c r="H200" s="14">
        <v>2</v>
      </c>
      <c r="I200" s="14">
        <v>1</v>
      </c>
      <c r="J200" s="14">
        <v>1.75</v>
      </c>
      <c r="K200" s="14">
        <v>3</v>
      </c>
      <c r="L200" s="15">
        <v>0.1</v>
      </c>
      <c r="M200" s="15">
        <v>0</v>
      </c>
      <c r="N200" s="14">
        <v>24</v>
      </c>
      <c r="O200" s="14">
        <v>50</v>
      </c>
      <c r="P200" s="13">
        <v>45</v>
      </c>
      <c r="Q200" s="13">
        <v>85</v>
      </c>
      <c r="R200" s="13" t="s">
        <v>17</v>
      </c>
      <c r="S200" s="13">
        <v>120</v>
      </c>
      <c r="T200" s="856" t="s">
        <v>85</v>
      </c>
    </row>
    <row r="201" spans="3:20">
      <c r="C201" s="13">
        <f>IF(D201&lt;&gt;"",COUNTA($D$10:D201),"")</f>
        <v>165</v>
      </c>
      <c r="D201" s="14" t="s">
        <v>211</v>
      </c>
      <c r="E201" s="14">
        <v>1.8</v>
      </c>
      <c r="F201" s="14">
        <v>1.9</v>
      </c>
      <c r="G201" s="14">
        <v>2.4</v>
      </c>
      <c r="H201" s="14">
        <v>2</v>
      </c>
      <c r="I201" s="14">
        <v>1</v>
      </c>
      <c r="J201" s="14">
        <v>1.75</v>
      </c>
      <c r="K201" s="14">
        <v>3</v>
      </c>
      <c r="L201" s="15">
        <v>0.1</v>
      </c>
      <c r="M201" s="15">
        <v>0</v>
      </c>
      <c r="N201" s="14">
        <v>24</v>
      </c>
      <c r="O201" s="14">
        <v>50</v>
      </c>
      <c r="P201" s="13">
        <v>45</v>
      </c>
      <c r="Q201" s="13">
        <v>85</v>
      </c>
      <c r="R201" s="13" t="s">
        <v>17</v>
      </c>
      <c r="S201" s="13">
        <v>120</v>
      </c>
      <c r="T201" s="856" t="s">
        <v>85</v>
      </c>
    </row>
    <row r="202" spans="3:20">
      <c r="C202" s="13">
        <f>IF(D202&lt;&gt;"",COUNTA($D$10:D202),"")</f>
        <v>166</v>
      </c>
      <c r="D202" s="14" t="s">
        <v>212</v>
      </c>
      <c r="E202" s="14">
        <v>1.9</v>
      </c>
      <c r="F202" s="14">
        <v>2</v>
      </c>
      <c r="G202" s="14">
        <v>2.4</v>
      </c>
      <c r="H202" s="14">
        <v>2</v>
      </c>
      <c r="I202" s="14">
        <v>1</v>
      </c>
      <c r="J202" s="14">
        <v>1.75</v>
      </c>
      <c r="K202" s="14">
        <v>3</v>
      </c>
      <c r="L202" s="15">
        <v>0.1</v>
      </c>
      <c r="M202" s="15">
        <v>0</v>
      </c>
      <c r="N202" s="14">
        <v>24</v>
      </c>
      <c r="O202" s="14">
        <v>50</v>
      </c>
      <c r="P202" s="13">
        <v>45</v>
      </c>
      <c r="Q202" s="13">
        <v>85</v>
      </c>
      <c r="R202" s="13" t="s">
        <v>17</v>
      </c>
      <c r="S202" s="13">
        <v>120</v>
      </c>
      <c r="T202" s="856" t="s">
        <v>85</v>
      </c>
    </row>
    <row r="203" spans="3:20">
      <c r="C203" s="13">
        <f>IF(D203&lt;&gt;"",COUNTA($D$10:D203),"")</f>
        <v>167</v>
      </c>
      <c r="D203" s="14" t="s">
        <v>213</v>
      </c>
      <c r="E203" s="14">
        <v>2.2999999999999998</v>
      </c>
      <c r="F203" s="14">
        <v>2.2000000000000002</v>
      </c>
      <c r="G203" s="14">
        <v>2.4</v>
      </c>
      <c r="H203" s="14">
        <v>2</v>
      </c>
      <c r="I203" s="14">
        <v>1</v>
      </c>
      <c r="J203" s="14">
        <v>1.75</v>
      </c>
      <c r="K203" s="14">
        <v>3</v>
      </c>
      <c r="L203" s="15">
        <v>0.1</v>
      </c>
      <c r="M203" s="15">
        <v>0</v>
      </c>
      <c r="N203" s="14">
        <v>24</v>
      </c>
      <c r="O203" s="14">
        <v>50</v>
      </c>
      <c r="P203" s="13">
        <v>45</v>
      </c>
      <c r="Q203" s="13">
        <v>85</v>
      </c>
      <c r="R203" s="13" t="s">
        <v>17</v>
      </c>
      <c r="S203" s="13">
        <v>120</v>
      </c>
      <c r="T203" s="856" t="s">
        <v>85</v>
      </c>
    </row>
    <row r="204" spans="3:20">
      <c r="C204" s="13">
        <f>IF(D204&lt;&gt;"",COUNTA($D$10:D204),"")</f>
        <v>168</v>
      </c>
      <c r="D204" s="14" t="s">
        <v>214</v>
      </c>
      <c r="E204" s="14">
        <v>2.2000000000000002</v>
      </c>
      <c r="F204" s="14">
        <v>2.8</v>
      </c>
      <c r="G204" s="14">
        <v>2.4</v>
      </c>
      <c r="H204" s="14">
        <v>2</v>
      </c>
      <c r="I204" s="14">
        <v>1</v>
      </c>
      <c r="J204" s="14">
        <v>1.75</v>
      </c>
      <c r="K204" s="14">
        <v>3</v>
      </c>
      <c r="L204" s="15">
        <v>0.1</v>
      </c>
      <c r="M204" s="15">
        <v>0</v>
      </c>
      <c r="N204" s="14">
        <v>24</v>
      </c>
      <c r="O204" s="14">
        <v>50</v>
      </c>
      <c r="P204" s="13">
        <v>45</v>
      </c>
      <c r="Q204" s="13">
        <v>85</v>
      </c>
      <c r="R204" s="13" t="s">
        <v>17</v>
      </c>
      <c r="S204" s="13">
        <v>120</v>
      </c>
      <c r="T204" s="856" t="s">
        <v>85</v>
      </c>
    </row>
    <row r="205" spans="3:20">
      <c r="C205" s="13">
        <f>IF(D205&lt;&gt;"",COUNTA($D$10:D205),"")</f>
        <v>169</v>
      </c>
      <c r="D205" s="14" t="s">
        <v>215</v>
      </c>
      <c r="E205" s="14">
        <v>2.8</v>
      </c>
      <c r="F205" s="14">
        <v>2.4</v>
      </c>
      <c r="G205" s="14">
        <v>2.4</v>
      </c>
      <c r="H205" s="14">
        <v>2</v>
      </c>
      <c r="I205" s="14">
        <v>1</v>
      </c>
      <c r="J205" s="14">
        <v>1.75</v>
      </c>
      <c r="K205" s="14">
        <v>3</v>
      </c>
      <c r="L205" s="15">
        <v>0.1</v>
      </c>
      <c r="M205" s="15">
        <v>0</v>
      </c>
      <c r="N205" s="14">
        <v>24</v>
      </c>
      <c r="O205" s="14">
        <v>50</v>
      </c>
      <c r="P205" s="13">
        <v>45</v>
      </c>
      <c r="Q205" s="13">
        <v>85</v>
      </c>
      <c r="R205" s="13" t="s">
        <v>17</v>
      </c>
      <c r="S205" s="13">
        <v>120</v>
      </c>
      <c r="T205" s="856" t="s">
        <v>85</v>
      </c>
    </row>
    <row r="206" spans="3:20">
      <c r="C206" s="13" t="str">
        <f>IF(D206&lt;&gt;"",COUNTA($D$10:D206),"")</f>
        <v/>
      </c>
      <c r="D206" s="19"/>
      <c r="E206" s="19"/>
      <c r="F206" s="19"/>
      <c r="G206" s="19"/>
      <c r="H206" s="19"/>
      <c r="I206" s="19"/>
      <c r="J206" s="19"/>
      <c r="K206" s="19"/>
      <c r="L206" s="19"/>
      <c r="M206" s="19"/>
      <c r="N206" s="19"/>
      <c r="O206" s="19"/>
      <c r="P206" s="19"/>
      <c r="Q206" s="19"/>
      <c r="R206" s="19"/>
      <c r="S206" s="19"/>
      <c r="T206" s="19"/>
    </row>
    <row r="207" spans="3:20">
      <c r="C207" s="13" t="str">
        <f>IF(D207&lt;&gt;"",COUNTA($D$10:D207),"")</f>
        <v/>
      </c>
    </row>
    <row r="208" spans="3:20" ht="26.1">
      <c r="C208" s="8" t="str">
        <f>"Zoning Area AHU - " &amp; INT((ROW()-8)/20)+1 &amp; "  " &amp; IF(ISNUMBER(N210),"Air-Conditioning System " &amp; IF(AH210="D","(DX)",IF(AH210="C","(Chilled Water)","")),IF(AND(N210="Amb",ISTEXT(N210)),"Ventilation System","Refer"))</f>
        <v xml:space="preserve">Zoning Area AHU - 11  Air-Conditioning System </v>
      </c>
      <c r="D208" s="8"/>
      <c r="E208" s="8"/>
      <c r="F208" s="8"/>
      <c r="G208" s="8"/>
      <c r="H208" s="8"/>
      <c r="I208" s="8"/>
      <c r="J208" s="8"/>
      <c r="K208" s="8"/>
      <c r="L208" s="8"/>
      <c r="M208" s="8"/>
      <c r="N208" s="8"/>
      <c r="O208" s="8"/>
      <c r="P208" s="8"/>
      <c r="Q208" s="8"/>
      <c r="R208" s="8"/>
      <c r="S208" s="8"/>
      <c r="T208" s="8"/>
    </row>
    <row r="209" spans="3:20">
      <c r="C209" s="13">
        <f>IF(D209&lt;&gt;"",COUNTA($D$10:D209),"")</f>
        <v>170</v>
      </c>
      <c r="D209" s="5" t="s">
        <v>165</v>
      </c>
      <c r="E209" s="5" t="s">
        <v>166</v>
      </c>
      <c r="F209" s="5" t="s">
        <v>167</v>
      </c>
      <c r="G209" s="5" t="s">
        <v>168</v>
      </c>
      <c r="H209" s="5" t="s">
        <v>169</v>
      </c>
      <c r="I209" s="5" t="s">
        <v>170</v>
      </c>
      <c r="J209" s="5" t="s">
        <v>171</v>
      </c>
      <c r="K209" s="5" t="s">
        <v>172</v>
      </c>
      <c r="L209" s="5" t="s">
        <v>173</v>
      </c>
      <c r="M209" s="5" t="s">
        <v>174</v>
      </c>
      <c r="N209" s="5" t="s">
        <v>175</v>
      </c>
      <c r="O209" s="5" t="s">
        <v>176</v>
      </c>
      <c r="P209" s="5" t="s">
        <v>177</v>
      </c>
      <c r="Q209" s="5" t="s">
        <v>178</v>
      </c>
      <c r="R209" s="5" t="s">
        <v>199</v>
      </c>
      <c r="S209" s="5" t="s">
        <v>180</v>
      </c>
      <c r="T209" s="5" t="s">
        <v>180</v>
      </c>
    </row>
    <row r="210" spans="3:20">
      <c r="C210" s="13">
        <f>IF(D210&lt;&gt;"",COUNTA($D$10:D210),"")</f>
        <v>171</v>
      </c>
      <c r="D210" s="14" t="s">
        <v>200</v>
      </c>
      <c r="E210" s="14">
        <v>3</v>
      </c>
      <c r="F210" s="14">
        <v>3</v>
      </c>
      <c r="G210" s="14">
        <v>2.4</v>
      </c>
      <c r="H210" s="14">
        <v>1</v>
      </c>
      <c r="I210" s="14">
        <v>2</v>
      </c>
      <c r="J210" s="14">
        <v>1.75</v>
      </c>
      <c r="K210" s="14">
        <v>3</v>
      </c>
      <c r="L210" s="15">
        <v>0.1</v>
      </c>
      <c r="M210" s="15">
        <v>0</v>
      </c>
      <c r="N210" s="14">
        <v>24</v>
      </c>
      <c r="O210" s="14">
        <v>50</v>
      </c>
      <c r="P210" s="13">
        <v>45</v>
      </c>
      <c r="Q210" s="13">
        <v>85</v>
      </c>
      <c r="R210" s="13" t="s">
        <v>17</v>
      </c>
      <c r="S210" s="13">
        <v>120</v>
      </c>
      <c r="T210" s="856" t="s">
        <v>85</v>
      </c>
    </row>
    <row r="211" spans="3:20">
      <c r="C211" s="13">
        <f>IF(D211&lt;&gt;"",COUNTA($D$10:D211),"")</f>
        <v>172</v>
      </c>
      <c r="D211" s="14" t="s">
        <v>201</v>
      </c>
      <c r="E211" s="14">
        <v>1.8</v>
      </c>
      <c r="F211" s="14">
        <v>2.2000000000000002</v>
      </c>
      <c r="G211" s="14">
        <v>2.4</v>
      </c>
      <c r="H211" s="14">
        <v>2</v>
      </c>
      <c r="I211" s="14">
        <v>1</v>
      </c>
      <c r="J211" s="14">
        <v>1.75</v>
      </c>
      <c r="K211" s="14">
        <v>3</v>
      </c>
      <c r="L211" s="15">
        <v>0.1</v>
      </c>
      <c r="M211" s="15">
        <v>0</v>
      </c>
      <c r="N211" s="14">
        <v>24</v>
      </c>
      <c r="O211" s="14">
        <v>50</v>
      </c>
      <c r="P211" s="13">
        <v>45</v>
      </c>
      <c r="Q211" s="13">
        <v>85</v>
      </c>
      <c r="R211" s="13" t="s">
        <v>17</v>
      </c>
      <c r="S211" s="13">
        <v>120</v>
      </c>
      <c r="T211" s="856" t="s">
        <v>85</v>
      </c>
    </row>
    <row r="212" spans="3:20">
      <c r="C212" s="13">
        <f>IF(D212&lt;&gt;"",COUNTA($D$10:D212),"")</f>
        <v>173</v>
      </c>
      <c r="D212" s="14" t="s">
        <v>202</v>
      </c>
      <c r="E212" s="14">
        <v>1.5</v>
      </c>
      <c r="F212" s="14">
        <v>2.8</v>
      </c>
      <c r="G212" s="14">
        <v>2.4</v>
      </c>
      <c r="H212" s="14">
        <v>2</v>
      </c>
      <c r="I212" s="14">
        <v>3</v>
      </c>
      <c r="J212" s="14">
        <v>1.75</v>
      </c>
      <c r="K212" s="14">
        <v>3</v>
      </c>
      <c r="L212" s="15">
        <v>0.1</v>
      </c>
      <c r="M212" s="15">
        <v>0</v>
      </c>
      <c r="N212" s="14">
        <v>24</v>
      </c>
      <c r="O212" s="14">
        <v>50</v>
      </c>
      <c r="P212" s="13">
        <v>45</v>
      </c>
      <c r="Q212" s="13">
        <v>85</v>
      </c>
      <c r="R212" s="13" t="s">
        <v>17</v>
      </c>
      <c r="S212" s="13">
        <v>120</v>
      </c>
      <c r="T212" s="856" t="s">
        <v>85</v>
      </c>
    </row>
    <row r="213" spans="3:20">
      <c r="C213" s="13">
        <f>IF(D213&lt;&gt;"",COUNTA($D$10:D213),"")</f>
        <v>174</v>
      </c>
      <c r="D213" s="14" t="s">
        <v>203</v>
      </c>
      <c r="E213" s="14">
        <v>2.1</v>
      </c>
      <c r="F213" s="14">
        <v>3.5</v>
      </c>
      <c r="G213" s="14">
        <v>2.4</v>
      </c>
      <c r="H213" s="14">
        <v>0</v>
      </c>
      <c r="I213" s="14">
        <v>1</v>
      </c>
      <c r="J213" s="14">
        <v>1.75</v>
      </c>
      <c r="K213" s="14">
        <v>3</v>
      </c>
      <c r="L213" s="15">
        <v>0.1</v>
      </c>
      <c r="M213" s="15">
        <v>0</v>
      </c>
      <c r="N213" s="14">
        <v>24</v>
      </c>
      <c r="O213" s="14">
        <v>50</v>
      </c>
      <c r="P213" s="13">
        <v>45</v>
      </c>
      <c r="Q213" s="13">
        <v>85</v>
      </c>
      <c r="R213" s="13" t="s">
        <v>17</v>
      </c>
      <c r="S213" s="13">
        <v>120</v>
      </c>
      <c r="T213" s="856" t="s">
        <v>85</v>
      </c>
    </row>
    <row r="214" spans="3:20">
      <c r="C214" s="13">
        <f>IF(D214&lt;&gt;"",COUNTA($D$10:D214),"")</f>
        <v>175</v>
      </c>
      <c r="D214" s="14" t="s">
        <v>204</v>
      </c>
      <c r="E214" s="14">
        <v>2.7</v>
      </c>
      <c r="F214" s="14">
        <v>4</v>
      </c>
      <c r="G214" s="14">
        <v>2.4</v>
      </c>
      <c r="H214" s="14">
        <v>2</v>
      </c>
      <c r="I214" s="14">
        <v>1</v>
      </c>
      <c r="J214" s="14">
        <v>1.75</v>
      </c>
      <c r="K214" s="14">
        <v>3</v>
      </c>
      <c r="L214" s="15">
        <v>0.1</v>
      </c>
      <c r="M214" s="15">
        <v>0</v>
      </c>
      <c r="N214" s="14">
        <v>24</v>
      </c>
      <c r="O214" s="14">
        <v>50</v>
      </c>
      <c r="P214" s="13">
        <v>45</v>
      </c>
      <c r="Q214" s="13">
        <v>85</v>
      </c>
      <c r="R214" s="13" t="s">
        <v>17</v>
      </c>
      <c r="S214" s="13">
        <v>120</v>
      </c>
      <c r="T214" s="856" t="s">
        <v>85</v>
      </c>
    </row>
    <row r="215" spans="3:20">
      <c r="C215" s="13">
        <f>IF(D215&lt;&gt;"",COUNTA($D$10:D215),"")</f>
        <v>176</v>
      </c>
      <c r="D215" s="14" t="s">
        <v>205</v>
      </c>
      <c r="E215" s="14">
        <v>3.8</v>
      </c>
      <c r="F215" s="14">
        <v>4.2</v>
      </c>
      <c r="G215" s="14">
        <v>2.4</v>
      </c>
      <c r="H215" s="14">
        <v>3</v>
      </c>
      <c r="I215" s="14">
        <v>3</v>
      </c>
      <c r="J215" s="14">
        <v>1.75</v>
      </c>
      <c r="K215" s="14">
        <v>3</v>
      </c>
      <c r="L215" s="15">
        <v>0.1</v>
      </c>
      <c r="M215" s="15">
        <v>0</v>
      </c>
      <c r="N215" s="14">
        <v>24</v>
      </c>
      <c r="O215" s="14">
        <v>50</v>
      </c>
      <c r="P215" s="13">
        <v>45</v>
      </c>
      <c r="Q215" s="13">
        <v>85</v>
      </c>
      <c r="R215" s="13" t="s">
        <v>17</v>
      </c>
      <c r="S215" s="13">
        <v>120</v>
      </c>
      <c r="T215" s="856" t="s">
        <v>85</v>
      </c>
    </row>
    <row r="216" spans="3:20">
      <c r="C216" s="13">
        <f>IF(D216&lt;&gt;"",COUNTA($D$10:D216),"")</f>
        <v>177</v>
      </c>
      <c r="D216" s="14" t="s">
        <v>206</v>
      </c>
      <c r="E216" s="14">
        <v>3.1</v>
      </c>
      <c r="F216" s="14">
        <v>2.6</v>
      </c>
      <c r="G216" s="14">
        <v>2.4</v>
      </c>
      <c r="H216" s="14">
        <v>2</v>
      </c>
      <c r="I216" s="14">
        <v>1</v>
      </c>
      <c r="J216" s="14">
        <v>1.75</v>
      </c>
      <c r="K216" s="14">
        <v>3</v>
      </c>
      <c r="L216" s="15">
        <v>0.1</v>
      </c>
      <c r="M216" s="15">
        <v>0</v>
      </c>
      <c r="N216" s="14">
        <v>24</v>
      </c>
      <c r="O216" s="14">
        <v>50</v>
      </c>
      <c r="P216" s="13">
        <v>45</v>
      </c>
      <c r="Q216" s="13">
        <v>85</v>
      </c>
      <c r="R216" s="13" t="s">
        <v>17</v>
      </c>
      <c r="S216" s="13">
        <v>120</v>
      </c>
      <c r="T216" s="856" t="s">
        <v>85</v>
      </c>
    </row>
    <row r="217" spans="3:20">
      <c r="C217" s="13">
        <f>IF(D217&lt;&gt;"",COUNTA($D$10:D217),"")</f>
        <v>178</v>
      </c>
      <c r="D217" s="14" t="s">
        <v>207</v>
      </c>
      <c r="E217" s="14">
        <v>1.9</v>
      </c>
      <c r="F217" s="14">
        <v>2.4</v>
      </c>
      <c r="G217" s="14">
        <v>2.4</v>
      </c>
      <c r="H217" s="14">
        <v>3</v>
      </c>
      <c r="I217" s="14">
        <v>2</v>
      </c>
      <c r="J217" s="14">
        <v>1.75</v>
      </c>
      <c r="K217" s="14">
        <v>3</v>
      </c>
      <c r="L217" s="15">
        <v>0.1</v>
      </c>
      <c r="M217" s="15">
        <v>0</v>
      </c>
      <c r="N217" s="14">
        <v>24</v>
      </c>
      <c r="O217" s="14">
        <v>50</v>
      </c>
      <c r="P217" s="13">
        <v>45</v>
      </c>
      <c r="Q217" s="13">
        <v>85</v>
      </c>
      <c r="R217" s="13" t="s">
        <v>17</v>
      </c>
      <c r="S217" s="13">
        <v>120</v>
      </c>
      <c r="T217" s="856" t="s">
        <v>85</v>
      </c>
    </row>
    <row r="218" spans="3:20">
      <c r="C218" s="13">
        <f>IF(D218&lt;&gt;"",COUNTA($D$10:D218),"")</f>
        <v>179</v>
      </c>
      <c r="D218" s="14" t="s">
        <v>208</v>
      </c>
      <c r="E218" s="14">
        <v>3</v>
      </c>
      <c r="F218" s="14">
        <v>2.9</v>
      </c>
      <c r="G218" s="14">
        <v>2.4</v>
      </c>
      <c r="H218" s="14">
        <v>2</v>
      </c>
      <c r="I218" s="14">
        <v>1</v>
      </c>
      <c r="J218" s="14">
        <v>1.75</v>
      </c>
      <c r="K218" s="14">
        <v>3</v>
      </c>
      <c r="L218" s="15">
        <v>0.1</v>
      </c>
      <c r="M218" s="15">
        <v>0</v>
      </c>
      <c r="N218" s="14">
        <v>24</v>
      </c>
      <c r="O218" s="14">
        <v>50</v>
      </c>
      <c r="P218" s="13">
        <v>45</v>
      </c>
      <c r="Q218" s="13">
        <v>85</v>
      </c>
      <c r="R218" s="13" t="s">
        <v>17</v>
      </c>
      <c r="S218" s="13">
        <v>120</v>
      </c>
      <c r="T218" s="856" t="s">
        <v>85</v>
      </c>
    </row>
    <row r="219" spans="3:20">
      <c r="C219" s="13">
        <f>IF(D219&lt;&gt;"",COUNTA($D$10:D219),"")</f>
        <v>180</v>
      </c>
      <c r="D219" s="14" t="s">
        <v>209</v>
      </c>
      <c r="E219" s="14">
        <v>2.4</v>
      </c>
      <c r="F219" s="14">
        <v>2</v>
      </c>
      <c r="G219" s="14">
        <v>2.4</v>
      </c>
      <c r="H219" s="14">
        <v>2</v>
      </c>
      <c r="I219" s="14">
        <v>1</v>
      </c>
      <c r="J219" s="14">
        <v>1.75</v>
      </c>
      <c r="K219" s="14">
        <v>3</v>
      </c>
      <c r="L219" s="15">
        <v>0.1</v>
      </c>
      <c r="M219" s="15">
        <v>0</v>
      </c>
      <c r="N219" s="14">
        <v>24</v>
      </c>
      <c r="O219" s="14">
        <v>50</v>
      </c>
      <c r="P219" s="13">
        <v>45</v>
      </c>
      <c r="Q219" s="13">
        <v>85</v>
      </c>
      <c r="R219" s="13" t="s">
        <v>17</v>
      </c>
      <c r="S219" s="13">
        <v>120</v>
      </c>
      <c r="T219" s="856" t="s">
        <v>85</v>
      </c>
    </row>
    <row r="220" spans="3:20">
      <c r="C220" s="13">
        <f>IF(D220&lt;&gt;"",COUNTA($D$10:D220),"")</f>
        <v>181</v>
      </c>
      <c r="D220" s="14" t="s">
        <v>210</v>
      </c>
      <c r="E220" s="14">
        <v>2.1</v>
      </c>
      <c r="F220" s="14">
        <v>1.8</v>
      </c>
      <c r="G220" s="14">
        <v>2.4</v>
      </c>
      <c r="H220" s="14">
        <v>2</v>
      </c>
      <c r="I220" s="14">
        <v>1</v>
      </c>
      <c r="J220" s="14">
        <v>1.75</v>
      </c>
      <c r="K220" s="14">
        <v>3</v>
      </c>
      <c r="L220" s="15">
        <v>0.1</v>
      </c>
      <c r="M220" s="15">
        <v>0</v>
      </c>
      <c r="N220" s="14">
        <v>24</v>
      </c>
      <c r="O220" s="14">
        <v>50</v>
      </c>
      <c r="P220" s="13">
        <v>45</v>
      </c>
      <c r="Q220" s="13">
        <v>85</v>
      </c>
      <c r="R220" s="13" t="s">
        <v>17</v>
      </c>
      <c r="S220" s="13">
        <v>120</v>
      </c>
      <c r="T220" s="856" t="s">
        <v>85</v>
      </c>
    </row>
    <row r="221" spans="3:20">
      <c r="C221" s="13">
        <f>IF(D221&lt;&gt;"",COUNTA($D$10:D221),"")</f>
        <v>182</v>
      </c>
      <c r="D221" s="14" t="s">
        <v>211</v>
      </c>
      <c r="E221" s="14">
        <v>1.8</v>
      </c>
      <c r="F221" s="14">
        <v>1.9</v>
      </c>
      <c r="G221" s="14">
        <v>2.4</v>
      </c>
      <c r="H221" s="14">
        <v>2</v>
      </c>
      <c r="I221" s="14">
        <v>1</v>
      </c>
      <c r="J221" s="14">
        <v>1.75</v>
      </c>
      <c r="K221" s="14">
        <v>3</v>
      </c>
      <c r="L221" s="15">
        <v>0.1</v>
      </c>
      <c r="M221" s="15">
        <v>0</v>
      </c>
      <c r="N221" s="14">
        <v>24</v>
      </c>
      <c r="O221" s="14">
        <v>50</v>
      </c>
      <c r="P221" s="13">
        <v>45</v>
      </c>
      <c r="Q221" s="13">
        <v>85</v>
      </c>
      <c r="R221" s="13" t="s">
        <v>17</v>
      </c>
      <c r="S221" s="13">
        <v>120</v>
      </c>
      <c r="T221" s="856" t="s">
        <v>85</v>
      </c>
    </row>
    <row r="222" spans="3:20">
      <c r="C222" s="13">
        <f>IF(D222&lt;&gt;"",COUNTA($D$10:D222),"")</f>
        <v>183</v>
      </c>
      <c r="D222" s="14" t="s">
        <v>212</v>
      </c>
      <c r="E222" s="14">
        <v>1.9</v>
      </c>
      <c r="F222" s="14">
        <v>2</v>
      </c>
      <c r="G222" s="14">
        <v>2.4</v>
      </c>
      <c r="H222" s="14">
        <v>2</v>
      </c>
      <c r="I222" s="14">
        <v>1</v>
      </c>
      <c r="J222" s="14">
        <v>1.75</v>
      </c>
      <c r="K222" s="14">
        <v>3</v>
      </c>
      <c r="L222" s="15">
        <v>0.1</v>
      </c>
      <c r="M222" s="15">
        <v>0</v>
      </c>
      <c r="N222" s="14">
        <v>24</v>
      </c>
      <c r="O222" s="14">
        <v>50</v>
      </c>
      <c r="P222" s="13">
        <v>45</v>
      </c>
      <c r="Q222" s="13">
        <v>85</v>
      </c>
      <c r="R222" s="13" t="s">
        <v>17</v>
      </c>
      <c r="S222" s="13">
        <v>120</v>
      </c>
      <c r="T222" s="856" t="s">
        <v>85</v>
      </c>
    </row>
    <row r="223" spans="3:20">
      <c r="C223" s="13">
        <f>IF(D223&lt;&gt;"",COUNTA($D$10:D223),"")</f>
        <v>184</v>
      </c>
      <c r="D223" s="14" t="s">
        <v>213</v>
      </c>
      <c r="E223" s="14">
        <v>2.2999999999999998</v>
      </c>
      <c r="F223" s="14">
        <v>2.2000000000000002</v>
      </c>
      <c r="G223" s="14">
        <v>2.4</v>
      </c>
      <c r="H223" s="14">
        <v>2</v>
      </c>
      <c r="I223" s="14">
        <v>1</v>
      </c>
      <c r="J223" s="14">
        <v>1.75</v>
      </c>
      <c r="K223" s="14">
        <v>3</v>
      </c>
      <c r="L223" s="15">
        <v>0.1</v>
      </c>
      <c r="M223" s="15">
        <v>0</v>
      </c>
      <c r="N223" s="14">
        <v>24</v>
      </c>
      <c r="O223" s="14">
        <v>50</v>
      </c>
      <c r="P223" s="13">
        <v>45</v>
      </c>
      <c r="Q223" s="13">
        <v>85</v>
      </c>
      <c r="R223" s="13" t="s">
        <v>17</v>
      </c>
      <c r="S223" s="13">
        <v>120</v>
      </c>
      <c r="T223" s="856" t="s">
        <v>85</v>
      </c>
    </row>
    <row r="224" spans="3:20">
      <c r="C224" s="13">
        <f>IF(D224&lt;&gt;"",COUNTA($D$10:D224),"")</f>
        <v>185</v>
      </c>
      <c r="D224" s="14" t="s">
        <v>214</v>
      </c>
      <c r="E224" s="14">
        <v>2.2000000000000002</v>
      </c>
      <c r="F224" s="14">
        <v>2.8</v>
      </c>
      <c r="G224" s="14">
        <v>2.4</v>
      </c>
      <c r="H224" s="14">
        <v>2</v>
      </c>
      <c r="I224" s="14">
        <v>1</v>
      </c>
      <c r="J224" s="14">
        <v>1.75</v>
      </c>
      <c r="K224" s="14">
        <v>3</v>
      </c>
      <c r="L224" s="15">
        <v>0.1</v>
      </c>
      <c r="M224" s="15">
        <v>0</v>
      </c>
      <c r="N224" s="14">
        <v>24</v>
      </c>
      <c r="O224" s="14">
        <v>50</v>
      </c>
      <c r="P224" s="13">
        <v>45</v>
      </c>
      <c r="Q224" s="13">
        <v>85</v>
      </c>
      <c r="R224" s="13" t="s">
        <v>17</v>
      </c>
      <c r="S224" s="13">
        <v>120</v>
      </c>
      <c r="T224" s="856" t="s">
        <v>85</v>
      </c>
    </row>
    <row r="225" spans="3:20">
      <c r="C225" s="13">
        <f>IF(D225&lt;&gt;"",COUNTA($D$10:D225),"")</f>
        <v>186</v>
      </c>
      <c r="D225" s="14" t="s">
        <v>215</v>
      </c>
      <c r="E225" s="14">
        <v>2.8</v>
      </c>
      <c r="F225" s="14">
        <v>2.4</v>
      </c>
      <c r="G225" s="14">
        <v>2.4</v>
      </c>
      <c r="H225" s="14">
        <v>2</v>
      </c>
      <c r="I225" s="14">
        <v>1</v>
      </c>
      <c r="J225" s="14">
        <v>1.75</v>
      </c>
      <c r="K225" s="14">
        <v>3</v>
      </c>
      <c r="L225" s="15">
        <v>0.1</v>
      </c>
      <c r="M225" s="15">
        <v>0</v>
      </c>
      <c r="N225" s="14">
        <v>24</v>
      </c>
      <c r="O225" s="14">
        <v>50</v>
      </c>
      <c r="P225" s="13">
        <v>45</v>
      </c>
      <c r="Q225" s="13">
        <v>85</v>
      </c>
      <c r="R225" s="13" t="s">
        <v>17</v>
      </c>
      <c r="S225" s="13">
        <v>120</v>
      </c>
      <c r="T225" s="856" t="s">
        <v>85</v>
      </c>
    </row>
    <row r="226" spans="3:20">
      <c r="C226" s="19"/>
      <c r="D226" s="19"/>
      <c r="E226" s="19"/>
      <c r="F226" s="19"/>
      <c r="G226" s="19"/>
      <c r="H226" s="19"/>
      <c r="I226" s="19"/>
      <c r="J226" s="19"/>
      <c r="K226" s="19"/>
      <c r="L226" s="19"/>
      <c r="M226" s="19"/>
      <c r="N226" s="19"/>
      <c r="O226" s="19"/>
      <c r="P226" s="19"/>
      <c r="Q226" s="19"/>
      <c r="R226" s="19"/>
      <c r="S226" s="19"/>
      <c r="T226" s="19"/>
    </row>
    <row r="228" spans="3:20" ht="26.1">
      <c r="C228" s="8" t="str">
        <f>"Zoning Area AHU - " &amp; INT((ROW()-8)/20)+1 &amp; "  " &amp; IF(ISNUMBER(N230),"Air-Conditioning System " &amp; IF(AH230="D","(DX)",IF(AH230="C","(Chilled Water)","")),IF(AND(N230="Amb",ISTEXT(N230)),"Ventilation System","Refer"))</f>
        <v xml:space="preserve">Zoning Area AHU - 12  Air-Conditioning System </v>
      </c>
      <c r="D228" s="8"/>
      <c r="E228" s="8"/>
      <c r="F228" s="8"/>
      <c r="G228" s="8"/>
      <c r="H228" s="8"/>
      <c r="I228" s="8"/>
      <c r="J228" s="8"/>
      <c r="K228" s="8"/>
      <c r="L228" s="8"/>
      <c r="M228" s="8"/>
      <c r="N228" s="8"/>
      <c r="O228" s="8"/>
      <c r="P228" s="8"/>
      <c r="Q228" s="8"/>
      <c r="R228" s="8"/>
      <c r="S228" s="8"/>
      <c r="T228" s="8"/>
    </row>
    <row r="229" spans="3:20">
      <c r="C229" s="13">
        <f>IF(D229&lt;&gt;"",COUNTA($D$10:D229),"")</f>
        <v>187</v>
      </c>
      <c r="D229" s="5" t="s">
        <v>165</v>
      </c>
      <c r="E229" s="5" t="s">
        <v>166</v>
      </c>
      <c r="F229" s="5" t="s">
        <v>167</v>
      </c>
      <c r="G229" s="5" t="s">
        <v>168</v>
      </c>
      <c r="H229" s="5" t="s">
        <v>169</v>
      </c>
      <c r="I229" s="5" t="s">
        <v>170</v>
      </c>
      <c r="J229" s="5" t="s">
        <v>171</v>
      </c>
      <c r="K229" s="5" t="s">
        <v>172</v>
      </c>
      <c r="L229" s="5" t="s">
        <v>173</v>
      </c>
      <c r="M229" s="5" t="s">
        <v>174</v>
      </c>
      <c r="N229" s="5" t="s">
        <v>175</v>
      </c>
      <c r="O229" s="5" t="s">
        <v>176</v>
      </c>
      <c r="P229" s="5" t="s">
        <v>177</v>
      </c>
      <c r="Q229" s="5" t="s">
        <v>178</v>
      </c>
      <c r="R229" s="5" t="s">
        <v>199</v>
      </c>
      <c r="S229" s="5" t="s">
        <v>180</v>
      </c>
      <c r="T229" s="5" t="s">
        <v>180</v>
      </c>
    </row>
    <row r="230" spans="3:20">
      <c r="C230" s="13">
        <f>IF(D230&lt;&gt;"",COUNTA($D$10:D230),"")</f>
        <v>188</v>
      </c>
      <c r="D230" s="14" t="s">
        <v>200</v>
      </c>
      <c r="E230" s="14">
        <v>3</v>
      </c>
      <c r="F230" s="14">
        <v>3</v>
      </c>
      <c r="G230" s="14">
        <v>2.4</v>
      </c>
      <c r="H230" s="14">
        <v>1</v>
      </c>
      <c r="I230" s="14">
        <v>2</v>
      </c>
      <c r="J230" s="14">
        <v>1.75</v>
      </c>
      <c r="K230" s="14">
        <v>3</v>
      </c>
      <c r="L230" s="15">
        <v>0.1</v>
      </c>
      <c r="M230" s="15">
        <v>0</v>
      </c>
      <c r="N230" s="14">
        <v>24</v>
      </c>
      <c r="O230" s="14">
        <v>50</v>
      </c>
      <c r="P230" s="13">
        <v>45</v>
      </c>
      <c r="Q230" s="13">
        <v>85</v>
      </c>
      <c r="R230" s="13" t="s">
        <v>17</v>
      </c>
      <c r="S230" s="13">
        <v>120</v>
      </c>
      <c r="T230" s="856" t="s">
        <v>85</v>
      </c>
    </row>
    <row r="231" spans="3:20">
      <c r="C231" s="13">
        <f>IF(D231&lt;&gt;"",COUNTA($D$10:D231),"")</f>
        <v>189</v>
      </c>
      <c r="D231" s="14" t="s">
        <v>201</v>
      </c>
      <c r="E231" s="14">
        <v>1.8</v>
      </c>
      <c r="F231" s="14">
        <v>2.2000000000000002</v>
      </c>
      <c r="G231" s="14">
        <v>2.4</v>
      </c>
      <c r="H231" s="14">
        <v>2</v>
      </c>
      <c r="I231" s="14">
        <v>1</v>
      </c>
      <c r="J231" s="14">
        <v>1.75</v>
      </c>
      <c r="K231" s="14">
        <v>3</v>
      </c>
      <c r="L231" s="15">
        <v>0.1</v>
      </c>
      <c r="M231" s="15">
        <v>0</v>
      </c>
      <c r="N231" s="14">
        <v>24</v>
      </c>
      <c r="O231" s="14">
        <v>50</v>
      </c>
      <c r="P231" s="13">
        <v>45</v>
      </c>
      <c r="Q231" s="13">
        <v>85</v>
      </c>
      <c r="R231" s="13" t="s">
        <v>17</v>
      </c>
      <c r="S231" s="13">
        <v>120</v>
      </c>
      <c r="T231" s="856" t="s">
        <v>85</v>
      </c>
    </row>
    <row r="232" spans="3:20">
      <c r="C232" s="13">
        <f>IF(D232&lt;&gt;"",COUNTA($D$10:D232),"")</f>
        <v>190</v>
      </c>
      <c r="D232" s="14" t="s">
        <v>202</v>
      </c>
      <c r="E232" s="14">
        <v>1.5</v>
      </c>
      <c r="F232" s="14">
        <v>2.8</v>
      </c>
      <c r="G232" s="14">
        <v>2.4</v>
      </c>
      <c r="H232" s="14">
        <v>2</v>
      </c>
      <c r="I232" s="14">
        <v>3</v>
      </c>
      <c r="J232" s="14">
        <v>1.75</v>
      </c>
      <c r="K232" s="14">
        <v>3</v>
      </c>
      <c r="L232" s="15">
        <v>0.1</v>
      </c>
      <c r="M232" s="15">
        <v>0</v>
      </c>
      <c r="N232" s="14">
        <v>24</v>
      </c>
      <c r="O232" s="14">
        <v>50</v>
      </c>
      <c r="P232" s="13">
        <v>45</v>
      </c>
      <c r="Q232" s="13">
        <v>85</v>
      </c>
      <c r="R232" s="13" t="s">
        <v>17</v>
      </c>
      <c r="S232" s="13">
        <v>120</v>
      </c>
      <c r="T232" s="856" t="s">
        <v>85</v>
      </c>
    </row>
    <row r="233" spans="3:20">
      <c r="C233" s="13">
        <f>IF(D233&lt;&gt;"",COUNTA($D$10:D233),"")</f>
        <v>191</v>
      </c>
      <c r="D233" s="14" t="s">
        <v>203</v>
      </c>
      <c r="E233" s="14">
        <v>2.1</v>
      </c>
      <c r="F233" s="14">
        <v>3.5</v>
      </c>
      <c r="G233" s="14">
        <v>2.4</v>
      </c>
      <c r="H233" s="14">
        <v>0</v>
      </c>
      <c r="I233" s="14">
        <v>1</v>
      </c>
      <c r="J233" s="14">
        <v>1.75</v>
      </c>
      <c r="K233" s="14">
        <v>3</v>
      </c>
      <c r="L233" s="15">
        <v>0.1</v>
      </c>
      <c r="M233" s="15">
        <v>0</v>
      </c>
      <c r="N233" s="14">
        <v>24</v>
      </c>
      <c r="O233" s="14">
        <v>50</v>
      </c>
      <c r="P233" s="13">
        <v>45</v>
      </c>
      <c r="Q233" s="13">
        <v>85</v>
      </c>
      <c r="R233" s="13" t="s">
        <v>17</v>
      </c>
      <c r="S233" s="13">
        <v>120</v>
      </c>
      <c r="T233" s="856" t="s">
        <v>85</v>
      </c>
    </row>
    <row r="234" spans="3:20">
      <c r="C234" s="13">
        <f>IF(D234&lt;&gt;"",COUNTA($D$10:D234),"")</f>
        <v>192</v>
      </c>
      <c r="D234" s="14" t="s">
        <v>204</v>
      </c>
      <c r="E234" s="14">
        <v>2.7</v>
      </c>
      <c r="F234" s="14">
        <v>4</v>
      </c>
      <c r="G234" s="14">
        <v>2.4</v>
      </c>
      <c r="H234" s="14">
        <v>2</v>
      </c>
      <c r="I234" s="14">
        <v>1</v>
      </c>
      <c r="J234" s="14">
        <v>1.75</v>
      </c>
      <c r="K234" s="14">
        <v>3</v>
      </c>
      <c r="L234" s="15">
        <v>0.1</v>
      </c>
      <c r="M234" s="15">
        <v>0</v>
      </c>
      <c r="N234" s="14">
        <v>24</v>
      </c>
      <c r="O234" s="14">
        <v>50</v>
      </c>
      <c r="P234" s="13">
        <v>45</v>
      </c>
      <c r="Q234" s="13">
        <v>85</v>
      </c>
      <c r="R234" s="13" t="s">
        <v>17</v>
      </c>
      <c r="S234" s="13">
        <v>120</v>
      </c>
      <c r="T234" s="856" t="s">
        <v>85</v>
      </c>
    </row>
    <row r="235" spans="3:20">
      <c r="C235" s="13">
        <f>IF(D235&lt;&gt;"",COUNTA($D$10:D235),"")</f>
        <v>193</v>
      </c>
      <c r="D235" s="14" t="s">
        <v>205</v>
      </c>
      <c r="E235" s="14">
        <v>3.8</v>
      </c>
      <c r="F235" s="14">
        <v>4.2</v>
      </c>
      <c r="G235" s="14">
        <v>2.4</v>
      </c>
      <c r="H235" s="14">
        <v>3</v>
      </c>
      <c r="I235" s="14">
        <v>3</v>
      </c>
      <c r="J235" s="14">
        <v>1.75</v>
      </c>
      <c r="K235" s="14">
        <v>3</v>
      </c>
      <c r="L235" s="15">
        <v>0.1</v>
      </c>
      <c r="M235" s="15">
        <v>0</v>
      </c>
      <c r="N235" s="14">
        <v>24</v>
      </c>
      <c r="O235" s="14">
        <v>50</v>
      </c>
      <c r="P235" s="13">
        <v>45</v>
      </c>
      <c r="Q235" s="13">
        <v>85</v>
      </c>
      <c r="R235" s="13" t="s">
        <v>17</v>
      </c>
      <c r="S235" s="13">
        <v>120</v>
      </c>
      <c r="T235" s="856" t="s">
        <v>85</v>
      </c>
    </row>
    <row r="236" spans="3:20">
      <c r="C236" s="13">
        <f>IF(D236&lt;&gt;"",COUNTA($D$10:D236),"")</f>
        <v>194</v>
      </c>
      <c r="D236" s="14" t="s">
        <v>206</v>
      </c>
      <c r="E236" s="14">
        <v>3.1</v>
      </c>
      <c r="F236" s="14">
        <v>2.6</v>
      </c>
      <c r="G236" s="14">
        <v>2.4</v>
      </c>
      <c r="H236" s="14">
        <v>2</v>
      </c>
      <c r="I236" s="14">
        <v>1</v>
      </c>
      <c r="J236" s="14">
        <v>1.75</v>
      </c>
      <c r="K236" s="14">
        <v>3</v>
      </c>
      <c r="L236" s="15">
        <v>0.1</v>
      </c>
      <c r="M236" s="15">
        <v>0</v>
      </c>
      <c r="N236" s="14">
        <v>24</v>
      </c>
      <c r="O236" s="14">
        <v>50</v>
      </c>
      <c r="P236" s="13">
        <v>45</v>
      </c>
      <c r="Q236" s="13">
        <v>85</v>
      </c>
      <c r="R236" s="13" t="s">
        <v>17</v>
      </c>
      <c r="S236" s="13">
        <v>120</v>
      </c>
      <c r="T236" s="856" t="s">
        <v>85</v>
      </c>
    </row>
    <row r="237" spans="3:20">
      <c r="C237" s="13">
        <f>IF(D237&lt;&gt;"",COUNTA($D$10:D237),"")</f>
        <v>195</v>
      </c>
      <c r="D237" s="14" t="s">
        <v>207</v>
      </c>
      <c r="E237" s="14">
        <v>1.9</v>
      </c>
      <c r="F237" s="14">
        <v>2.4</v>
      </c>
      <c r="G237" s="14">
        <v>2.4</v>
      </c>
      <c r="H237" s="14">
        <v>3</v>
      </c>
      <c r="I237" s="14">
        <v>2</v>
      </c>
      <c r="J237" s="14">
        <v>1.75</v>
      </c>
      <c r="K237" s="14">
        <v>3</v>
      </c>
      <c r="L237" s="15">
        <v>0.1</v>
      </c>
      <c r="M237" s="15">
        <v>0</v>
      </c>
      <c r="N237" s="14">
        <v>24</v>
      </c>
      <c r="O237" s="14">
        <v>50</v>
      </c>
      <c r="P237" s="13">
        <v>45</v>
      </c>
      <c r="Q237" s="13">
        <v>85</v>
      </c>
      <c r="R237" s="13" t="s">
        <v>17</v>
      </c>
      <c r="S237" s="13">
        <v>120</v>
      </c>
      <c r="T237" s="856" t="s">
        <v>85</v>
      </c>
    </row>
    <row r="238" spans="3:20">
      <c r="C238" s="13">
        <f>IF(D238&lt;&gt;"",COUNTA($D$10:D238),"")</f>
        <v>196</v>
      </c>
      <c r="D238" s="14" t="s">
        <v>208</v>
      </c>
      <c r="E238" s="14">
        <v>3</v>
      </c>
      <c r="F238" s="14">
        <v>2.9</v>
      </c>
      <c r="G238" s="14">
        <v>2.4</v>
      </c>
      <c r="H238" s="14">
        <v>2</v>
      </c>
      <c r="I238" s="14">
        <v>1</v>
      </c>
      <c r="J238" s="14">
        <v>1.75</v>
      </c>
      <c r="K238" s="14">
        <v>3</v>
      </c>
      <c r="L238" s="15">
        <v>0.1</v>
      </c>
      <c r="M238" s="15">
        <v>0</v>
      </c>
      <c r="N238" s="14">
        <v>24</v>
      </c>
      <c r="O238" s="14">
        <v>50</v>
      </c>
      <c r="P238" s="13">
        <v>45</v>
      </c>
      <c r="Q238" s="13">
        <v>85</v>
      </c>
      <c r="R238" s="13" t="s">
        <v>17</v>
      </c>
      <c r="S238" s="13">
        <v>120</v>
      </c>
      <c r="T238" s="856" t="s">
        <v>85</v>
      </c>
    </row>
    <row r="239" spans="3:20">
      <c r="C239" s="13">
        <f>IF(D239&lt;&gt;"",COUNTA($D$10:D239),"")</f>
        <v>197</v>
      </c>
      <c r="D239" s="14" t="s">
        <v>209</v>
      </c>
      <c r="E239" s="14">
        <v>2.4</v>
      </c>
      <c r="F239" s="14">
        <v>2</v>
      </c>
      <c r="G239" s="14">
        <v>2.4</v>
      </c>
      <c r="H239" s="14">
        <v>2</v>
      </c>
      <c r="I239" s="14">
        <v>1</v>
      </c>
      <c r="J239" s="14">
        <v>1.75</v>
      </c>
      <c r="K239" s="14">
        <v>3</v>
      </c>
      <c r="L239" s="15">
        <v>0.1</v>
      </c>
      <c r="M239" s="15">
        <v>0</v>
      </c>
      <c r="N239" s="14">
        <v>24</v>
      </c>
      <c r="O239" s="14">
        <v>50</v>
      </c>
      <c r="P239" s="13">
        <v>45</v>
      </c>
      <c r="Q239" s="13">
        <v>85</v>
      </c>
      <c r="R239" s="13" t="s">
        <v>17</v>
      </c>
      <c r="S239" s="13">
        <v>120</v>
      </c>
      <c r="T239" s="856" t="s">
        <v>85</v>
      </c>
    </row>
    <row r="240" spans="3:20">
      <c r="C240" s="13">
        <f>IF(D240&lt;&gt;"",COUNTA($D$10:D240),"")</f>
        <v>198</v>
      </c>
      <c r="D240" s="14" t="s">
        <v>210</v>
      </c>
      <c r="E240" s="14">
        <v>2.1</v>
      </c>
      <c r="F240" s="14">
        <v>1.8</v>
      </c>
      <c r="G240" s="14">
        <v>2.4</v>
      </c>
      <c r="H240" s="14">
        <v>2</v>
      </c>
      <c r="I240" s="14">
        <v>1</v>
      </c>
      <c r="J240" s="14">
        <v>1.75</v>
      </c>
      <c r="K240" s="14">
        <v>3</v>
      </c>
      <c r="L240" s="15">
        <v>0.1</v>
      </c>
      <c r="M240" s="15">
        <v>0</v>
      </c>
      <c r="N240" s="14">
        <v>24</v>
      </c>
      <c r="O240" s="14">
        <v>50</v>
      </c>
      <c r="P240" s="13">
        <v>45</v>
      </c>
      <c r="Q240" s="13">
        <v>85</v>
      </c>
      <c r="R240" s="13" t="s">
        <v>17</v>
      </c>
      <c r="S240" s="13">
        <v>120</v>
      </c>
      <c r="T240" s="856" t="s">
        <v>85</v>
      </c>
    </row>
    <row r="241" spans="3:20">
      <c r="C241" s="13">
        <f>IF(D241&lt;&gt;"",COUNTA($D$10:D241),"")</f>
        <v>199</v>
      </c>
      <c r="D241" s="14" t="s">
        <v>211</v>
      </c>
      <c r="E241" s="14">
        <v>1.8</v>
      </c>
      <c r="F241" s="14">
        <v>1.9</v>
      </c>
      <c r="G241" s="14">
        <v>2.4</v>
      </c>
      <c r="H241" s="14">
        <v>2</v>
      </c>
      <c r="I241" s="14">
        <v>1</v>
      </c>
      <c r="J241" s="14">
        <v>1.75</v>
      </c>
      <c r="K241" s="14">
        <v>3</v>
      </c>
      <c r="L241" s="15">
        <v>0.1</v>
      </c>
      <c r="M241" s="15">
        <v>0</v>
      </c>
      <c r="N241" s="14">
        <v>24</v>
      </c>
      <c r="O241" s="14">
        <v>50</v>
      </c>
      <c r="P241" s="13">
        <v>45</v>
      </c>
      <c r="Q241" s="13">
        <v>85</v>
      </c>
      <c r="R241" s="13" t="s">
        <v>17</v>
      </c>
      <c r="S241" s="13">
        <v>120</v>
      </c>
      <c r="T241" s="856" t="s">
        <v>85</v>
      </c>
    </row>
    <row r="242" spans="3:20">
      <c r="C242" s="13">
        <f>IF(D242&lt;&gt;"",COUNTA($D$10:D242),"")</f>
        <v>200</v>
      </c>
      <c r="D242" s="14" t="s">
        <v>212</v>
      </c>
      <c r="E242" s="14">
        <v>1.9</v>
      </c>
      <c r="F242" s="14">
        <v>2</v>
      </c>
      <c r="G242" s="14">
        <v>2.4</v>
      </c>
      <c r="H242" s="14">
        <v>2</v>
      </c>
      <c r="I242" s="14">
        <v>1</v>
      </c>
      <c r="J242" s="14">
        <v>1.75</v>
      </c>
      <c r="K242" s="14">
        <v>3</v>
      </c>
      <c r="L242" s="15">
        <v>0.1</v>
      </c>
      <c r="M242" s="15">
        <v>0</v>
      </c>
      <c r="N242" s="14">
        <v>24</v>
      </c>
      <c r="O242" s="14">
        <v>50</v>
      </c>
      <c r="P242" s="13">
        <v>45</v>
      </c>
      <c r="Q242" s="13">
        <v>85</v>
      </c>
      <c r="R242" s="13" t="s">
        <v>17</v>
      </c>
      <c r="S242" s="13">
        <v>120</v>
      </c>
      <c r="T242" s="856" t="s">
        <v>85</v>
      </c>
    </row>
    <row r="243" spans="3:20">
      <c r="C243" s="13">
        <f>IF(D243&lt;&gt;"",COUNTA($D$10:D243),"")</f>
        <v>201</v>
      </c>
      <c r="D243" s="14" t="s">
        <v>213</v>
      </c>
      <c r="E243" s="14">
        <v>2.2999999999999998</v>
      </c>
      <c r="F243" s="14">
        <v>2.2000000000000002</v>
      </c>
      <c r="G243" s="14">
        <v>2.4</v>
      </c>
      <c r="H243" s="14">
        <v>2</v>
      </c>
      <c r="I243" s="14">
        <v>1</v>
      </c>
      <c r="J243" s="14">
        <v>1.75</v>
      </c>
      <c r="K243" s="14">
        <v>3</v>
      </c>
      <c r="L243" s="15">
        <v>0.1</v>
      </c>
      <c r="M243" s="15">
        <v>0</v>
      </c>
      <c r="N243" s="14">
        <v>24</v>
      </c>
      <c r="O243" s="14">
        <v>50</v>
      </c>
      <c r="P243" s="13">
        <v>45</v>
      </c>
      <c r="Q243" s="13">
        <v>85</v>
      </c>
      <c r="R243" s="13" t="s">
        <v>17</v>
      </c>
      <c r="S243" s="13">
        <v>120</v>
      </c>
      <c r="T243" s="856" t="s">
        <v>85</v>
      </c>
    </row>
    <row r="244" spans="3:20">
      <c r="C244" s="13">
        <f>IF(D244&lt;&gt;"",COUNTA($D$10:D244),"")</f>
        <v>202</v>
      </c>
      <c r="D244" s="14" t="s">
        <v>214</v>
      </c>
      <c r="E244" s="14">
        <v>2.2000000000000002</v>
      </c>
      <c r="F244" s="14">
        <v>2.8</v>
      </c>
      <c r="G244" s="14">
        <v>2.4</v>
      </c>
      <c r="H244" s="14">
        <v>2</v>
      </c>
      <c r="I244" s="14">
        <v>1</v>
      </c>
      <c r="J244" s="14">
        <v>1.75</v>
      </c>
      <c r="K244" s="14">
        <v>3</v>
      </c>
      <c r="L244" s="15">
        <v>0.1</v>
      </c>
      <c r="M244" s="15">
        <v>0</v>
      </c>
      <c r="N244" s="14">
        <v>24</v>
      </c>
      <c r="O244" s="14">
        <v>50</v>
      </c>
      <c r="P244" s="13">
        <v>45</v>
      </c>
      <c r="Q244" s="13">
        <v>85</v>
      </c>
      <c r="R244" s="13" t="s">
        <v>17</v>
      </c>
      <c r="S244" s="13">
        <v>120</v>
      </c>
      <c r="T244" s="856" t="s">
        <v>85</v>
      </c>
    </row>
    <row r="245" spans="3:20">
      <c r="C245" s="13">
        <f>IF(D245&lt;&gt;"",COUNTA($D$10:D245),"")</f>
        <v>203</v>
      </c>
      <c r="D245" s="14" t="s">
        <v>215</v>
      </c>
      <c r="E245" s="14">
        <v>2.8</v>
      </c>
      <c r="F245" s="14">
        <v>2.4</v>
      </c>
      <c r="G245" s="14">
        <v>2.4</v>
      </c>
      <c r="H245" s="14">
        <v>2</v>
      </c>
      <c r="I245" s="14">
        <v>1</v>
      </c>
      <c r="J245" s="14">
        <v>1.75</v>
      </c>
      <c r="K245" s="14">
        <v>3</v>
      </c>
      <c r="L245" s="15">
        <v>0.1</v>
      </c>
      <c r="M245" s="15">
        <v>0</v>
      </c>
      <c r="N245" s="14">
        <v>24</v>
      </c>
      <c r="O245" s="14">
        <v>50</v>
      </c>
      <c r="P245" s="13">
        <v>45</v>
      </c>
      <c r="Q245" s="13">
        <v>85</v>
      </c>
      <c r="R245" s="13" t="s">
        <v>17</v>
      </c>
      <c r="S245" s="13">
        <v>120</v>
      </c>
      <c r="T245" s="856" t="s">
        <v>85</v>
      </c>
    </row>
    <row r="246" spans="3:20">
      <c r="C246" s="19"/>
      <c r="D246" s="19"/>
      <c r="E246" s="19"/>
      <c r="F246" s="19"/>
      <c r="G246" s="19"/>
      <c r="H246" s="19"/>
      <c r="I246" s="19"/>
      <c r="J246" s="19"/>
      <c r="K246" s="19"/>
      <c r="L246" s="19"/>
      <c r="M246" s="19"/>
      <c r="N246" s="19"/>
      <c r="O246" s="19"/>
      <c r="P246" s="19"/>
      <c r="Q246" s="19"/>
      <c r="R246" s="19"/>
      <c r="S246" s="19"/>
      <c r="T246" s="19"/>
    </row>
    <row r="248" spans="3:20" ht="26.1">
      <c r="C248" s="8" t="str">
        <f>"Zoning Area AHU - " &amp; INT((ROW()-8)/20)+1 &amp; "  " &amp; IF(ISNUMBER(N250),"Air-Conditioning System " &amp; IF(AH250="D","(DX)",IF(AH250="C","(Chilled Water)","")),IF(AND(N250="Amb",ISTEXT(N250)),"Ventilation System","Refer"))</f>
        <v xml:space="preserve">Zoning Area AHU - 13  Air-Conditioning System </v>
      </c>
      <c r="D248" s="8"/>
      <c r="E248" s="8"/>
      <c r="F248" s="8"/>
      <c r="G248" s="8"/>
      <c r="H248" s="8"/>
      <c r="I248" s="8"/>
      <c r="J248" s="8"/>
      <c r="K248" s="8"/>
      <c r="L248" s="8"/>
      <c r="M248" s="8"/>
      <c r="N248" s="8"/>
      <c r="O248" s="8"/>
      <c r="P248" s="8"/>
      <c r="Q248" s="8"/>
      <c r="R248" s="8"/>
      <c r="S248" s="8"/>
      <c r="T248" s="8"/>
    </row>
    <row r="249" spans="3:20">
      <c r="C249" s="13">
        <f>IF(D249&lt;&gt;"",COUNTA($D$10:D249),"")</f>
        <v>204</v>
      </c>
      <c r="D249" s="5" t="s">
        <v>165</v>
      </c>
      <c r="E249" s="5" t="s">
        <v>166</v>
      </c>
      <c r="F249" s="5" t="s">
        <v>167</v>
      </c>
      <c r="G249" s="5" t="s">
        <v>168</v>
      </c>
      <c r="H249" s="5" t="s">
        <v>169</v>
      </c>
      <c r="I249" s="5" t="s">
        <v>170</v>
      </c>
      <c r="J249" s="5" t="s">
        <v>171</v>
      </c>
      <c r="K249" s="5" t="s">
        <v>172</v>
      </c>
      <c r="L249" s="5" t="s">
        <v>173</v>
      </c>
      <c r="M249" s="5" t="s">
        <v>174</v>
      </c>
      <c r="N249" s="5" t="s">
        <v>175</v>
      </c>
      <c r="O249" s="5" t="s">
        <v>176</v>
      </c>
      <c r="P249" s="5" t="s">
        <v>177</v>
      </c>
      <c r="Q249" s="5" t="s">
        <v>178</v>
      </c>
      <c r="R249" s="5" t="s">
        <v>199</v>
      </c>
      <c r="S249" s="5" t="s">
        <v>180</v>
      </c>
      <c r="T249" s="5" t="s">
        <v>180</v>
      </c>
    </row>
    <row r="250" spans="3:20">
      <c r="C250" s="13">
        <f>IF(D250&lt;&gt;"",COUNTA($D$10:D250),"")</f>
        <v>205</v>
      </c>
      <c r="D250" s="14" t="s">
        <v>200</v>
      </c>
      <c r="E250" s="14">
        <v>3</v>
      </c>
      <c r="F250" s="14">
        <v>3</v>
      </c>
      <c r="G250" s="14">
        <v>2.4</v>
      </c>
      <c r="H250" s="14">
        <v>1</v>
      </c>
      <c r="I250" s="14">
        <v>2</v>
      </c>
      <c r="J250" s="14">
        <v>1.75</v>
      </c>
      <c r="K250" s="14">
        <v>3</v>
      </c>
      <c r="L250" s="15">
        <v>0.1</v>
      </c>
      <c r="M250" s="15">
        <v>0</v>
      </c>
      <c r="N250" s="14">
        <v>24</v>
      </c>
      <c r="O250" s="14">
        <v>50</v>
      </c>
      <c r="P250" s="13">
        <v>45</v>
      </c>
      <c r="Q250" s="13">
        <v>85</v>
      </c>
      <c r="R250" s="13" t="s">
        <v>17</v>
      </c>
      <c r="S250" s="13">
        <v>120</v>
      </c>
      <c r="T250" s="856" t="s">
        <v>85</v>
      </c>
    </row>
    <row r="251" spans="3:20">
      <c r="C251" s="13">
        <f>IF(D251&lt;&gt;"",COUNTA($D$10:D251),"")</f>
        <v>206</v>
      </c>
      <c r="D251" s="14" t="s">
        <v>201</v>
      </c>
      <c r="E251" s="14">
        <v>1.8</v>
      </c>
      <c r="F251" s="14">
        <v>2.2000000000000002</v>
      </c>
      <c r="G251" s="14">
        <v>2.4</v>
      </c>
      <c r="H251" s="14">
        <v>2</v>
      </c>
      <c r="I251" s="14">
        <v>1</v>
      </c>
      <c r="J251" s="14">
        <v>1.75</v>
      </c>
      <c r="K251" s="14">
        <v>3</v>
      </c>
      <c r="L251" s="15">
        <v>0.1</v>
      </c>
      <c r="M251" s="15">
        <v>0</v>
      </c>
      <c r="N251" s="14">
        <v>24</v>
      </c>
      <c r="O251" s="14">
        <v>50</v>
      </c>
      <c r="P251" s="13">
        <v>45</v>
      </c>
      <c r="Q251" s="13">
        <v>85</v>
      </c>
      <c r="R251" s="13" t="s">
        <v>17</v>
      </c>
      <c r="S251" s="13">
        <v>120</v>
      </c>
      <c r="T251" s="856" t="s">
        <v>85</v>
      </c>
    </row>
    <row r="252" spans="3:20">
      <c r="C252" s="13">
        <f>IF(D252&lt;&gt;"",COUNTA($D$10:D252),"")</f>
        <v>207</v>
      </c>
      <c r="D252" s="14" t="s">
        <v>202</v>
      </c>
      <c r="E252" s="14">
        <v>1.5</v>
      </c>
      <c r="F252" s="14">
        <v>2.8</v>
      </c>
      <c r="G252" s="14">
        <v>2.4</v>
      </c>
      <c r="H252" s="14">
        <v>2</v>
      </c>
      <c r="I252" s="14">
        <v>3</v>
      </c>
      <c r="J252" s="14">
        <v>1.75</v>
      </c>
      <c r="K252" s="14">
        <v>3</v>
      </c>
      <c r="L252" s="15">
        <v>0.1</v>
      </c>
      <c r="M252" s="15">
        <v>0</v>
      </c>
      <c r="N252" s="14">
        <v>24</v>
      </c>
      <c r="O252" s="14">
        <v>50</v>
      </c>
      <c r="P252" s="13">
        <v>45</v>
      </c>
      <c r="Q252" s="13">
        <v>85</v>
      </c>
      <c r="R252" s="13" t="s">
        <v>17</v>
      </c>
      <c r="S252" s="13">
        <v>120</v>
      </c>
      <c r="T252" s="856" t="s">
        <v>85</v>
      </c>
    </row>
    <row r="253" spans="3:20">
      <c r="C253" s="13">
        <f>IF(D253&lt;&gt;"",COUNTA($D$10:D253),"")</f>
        <v>208</v>
      </c>
      <c r="D253" s="14" t="s">
        <v>203</v>
      </c>
      <c r="E253" s="14">
        <v>2.1</v>
      </c>
      <c r="F253" s="14">
        <v>3.5</v>
      </c>
      <c r="G253" s="14">
        <v>2.4</v>
      </c>
      <c r="H253" s="14">
        <v>0</v>
      </c>
      <c r="I253" s="14">
        <v>1</v>
      </c>
      <c r="J253" s="14">
        <v>1.75</v>
      </c>
      <c r="K253" s="14">
        <v>3</v>
      </c>
      <c r="L253" s="15">
        <v>0.1</v>
      </c>
      <c r="M253" s="15">
        <v>0</v>
      </c>
      <c r="N253" s="14">
        <v>24</v>
      </c>
      <c r="O253" s="14">
        <v>50</v>
      </c>
      <c r="P253" s="13">
        <v>45</v>
      </c>
      <c r="Q253" s="13">
        <v>85</v>
      </c>
      <c r="R253" s="13" t="s">
        <v>17</v>
      </c>
      <c r="S253" s="13">
        <v>120</v>
      </c>
      <c r="T253" s="856" t="s">
        <v>85</v>
      </c>
    </row>
    <row r="254" spans="3:20">
      <c r="C254" s="13">
        <f>IF(D254&lt;&gt;"",COUNTA($D$10:D254),"")</f>
        <v>209</v>
      </c>
      <c r="D254" s="14" t="s">
        <v>204</v>
      </c>
      <c r="E254" s="14">
        <v>2.7</v>
      </c>
      <c r="F254" s="14">
        <v>4</v>
      </c>
      <c r="G254" s="14">
        <v>2.4</v>
      </c>
      <c r="H254" s="14">
        <v>2</v>
      </c>
      <c r="I254" s="14">
        <v>1</v>
      </c>
      <c r="J254" s="14">
        <v>1.75</v>
      </c>
      <c r="K254" s="14">
        <v>3</v>
      </c>
      <c r="L254" s="15">
        <v>0.1</v>
      </c>
      <c r="M254" s="15">
        <v>0</v>
      </c>
      <c r="N254" s="14">
        <v>24</v>
      </c>
      <c r="O254" s="14">
        <v>50</v>
      </c>
      <c r="P254" s="13">
        <v>45</v>
      </c>
      <c r="Q254" s="13">
        <v>85</v>
      </c>
      <c r="R254" s="13" t="s">
        <v>17</v>
      </c>
      <c r="S254" s="13">
        <v>120</v>
      </c>
      <c r="T254" s="856" t="s">
        <v>85</v>
      </c>
    </row>
    <row r="255" spans="3:20">
      <c r="C255" s="13">
        <f>IF(D255&lt;&gt;"",COUNTA($D$10:D255),"")</f>
        <v>210</v>
      </c>
      <c r="D255" s="14" t="s">
        <v>205</v>
      </c>
      <c r="E255" s="14">
        <v>3.8</v>
      </c>
      <c r="F255" s="14">
        <v>4.2</v>
      </c>
      <c r="G255" s="14">
        <v>2.4</v>
      </c>
      <c r="H255" s="14">
        <v>3</v>
      </c>
      <c r="I255" s="14">
        <v>3</v>
      </c>
      <c r="J255" s="14">
        <v>1.75</v>
      </c>
      <c r="K255" s="14">
        <v>3</v>
      </c>
      <c r="L255" s="15">
        <v>0.1</v>
      </c>
      <c r="M255" s="15">
        <v>0</v>
      </c>
      <c r="N255" s="14">
        <v>24</v>
      </c>
      <c r="O255" s="14">
        <v>50</v>
      </c>
      <c r="P255" s="13">
        <v>45</v>
      </c>
      <c r="Q255" s="13">
        <v>85</v>
      </c>
      <c r="R255" s="13" t="s">
        <v>17</v>
      </c>
      <c r="S255" s="13">
        <v>120</v>
      </c>
      <c r="T255" s="856" t="s">
        <v>85</v>
      </c>
    </row>
    <row r="256" spans="3:20">
      <c r="C256" s="13">
        <f>IF(D256&lt;&gt;"",COUNTA($D$10:D256),"")</f>
        <v>211</v>
      </c>
      <c r="D256" s="14" t="s">
        <v>206</v>
      </c>
      <c r="E256" s="14">
        <v>3.1</v>
      </c>
      <c r="F256" s="14">
        <v>2.6</v>
      </c>
      <c r="G256" s="14">
        <v>2.4</v>
      </c>
      <c r="H256" s="14">
        <v>2</v>
      </c>
      <c r="I256" s="14">
        <v>1</v>
      </c>
      <c r="J256" s="14">
        <v>1.75</v>
      </c>
      <c r="K256" s="14">
        <v>3</v>
      </c>
      <c r="L256" s="15">
        <v>0.1</v>
      </c>
      <c r="M256" s="15">
        <v>0</v>
      </c>
      <c r="N256" s="14">
        <v>24</v>
      </c>
      <c r="O256" s="14">
        <v>50</v>
      </c>
      <c r="P256" s="13">
        <v>45</v>
      </c>
      <c r="Q256" s="13">
        <v>85</v>
      </c>
      <c r="R256" s="13" t="s">
        <v>17</v>
      </c>
      <c r="S256" s="13">
        <v>120</v>
      </c>
      <c r="T256" s="856" t="s">
        <v>85</v>
      </c>
    </row>
    <row r="257" spans="3:20">
      <c r="C257" s="13">
        <f>IF(D257&lt;&gt;"",COUNTA($D$10:D257),"")</f>
        <v>212</v>
      </c>
      <c r="D257" s="14" t="s">
        <v>207</v>
      </c>
      <c r="E257" s="14">
        <v>1.9</v>
      </c>
      <c r="F257" s="14">
        <v>2.4</v>
      </c>
      <c r="G257" s="14">
        <v>2.4</v>
      </c>
      <c r="H257" s="14">
        <v>3</v>
      </c>
      <c r="I257" s="14">
        <v>2</v>
      </c>
      <c r="J257" s="14">
        <v>1.75</v>
      </c>
      <c r="K257" s="14">
        <v>3</v>
      </c>
      <c r="L257" s="15">
        <v>0.1</v>
      </c>
      <c r="M257" s="15">
        <v>0</v>
      </c>
      <c r="N257" s="14">
        <v>24</v>
      </c>
      <c r="O257" s="14">
        <v>50</v>
      </c>
      <c r="P257" s="13">
        <v>45</v>
      </c>
      <c r="Q257" s="13">
        <v>85</v>
      </c>
      <c r="R257" s="13" t="s">
        <v>17</v>
      </c>
      <c r="S257" s="13">
        <v>120</v>
      </c>
      <c r="T257" s="856" t="s">
        <v>85</v>
      </c>
    </row>
    <row r="258" spans="3:20">
      <c r="C258" s="13">
        <f>IF(D258&lt;&gt;"",COUNTA($D$10:D258),"")</f>
        <v>213</v>
      </c>
      <c r="D258" s="14" t="s">
        <v>208</v>
      </c>
      <c r="E258" s="14">
        <v>3</v>
      </c>
      <c r="F258" s="14">
        <v>2.9</v>
      </c>
      <c r="G258" s="14">
        <v>2.4</v>
      </c>
      <c r="H258" s="14">
        <v>2</v>
      </c>
      <c r="I258" s="14">
        <v>1</v>
      </c>
      <c r="J258" s="14">
        <v>1.75</v>
      </c>
      <c r="K258" s="14">
        <v>3</v>
      </c>
      <c r="L258" s="15">
        <v>0.1</v>
      </c>
      <c r="M258" s="15">
        <v>0</v>
      </c>
      <c r="N258" s="14">
        <v>24</v>
      </c>
      <c r="O258" s="14">
        <v>50</v>
      </c>
      <c r="P258" s="13">
        <v>45</v>
      </c>
      <c r="Q258" s="13">
        <v>85</v>
      </c>
      <c r="R258" s="13" t="s">
        <v>17</v>
      </c>
      <c r="S258" s="13">
        <v>120</v>
      </c>
      <c r="T258" s="856" t="s">
        <v>85</v>
      </c>
    </row>
    <row r="259" spans="3:20">
      <c r="C259" s="13">
        <f>IF(D259&lt;&gt;"",COUNTA($D$10:D259),"")</f>
        <v>214</v>
      </c>
      <c r="D259" s="14" t="s">
        <v>209</v>
      </c>
      <c r="E259" s="14">
        <v>2.4</v>
      </c>
      <c r="F259" s="14">
        <v>2</v>
      </c>
      <c r="G259" s="14">
        <v>2.4</v>
      </c>
      <c r="H259" s="14">
        <v>2</v>
      </c>
      <c r="I259" s="14">
        <v>1</v>
      </c>
      <c r="J259" s="14">
        <v>1.75</v>
      </c>
      <c r="K259" s="14">
        <v>3</v>
      </c>
      <c r="L259" s="15">
        <v>0.1</v>
      </c>
      <c r="M259" s="15">
        <v>0</v>
      </c>
      <c r="N259" s="14">
        <v>24</v>
      </c>
      <c r="O259" s="14">
        <v>50</v>
      </c>
      <c r="P259" s="13">
        <v>45</v>
      </c>
      <c r="Q259" s="13">
        <v>85</v>
      </c>
      <c r="R259" s="13" t="s">
        <v>17</v>
      </c>
      <c r="S259" s="13">
        <v>120</v>
      </c>
      <c r="T259" s="856" t="s">
        <v>85</v>
      </c>
    </row>
    <row r="260" spans="3:20">
      <c r="C260" s="13">
        <f>IF(D260&lt;&gt;"",COUNTA($D$10:D260),"")</f>
        <v>215</v>
      </c>
      <c r="D260" s="14" t="s">
        <v>210</v>
      </c>
      <c r="E260" s="14">
        <v>2.1</v>
      </c>
      <c r="F260" s="14">
        <v>1.8</v>
      </c>
      <c r="G260" s="14">
        <v>2.4</v>
      </c>
      <c r="H260" s="14">
        <v>2</v>
      </c>
      <c r="I260" s="14">
        <v>1</v>
      </c>
      <c r="J260" s="14">
        <v>1.75</v>
      </c>
      <c r="K260" s="14">
        <v>3</v>
      </c>
      <c r="L260" s="15">
        <v>0.1</v>
      </c>
      <c r="M260" s="15">
        <v>0</v>
      </c>
      <c r="N260" s="14">
        <v>24</v>
      </c>
      <c r="O260" s="14">
        <v>50</v>
      </c>
      <c r="P260" s="13">
        <v>45</v>
      </c>
      <c r="Q260" s="13">
        <v>85</v>
      </c>
      <c r="R260" s="13" t="s">
        <v>17</v>
      </c>
      <c r="S260" s="13">
        <v>120</v>
      </c>
      <c r="T260" s="856" t="s">
        <v>85</v>
      </c>
    </row>
    <row r="261" spans="3:20">
      <c r="C261" s="13">
        <f>IF(D261&lt;&gt;"",COUNTA($D$10:D261),"")</f>
        <v>216</v>
      </c>
      <c r="D261" s="14" t="s">
        <v>211</v>
      </c>
      <c r="E261" s="14">
        <v>1.8</v>
      </c>
      <c r="F261" s="14">
        <v>1.9</v>
      </c>
      <c r="G261" s="14">
        <v>2.4</v>
      </c>
      <c r="H261" s="14">
        <v>2</v>
      </c>
      <c r="I261" s="14">
        <v>1</v>
      </c>
      <c r="J261" s="14">
        <v>1.75</v>
      </c>
      <c r="K261" s="14">
        <v>3</v>
      </c>
      <c r="L261" s="15">
        <v>0.1</v>
      </c>
      <c r="M261" s="15">
        <v>0</v>
      </c>
      <c r="N261" s="14">
        <v>24</v>
      </c>
      <c r="O261" s="14">
        <v>50</v>
      </c>
      <c r="P261" s="13">
        <v>45</v>
      </c>
      <c r="Q261" s="13">
        <v>85</v>
      </c>
      <c r="R261" s="13" t="s">
        <v>17</v>
      </c>
      <c r="S261" s="13">
        <v>120</v>
      </c>
      <c r="T261" s="856" t="s">
        <v>85</v>
      </c>
    </row>
    <row r="262" spans="3:20">
      <c r="C262" s="13">
        <f>IF(D262&lt;&gt;"",COUNTA($D$10:D262),"")</f>
        <v>217</v>
      </c>
      <c r="D262" s="14" t="s">
        <v>212</v>
      </c>
      <c r="E262" s="14">
        <v>1.9</v>
      </c>
      <c r="F262" s="14">
        <v>2</v>
      </c>
      <c r="G262" s="14">
        <v>2.4</v>
      </c>
      <c r="H262" s="14">
        <v>2</v>
      </c>
      <c r="I262" s="14">
        <v>1</v>
      </c>
      <c r="J262" s="14">
        <v>1.75</v>
      </c>
      <c r="K262" s="14">
        <v>3</v>
      </c>
      <c r="L262" s="15">
        <v>0.1</v>
      </c>
      <c r="M262" s="15">
        <v>0</v>
      </c>
      <c r="N262" s="14">
        <v>24</v>
      </c>
      <c r="O262" s="14">
        <v>50</v>
      </c>
      <c r="P262" s="13">
        <v>45</v>
      </c>
      <c r="Q262" s="13">
        <v>85</v>
      </c>
      <c r="R262" s="13" t="s">
        <v>17</v>
      </c>
      <c r="S262" s="13">
        <v>120</v>
      </c>
      <c r="T262" s="856" t="s">
        <v>85</v>
      </c>
    </row>
    <row r="263" spans="3:20">
      <c r="C263" s="13">
        <f>IF(D263&lt;&gt;"",COUNTA($D$10:D263),"")</f>
        <v>218</v>
      </c>
      <c r="D263" s="14" t="s">
        <v>213</v>
      </c>
      <c r="E263" s="14">
        <v>2.2999999999999998</v>
      </c>
      <c r="F263" s="14">
        <v>2.2000000000000002</v>
      </c>
      <c r="G263" s="14">
        <v>2.4</v>
      </c>
      <c r="H263" s="14">
        <v>2</v>
      </c>
      <c r="I263" s="14">
        <v>1</v>
      </c>
      <c r="J263" s="14">
        <v>1.75</v>
      </c>
      <c r="K263" s="14">
        <v>3</v>
      </c>
      <c r="L263" s="15">
        <v>0.1</v>
      </c>
      <c r="M263" s="15">
        <v>0</v>
      </c>
      <c r="N263" s="14">
        <v>24</v>
      </c>
      <c r="O263" s="14">
        <v>50</v>
      </c>
      <c r="P263" s="13">
        <v>45</v>
      </c>
      <c r="Q263" s="13">
        <v>85</v>
      </c>
      <c r="R263" s="13" t="s">
        <v>17</v>
      </c>
      <c r="S263" s="13">
        <v>120</v>
      </c>
      <c r="T263" s="856" t="s">
        <v>85</v>
      </c>
    </row>
    <row r="264" spans="3:20">
      <c r="C264" s="13">
        <f>IF(D264&lt;&gt;"",COUNTA($D$10:D264),"")</f>
        <v>219</v>
      </c>
      <c r="D264" s="14" t="s">
        <v>214</v>
      </c>
      <c r="E264" s="14">
        <v>2.2000000000000002</v>
      </c>
      <c r="F264" s="14">
        <v>2.8</v>
      </c>
      <c r="G264" s="14">
        <v>2.4</v>
      </c>
      <c r="H264" s="14">
        <v>2</v>
      </c>
      <c r="I264" s="14">
        <v>1</v>
      </c>
      <c r="J264" s="14">
        <v>1.75</v>
      </c>
      <c r="K264" s="14">
        <v>3</v>
      </c>
      <c r="L264" s="15">
        <v>0.1</v>
      </c>
      <c r="M264" s="15">
        <v>0</v>
      </c>
      <c r="N264" s="14">
        <v>24</v>
      </c>
      <c r="O264" s="14">
        <v>50</v>
      </c>
      <c r="P264" s="13">
        <v>45</v>
      </c>
      <c r="Q264" s="13">
        <v>85</v>
      </c>
      <c r="R264" s="13" t="s">
        <v>17</v>
      </c>
      <c r="S264" s="13">
        <v>120</v>
      </c>
      <c r="T264" s="856" t="s">
        <v>85</v>
      </c>
    </row>
    <row r="265" spans="3:20">
      <c r="C265" s="13">
        <f>IF(D265&lt;&gt;"",COUNTA($D$10:D265),"")</f>
        <v>220</v>
      </c>
      <c r="D265" s="14" t="s">
        <v>215</v>
      </c>
      <c r="E265" s="14">
        <v>2.8</v>
      </c>
      <c r="F265" s="14">
        <v>2.4</v>
      </c>
      <c r="G265" s="14">
        <v>2.4</v>
      </c>
      <c r="H265" s="14">
        <v>2</v>
      </c>
      <c r="I265" s="14">
        <v>1</v>
      </c>
      <c r="J265" s="14">
        <v>1.75</v>
      </c>
      <c r="K265" s="14">
        <v>3</v>
      </c>
      <c r="L265" s="15">
        <v>0.1</v>
      </c>
      <c r="M265" s="15">
        <v>0</v>
      </c>
      <c r="N265" s="14">
        <v>24</v>
      </c>
      <c r="O265" s="14">
        <v>50</v>
      </c>
      <c r="P265" s="13">
        <v>45</v>
      </c>
      <c r="Q265" s="13">
        <v>85</v>
      </c>
      <c r="R265" s="13" t="s">
        <v>17</v>
      </c>
      <c r="S265" s="13">
        <v>120</v>
      </c>
      <c r="T265" s="856" t="s">
        <v>85</v>
      </c>
    </row>
    <row r="266" spans="3:20">
      <c r="C266" s="19"/>
      <c r="D266" s="19"/>
      <c r="E266" s="19"/>
      <c r="F266" s="19"/>
      <c r="G266" s="19"/>
      <c r="H266" s="19"/>
      <c r="I266" s="19"/>
      <c r="J266" s="19"/>
      <c r="K266" s="19"/>
      <c r="L266" s="19"/>
      <c r="M266" s="19"/>
      <c r="N266" s="19"/>
      <c r="O266" s="19"/>
      <c r="P266" s="19"/>
      <c r="Q266" s="19"/>
      <c r="R266" s="19"/>
      <c r="S266" s="19"/>
      <c r="T266" s="19"/>
    </row>
    <row r="268" spans="3:20" ht="26.1">
      <c r="C268" s="8" t="str">
        <f>"Zoning Area AHU - " &amp; INT((ROW()-8)/20)+1 &amp; "  " &amp; IF(ISNUMBER(N270),"Air-Conditioning System " &amp; IF(AH270="D","(DX)",IF(AH270="C","(Chilled Water)","")),IF(AND(N270="Amb",ISTEXT(N270)),"Ventilation System","Refer"))</f>
        <v xml:space="preserve">Zoning Area AHU - 14  Air-Conditioning System </v>
      </c>
      <c r="D268" s="8"/>
      <c r="E268" s="8"/>
      <c r="F268" s="8"/>
      <c r="G268" s="8"/>
      <c r="H268" s="8"/>
      <c r="I268" s="8"/>
      <c r="J268" s="8"/>
      <c r="K268" s="8"/>
      <c r="L268" s="8"/>
      <c r="M268" s="8"/>
      <c r="N268" s="8"/>
      <c r="O268" s="8"/>
      <c r="P268" s="8"/>
      <c r="Q268" s="8"/>
      <c r="R268" s="8"/>
      <c r="S268" s="8"/>
      <c r="T268" s="8"/>
    </row>
    <row r="269" spans="3:20">
      <c r="C269" s="13">
        <f>IF(D269&lt;&gt;"",COUNTA($D$10:D269),"")</f>
        <v>221</v>
      </c>
      <c r="D269" s="5" t="s">
        <v>165</v>
      </c>
      <c r="E269" s="5" t="s">
        <v>166</v>
      </c>
      <c r="F269" s="5" t="s">
        <v>167</v>
      </c>
      <c r="G269" s="5" t="s">
        <v>168</v>
      </c>
      <c r="H269" s="5" t="s">
        <v>169</v>
      </c>
      <c r="I269" s="5" t="s">
        <v>170</v>
      </c>
      <c r="J269" s="5" t="s">
        <v>171</v>
      </c>
      <c r="K269" s="5" t="s">
        <v>172</v>
      </c>
      <c r="L269" s="5" t="s">
        <v>173</v>
      </c>
      <c r="M269" s="5" t="s">
        <v>174</v>
      </c>
      <c r="N269" s="5" t="s">
        <v>175</v>
      </c>
      <c r="O269" s="5" t="s">
        <v>176</v>
      </c>
      <c r="P269" s="5" t="s">
        <v>177</v>
      </c>
      <c r="Q269" s="5" t="s">
        <v>178</v>
      </c>
      <c r="R269" s="5" t="s">
        <v>199</v>
      </c>
      <c r="S269" s="5" t="s">
        <v>180</v>
      </c>
      <c r="T269" s="5" t="s">
        <v>180</v>
      </c>
    </row>
    <row r="270" spans="3:20">
      <c r="C270" s="13">
        <f>IF(D270&lt;&gt;"",COUNTA($D$10:D270),"")</f>
        <v>222</v>
      </c>
      <c r="D270" s="14" t="s">
        <v>200</v>
      </c>
      <c r="E270" s="14">
        <v>3</v>
      </c>
      <c r="F270" s="14">
        <v>3</v>
      </c>
      <c r="G270" s="14">
        <v>2.4</v>
      </c>
      <c r="H270" s="14">
        <v>1</v>
      </c>
      <c r="I270" s="14">
        <v>2</v>
      </c>
      <c r="J270" s="14">
        <v>1.75</v>
      </c>
      <c r="K270" s="14">
        <v>3</v>
      </c>
      <c r="L270" s="15">
        <v>0.1</v>
      </c>
      <c r="M270" s="15">
        <v>0</v>
      </c>
      <c r="N270" s="14">
        <v>24</v>
      </c>
      <c r="O270" s="14">
        <v>50</v>
      </c>
      <c r="P270" s="13">
        <v>45</v>
      </c>
      <c r="Q270" s="13">
        <v>85</v>
      </c>
      <c r="R270" s="13" t="s">
        <v>17</v>
      </c>
      <c r="S270" s="13">
        <v>120</v>
      </c>
      <c r="T270" s="856" t="s">
        <v>85</v>
      </c>
    </row>
    <row r="271" spans="3:20">
      <c r="C271" s="13">
        <f>IF(D271&lt;&gt;"",COUNTA($D$10:D271),"")</f>
        <v>223</v>
      </c>
      <c r="D271" s="14" t="s">
        <v>201</v>
      </c>
      <c r="E271" s="14">
        <v>1.8</v>
      </c>
      <c r="F271" s="14">
        <v>2.2000000000000002</v>
      </c>
      <c r="G271" s="14">
        <v>2.4</v>
      </c>
      <c r="H271" s="14">
        <v>2</v>
      </c>
      <c r="I271" s="14">
        <v>1</v>
      </c>
      <c r="J271" s="14">
        <v>1.75</v>
      </c>
      <c r="K271" s="14">
        <v>3</v>
      </c>
      <c r="L271" s="15">
        <v>0.1</v>
      </c>
      <c r="M271" s="15">
        <v>0</v>
      </c>
      <c r="N271" s="14">
        <v>24</v>
      </c>
      <c r="O271" s="14">
        <v>50</v>
      </c>
      <c r="P271" s="13">
        <v>45</v>
      </c>
      <c r="Q271" s="13">
        <v>85</v>
      </c>
      <c r="R271" s="13" t="s">
        <v>17</v>
      </c>
      <c r="S271" s="13">
        <v>120</v>
      </c>
      <c r="T271" s="856" t="s">
        <v>85</v>
      </c>
    </row>
    <row r="272" spans="3:20">
      <c r="C272" s="13">
        <f>IF(D272&lt;&gt;"",COUNTA($D$10:D272),"")</f>
        <v>224</v>
      </c>
      <c r="D272" s="14" t="s">
        <v>202</v>
      </c>
      <c r="E272" s="14">
        <v>1.5</v>
      </c>
      <c r="F272" s="14">
        <v>2.8</v>
      </c>
      <c r="G272" s="14">
        <v>2.4</v>
      </c>
      <c r="H272" s="14">
        <v>2</v>
      </c>
      <c r="I272" s="14">
        <v>3</v>
      </c>
      <c r="J272" s="14">
        <v>1.75</v>
      </c>
      <c r="K272" s="14">
        <v>3</v>
      </c>
      <c r="L272" s="15">
        <v>0.1</v>
      </c>
      <c r="M272" s="15">
        <v>0</v>
      </c>
      <c r="N272" s="14">
        <v>24</v>
      </c>
      <c r="O272" s="14">
        <v>50</v>
      </c>
      <c r="P272" s="13">
        <v>45</v>
      </c>
      <c r="Q272" s="13">
        <v>85</v>
      </c>
      <c r="R272" s="13" t="s">
        <v>17</v>
      </c>
      <c r="S272" s="13">
        <v>120</v>
      </c>
      <c r="T272" s="856" t="s">
        <v>85</v>
      </c>
    </row>
    <row r="273" spans="3:20">
      <c r="C273" s="13">
        <f>IF(D273&lt;&gt;"",COUNTA($D$10:D273),"")</f>
        <v>225</v>
      </c>
      <c r="D273" s="14" t="s">
        <v>203</v>
      </c>
      <c r="E273" s="14">
        <v>2.1</v>
      </c>
      <c r="F273" s="14">
        <v>3.5</v>
      </c>
      <c r="G273" s="14">
        <v>2.4</v>
      </c>
      <c r="H273" s="14">
        <v>0</v>
      </c>
      <c r="I273" s="14">
        <v>1</v>
      </c>
      <c r="J273" s="14">
        <v>1.75</v>
      </c>
      <c r="K273" s="14">
        <v>3</v>
      </c>
      <c r="L273" s="15">
        <v>0.1</v>
      </c>
      <c r="M273" s="15">
        <v>0</v>
      </c>
      <c r="N273" s="14">
        <v>24</v>
      </c>
      <c r="O273" s="14">
        <v>50</v>
      </c>
      <c r="P273" s="13">
        <v>45</v>
      </c>
      <c r="Q273" s="13">
        <v>85</v>
      </c>
      <c r="R273" s="13" t="s">
        <v>17</v>
      </c>
      <c r="S273" s="13">
        <v>120</v>
      </c>
      <c r="T273" s="856" t="s">
        <v>85</v>
      </c>
    </row>
    <row r="274" spans="3:20">
      <c r="C274" s="13">
        <f>IF(D274&lt;&gt;"",COUNTA($D$10:D274),"")</f>
        <v>226</v>
      </c>
      <c r="D274" s="14" t="s">
        <v>204</v>
      </c>
      <c r="E274" s="14">
        <v>2.7</v>
      </c>
      <c r="F274" s="14">
        <v>4</v>
      </c>
      <c r="G274" s="14">
        <v>2.4</v>
      </c>
      <c r="H274" s="14">
        <v>2</v>
      </c>
      <c r="I274" s="14">
        <v>1</v>
      </c>
      <c r="J274" s="14">
        <v>1.75</v>
      </c>
      <c r="K274" s="14">
        <v>3</v>
      </c>
      <c r="L274" s="15">
        <v>0.1</v>
      </c>
      <c r="M274" s="15">
        <v>0</v>
      </c>
      <c r="N274" s="14">
        <v>24</v>
      </c>
      <c r="O274" s="14">
        <v>50</v>
      </c>
      <c r="P274" s="13">
        <v>45</v>
      </c>
      <c r="Q274" s="13">
        <v>85</v>
      </c>
      <c r="R274" s="13" t="s">
        <v>17</v>
      </c>
      <c r="S274" s="13">
        <v>120</v>
      </c>
      <c r="T274" s="856" t="s">
        <v>85</v>
      </c>
    </row>
    <row r="275" spans="3:20">
      <c r="C275" s="13">
        <f>IF(D275&lt;&gt;"",COUNTA($D$10:D275),"")</f>
        <v>227</v>
      </c>
      <c r="D275" s="14" t="s">
        <v>205</v>
      </c>
      <c r="E275" s="14">
        <v>3.8</v>
      </c>
      <c r="F275" s="14">
        <v>4.2</v>
      </c>
      <c r="G275" s="14">
        <v>2.4</v>
      </c>
      <c r="H275" s="14">
        <v>3</v>
      </c>
      <c r="I275" s="14">
        <v>3</v>
      </c>
      <c r="J275" s="14">
        <v>1.75</v>
      </c>
      <c r="K275" s="14">
        <v>3</v>
      </c>
      <c r="L275" s="15">
        <v>0.1</v>
      </c>
      <c r="M275" s="15">
        <v>0</v>
      </c>
      <c r="N275" s="14">
        <v>24</v>
      </c>
      <c r="O275" s="14">
        <v>50</v>
      </c>
      <c r="P275" s="13">
        <v>45</v>
      </c>
      <c r="Q275" s="13">
        <v>85</v>
      </c>
      <c r="R275" s="13" t="s">
        <v>17</v>
      </c>
      <c r="S275" s="13">
        <v>120</v>
      </c>
      <c r="T275" s="856" t="s">
        <v>85</v>
      </c>
    </row>
    <row r="276" spans="3:20">
      <c r="C276" s="13">
        <f>IF(D276&lt;&gt;"",COUNTA($D$10:D276),"")</f>
        <v>228</v>
      </c>
      <c r="D276" s="14" t="s">
        <v>206</v>
      </c>
      <c r="E276" s="14">
        <v>3.1</v>
      </c>
      <c r="F276" s="14">
        <v>2.6</v>
      </c>
      <c r="G276" s="14">
        <v>2.4</v>
      </c>
      <c r="H276" s="14">
        <v>2</v>
      </c>
      <c r="I276" s="14">
        <v>1</v>
      </c>
      <c r="J276" s="14">
        <v>1.75</v>
      </c>
      <c r="K276" s="14">
        <v>3</v>
      </c>
      <c r="L276" s="15">
        <v>0.1</v>
      </c>
      <c r="M276" s="15">
        <v>0</v>
      </c>
      <c r="N276" s="14">
        <v>24</v>
      </c>
      <c r="O276" s="14">
        <v>50</v>
      </c>
      <c r="P276" s="13">
        <v>45</v>
      </c>
      <c r="Q276" s="13">
        <v>85</v>
      </c>
      <c r="R276" s="13" t="s">
        <v>17</v>
      </c>
      <c r="S276" s="13">
        <v>120</v>
      </c>
      <c r="T276" s="856" t="s">
        <v>85</v>
      </c>
    </row>
    <row r="277" spans="3:20">
      <c r="C277" s="13">
        <f>IF(D277&lt;&gt;"",COUNTA($D$10:D277),"")</f>
        <v>229</v>
      </c>
      <c r="D277" s="14" t="s">
        <v>207</v>
      </c>
      <c r="E277" s="14">
        <v>1.9</v>
      </c>
      <c r="F277" s="14">
        <v>2.4</v>
      </c>
      <c r="G277" s="14">
        <v>2.4</v>
      </c>
      <c r="H277" s="14">
        <v>3</v>
      </c>
      <c r="I277" s="14">
        <v>2</v>
      </c>
      <c r="J277" s="14">
        <v>1.75</v>
      </c>
      <c r="K277" s="14">
        <v>3</v>
      </c>
      <c r="L277" s="15">
        <v>0.1</v>
      </c>
      <c r="M277" s="15">
        <v>0</v>
      </c>
      <c r="N277" s="14">
        <v>24</v>
      </c>
      <c r="O277" s="14">
        <v>50</v>
      </c>
      <c r="P277" s="13">
        <v>45</v>
      </c>
      <c r="Q277" s="13">
        <v>85</v>
      </c>
      <c r="R277" s="13" t="s">
        <v>17</v>
      </c>
      <c r="S277" s="13">
        <v>120</v>
      </c>
      <c r="T277" s="856" t="s">
        <v>85</v>
      </c>
    </row>
    <row r="278" spans="3:20">
      <c r="C278" s="13">
        <f>IF(D278&lt;&gt;"",COUNTA($D$10:D278),"")</f>
        <v>230</v>
      </c>
      <c r="D278" s="14" t="s">
        <v>208</v>
      </c>
      <c r="E278" s="14">
        <v>3</v>
      </c>
      <c r="F278" s="14">
        <v>2.9</v>
      </c>
      <c r="G278" s="14">
        <v>2.4</v>
      </c>
      <c r="H278" s="14">
        <v>2</v>
      </c>
      <c r="I278" s="14">
        <v>1</v>
      </c>
      <c r="J278" s="14">
        <v>1.75</v>
      </c>
      <c r="K278" s="14">
        <v>3</v>
      </c>
      <c r="L278" s="15">
        <v>0.1</v>
      </c>
      <c r="M278" s="15">
        <v>0</v>
      </c>
      <c r="N278" s="14">
        <v>24</v>
      </c>
      <c r="O278" s="14">
        <v>50</v>
      </c>
      <c r="P278" s="13">
        <v>45</v>
      </c>
      <c r="Q278" s="13">
        <v>85</v>
      </c>
      <c r="R278" s="13" t="s">
        <v>17</v>
      </c>
      <c r="S278" s="13">
        <v>120</v>
      </c>
      <c r="T278" s="856" t="s">
        <v>85</v>
      </c>
    </row>
    <row r="279" spans="3:20">
      <c r="C279" s="13">
        <f>IF(D279&lt;&gt;"",COUNTA($D$10:D279),"")</f>
        <v>231</v>
      </c>
      <c r="D279" s="14" t="s">
        <v>209</v>
      </c>
      <c r="E279" s="14">
        <v>2.4</v>
      </c>
      <c r="F279" s="14">
        <v>2</v>
      </c>
      <c r="G279" s="14">
        <v>2.4</v>
      </c>
      <c r="H279" s="14">
        <v>2</v>
      </c>
      <c r="I279" s="14">
        <v>1</v>
      </c>
      <c r="J279" s="14">
        <v>1.75</v>
      </c>
      <c r="K279" s="14">
        <v>3</v>
      </c>
      <c r="L279" s="15">
        <v>0.1</v>
      </c>
      <c r="M279" s="15">
        <v>0</v>
      </c>
      <c r="N279" s="14">
        <v>24</v>
      </c>
      <c r="O279" s="14">
        <v>50</v>
      </c>
      <c r="P279" s="13">
        <v>45</v>
      </c>
      <c r="Q279" s="13">
        <v>85</v>
      </c>
      <c r="R279" s="13" t="s">
        <v>17</v>
      </c>
      <c r="S279" s="13">
        <v>120</v>
      </c>
      <c r="T279" s="856" t="s">
        <v>85</v>
      </c>
    </row>
    <row r="280" spans="3:20">
      <c r="C280" s="13">
        <f>IF(D280&lt;&gt;"",COUNTA($D$10:D280),"")</f>
        <v>232</v>
      </c>
      <c r="D280" s="14" t="s">
        <v>210</v>
      </c>
      <c r="E280" s="14">
        <v>2.1</v>
      </c>
      <c r="F280" s="14">
        <v>1.8</v>
      </c>
      <c r="G280" s="14">
        <v>2.4</v>
      </c>
      <c r="H280" s="14">
        <v>2</v>
      </c>
      <c r="I280" s="14">
        <v>1</v>
      </c>
      <c r="J280" s="14">
        <v>1.75</v>
      </c>
      <c r="K280" s="14">
        <v>3</v>
      </c>
      <c r="L280" s="15">
        <v>0.1</v>
      </c>
      <c r="M280" s="15">
        <v>0</v>
      </c>
      <c r="N280" s="14">
        <v>24</v>
      </c>
      <c r="O280" s="14">
        <v>50</v>
      </c>
      <c r="P280" s="13">
        <v>45</v>
      </c>
      <c r="Q280" s="13">
        <v>85</v>
      </c>
      <c r="R280" s="13" t="s">
        <v>17</v>
      </c>
      <c r="S280" s="13">
        <v>120</v>
      </c>
      <c r="T280" s="856" t="s">
        <v>85</v>
      </c>
    </row>
    <row r="281" spans="3:20">
      <c r="C281" s="13">
        <f>IF(D281&lt;&gt;"",COUNTA($D$10:D281),"")</f>
        <v>233</v>
      </c>
      <c r="D281" s="14" t="s">
        <v>211</v>
      </c>
      <c r="E281" s="14">
        <v>1.8</v>
      </c>
      <c r="F281" s="14">
        <v>1.9</v>
      </c>
      <c r="G281" s="14">
        <v>2.4</v>
      </c>
      <c r="H281" s="14">
        <v>2</v>
      </c>
      <c r="I281" s="14">
        <v>1</v>
      </c>
      <c r="J281" s="14">
        <v>1.75</v>
      </c>
      <c r="K281" s="14">
        <v>3</v>
      </c>
      <c r="L281" s="15">
        <v>0.1</v>
      </c>
      <c r="M281" s="15">
        <v>0</v>
      </c>
      <c r="N281" s="14">
        <v>24</v>
      </c>
      <c r="O281" s="14">
        <v>50</v>
      </c>
      <c r="P281" s="13">
        <v>45</v>
      </c>
      <c r="Q281" s="13">
        <v>85</v>
      </c>
      <c r="R281" s="13" t="s">
        <v>17</v>
      </c>
      <c r="S281" s="13">
        <v>120</v>
      </c>
      <c r="T281" s="856" t="s">
        <v>85</v>
      </c>
    </row>
    <row r="282" spans="3:20">
      <c r="C282" s="13">
        <f>IF(D282&lt;&gt;"",COUNTA($D$10:D282),"")</f>
        <v>234</v>
      </c>
      <c r="D282" s="14" t="s">
        <v>212</v>
      </c>
      <c r="E282" s="14">
        <v>1.9</v>
      </c>
      <c r="F282" s="14">
        <v>2</v>
      </c>
      <c r="G282" s="14">
        <v>2.4</v>
      </c>
      <c r="H282" s="14">
        <v>2</v>
      </c>
      <c r="I282" s="14">
        <v>1</v>
      </c>
      <c r="J282" s="14">
        <v>1.75</v>
      </c>
      <c r="K282" s="14">
        <v>3</v>
      </c>
      <c r="L282" s="15">
        <v>0.1</v>
      </c>
      <c r="M282" s="15">
        <v>0</v>
      </c>
      <c r="N282" s="14">
        <v>24</v>
      </c>
      <c r="O282" s="14">
        <v>50</v>
      </c>
      <c r="P282" s="13">
        <v>45</v>
      </c>
      <c r="Q282" s="13">
        <v>85</v>
      </c>
      <c r="R282" s="13" t="s">
        <v>17</v>
      </c>
      <c r="S282" s="13">
        <v>120</v>
      </c>
      <c r="T282" s="856" t="s">
        <v>85</v>
      </c>
    </row>
    <row r="283" spans="3:20">
      <c r="C283" s="13">
        <f>IF(D283&lt;&gt;"",COUNTA($D$10:D283),"")</f>
        <v>235</v>
      </c>
      <c r="D283" s="14" t="s">
        <v>213</v>
      </c>
      <c r="E283" s="14">
        <v>2.2999999999999998</v>
      </c>
      <c r="F283" s="14">
        <v>2.2000000000000002</v>
      </c>
      <c r="G283" s="14">
        <v>2.4</v>
      </c>
      <c r="H283" s="14">
        <v>2</v>
      </c>
      <c r="I283" s="14">
        <v>1</v>
      </c>
      <c r="J283" s="14">
        <v>1.75</v>
      </c>
      <c r="K283" s="14">
        <v>3</v>
      </c>
      <c r="L283" s="15">
        <v>0.1</v>
      </c>
      <c r="M283" s="15">
        <v>0</v>
      </c>
      <c r="N283" s="14">
        <v>24</v>
      </c>
      <c r="O283" s="14">
        <v>50</v>
      </c>
      <c r="P283" s="13">
        <v>45</v>
      </c>
      <c r="Q283" s="13">
        <v>85</v>
      </c>
      <c r="R283" s="13" t="s">
        <v>17</v>
      </c>
      <c r="S283" s="13">
        <v>120</v>
      </c>
      <c r="T283" s="856" t="s">
        <v>85</v>
      </c>
    </row>
    <row r="284" spans="3:20">
      <c r="C284" s="13">
        <f>IF(D284&lt;&gt;"",COUNTA($D$10:D284),"")</f>
        <v>236</v>
      </c>
      <c r="D284" s="14" t="s">
        <v>214</v>
      </c>
      <c r="E284" s="14">
        <v>2.2000000000000002</v>
      </c>
      <c r="F284" s="14">
        <v>2.8</v>
      </c>
      <c r="G284" s="14">
        <v>2.4</v>
      </c>
      <c r="H284" s="14">
        <v>2</v>
      </c>
      <c r="I284" s="14">
        <v>1</v>
      </c>
      <c r="J284" s="14">
        <v>1.75</v>
      </c>
      <c r="K284" s="14">
        <v>3</v>
      </c>
      <c r="L284" s="15">
        <v>0.1</v>
      </c>
      <c r="M284" s="15">
        <v>0</v>
      </c>
      <c r="N284" s="14">
        <v>24</v>
      </c>
      <c r="O284" s="14">
        <v>50</v>
      </c>
      <c r="P284" s="13">
        <v>45</v>
      </c>
      <c r="Q284" s="13">
        <v>85</v>
      </c>
      <c r="R284" s="13" t="s">
        <v>17</v>
      </c>
      <c r="S284" s="13">
        <v>120</v>
      </c>
      <c r="T284" s="856" t="s">
        <v>85</v>
      </c>
    </row>
    <row r="285" spans="3:20">
      <c r="C285" s="13">
        <f>IF(D285&lt;&gt;"",COUNTA($D$10:D285),"")</f>
        <v>237</v>
      </c>
      <c r="D285" s="14" t="s">
        <v>215</v>
      </c>
      <c r="E285" s="14">
        <v>2.8</v>
      </c>
      <c r="F285" s="14">
        <v>2.4</v>
      </c>
      <c r="G285" s="14">
        <v>2.4</v>
      </c>
      <c r="H285" s="14">
        <v>2</v>
      </c>
      <c r="I285" s="14">
        <v>1</v>
      </c>
      <c r="J285" s="14">
        <v>1.75</v>
      </c>
      <c r="K285" s="14">
        <v>3</v>
      </c>
      <c r="L285" s="15">
        <v>0.1</v>
      </c>
      <c r="M285" s="15">
        <v>0</v>
      </c>
      <c r="N285" s="14">
        <v>24</v>
      </c>
      <c r="O285" s="14">
        <v>50</v>
      </c>
      <c r="P285" s="13">
        <v>45</v>
      </c>
      <c r="Q285" s="13">
        <v>85</v>
      </c>
      <c r="R285" s="13" t="s">
        <v>17</v>
      </c>
      <c r="S285" s="13">
        <v>120</v>
      </c>
      <c r="T285" s="856" t="s">
        <v>85</v>
      </c>
    </row>
    <row r="286" spans="3:20">
      <c r="C286" s="19"/>
      <c r="D286" s="19"/>
      <c r="E286" s="19"/>
      <c r="F286" s="19"/>
      <c r="G286" s="19"/>
      <c r="H286" s="19"/>
      <c r="I286" s="19"/>
      <c r="J286" s="19"/>
      <c r="K286" s="19"/>
      <c r="L286" s="19"/>
      <c r="M286" s="19"/>
      <c r="N286" s="19"/>
      <c r="O286" s="19"/>
      <c r="P286" s="19"/>
      <c r="Q286" s="19"/>
      <c r="R286" s="19"/>
      <c r="S286" s="19"/>
      <c r="T286" s="19"/>
    </row>
    <row r="288" spans="3:20" ht="26.1">
      <c r="C288" s="8" t="str">
        <f>"Zoning Area AHU - " &amp; INT((ROW()-8)/20)+1 &amp; "  " &amp; IF(ISNUMBER(N290),"Air-Conditioning System " &amp; IF(AH290="D","(DX)",IF(AH290="C","(Chilled Water)","")),IF(AND(N290="Amb",ISTEXT(N290)),"Ventilation System","Refer"))</f>
        <v xml:space="preserve">Zoning Area AHU - 15  Air-Conditioning System </v>
      </c>
      <c r="D288" s="8"/>
      <c r="E288" s="8"/>
      <c r="F288" s="8"/>
      <c r="G288" s="8"/>
      <c r="H288" s="8"/>
      <c r="I288" s="8"/>
      <c r="J288" s="8"/>
      <c r="K288" s="8"/>
      <c r="L288" s="8"/>
      <c r="M288" s="8"/>
      <c r="N288" s="8"/>
      <c r="O288" s="8"/>
      <c r="P288" s="8"/>
      <c r="Q288" s="8"/>
      <c r="R288" s="8"/>
      <c r="S288" s="8"/>
      <c r="T288" s="8"/>
    </row>
    <row r="289" spans="3:20">
      <c r="C289" s="13">
        <f>IF(D289&lt;&gt;"",COUNTA($D$10:D289),"")</f>
        <v>238</v>
      </c>
      <c r="D289" s="5" t="s">
        <v>165</v>
      </c>
      <c r="E289" s="5" t="s">
        <v>166</v>
      </c>
      <c r="F289" s="5" t="s">
        <v>167</v>
      </c>
      <c r="G289" s="5" t="s">
        <v>168</v>
      </c>
      <c r="H289" s="5" t="s">
        <v>169</v>
      </c>
      <c r="I289" s="5" t="s">
        <v>170</v>
      </c>
      <c r="J289" s="5" t="s">
        <v>171</v>
      </c>
      <c r="K289" s="5" t="s">
        <v>172</v>
      </c>
      <c r="L289" s="5" t="s">
        <v>173</v>
      </c>
      <c r="M289" s="5" t="s">
        <v>174</v>
      </c>
      <c r="N289" s="5" t="s">
        <v>175</v>
      </c>
      <c r="O289" s="5" t="s">
        <v>176</v>
      </c>
      <c r="P289" s="5" t="s">
        <v>177</v>
      </c>
      <c r="Q289" s="5" t="s">
        <v>178</v>
      </c>
      <c r="R289" s="5" t="s">
        <v>199</v>
      </c>
      <c r="S289" s="5" t="s">
        <v>180</v>
      </c>
      <c r="T289" s="5" t="s">
        <v>180</v>
      </c>
    </row>
    <row r="290" spans="3:20">
      <c r="C290" s="13">
        <f>IF(D290&lt;&gt;"",COUNTA($D$10:D290),"")</f>
        <v>239</v>
      </c>
      <c r="D290" s="14" t="s">
        <v>200</v>
      </c>
      <c r="E290" s="14">
        <v>3</v>
      </c>
      <c r="F290" s="14">
        <v>3</v>
      </c>
      <c r="G290" s="14">
        <v>2.4</v>
      </c>
      <c r="H290" s="14">
        <v>1</v>
      </c>
      <c r="I290" s="14">
        <v>2</v>
      </c>
      <c r="J290" s="14">
        <v>1.75</v>
      </c>
      <c r="K290" s="14">
        <v>3</v>
      </c>
      <c r="L290" s="15">
        <v>0.1</v>
      </c>
      <c r="M290" s="15">
        <v>0</v>
      </c>
      <c r="N290" s="14">
        <v>24</v>
      </c>
      <c r="O290" s="14">
        <v>50</v>
      </c>
      <c r="P290" s="13">
        <v>45</v>
      </c>
      <c r="Q290" s="13">
        <v>85</v>
      </c>
      <c r="R290" s="13" t="s">
        <v>17</v>
      </c>
      <c r="S290" s="13">
        <v>120</v>
      </c>
      <c r="T290" s="856" t="s">
        <v>85</v>
      </c>
    </row>
    <row r="291" spans="3:20">
      <c r="C291" s="13">
        <f>IF(D291&lt;&gt;"",COUNTA($D$10:D291),"")</f>
        <v>240</v>
      </c>
      <c r="D291" s="14" t="s">
        <v>201</v>
      </c>
      <c r="E291" s="14">
        <v>1.8</v>
      </c>
      <c r="F291" s="14">
        <v>2.2000000000000002</v>
      </c>
      <c r="G291" s="14">
        <v>2.4</v>
      </c>
      <c r="H291" s="14">
        <v>2</v>
      </c>
      <c r="I291" s="14">
        <v>1</v>
      </c>
      <c r="J291" s="14">
        <v>1.75</v>
      </c>
      <c r="K291" s="14">
        <v>3</v>
      </c>
      <c r="L291" s="15">
        <v>0.1</v>
      </c>
      <c r="M291" s="15">
        <v>0</v>
      </c>
      <c r="N291" s="14">
        <v>24</v>
      </c>
      <c r="O291" s="14">
        <v>50</v>
      </c>
      <c r="P291" s="13">
        <v>45</v>
      </c>
      <c r="Q291" s="13">
        <v>85</v>
      </c>
      <c r="R291" s="13" t="s">
        <v>17</v>
      </c>
      <c r="S291" s="13">
        <v>120</v>
      </c>
      <c r="T291" s="856" t="s">
        <v>85</v>
      </c>
    </row>
    <row r="292" spans="3:20">
      <c r="C292" s="13">
        <f>IF(D292&lt;&gt;"",COUNTA($D$10:D292),"")</f>
        <v>241</v>
      </c>
      <c r="D292" s="14" t="s">
        <v>202</v>
      </c>
      <c r="E292" s="14">
        <v>1.5</v>
      </c>
      <c r="F292" s="14">
        <v>2.8</v>
      </c>
      <c r="G292" s="14">
        <v>2.4</v>
      </c>
      <c r="H292" s="14">
        <v>2</v>
      </c>
      <c r="I292" s="14">
        <v>3</v>
      </c>
      <c r="J292" s="14">
        <v>1.75</v>
      </c>
      <c r="K292" s="14">
        <v>3</v>
      </c>
      <c r="L292" s="15">
        <v>0.1</v>
      </c>
      <c r="M292" s="15">
        <v>0</v>
      </c>
      <c r="N292" s="14">
        <v>24</v>
      </c>
      <c r="O292" s="14">
        <v>50</v>
      </c>
      <c r="P292" s="13">
        <v>45</v>
      </c>
      <c r="Q292" s="13">
        <v>85</v>
      </c>
      <c r="R292" s="13" t="s">
        <v>17</v>
      </c>
      <c r="S292" s="13">
        <v>120</v>
      </c>
      <c r="T292" s="856" t="s">
        <v>85</v>
      </c>
    </row>
    <row r="293" spans="3:20">
      <c r="C293" s="13">
        <f>IF(D293&lt;&gt;"",COUNTA($D$10:D293),"")</f>
        <v>242</v>
      </c>
      <c r="D293" s="14" t="s">
        <v>203</v>
      </c>
      <c r="E293" s="14">
        <v>2.1</v>
      </c>
      <c r="F293" s="14">
        <v>3.5</v>
      </c>
      <c r="G293" s="14">
        <v>2.4</v>
      </c>
      <c r="H293" s="14">
        <v>0</v>
      </c>
      <c r="I293" s="14">
        <v>1</v>
      </c>
      <c r="J293" s="14">
        <v>1.75</v>
      </c>
      <c r="K293" s="14">
        <v>3</v>
      </c>
      <c r="L293" s="15">
        <v>0.1</v>
      </c>
      <c r="M293" s="15">
        <v>0</v>
      </c>
      <c r="N293" s="14">
        <v>24</v>
      </c>
      <c r="O293" s="14">
        <v>50</v>
      </c>
      <c r="P293" s="13">
        <v>45</v>
      </c>
      <c r="Q293" s="13">
        <v>85</v>
      </c>
      <c r="R293" s="13" t="s">
        <v>17</v>
      </c>
      <c r="S293" s="13">
        <v>120</v>
      </c>
      <c r="T293" s="856" t="s">
        <v>85</v>
      </c>
    </row>
    <row r="294" spans="3:20">
      <c r="C294" s="13">
        <f>IF(D294&lt;&gt;"",COUNTA($D$10:D294),"")</f>
        <v>243</v>
      </c>
      <c r="D294" s="14" t="s">
        <v>204</v>
      </c>
      <c r="E294" s="14">
        <v>2.7</v>
      </c>
      <c r="F294" s="14">
        <v>4</v>
      </c>
      <c r="G294" s="14">
        <v>2.4</v>
      </c>
      <c r="H294" s="14">
        <v>2</v>
      </c>
      <c r="I294" s="14">
        <v>1</v>
      </c>
      <c r="J294" s="14">
        <v>1.75</v>
      </c>
      <c r="K294" s="14">
        <v>3</v>
      </c>
      <c r="L294" s="15">
        <v>0.1</v>
      </c>
      <c r="M294" s="15">
        <v>0</v>
      </c>
      <c r="N294" s="14">
        <v>24</v>
      </c>
      <c r="O294" s="14">
        <v>50</v>
      </c>
      <c r="P294" s="13">
        <v>45</v>
      </c>
      <c r="Q294" s="13">
        <v>85</v>
      </c>
      <c r="R294" s="13" t="s">
        <v>17</v>
      </c>
      <c r="S294" s="13">
        <v>120</v>
      </c>
      <c r="T294" s="856" t="s">
        <v>85</v>
      </c>
    </row>
    <row r="295" spans="3:20">
      <c r="C295" s="13">
        <f>IF(D295&lt;&gt;"",COUNTA($D$10:D295),"")</f>
        <v>244</v>
      </c>
      <c r="D295" s="14" t="s">
        <v>205</v>
      </c>
      <c r="E295" s="14">
        <v>3.8</v>
      </c>
      <c r="F295" s="14">
        <v>4.2</v>
      </c>
      <c r="G295" s="14">
        <v>2.4</v>
      </c>
      <c r="H295" s="14">
        <v>3</v>
      </c>
      <c r="I295" s="14">
        <v>3</v>
      </c>
      <c r="J295" s="14">
        <v>1.75</v>
      </c>
      <c r="K295" s="14">
        <v>3</v>
      </c>
      <c r="L295" s="15">
        <v>0.1</v>
      </c>
      <c r="M295" s="15">
        <v>0</v>
      </c>
      <c r="N295" s="14">
        <v>24</v>
      </c>
      <c r="O295" s="14">
        <v>50</v>
      </c>
      <c r="P295" s="13">
        <v>45</v>
      </c>
      <c r="Q295" s="13">
        <v>85</v>
      </c>
      <c r="R295" s="13" t="s">
        <v>17</v>
      </c>
      <c r="S295" s="13">
        <v>120</v>
      </c>
      <c r="T295" s="856" t="s">
        <v>85</v>
      </c>
    </row>
    <row r="296" spans="3:20">
      <c r="C296" s="13">
        <f>IF(D296&lt;&gt;"",COUNTA($D$10:D296),"")</f>
        <v>245</v>
      </c>
      <c r="D296" s="14" t="s">
        <v>206</v>
      </c>
      <c r="E296" s="14">
        <v>3.1</v>
      </c>
      <c r="F296" s="14">
        <v>2.6</v>
      </c>
      <c r="G296" s="14">
        <v>2.4</v>
      </c>
      <c r="H296" s="14">
        <v>2</v>
      </c>
      <c r="I296" s="14">
        <v>1</v>
      </c>
      <c r="J296" s="14">
        <v>1.75</v>
      </c>
      <c r="K296" s="14">
        <v>3</v>
      </c>
      <c r="L296" s="15">
        <v>0.1</v>
      </c>
      <c r="M296" s="15">
        <v>0</v>
      </c>
      <c r="N296" s="14">
        <v>24</v>
      </c>
      <c r="O296" s="14">
        <v>50</v>
      </c>
      <c r="P296" s="13">
        <v>45</v>
      </c>
      <c r="Q296" s="13">
        <v>85</v>
      </c>
      <c r="R296" s="13" t="s">
        <v>17</v>
      </c>
      <c r="S296" s="13">
        <v>120</v>
      </c>
      <c r="T296" s="856" t="s">
        <v>85</v>
      </c>
    </row>
    <row r="297" spans="3:20">
      <c r="C297" s="13">
        <f>IF(D297&lt;&gt;"",COUNTA($D$10:D297),"")</f>
        <v>246</v>
      </c>
      <c r="D297" s="14" t="s">
        <v>207</v>
      </c>
      <c r="E297" s="14">
        <v>1.9</v>
      </c>
      <c r="F297" s="14">
        <v>2.4</v>
      </c>
      <c r="G297" s="14">
        <v>2.4</v>
      </c>
      <c r="H297" s="14">
        <v>3</v>
      </c>
      <c r="I297" s="14">
        <v>2</v>
      </c>
      <c r="J297" s="14">
        <v>1.75</v>
      </c>
      <c r="K297" s="14">
        <v>3</v>
      </c>
      <c r="L297" s="15">
        <v>0.1</v>
      </c>
      <c r="M297" s="15">
        <v>0</v>
      </c>
      <c r="N297" s="14">
        <v>24</v>
      </c>
      <c r="O297" s="14">
        <v>50</v>
      </c>
      <c r="P297" s="13">
        <v>45</v>
      </c>
      <c r="Q297" s="13">
        <v>85</v>
      </c>
      <c r="R297" s="13" t="s">
        <v>17</v>
      </c>
      <c r="S297" s="13">
        <v>120</v>
      </c>
      <c r="T297" s="856" t="s">
        <v>85</v>
      </c>
    </row>
    <row r="298" spans="3:20">
      <c r="C298" s="13">
        <f>IF(D298&lt;&gt;"",COUNTA($D$10:D298),"")</f>
        <v>247</v>
      </c>
      <c r="D298" s="14" t="s">
        <v>208</v>
      </c>
      <c r="E298" s="14">
        <v>3</v>
      </c>
      <c r="F298" s="14">
        <v>2.9</v>
      </c>
      <c r="G298" s="14">
        <v>2.4</v>
      </c>
      <c r="H298" s="14">
        <v>2</v>
      </c>
      <c r="I298" s="14">
        <v>1</v>
      </c>
      <c r="J298" s="14">
        <v>1.75</v>
      </c>
      <c r="K298" s="14">
        <v>3</v>
      </c>
      <c r="L298" s="15">
        <v>0.1</v>
      </c>
      <c r="M298" s="15">
        <v>0</v>
      </c>
      <c r="N298" s="14">
        <v>24</v>
      </c>
      <c r="O298" s="14">
        <v>50</v>
      </c>
      <c r="P298" s="13">
        <v>45</v>
      </c>
      <c r="Q298" s="13">
        <v>85</v>
      </c>
      <c r="R298" s="13" t="s">
        <v>17</v>
      </c>
      <c r="S298" s="13">
        <v>120</v>
      </c>
      <c r="T298" s="856" t="s">
        <v>85</v>
      </c>
    </row>
    <row r="299" spans="3:20">
      <c r="C299" s="13">
        <f>IF(D299&lt;&gt;"",COUNTA($D$10:D299),"")</f>
        <v>248</v>
      </c>
      <c r="D299" s="14" t="s">
        <v>209</v>
      </c>
      <c r="E299" s="14">
        <v>2.4</v>
      </c>
      <c r="F299" s="14">
        <v>2</v>
      </c>
      <c r="G299" s="14">
        <v>2.4</v>
      </c>
      <c r="H299" s="14">
        <v>2</v>
      </c>
      <c r="I299" s="14">
        <v>1</v>
      </c>
      <c r="J299" s="14">
        <v>1.75</v>
      </c>
      <c r="K299" s="14">
        <v>3</v>
      </c>
      <c r="L299" s="15">
        <v>0.1</v>
      </c>
      <c r="M299" s="15">
        <v>0</v>
      </c>
      <c r="N299" s="14">
        <v>24</v>
      </c>
      <c r="O299" s="14">
        <v>50</v>
      </c>
      <c r="P299" s="13">
        <v>45</v>
      </c>
      <c r="Q299" s="13">
        <v>85</v>
      </c>
      <c r="R299" s="13" t="s">
        <v>17</v>
      </c>
      <c r="S299" s="13">
        <v>120</v>
      </c>
      <c r="T299" s="856" t="s">
        <v>85</v>
      </c>
    </row>
    <row r="300" spans="3:20">
      <c r="C300" s="13">
        <f>IF(D300&lt;&gt;"",COUNTA($D$10:D300),"")</f>
        <v>249</v>
      </c>
      <c r="D300" s="14" t="s">
        <v>210</v>
      </c>
      <c r="E300" s="14">
        <v>2.1</v>
      </c>
      <c r="F300" s="14">
        <v>1.8</v>
      </c>
      <c r="G300" s="14">
        <v>2.4</v>
      </c>
      <c r="H300" s="14">
        <v>2</v>
      </c>
      <c r="I300" s="14">
        <v>1</v>
      </c>
      <c r="J300" s="14">
        <v>1.75</v>
      </c>
      <c r="K300" s="14">
        <v>3</v>
      </c>
      <c r="L300" s="15">
        <v>0.1</v>
      </c>
      <c r="M300" s="15">
        <v>0</v>
      </c>
      <c r="N300" s="14">
        <v>24</v>
      </c>
      <c r="O300" s="14">
        <v>50</v>
      </c>
      <c r="P300" s="13">
        <v>45</v>
      </c>
      <c r="Q300" s="13">
        <v>85</v>
      </c>
      <c r="R300" s="13" t="s">
        <v>17</v>
      </c>
      <c r="S300" s="13">
        <v>120</v>
      </c>
      <c r="T300" s="856" t="s">
        <v>85</v>
      </c>
    </row>
    <row r="301" spans="3:20">
      <c r="C301" s="13">
        <f>IF(D301&lt;&gt;"",COUNTA($D$10:D301),"")</f>
        <v>250</v>
      </c>
      <c r="D301" s="14" t="s">
        <v>211</v>
      </c>
      <c r="E301" s="14">
        <v>1.8</v>
      </c>
      <c r="F301" s="14">
        <v>1.9</v>
      </c>
      <c r="G301" s="14">
        <v>2.4</v>
      </c>
      <c r="H301" s="14">
        <v>2</v>
      </c>
      <c r="I301" s="14">
        <v>1</v>
      </c>
      <c r="J301" s="14">
        <v>1.75</v>
      </c>
      <c r="K301" s="14">
        <v>3</v>
      </c>
      <c r="L301" s="15">
        <v>0.1</v>
      </c>
      <c r="M301" s="15">
        <v>0</v>
      </c>
      <c r="N301" s="14">
        <v>24</v>
      </c>
      <c r="O301" s="14">
        <v>50</v>
      </c>
      <c r="P301" s="13">
        <v>45</v>
      </c>
      <c r="Q301" s="13">
        <v>85</v>
      </c>
      <c r="R301" s="13" t="s">
        <v>17</v>
      </c>
      <c r="S301" s="13">
        <v>120</v>
      </c>
      <c r="T301" s="856" t="s">
        <v>85</v>
      </c>
    </row>
    <row r="302" spans="3:20">
      <c r="C302" s="13">
        <f>IF(D302&lt;&gt;"",COUNTA($D$10:D302),"")</f>
        <v>251</v>
      </c>
      <c r="D302" s="14" t="s">
        <v>212</v>
      </c>
      <c r="E302" s="14">
        <v>1.9</v>
      </c>
      <c r="F302" s="14">
        <v>2</v>
      </c>
      <c r="G302" s="14">
        <v>2.4</v>
      </c>
      <c r="H302" s="14">
        <v>2</v>
      </c>
      <c r="I302" s="14">
        <v>1</v>
      </c>
      <c r="J302" s="14">
        <v>1.75</v>
      </c>
      <c r="K302" s="14">
        <v>3</v>
      </c>
      <c r="L302" s="15">
        <v>0.1</v>
      </c>
      <c r="M302" s="15">
        <v>0</v>
      </c>
      <c r="N302" s="14">
        <v>24</v>
      </c>
      <c r="O302" s="14">
        <v>50</v>
      </c>
      <c r="P302" s="13">
        <v>45</v>
      </c>
      <c r="Q302" s="13">
        <v>85</v>
      </c>
      <c r="R302" s="13" t="s">
        <v>17</v>
      </c>
      <c r="S302" s="13">
        <v>120</v>
      </c>
      <c r="T302" s="856" t="s">
        <v>85</v>
      </c>
    </row>
    <row r="303" spans="3:20">
      <c r="C303" s="13">
        <f>IF(D303&lt;&gt;"",COUNTA($D$10:D303),"")</f>
        <v>252</v>
      </c>
      <c r="D303" s="14" t="s">
        <v>213</v>
      </c>
      <c r="E303" s="14">
        <v>2.2999999999999998</v>
      </c>
      <c r="F303" s="14">
        <v>2.2000000000000002</v>
      </c>
      <c r="G303" s="14">
        <v>2.4</v>
      </c>
      <c r="H303" s="14">
        <v>2</v>
      </c>
      <c r="I303" s="14">
        <v>1</v>
      </c>
      <c r="J303" s="14">
        <v>1.75</v>
      </c>
      <c r="K303" s="14">
        <v>3</v>
      </c>
      <c r="L303" s="15">
        <v>0.1</v>
      </c>
      <c r="M303" s="15">
        <v>0</v>
      </c>
      <c r="N303" s="14">
        <v>24</v>
      </c>
      <c r="O303" s="14">
        <v>50</v>
      </c>
      <c r="P303" s="13">
        <v>45</v>
      </c>
      <c r="Q303" s="13">
        <v>85</v>
      </c>
      <c r="R303" s="13" t="s">
        <v>17</v>
      </c>
      <c r="S303" s="13">
        <v>120</v>
      </c>
      <c r="T303" s="856" t="s">
        <v>85</v>
      </c>
    </row>
    <row r="304" spans="3:20">
      <c r="C304" s="13">
        <f>IF(D304&lt;&gt;"",COUNTA($D$10:D304),"")</f>
        <v>253</v>
      </c>
      <c r="D304" s="14" t="s">
        <v>214</v>
      </c>
      <c r="E304" s="14">
        <v>2.2000000000000002</v>
      </c>
      <c r="F304" s="14">
        <v>2.8</v>
      </c>
      <c r="G304" s="14">
        <v>2.4</v>
      </c>
      <c r="H304" s="14">
        <v>2</v>
      </c>
      <c r="I304" s="14">
        <v>1</v>
      </c>
      <c r="J304" s="14">
        <v>1.75</v>
      </c>
      <c r="K304" s="14">
        <v>3</v>
      </c>
      <c r="L304" s="15">
        <v>0.1</v>
      </c>
      <c r="M304" s="15">
        <v>0</v>
      </c>
      <c r="N304" s="14">
        <v>24</v>
      </c>
      <c r="O304" s="14">
        <v>50</v>
      </c>
      <c r="P304" s="13">
        <v>45</v>
      </c>
      <c r="Q304" s="13">
        <v>85</v>
      </c>
      <c r="R304" s="13" t="s">
        <v>17</v>
      </c>
      <c r="S304" s="13">
        <v>120</v>
      </c>
      <c r="T304" s="856" t="s">
        <v>85</v>
      </c>
    </row>
    <row r="305" spans="3:20">
      <c r="C305" s="13">
        <f>IF(D305&lt;&gt;"",COUNTA($D$10:D305),"")</f>
        <v>254</v>
      </c>
      <c r="D305" s="14" t="s">
        <v>215</v>
      </c>
      <c r="E305" s="14">
        <v>2.8</v>
      </c>
      <c r="F305" s="14">
        <v>2.4</v>
      </c>
      <c r="G305" s="14">
        <v>2.4</v>
      </c>
      <c r="H305" s="14">
        <v>2</v>
      </c>
      <c r="I305" s="14">
        <v>1</v>
      </c>
      <c r="J305" s="14">
        <v>1.75</v>
      </c>
      <c r="K305" s="14">
        <v>3</v>
      </c>
      <c r="L305" s="15">
        <v>0.1</v>
      </c>
      <c r="M305" s="15">
        <v>0</v>
      </c>
      <c r="N305" s="14">
        <v>24</v>
      </c>
      <c r="O305" s="14">
        <v>50</v>
      </c>
      <c r="P305" s="13">
        <v>45</v>
      </c>
      <c r="Q305" s="13">
        <v>85</v>
      </c>
      <c r="R305" s="13" t="s">
        <v>17</v>
      </c>
      <c r="S305" s="13">
        <v>120</v>
      </c>
      <c r="T305" s="856" t="s">
        <v>85</v>
      </c>
    </row>
    <row r="306" spans="3:20">
      <c r="C306" s="19"/>
      <c r="D306" s="19"/>
      <c r="E306" s="19"/>
      <c r="F306" s="19"/>
      <c r="G306" s="19"/>
      <c r="H306" s="19"/>
      <c r="I306" s="19"/>
      <c r="J306" s="19"/>
      <c r="K306" s="19"/>
      <c r="L306" s="19"/>
      <c r="M306" s="19"/>
      <c r="N306" s="19"/>
      <c r="O306" s="19"/>
      <c r="P306" s="19"/>
      <c r="Q306" s="19"/>
      <c r="R306" s="19"/>
      <c r="S306" s="19"/>
      <c r="T306" s="19"/>
    </row>
    <row r="308" spans="3:20" ht="26.1">
      <c r="C308" s="8" t="str">
        <f>"Zoning Area AHU - " &amp; INT((ROW()-8)/20)+1 &amp; "  " &amp; IF(ISNUMBER(N310),"Air-Conditioning System " &amp; IF(AH310="D","(DX)",IF(AH310="C","(Chilled Water)","")),IF(AND(N310="Amb",ISTEXT(N310)),"Ventilation System","Refer"))</f>
        <v>Zoning Area AHU - 16  Ventilation System</v>
      </c>
      <c r="D308" s="8"/>
      <c r="E308" s="8"/>
      <c r="F308" s="8"/>
      <c r="G308" s="8"/>
      <c r="H308" s="8"/>
      <c r="I308" s="8"/>
      <c r="J308" s="8"/>
      <c r="K308" s="8"/>
      <c r="L308" s="8"/>
      <c r="M308" s="8"/>
      <c r="N308" s="8"/>
      <c r="O308" s="8"/>
      <c r="P308" s="8"/>
      <c r="Q308" s="8"/>
      <c r="R308" s="8"/>
      <c r="S308" s="8"/>
      <c r="T308" s="8"/>
    </row>
    <row r="309" spans="3:20">
      <c r="C309" s="13">
        <f>IF(D309&lt;&gt;"",COUNTA($D$10:D309),"")</f>
        <v>255</v>
      </c>
      <c r="D309" s="5" t="s">
        <v>165</v>
      </c>
      <c r="E309" s="5" t="s">
        <v>166</v>
      </c>
      <c r="F309" s="5" t="s">
        <v>167</v>
      </c>
      <c r="G309" s="5" t="s">
        <v>168</v>
      </c>
      <c r="H309" s="5" t="s">
        <v>169</v>
      </c>
      <c r="I309" s="5" t="s">
        <v>170</v>
      </c>
      <c r="J309" s="5" t="s">
        <v>171</v>
      </c>
      <c r="K309" s="5" t="s">
        <v>172</v>
      </c>
      <c r="L309" s="5" t="s">
        <v>173</v>
      </c>
      <c r="M309" s="5" t="s">
        <v>174</v>
      </c>
      <c r="N309" s="5" t="s">
        <v>175</v>
      </c>
      <c r="O309" s="5" t="s">
        <v>176</v>
      </c>
      <c r="P309" s="5" t="s">
        <v>177</v>
      </c>
      <c r="Q309" s="5" t="s">
        <v>178</v>
      </c>
      <c r="R309" s="5" t="s">
        <v>199</v>
      </c>
      <c r="S309" s="5" t="s">
        <v>180</v>
      </c>
      <c r="T309" s="5" t="s">
        <v>180</v>
      </c>
    </row>
    <row r="310" spans="3:20">
      <c r="C310" s="13">
        <f>IF(D310&lt;&gt;"",COUNTA($D$10:D310),"")</f>
        <v>256</v>
      </c>
      <c r="D310" s="14" t="s">
        <v>200</v>
      </c>
      <c r="E310" s="14">
        <v>3</v>
      </c>
      <c r="F310" s="14">
        <v>3</v>
      </c>
      <c r="G310" s="14">
        <v>2.4</v>
      </c>
      <c r="H310" s="14">
        <v>1</v>
      </c>
      <c r="I310" s="14">
        <v>2</v>
      </c>
      <c r="J310" s="14">
        <v>1.75</v>
      </c>
      <c r="K310" s="14">
        <v>3</v>
      </c>
      <c r="L310" s="15">
        <v>0.1</v>
      </c>
      <c r="M310" s="15">
        <v>0</v>
      </c>
      <c r="N310" s="14" t="s">
        <v>220</v>
      </c>
      <c r="O310" s="14">
        <v>50</v>
      </c>
      <c r="P310" s="13">
        <v>45</v>
      </c>
      <c r="Q310" s="13">
        <v>85</v>
      </c>
      <c r="R310" s="13" t="s">
        <v>17</v>
      </c>
      <c r="S310" s="13">
        <v>120</v>
      </c>
      <c r="T310" s="856" t="s">
        <v>85</v>
      </c>
    </row>
    <row r="311" spans="3:20">
      <c r="C311" s="13">
        <f>IF(D311&lt;&gt;"",COUNTA($D$10:D311),"")</f>
        <v>257</v>
      </c>
      <c r="D311" s="14" t="s">
        <v>201</v>
      </c>
      <c r="E311" s="14">
        <v>1.8</v>
      </c>
      <c r="F311" s="14">
        <v>2.2000000000000002</v>
      </c>
      <c r="G311" s="14">
        <v>2.4</v>
      </c>
      <c r="H311" s="14">
        <v>2</v>
      </c>
      <c r="I311" s="14">
        <v>1</v>
      </c>
      <c r="J311" s="14">
        <v>1.75</v>
      </c>
      <c r="K311" s="14">
        <v>3</v>
      </c>
      <c r="L311" s="15">
        <v>0.1</v>
      </c>
      <c r="M311" s="15">
        <v>0</v>
      </c>
      <c r="N311" s="14" t="s">
        <v>220</v>
      </c>
      <c r="O311" s="14">
        <v>50</v>
      </c>
      <c r="P311" s="13">
        <v>45</v>
      </c>
      <c r="Q311" s="13">
        <v>85</v>
      </c>
      <c r="R311" s="13" t="s">
        <v>17</v>
      </c>
      <c r="S311" s="13">
        <v>120</v>
      </c>
      <c r="T311" s="856" t="s">
        <v>85</v>
      </c>
    </row>
    <row r="312" spans="3:20">
      <c r="C312" s="13">
        <f>IF(D312&lt;&gt;"",COUNTA($D$10:D312),"")</f>
        <v>258</v>
      </c>
      <c r="D312" s="14" t="s">
        <v>202</v>
      </c>
      <c r="E312" s="14">
        <v>1.5</v>
      </c>
      <c r="F312" s="14">
        <v>2.8</v>
      </c>
      <c r="G312" s="14">
        <v>2.4</v>
      </c>
      <c r="H312" s="14">
        <v>2</v>
      </c>
      <c r="I312" s="14">
        <v>3</v>
      </c>
      <c r="J312" s="14">
        <v>1.75</v>
      </c>
      <c r="K312" s="14">
        <v>3</v>
      </c>
      <c r="L312" s="15">
        <v>0.1</v>
      </c>
      <c r="M312" s="15">
        <v>0</v>
      </c>
      <c r="N312" s="14" t="s">
        <v>220</v>
      </c>
      <c r="O312" s="14">
        <v>50</v>
      </c>
      <c r="P312" s="13">
        <v>45</v>
      </c>
      <c r="Q312" s="13">
        <v>85</v>
      </c>
      <c r="R312" s="13" t="s">
        <v>17</v>
      </c>
      <c r="S312" s="13">
        <v>120</v>
      </c>
      <c r="T312" s="856" t="s">
        <v>85</v>
      </c>
    </row>
    <row r="313" spans="3:20">
      <c r="C313" s="13">
        <f>IF(D313&lt;&gt;"",COUNTA($D$10:D313),"")</f>
        <v>259</v>
      </c>
      <c r="D313" s="14" t="s">
        <v>203</v>
      </c>
      <c r="E313" s="14">
        <v>2.1</v>
      </c>
      <c r="F313" s="14">
        <v>3.5</v>
      </c>
      <c r="G313" s="14">
        <v>2.4</v>
      </c>
      <c r="H313" s="14">
        <v>0</v>
      </c>
      <c r="I313" s="14">
        <v>1</v>
      </c>
      <c r="J313" s="14">
        <v>1.75</v>
      </c>
      <c r="K313" s="14">
        <v>3</v>
      </c>
      <c r="L313" s="15">
        <v>0.1</v>
      </c>
      <c r="M313" s="15">
        <v>0</v>
      </c>
      <c r="N313" s="14" t="s">
        <v>220</v>
      </c>
      <c r="O313" s="14">
        <v>50</v>
      </c>
      <c r="P313" s="13">
        <v>45</v>
      </c>
      <c r="Q313" s="13">
        <v>85</v>
      </c>
      <c r="R313" s="13" t="s">
        <v>17</v>
      </c>
      <c r="S313" s="13">
        <v>120</v>
      </c>
      <c r="T313" s="856" t="s">
        <v>85</v>
      </c>
    </row>
    <row r="314" spans="3:20">
      <c r="C314" s="13">
        <f>IF(D314&lt;&gt;"",COUNTA($D$10:D314),"")</f>
        <v>260</v>
      </c>
      <c r="D314" s="14" t="s">
        <v>204</v>
      </c>
      <c r="E314" s="14">
        <v>2.7</v>
      </c>
      <c r="F314" s="14">
        <v>4</v>
      </c>
      <c r="G314" s="14">
        <v>2.4</v>
      </c>
      <c r="H314" s="14">
        <v>2</v>
      </c>
      <c r="I314" s="14">
        <v>1</v>
      </c>
      <c r="J314" s="14">
        <v>1.75</v>
      </c>
      <c r="K314" s="14">
        <v>3</v>
      </c>
      <c r="L314" s="15">
        <v>0.1</v>
      </c>
      <c r="M314" s="15">
        <v>0</v>
      </c>
      <c r="N314" s="14" t="s">
        <v>220</v>
      </c>
      <c r="O314" s="14">
        <v>50</v>
      </c>
      <c r="P314" s="13">
        <v>45</v>
      </c>
      <c r="Q314" s="13">
        <v>85</v>
      </c>
      <c r="R314" s="13" t="s">
        <v>17</v>
      </c>
      <c r="S314" s="13">
        <v>120</v>
      </c>
      <c r="T314" s="856" t="s">
        <v>85</v>
      </c>
    </row>
    <row r="315" spans="3:20">
      <c r="C315" s="13">
        <f>IF(D315&lt;&gt;"",COUNTA($D$10:D315),"")</f>
        <v>261</v>
      </c>
      <c r="D315" s="14" t="s">
        <v>205</v>
      </c>
      <c r="E315" s="14">
        <v>3.8</v>
      </c>
      <c r="F315" s="14">
        <v>4.2</v>
      </c>
      <c r="G315" s="14">
        <v>2.4</v>
      </c>
      <c r="H315" s="14">
        <v>3</v>
      </c>
      <c r="I315" s="14">
        <v>3</v>
      </c>
      <c r="J315" s="14">
        <v>1.75</v>
      </c>
      <c r="K315" s="14">
        <v>3</v>
      </c>
      <c r="L315" s="15">
        <v>0.1</v>
      </c>
      <c r="M315" s="15">
        <v>0</v>
      </c>
      <c r="N315" s="14" t="s">
        <v>220</v>
      </c>
      <c r="O315" s="14">
        <v>50</v>
      </c>
      <c r="P315" s="13">
        <v>45</v>
      </c>
      <c r="Q315" s="13">
        <v>85</v>
      </c>
      <c r="R315" s="13" t="s">
        <v>17</v>
      </c>
      <c r="S315" s="13">
        <v>120</v>
      </c>
      <c r="T315" s="856" t="s">
        <v>85</v>
      </c>
    </row>
    <row r="316" spans="3:20">
      <c r="C316" s="13">
        <f>IF(D316&lt;&gt;"",COUNTA($D$10:D316),"")</f>
        <v>262</v>
      </c>
      <c r="D316" s="14" t="s">
        <v>206</v>
      </c>
      <c r="E316" s="14">
        <v>3.1</v>
      </c>
      <c r="F316" s="14">
        <v>2.6</v>
      </c>
      <c r="G316" s="14">
        <v>2.4</v>
      </c>
      <c r="H316" s="14">
        <v>2</v>
      </c>
      <c r="I316" s="14">
        <v>1</v>
      </c>
      <c r="J316" s="14">
        <v>1.75</v>
      </c>
      <c r="K316" s="14">
        <v>3</v>
      </c>
      <c r="L316" s="15">
        <v>0.1</v>
      </c>
      <c r="M316" s="15">
        <v>0</v>
      </c>
      <c r="N316" s="14" t="s">
        <v>220</v>
      </c>
      <c r="O316" s="14">
        <v>50</v>
      </c>
      <c r="P316" s="13">
        <v>45</v>
      </c>
      <c r="Q316" s="13">
        <v>85</v>
      </c>
      <c r="R316" s="13" t="s">
        <v>17</v>
      </c>
      <c r="S316" s="13">
        <v>120</v>
      </c>
      <c r="T316" s="856" t="s">
        <v>85</v>
      </c>
    </row>
    <row r="317" spans="3:20">
      <c r="C317" s="13">
        <f>IF(D317&lt;&gt;"",COUNTA($D$10:D317),"")</f>
        <v>263</v>
      </c>
      <c r="D317" s="14" t="s">
        <v>207</v>
      </c>
      <c r="E317" s="14">
        <v>1.9</v>
      </c>
      <c r="F317" s="14">
        <v>2.4</v>
      </c>
      <c r="G317" s="14">
        <v>2.4</v>
      </c>
      <c r="H317" s="14">
        <v>3</v>
      </c>
      <c r="I317" s="14">
        <v>2</v>
      </c>
      <c r="J317" s="14">
        <v>1.75</v>
      </c>
      <c r="K317" s="14">
        <v>3</v>
      </c>
      <c r="L317" s="15">
        <v>0.1</v>
      </c>
      <c r="M317" s="15">
        <v>0</v>
      </c>
      <c r="N317" s="14" t="s">
        <v>220</v>
      </c>
      <c r="O317" s="14">
        <v>50</v>
      </c>
      <c r="P317" s="13">
        <v>45</v>
      </c>
      <c r="Q317" s="13">
        <v>85</v>
      </c>
      <c r="R317" s="13" t="s">
        <v>17</v>
      </c>
      <c r="S317" s="13">
        <v>120</v>
      </c>
      <c r="T317" s="856" t="s">
        <v>85</v>
      </c>
    </row>
    <row r="318" spans="3:20">
      <c r="C318" s="13">
        <f>IF(D318&lt;&gt;"",COUNTA($D$10:D318),"")</f>
        <v>264</v>
      </c>
      <c r="D318" s="14" t="s">
        <v>208</v>
      </c>
      <c r="E318" s="14">
        <v>3</v>
      </c>
      <c r="F318" s="14">
        <v>2.9</v>
      </c>
      <c r="G318" s="14">
        <v>2.4</v>
      </c>
      <c r="H318" s="14">
        <v>2</v>
      </c>
      <c r="I318" s="14">
        <v>1</v>
      </c>
      <c r="J318" s="14">
        <v>1.75</v>
      </c>
      <c r="K318" s="14">
        <v>3</v>
      </c>
      <c r="L318" s="15">
        <v>0.1</v>
      </c>
      <c r="M318" s="15">
        <v>0</v>
      </c>
      <c r="N318" s="14" t="s">
        <v>220</v>
      </c>
      <c r="O318" s="14">
        <v>50</v>
      </c>
      <c r="P318" s="13">
        <v>45</v>
      </c>
      <c r="Q318" s="13">
        <v>85</v>
      </c>
      <c r="R318" s="13" t="s">
        <v>17</v>
      </c>
      <c r="S318" s="13">
        <v>120</v>
      </c>
      <c r="T318" s="856" t="s">
        <v>85</v>
      </c>
    </row>
    <row r="319" spans="3:20">
      <c r="C319" s="13">
        <f>IF(D319&lt;&gt;"",COUNTA($D$10:D319),"")</f>
        <v>265</v>
      </c>
      <c r="D319" s="14" t="s">
        <v>209</v>
      </c>
      <c r="E319" s="14">
        <v>2.4</v>
      </c>
      <c r="F319" s="14">
        <v>2</v>
      </c>
      <c r="G319" s="14">
        <v>2.4</v>
      </c>
      <c r="H319" s="14">
        <v>2</v>
      </c>
      <c r="I319" s="14">
        <v>1</v>
      </c>
      <c r="J319" s="14">
        <v>1.75</v>
      </c>
      <c r="K319" s="14">
        <v>3</v>
      </c>
      <c r="L319" s="15">
        <v>0.1</v>
      </c>
      <c r="M319" s="15">
        <v>0</v>
      </c>
      <c r="N319" s="14" t="s">
        <v>220</v>
      </c>
      <c r="O319" s="14">
        <v>50</v>
      </c>
      <c r="P319" s="13">
        <v>45</v>
      </c>
      <c r="Q319" s="13">
        <v>85</v>
      </c>
      <c r="R319" s="13" t="s">
        <v>17</v>
      </c>
      <c r="S319" s="13">
        <v>120</v>
      </c>
      <c r="T319" s="856" t="s">
        <v>85</v>
      </c>
    </row>
    <row r="320" spans="3:20">
      <c r="C320" s="13">
        <f>IF(D320&lt;&gt;"",COUNTA($D$10:D320),"")</f>
        <v>266</v>
      </c>
      <c r="D320" s="14" t="s">
        <v>210</v>
      </c>
      <c r="E320" s="14">
        <v>2.1</v>
      </c>
      <c r="F320" s="14">
        <v>1.8</v>
      </c>
      <c r="G320" s="14">
        <v>2.4</v>
      </c>
      <c r="H320" s="14">
        <v>2</v>
      </c>
      <c r="I320" s="14">
        <v>1</v>
      </c>
      <c r="J320" s="14">
        <v>1.75</v>
      </c>
      <c r="K320" s="14">
        <v>3</v>
      </c>
      <c r="L320" s="15">
        <v>0.1</v>
      </c>
      <c r="M320" s="15">
        <v>0</v>
      </c>
      <c r="N320" s="14" t="s">
        <v>220</v>
      </c>
      <c r="O320" s="14">
        <v>50</v>
      </c>
      <c r="P320" s="13">
        <v>45</v>
      </c>
      <c r="Q320" s="13">
        <v>85</v>
      </c>
      <c r="R320" s="13" t="s">
        <v>17</v>
      </c>
      <c r="S320" s="13">
        <v>120</v>
      </c>
      <c r="T320" s="856" t="s">
        <v>85</v>
      </c>
    </row>
    <row r="321" spans="3:20">
      <c r="C321" s="13">
        <f>IF(D321&lt;&gt;"",COUNTA($D$10:D321),"")</f>
        <v>267</v>
      </c>
      <c r="D321" s="14" t="s">
        <v>211</v>
      </c>
      <c r="E321" s="14">
        <v>1.8</v>
      </c>
      <c r="F321" s="14">
        <v>1.9</v>
      </c>
      <c r="G321" s="14">
        <v>2.4</v>
      </c>
      <c r="H321" s="14">
        <v>2</v>
      </c>
      <c r="I321" s="14">
        <v>1</v>
      </c>
      <c r="J321" s="14">
        <v>1.75</v>
      </c>
      <c r="K321" s="14">
        <v>3</v>
      </c>
      <c r="L321" s="15">
        <v>0.1</v>
      </c>
      <c r="M321" s="15">
        <v>0</v>
      </c>
      <c r="N321" s="14" t="s">
        <v>220</v>
      </c>
      <c r="O321" s="14">
        <v>50</v>
      </c>
      <c r="P321" s="13">
        <v>45</v>
      </c>
      <c r="Q321" s="13">
        <v>85</v>
      </c>
      <c r="R321" s="13" t="s">
        <v>17</v>
      </c>
      <c r="S321" s="13">
        <v>120</v>
      </c>
      <c r="T321" s="856" t="s">
        <v>85</v>
      </c>
    </row>
    <row r="322" spans="3:20">
      <c r="C322" s="13">
        <f>IF(D322&lt;&gt;"",COUNTA($D$10:D322),"")</f>
        <v>268</v>
      </c>
      <c r="D322" s="14" t="s">
        <v>212</v>
      </c>
      <c r="E322" s="14">
        <v>1.9</v>
      </c>
      <c r="F322" s="14">
        <v>2</v>
      </c>
      <c r="G322" s="14">
        <v>2.4</v>
      </c>
      <c r="H322" s="14">
        <v>2</v>
      </c>
      <c r="I322" s="14">
        <v>1</v>
      </c>
      <c r="J322" s="14">
        <v>1.75</v>
      </c>
      <c r="K322" s="14">
        <v>3</v>
      </c>
      <c r="L322" s="15">
        <v>0.1</v>
      </c>
      <c r="M322" s="15">
        <v>0</v>
      </c>
      <c r="N322" s="14" t="s">
        <v>220</v>
      </c>
      <c r="O322" s="14">
        <v>50</v>
      </c>
      <c r="P322" s="13">
        <v>45</v>
      </c>
      <c r="Q322" s="13">
        <v>85</v>
      </c>
      <c r="R322" s="13" t="s">
        <v>17</v>
      </c>
      <c r="S322" s="13">
        <v>120</v>
      </c>
      <c r="T322" s="856" t="s">
        <v>85</v>
      </c>
    </row>
    <row r="323" spans="3:20">
      <c r="C323" s="13">
        <f>IF(D323&lt;&gt;"",COUNTA($D$10:D323),"")</f>
        <v>269</v>
      </c>
      <c r="D323" s="14" t="s">
        <v>213</v>
      </c>
      <c r="E323" s="14">
        <v>2.2999999999999998</v>
      </c>
      <c r="F323" s="14">
        <v>2.2000000000000002</v>
      </c>
      <c r="G323" s="14">
        <v>2.4</v>
      </c>
      <c r="H323" s="14">
        <v>2</v>
      </c>
      <c r="I323" s="14">
        <v>1</v>
      </c>
      <c r="J323" s="14">
        <v>1.75</v>
      </c>
      <c r="K323" s="14">
        <v>3</v>
      </c>
      <c r="L323" s="15">
        <v>0.1</v>
      </c>
      <c r="M323" s="15">
        <v>0</v>
      </c>
      <c r="N323" s="14" t="s">
        <v>220</v>
      </c>
      <c r="O323" s="14">
        <v>50</v>
      </c>
      <c r="P323" s="13">
        <v>45</v>
      </c>
      <c r="Q323" s="13">
        <v>85</v>
      </c>
      <c r="R323" s="13" t="s">
        <v>17</v>
      </c>
      <c r="S323" s="13">
        <v>120</v>
      </c>
      <c r="T323" s="856" t="s">
        <v>85</v>
      </c>
    </row>
    <row r="324" spans="3:20">
      <c r="C324" s="13">
        <f>IF(D324&lt;&gt;"",COUNTA($D$10:D324),"")</f>
        <v>270</v>
      </c>
      <c r="D324" s="14" t="s">
        <v>214</v>
      </c>
      <c r="E324" s="14">
        <v>2.2000000000000002</v>
      </c>
      <c r="F324" s="14">
        <v>2.8</v>
      </c>
      <c r="G324" s="14">
        <v>2.4</v>
      </c>
      <c r="H324" s="14">
        <v>2</v>
      </c>
      <c r="I324" s="14">
        <v>1</v>
      </c>
      <c r="J324" s="14">
        <v>1.75</v>
      </c>
      <c r="K324" s="14">
        <v>3</v>
      </c>
      <c r="L324" s="15">
        <v>0.1</v>
      </c>
      <c r="M324" s="15">
        <v>0</v>
      </c>
      <c r="N324" s="14" t="s">
        <v>220</v>
      </c>
      <c r="O324" s="14">
        <v>50</v>
      </c>
      <c r="P324" s="13">
        <v>45</v>
      </c>
      <c r="Q324" s="13">
        <v>85</v>
      </c>
      <c r="R324" s="13" t="s">
        <v>17</v>
      </c>
      <c r="S324" s="13">
        <v>120</v>
      </c>
      <c r="T324" s="856" t="s">
        <v>85</v>
      </c>
    </row>
    <row r="325" spans="3:20">
      <c r="C325" s="13">
        <f>IF(D325&lt;&gt;"",COUNTA($D$10:D325),"")</f>
        <v>271</v>
      </c>
      <c r="D325" s="14" t="s">
        <v>215</v>
      </c>
      <c r="E325" s="14">
        <v>2.8</v>
      </c>
      <c r="F325" s="14">
        <v>2.4</v>
      </c>
      <c r="G325" s="14">
        <v>2.4</v>
      </c>
      <c r="H325" s="14">
        <v>2</v>
      </c>
      <c r="I325" s="14">
        <v>1</v>
      </c>
      <c r="J325" s="14">
        <v>1.75</v>
      </c>
      <c r="K325" s="14">
        <v>3</v>
      </c>
      <c r="L325" s="15">
        <v>0.1</v>
      </c>
      <c r="M325" s="15">
        <v>0</v>
      </c>
      <c r="N325" s="14" t="s">
        <v>220</v>
      </c>
      <c r="O325" s="14">
        <v>50</v>
      </c>
      <c r="P325" s="13">
        <v>45</v>
      </c>
      <c r="Q325" s="13">
        <v>85</v>
      </c>
      <c r="R325" s="13" t="s">
        <v>17</v>
      </c>
      <c r="S325" s="13">
        <v>120</v>
      </c>
      <c r="T325" s="856" t="s">
        <v>85</v>
      </c>
    </row>
    <row r="326" spans="3:20">
      <c r="C326" s="19"/>
      <c r="D326" s="19"/>
      <c r="E326" s="19"/>
      <c r="F326" s="19"/>
      <c r="G326" s="19"/>
      <c r="H326" s="19"/>
      <c r="I326" s="19"/>
      <c r="J326" s="19"/>
      <c r="K326" s="19"/>
      <c r="L326" s="19"/>
      <c r="M326" s="19"/>
      <c r="N326" s="19"/>
      <c r="O326" s="19"/>
      <c r="P326" s="19"/>
      <c r="Q326" s="19"/>
      <c r="R326" s="19"/>
      <c r="S326" s="19"/>
      <c r="T326" s="19"/>
    </row>
    <row r="328" spans="3:20" ht="26.1">
      <c r="C328" s="8" t="str">
        <f>"Zoning Area AHU - " &amp; INT((ROW()-8)/20)+1 &amp; "  " &amp; IF(ISNUMBER(N330),"Air-Conditioning System " &amp; IF(AH330="D","(DX)",IF(AH330="C","(Chilled Water)","")),IF(AND(N330="Amb",ISTEXT(N330)),"Ventilation System","Refer"))</f>
        <v xml:space="preserve">Zoning Area AHU - 17  Air-Conditioning System </v>
      </c>
      <c r="D328" s="8"/>
      <c r="E328" s="8"/>
      <c r="F328" s="8"/>
      <c r="G328" s="8"/>
      <c r="H328" s="8"/>
      <c r="I328" s="8"/>
      <c r="J328" s="8"/>
      <c r="K328" s="8"/>
      <c r="L328" s="8"/>
      <c r="M328" s="8"/>
      <c r="N328" s="8"/>
      <c r="O328" s="8"/>
      <c r="P328" s="8"/>
      <c r="Q328" s="8"/>
      <c r="R328" s="8"/>
      <c r="S328" s="8"/>
      <c r="T328" s="8"/>
    </row>
    <row r="329" spans="3:20">
      <c r="C329" s="13">
        <f>IF(D329&lt;&gt;"",COUNTA($D$10:D329),"")</f>
        <v>272</v>
      </c>
      <c r="D329" s="5" t="s">
        <v>165</v>
      </c>
      <c r="E329" s="5" t="s">
        <v>166</v>
      </c>
      <c r="F329" s="5" t="s">
        <v>167</v>
      </c>
      <c r="G329" s="5" t="s">
        <v>168</v>
      </c>
      <c r="H329" s="5" t="s">
        <v>169</v>
      </c>
      <c r="I329" s="5" t="s">
        <v>170</v>
      </c>
      <c r="J329" s="5" t="s">
        <v>171</v>
      </c>
      <c r="K329" s="5" t="s">
        <v>172</v>
      </c>
      <c r="L329" s="5" t="s">
        <v>173</v>
      </c>
      <c r="M329" s="5" t="s">
        <v>174</v>
      </c>
      <c r="N329" s="5" t="s">
        <v>175</v>
      </c>
      <c r="O329" s="5" t="s">
        <v>176</v>
      </c>
      <c r="P329" s="5" t="s">
        <v>177</v>
      </c>
      <c r="Q329" s="5" t="s">
        <v>178</v>
      </c>
      <c r="R329" s="5" t="s">
        <v>199</v>
      </c>
      <c r="S329" s="5" t="s">
        <v>180</v>
      </c>
      <c r="T329" s="5" t="s">
        <v>180</v>
      </c>
    </row>
    <row r="330" spans="3:20">
      <c r="C330" s="13">
        <f>IF(D330&lt;&gt;"",COUNTA($D$10:D330),"")</f>
        <v>273</v>
      </c>
      <c r="D330" s="14" t="s">
        <v>200</v>
      </c>
      <c r="E330" s="14">
        <v>3</v>
      </c>
      <c r="F330" s="14">
        <v>3</v>
      </c>
      <c r="G330" s="14">
        <v>2.4</v>
      </c>
      <c r="H330" s="14">
        <v>1</v>
      </c>
      <c r="I330" s="14">
        <v>2</v>
      </c>
      <c r="J330" s="14">
        <v>1.75</v>
      </c>
      <c r="K330" s="14">
        <v>3</v>
      </c>
      <c r="L330" s="15">
        <v>0.1</v>
      </c>
      <c r="M330" s="15">
        <v>0</v>
      </c>
      <c r="N330" s="14">
        <v>24</v>
      </c>
      <c r="O330" s="14">
        <v>50</v>
      </c>
      <c r="P330" s="13">
        <v>45</v>
      </c>
      <c r="Q330" s="13">
        <v>85</v>
      </c>
      <c r="R330" s="13" t="s">
        <v>17</v>
      </c>
      <c r="S330" s="13">
        <v>120</v>
      </c>
      <c r="T330" s="856" t="s">
        <v>85</v>
      </c>
    </row>
    <row r="331" spans="3:20">
      <c r="C331" s="13">
        <f>IF(D331&lt;&gt;"",COUNTA($D$10:D331),"")</f>
        <v>274</v>
      </c>
      <c r="D331" s="14" t="s">
        <v>201</v>
      </c>
      <c r="E331" s="14">
        <v>1.8</v>
      </c>
      <c r="F331" s="14">
        <v>2.2000000000000002</v>
      </c>
      <c r="G331" s="14">
        <v>2.4</v>
      </c>
      <c r="H331" s="14">
        <v>2</v>
      </c>
      <c r="I331" s="14">
        <v>1</v>
      </c>
      <c r="J331" s="14">
        <v>1.75</v>
      </c>
      <c r="K331" s="14">
        <v>3</v>
      </c>
      <c r="L331" s="15">
        <v>0.1</v>
      </c>
      <c r="M331" s="15">
        <v>0</v>
      </c>
      <c r="N331" s="14">
        <v>24</v>
      </c>
      <c r="O331" s="14">
        <v>50</v>
      </c>
      <c r="P331" s="13">
        <v>45</v>
      </c>
      <c r="Q331" s="13">
        <v>85</v>
      </c>
      <c r="R331" s="13" t="s">
        <v>17</v>
      </c>
      <c r="S331" s="13">
        <v>120</v>
      </c>
      <c r="T331" s="856" t="s">
        <v>85</v>
      </c>
    </row>
    <row r="332" spans="3:20">
      <c r="C332" s="13">
        <f>IF(D332&lt;&gt;"",COUNTA($D$10:D332),"")</f>
        <v>275</v>
      </c>
      <c r="D332" s="14" t="s">
        <v>202</v>
      </c>
      <c r="E332" s="14">
        <v>1.5</v>
      </c>
      <c r="F332" s="14">
        <v>2.8</v>
      </c>
      <c r="G332" s="14">
        <v>2.4</v>
      </c>
      <c r="H332" s="14">
        <v>2</v>
      </c>
      <c r="I332" s="14">
        <v>3</v>
      </c>
      <c r="J332" s="14">
        <v>1.75</v>
      </c>
      <c r="K332" s="14">
        <v>3</v>
      </c>
      <c r="L332" s="15">
        <v>0.1</v>
      </c>
      <c r="M332" s="15">
        <v>0</v>
      </c>
      <c r="N332" s="14">
        <v>24</v>
      </c>
      <c r="O332" s="14">
        <v>50</v>
      </c>
      <c r="P332" s="13">
        <v>45</v>
      </c>
      <c r="Q332" s="13">
        <v>85</v>
      </c>
      <c r="R332" s="13" t="s">
        <v>17</v>
      </c>
      <c r="S332" s="13">
        <v>120</v>
      </c>
      <c r="T332" s="856" t="s">
        <v>85</v>
      </c>
    </row>
    <row r="333" spans="3:20">
      <c r="C333" s="13">
        <f>IF(D333&lt;&gt;"",COUNTA($D$10:D333),"")</f>
        <v>276</v>
      </c>
      <c r="D333" s="14" t="s">
        <v>203</v>
      </c>
      <c r="E333" s="14">
        <v>2.1</v>
      </c>
      <c r="F333" s="14">
        <v>3.5</v>
      </c>
      <c r="G333" s="14">
        <v>2.4</v>
      </c>
      <c r="H333" s="14">
        <v>0</v>
      </c>
      <c r="I333" s="14">
        <v>1</v>
      </c>
      <c r="J333" s="14">
        <v>1.75</v>
      </c>
      <c r="K333" s="14">
        <v>3</v>
      </c>
      <c r="L333" s="15">
        <v>0.1</v>
      </c>
      <c r="M333" s="15">
        <v>0</v>
      </c>
      <c r="N333" s="14">
        <v>24</v>
      </c>
      <c r="O333" s="14">
        <v>50</v>
      </c>
      <c r="P333" s="13">
        <v>45</v>
      </c>
      <c r="Q333" s="13">
        <v>85</v>
      </c>
      <c r="R333" s="13" t="s">
        <v>17</v>
      </c>
      <c r="S333" s="13">
        <v>120</v>
      </c>
      <c r="T333" s="856" t="s">
        <v>85</v>
      </c>
    </row>
    <row r="334" spans="3:20">
      <c r="C334" s="13">
        <f>IF(D334&lt;&gt;"",COUNTA($D$10:D334),"")</f>
        <v>277</v>
      </c>
      <c r="D334" s="14" t="s">
        <v>204</v>
      </c>
      <c r="E334" s="14">
        <v>2.7</v>
      </c>
      <c r="F334" s="14">
        <v>4</v>
      </c>
      <c r="G334" s="14">
        <v>2.4</v>
      </c>
      <c r="H334" s="14">
        <v>2</v>
      </c>
      <c r="I334" s="14">
        <v>1</v>
      </c>
      <c r="J334" s="14">
        <v>1.75</v>
      </c>
      <c r="K334" s="14">
        <v>3</v>
      </c>
      <c r="L334" s="15">
        <v>0.1</v>
      </c>
      <c r="M334" s="15">
        <v>0</v>
      </c>
      <c r="N334" s="14">
        <v>24</v>
      </c>
      <c r="O334" s="14">
        <v>50</v>
      </c>
      <c r="P334" s="13">
        <v>45</v>
      </c>
      <c r="Q334" s="13">
        <v>85</v>
      </c>
      <c r="R334" s="13" t="s">
        <v>17</v>
      </c>
      <c r="S334" s="13">
        <v>120</v>
      </c>
      <c r="T334" s="856" t="s">
        <v>85</v>
      </c>
    </row>
    <row r="335" spans="3:20">
      <c r="C335" s="13">
        <f>IF(D335&lt;&gt;"",COUNTA($D$10:D335),"")</f>
        <v>278</v>
      </c>
      <c r="D335" s="14" t="s">
        <v>205</v>
      </c>
      <c r="E335" s="14">
        <v>3.8</v>
      </c>
      <c r="F335" s="14">
        <v>4.2</v>
      </c>
      <c r="G335" s="14">
        <v>2.4</v>
      </c>
      <c r="H335" s="14">
        <v>3</v>
      </c>
      <c r="I335" s="14">
        <v>3</v>
      </c>
      <c r="J335" s="14">
        <v>1.75</v>
      </c>
      <c r="K335" s="14">
        <v>3</v>
      </c>
      <c r="L335" s="15">
        <v>0.1</v>
      </c>
      <c r="M335" s="15">
        <v>0</v>
      </c>
      <c r="N335" s="14">
        <v>24</v>
      </c>
      <c r="O335" s="14">
        <v>50</v>
      </c>
      <c r="P335" s="13">
        <v>45</v>
      </c>
      <c r="Q335" s="13">
        <v>85</v>
      </c>
      <c r="R335" s="13" t="s">
        <v>17</v>
      </c>
      <c r="S335" s="13">
        <v>120</v>
      </c>
      <c r="T335" s="856" t="s">
        <v>85</v>
      </c>
    </row>
    <row r="336" spans="3:20">
      <c r="C336" s="13">
        <f>IF(D336&lt;&gt;"",COUNTA($D$10:D336),"")</f>
        <v>279</v>
      </c>
      <c r="D336" s="14" t="s">
        <v>206</v>
      </c>
      <c r="E336" s="14">
        <v>3.1</v>
      </c>
      <c r="F336" s="14">
        <v>2.6</v>
      </c>
      <c r="G336" s="14">
        <v>2.4</v>
      </c>
      <c r="H336" s="14">
        <v>2</v>
      </c>
      <c r="I336" s="14">
        <v>1</v>
      </c>
      <c r="J336" s="14">
        <v>1.75</v>
      </c>
      <c r="K336" s="14">
        <v>3</v>
      </c>
      <c r="L336" s="15">
        <v>0.1</v>
      </c>
      <c r="M336" s="15">
        <v>0</v>
      </c>
      <c r="N336" s="14">
        <v>24</v>
      </c>
      <c r="O336" s="14">
        <v>50</v>
      </c>
      <c r="P336" s="13">
        <v>45</v>
      </c>
      <c r="Q336" s="13">
        <v>85</v>
      </c>
      <c r="R336" s="13" t="s">
        <v>17</v>
      </c>
      <c r="S336" s="13">
        <v>120</v>
      </c>
      <c r="T336" s="856" t="s">
        <v>85</v>
      </c>
    </row>
    <row r="337" spans="3:20">
      <c r="C337" s="13">
        <f>IF(D337&lt;&gt;"",COUNTA($D$10:D337),"")</f>
        <v>280</v>
      </c>
      <c r="D337" s="14" t="s">
        <v>207</v>
      </c>
      <c r="E337" s="14">
        <v>1.9</v>
      </c>
      <c r="F337" s="14">
        <v>2.4</v>
      </c>
      <c r="G337" s="14">
        <v>2.4</v>
      </c>
      <c r="H337" s="14">
        <v>3</v>
      </c>
      <c r="I337" s="14">
        <v>2</v>
      </c>
      <c r="J337" s="14">
        <v>1.75</v>
      </c>
      <c r="K337" s="14">
        <v>3</v>
      </c>
      <c r="L337" s="15">
        <v>0.1</v>
      </c>
      <c r="M337" s="15">
        <v>0</v>
      </c>
      <c r="N337" s="14">
        <v>24</v>
      </c>
      <c r="O337" s="14">
        <v>50</v>
      </c>
      <c r="P337" s="13">
        <v>45</v>
      </c>
      <c r="Q337" s="13">
        <v>85</v>
      </c>
      <c r="R337" s="13" t="s">
        <v>17</v>
      </c>
      <c r="S337" s="13">
        <v>120</v>
      </c>
      <c r="T337" s="856" t="s">
        <v>85</v>
      </c>
    </row>
    <row r="338" spans="3:20">
      <c r="C338" s="13">
        <f>IF(D338&lt;&gt;"",COUNTA($D$10:D338),"")</f>
        <v>281</v>
      </c>
      <c r="D338" s="14" t="s">
        <v>208</v>
      </c>
      <c r="E338" s="14">
        <v>3</v>
      </c>
      <c r="F338" s="14">
        <v>2.9</v>
      </c>
      <c r="G338" s="14">
        <v>2.4</v>
      </c>
      <c r="H338" s="14">
        <v>2</v>
      </c>
      <c r="I338" s="14">
        <v>1</v>
      </c>
      <c r="J338" s="14">
        <v>1.75</v>
      </c>
      <c r="K338" s="14">
        <v>3</v>
      </c>
      <c r="L338" s="15">
        <v>0.1</v>
      </c>
      <c r="M338" s="15">
        <v>0</v>
      </c>
      <c r="N338" s="14">
        <v>24</v>
      </c>
      <c r="O338" s="14">
        <v>50</v>
      </c>
      <c r="P338" s="13">
        <v>45</v>
      </c>
      <c r="Q338" s="13">
        <v>85</v>
      </c>
      <c r="R338" s="13" t="s">
        <v>17</v>
      </c>
      <c r="S338" s="13">
        <v>120</v>
      </c>
      <c r="T338" s="856" t="s">
        <v>85</v>
      </c>
    </row>
    <row r="339" spans="3:20">
      <c r="C339" s="13">
        <f>IF(D339&lt;&gt;"",COUNTA($D$10:D339),"")</f>
        <v>282</v>
      </c>
      <c r="D339" s="14" t="s">
        <v>209</v>
      </c>
      <c r="E339" s="14">
        <v>2.4</v>
      </c>
      <c r="F339" s="14">
        <v>2</v>
      </c>
      <c r="G339" s="14">
        <v>2.4</v>
      </c>
      <c r="H339" s="14">
        <v>2</v>
      </c>
      <c r="I339" s="14">
        <v>1</v>
      </c>
      <c r="J339" s="14">
        <v>1.75</v>
      </c>
      <c r="K339" s="14">
        <v>3</v>
      </c>
      <c r="L339" s="15">
        <v>0.1</v>
      </c>
      <c r="M339" s="15">
        <v>0</v>
      </c>
      <c r="N339" s="14">
        <v>24</v>
      </c>
      <c r="O339" s="14">
        <v>50</v>
      </c>
      <c r="P339" s="13">
        <v>45</v>
      </c>
      <c r="Q339" s="13">
        <v>85</v>
      </c>
      <c r="R339" s="13" t="s">
        <v>17</v>
      </c>
      <c r="S339" s="13">
        <v>120</v>
      </c>
      <c r="T339" s="856" t="s">
        <v>85</v>
      </c>
    </row>
    <row r="340" spans="3:20">
      <c r="C340" s="13">
        <f>IF(D340&lt;&gt;"",COUNTA($D$10:D340),"")</f>
        <v>283</v>
      </c>
      <c r="D340" s="14" t="s">
        <v>210</v>
      </c>
      <c r="E340" s="14">
        <v>2.1</v>
      </c>
      <c r="F340" s="14">
        <v>1.8</v>
      </c>
      <c r="G340" s="14">
        <v>2.4</v>
      </c>
      <c r="H340" s="14">
        <v>2</v>
      </c>
      <c r="I340" s="14">
        <v>1</v>
      </c>
      <c r="J340" s="14">
        <v>1.75</v>
      </c>
      <c r="K340" s="14">
        <v>3</v>
      </c>
      <c r="L340" s="15">
        <v>0.1</v>
      </c>
      <c r="M340" s="15">
        <v>0</v>
      </c>
      <c r="N340" s="14">
        <v>24</v>
      </c>
      <c r="O340" s="14">
        <v>50</v>
      </c>
      <c r="P340" s="13">
        <v>45</v>
      </c>
      <c r="Q340" s="13">
        <v>85</v>
      </c>
      <c r="R340" s="13" t="s">
        <v>17</v>
      </c>
      <c r="S340" s="13">
        <v>120</v>
      </c>
      <c r="T340" s="856" t="s">
        <v>85</v>
      </c>
    </row>
    <row r="341" spans="3:20">
      <c r="C341" s="13">
        <f>IF(D341&lt;&gt;"",COUNTA($D$10:D341),"")</f>
        <v>284</v>
      </c>
      <c r="D341" s="14" t="s">
        <v>211</v>
      </c>
      <c r="E341" s="14">
        <v>1.8</v>
      </c>
      <c r="F341" s="14">
        <v>1.9</v>
      </c>
      <c r="G341" s="14">
        <v>2.4</v>
      </c>
      <c r="H341" s="14">
        <v>2</v>
      </c>
      <c r="I341" s="14">
        <v>1</v>
      </c>
      <c r="J341" s="14">
        <v>1.75</v>
      </c>
      <c r="K341" s="14">
        <v>3</v>
      </c>
      <c r="L341" s="15">
        <v>0.1</v>
      </c>
      <c r="M341" s="15">
        <v>0</v>
      </c>
      <c r="N341" s="14">
        <v>24</v>
      </c>
      <c r="O341" s="14">
        <v>50</v>
      </c>
      <c r="P341" s="13">
        <v>45</v>
      </c>
      <c r="Q341" s="13">
        <v>85</v>
      </c>
      <c r="R341" s="13" t="s">
        <v>17</v>
      </c>
      <c r="S341" s="13">
        <v>120</v>
      </c>
      <c r="T341" s="856" t="s">
        <v>85</v>
      </c>
    </row>
    <row r="342" spans="3:20">
      <c r="C342" s="13">
        <f>IF(D342&lt;&gt;"",COUNTA($D$10:D342),"")</f>
        <v>285</v>
      </c>
      <c r="D342" s="14" t="s">
        <v>212</v>
      </c>
      <c r="E342" s="14">
        <v>1.9</v>
      </c>
      <c r="F342" s="14">
        <v>2</v>
      </c>
      <c r="G342" s="14">
        <v>2.4</v>
      </c>
      <c r="H342" s="14">
        <v>2</v>
      </c>
      <c r="I342" s="14">
        <v>1</v>
      </c>
      <c r="J342" s="14">
        <v>1.75</v>
      </c>
      <c r="K342" s="14">
        <v>3</v>
      </c>
      <c r="L342" s="15">
        <v>0.1</v>
      </c>
      <c r="M342" s="15">
        <v>0</v>
      </c>
      <c r="N342" s="14">
        <v>24</v>
      </c>
      <c r="O342" s="14">
        <v>50</v>
      </c>
      <c r="P342" s="13">
        <v>45</v>
      </c>
      <c r="Q342" s="13">
        <v>85</v>
      </c>
      <c r="R342" s="13" t="s">
        <v>17</v>
      </c>
      <c r="S342" s="13">
        <v>120</v>
      </c>
      <c r="T342" s="856" t="s">
        <v>85</v>
      </c>
    </row>
    <row r="343" spans="3:20">
      <c r="C343" s="13">
        <f>IF(D343&lt;&gt;"",COUNTA($D$10:D343),"")</f>
        <v>286</v>
      </c>
      <c r="D343" s="14" t="s">
        <v>213</v>
      </c>
      <c r="E343" s="14">
        <v>2.2999999999999998</v>
      </c>
      <c r="F343" s="14">
        <v>2.2000000000000002</v>
      </c>
      <c r="G343" s="14">
        <v>2.4</v>
      </c>
      <c r="H343" s="14">
        <v>2</v>
      </c>
      <c r="I343" s="14">
        <v>1</v>
      </c>
      <c r="J343" s="14">
        <v>1.75</v>
      </c>
      <c r="K343" s="14">
        <v>3</v>
      </c>
      <c r="L343" s="15">
        <v>0.1</v>
      </c>
      <c r="M343" s="15">
        <v>0</v>
      </c>
      <c r="N343" s="14">
        <v>24</v>
      </c>
      <c r="O343" s="14">
        <v>50</v>
      </c>
      <c r="P343" s="13">
        <v>45</v>
      </c>
      <c r="Q343" s="13">
        <v>85</v>
      </c>
      <c r="R343" s="13" t="s">
        <v>17</v>
      </c>
      <c r="S343" s="13">
        <v>120</v>
      </c>
      <c r="T343" s="856" t="s">
        <v>85</v>
      </c>
    </row>
    <row r="344" spans="3:20">
      <c r="C344" s="13">
        <f>IF(D344&lt;&gt;"",COUNTA($D$10:D344),"")</f>
        <v>287</v>
      </c>
      <c r="D344" s="14" t="s">
        <v>214</v>
      </c>
      <c r="E344" s="14">
        <v>2.2000000000000002</v>
      </c>
      <c r="F344" s="14">
        <v>2.8</v>
      </c>
      <c r="G344" s="14">
        <v>2.4</v>
      </c>
      <c r="H344" s="14">
        <v>2</v>
      </c>
      <c r="I344" s="14">
        <v>1</v>
      </c>
      <c r="J344" s="14">
        <v>1.75</v>
      </c>
      <c r="K344" s="14">
        <v>3</v>
      </c>
      <c r="L344" s="15">
        <v>0.1</v>
      </c>
      <c r="M344" s="15">
        <v>0</v>
      </c>
      <c r="N344" s="14">
        <v>24</v>
      </c>
      <c r="O344" s="14">
        <v>50</v>
      </c>
      <c r="P344" s="13">
        <v>45</v>
      </c>
      <c r="Q344" s="13">
        <v>85</v>
      </c>
      <c r="R344" s="13" t="s">
        <v>17</v>
      </c>
      <c r="S344" s="13">
        <v>120</v>
      </c>
      <c r="T344" s="856" t="s">
        <v>85</v>
      </c>
    </row>
    <row r="345" spans="3:20">
      <c r="C345" s="13">
        <f>IF(D345&lt;&gt;"",COUNTA($D$10:D345),"")</f>
        <v>288</v>
      </c>
      <c r="D345" s="14" t="s">
        <v>215</v>
      </c>
      <c r="E345" s="14">
        <v>2.8</v>
      </c>
      <c r="F345" s="14">
        <v>2.4</v>
      </c>
      <c r="G345" s="14">
        <v>2.4</v>
      </c>
      <c r="H345" s="14">
        <v>2</v>
      </c>
      <c r="I345" s="14">
        <v>1</v>
      </c>
      <c r="J345" s="14">
        <v>1.75</v>
      </c>
      <c r="K345" s="14">
        <v>3</v>
      </c>
      <c r="L345" s="15">
        <v>0.1</v>
      </c>
      <c r="M345" s="15">
        <v>0</v>
      </c>
      <c r="N345" s="14">
        <v>24</v>
      </c>
      <c r="O345" s="14">
        <v>50</v>
      </c>
      <c r="P345" s="13">
        <v>45</v>
      </c>
      <c r="Q345" s="13">
        <v>85</v>
      </c>
      <c r="R345" s="13" t="s">
        <v>17</v>
      </c>
      <c r="S345" s="13">
        <v>120</v>
      </c>
      <c r="T345" s="856" t="s">
        <v>85</v>
      </c>
    </row>
    <row r="346" spans="3:20">
      <c r="C346" s="19"/>
      <c r="D346" s="19"/>
      <c r="E346" s="19"/>
      <c r="F346" s="19"/>
      <c r="G346" s="19"/>
      <c r="H346" s="19"/>
      <c r="I346" s="19"/>
      <c r="J346" s="19"/>
      <c r="K346" s="19"/>
      <c r="L346" s="19"/>
      <c r="M346" s="19"/>
      <c r="N346" s="19"/>
      <c r="O346" s="19"/>
      <c r="P346" s="19"/>
      <c r="Q346" s="19"/>
      <c r="R346" s="19"/>
      <c r="S346" s="19"/>
      <c r="T346" s="19"/>
    </row>
    <row r="348" spans="3:20" ht="26.1">
      <c r="C348" s="8" t="str">
        <f>"Zoning Area AHU - " &amp; INT((ROW()-8)/20)+1 &amp; "  " &amp; IF(ISNUMBER(N350),"Air-Conditioning System " &amp; IF(AH350="D","(DX)",IF(AH350="C","(Chilled Water)","")),IF(AND(N350="Amb",ISTEXT(N350)),"Ventilation System","Refer"))</f>
        <v xml:space="preserve">Zoning Area AHU - 18  Air-Conditioning System </v>
      </c>
      <c r="D348" s="8"/>
      <c r="E348" s="8"/>
      <c r="F348" s="8"/>
      <c r="G348" s="8"/>
      <c r="H348" s="8"/>
      <c r="I348" s="8"/>
      <c r="J348" s="8"/>
      <c r="K348" s="8"/>
      <c r="L348" s="8"/>
      <c r="M348" s="8"/>
      <c r="N348" s="8"/>
      <c r="O348" s="8"/>
      <c r="P348" s="8"/>
      <c r="Q348" s="8"/>
      <c r="R348" s="8"/>
      <c r="S348" s="8"/>
      <c r="T348" s="8"/>
    </row>
    <row r="349" spans="3:20">
      <c r="C349" s="13">
        <f>IF(D349&lt;&gt;"",COUNTA($D$10:D349),"")</f>
        <v>289</v>
      </c>
      <c r="D349" s="5" t="s">
        <v>165</v>
      </c>
      <c r="E349" s="5" t="s">
        <v>166</v>
      </c>
      <c r="F349" s="5" t="s">
        <v>167</v>
      </c>
      <c r="G349" s="5" t="s">
        <v>168</v>
      </c>
      <c r="H349" s="5" t="s">
        <v>169</v>
      </c>
      <c r="I349" s="5" t="s">
        <v>170</v>
      </c>
      <c r="J349" s="5" t="s">
        <v>171</v>
      </c>
      <c r="K349" s="5" t="s">
        <v>172</v>
      </c>
      <c r="L349" s="5" t="s">
        <v>173</v>
      </c>
      <c r="M349" s="5" t="s">
        <v>174</v>
      </c>
      <c r="N349" s="5" t="s">
        <v>175</v>
      </c>
      <c r="O349" s="5" t="s">
        <v>176</v>
      </c>
      <c r="P349" s="5" t="s">
        <v>177</v>
      </c>
      <c r="Q349" s="5" t="s">
        <v>178</v>
      </c>
      <c r="R349" s="5" t="s">
        <v>199</v>
      </c>
      <c r="S349" s="5" t="s">
        <v>180</v>
      </c>
      <c r="T349" s="5" t="s">
        <v>180</v>
      </c>
    </row>
    <row r="350" spans="3:20">
      <c r="C350" s="13">
        <f>IF(D350&lt;&gt;"",COUNTA($D$10:D350),"")</f>
        <v>290</v>
      </c>
      <c r="D350" s="14" t="s">
        <v>200</v>
      </c>
      <c r="E350" s="14">
        <v>3</v>
      </c>
      <c r="F350" s="14">
        <v>3</v>
      </c>
      <c r="G350" s="14">
        <v>2.4</v>
      </c>
      <c r="H350" s="14">
        <v>1</v>
      </c>
      <c r="I350" s="14">
        <v>2</v>
      </c>
      <c r="J350" s="14">
        <v>1.75</v>
      </c>
      <c r="K350" s="14">
        <v>3</v>
      </c>
      <c r="L350" s="15">
        <v>0.1</v>
      </c>
      <c r="M350" s="15">
        <v>0</v>
      </c>
      <c r="N350" s="14">
        <v>24</v>
      </c>
      <c r="O350" s="14">
        <v>50</v>
      </c>
      <c r="P350" s="13">
        <v>45</v>
      </c>
      <c r="Q350" s="13">
        <v>85</v>
      </c>
      <c r="R350" s="13" t="s">
        <v>21</v>
      </c>
      <c r="S350" s="13">
        <v>120</v>
      </c>
      <c r="T350" s="856" t="s">
        <v>85</v>
      </c>
    </row>
    <row r="351" spans="3:20">
      <c r="C351" s="13">
        <f>IF(D351&lt;&gt;"",COUNTA($D$10:D351),"")</f>
        <v>291</v>
      </c>
      <c r="D351" s="14" t="s">
        <v>201</v>
      </c>
      <c r="E351" s="14">
        <v>1.8</v>
      </c>
      <c r="F351" s="14">
        <v>2.2000000000000002</v>
      </c>
      <c r="G351" s="14">
        <v>2.4</v>
      </c>
      <c r="H351" s="14">
        <v>2</v>
      </c>
      <c r="I351" s="14">
        <v>1</v>
      </c>
      <c r="J351" s="14">
        <v>1.75</v>
      </c>
      <c r="K351" s="14">
        <v>3</v>
      </c>
      <c r="L351" s="15">
        <v>0.1</v>
      </c>
      <c r="M351" s="15">
        <v>0</v>
      </c>
      <c r="N351" s="14">
        <v>24</v>
      </c>
      <c r="O351" s="14">
        <v>50</v>
      </c>
      <c r="P351" s="13">
        <v>45</v>
      </c>
      <c r="Q351" s="13">
        <v>85</v>
      </c>
      <c r="R351" s="13" t="s">
        <v>21</v>
      </c>
      <c r="S351" s="13">
        <v>120</v>
      </c>
      <c r="T351" s="856" t="s">
        <v>85</v>
      </c>
    </row>
    <row r="352" spans="3:20">
      <c r="C352" s="13">
        <f>IF(D352&lt;&gt;"",COUNTA($D$10:D352),"")</f>
        <v>292</v>
      </c>
      <c r="D352" s="14" t="s">
        <v>202</v>
      </c>
      <c r="E352" s="14">
        <v>1.5</v>
      </c>
      <c r="F352" s="14">
        <v>2.8</v>
      </c>
      <c r="G352" s="14">
        <v>2.4</v>
      </c>
      <c r="H352" s="14">
        <v>2</v>
      </c>
      <c r="I352" s="14">
        <v>3</v>
      </c>
      <c r="J352" s="14">
        <v>1.75</v>
      </c>
      <c r="K352" s="14">
        <v>3</v>
      </c>
      <c r="L352" s="15">
        <v>0.1</v>
      </c>
      <c r="M352" s="15">
        <v>0</v>
      </c>
      <c r="N352" s="14">
        <v>24</v>
      </c>
      <c r="O352" s="14">
        <v>50</v>
      </c>
      <c r="P352" s="13">
        <v>45</v>
      </c>
      <c r="Q352" s="13">
        <v>85</v>
      </c>
      <c r="R352" s="13" t="s">
        <v>21</v>
      </c>
      <c r="S352" s="13">
        <v>120</v>
      </c>
      <c r="T352" s="856" t="s">
        <v>85</v>
      </c>
    </row>
    <row r="353" spans="3:20">
      <c r="C353" s="13">
        <f>IF(D353&lt;&gt;"",COUNTA($D$10:D353),"")</f>
        <v>293</v>
      </c>
      <c r="D353" s="14" t="s">
        <v>203</v>
      </c>
      <c r="E353" s="14">
        <v>2.1</v>
      </c>
      <c r="F353" s="14">
        <v>3.5</v>
      </c>
      <c r="G353" s="14">
        <v>2.4</v>
      </c>
      <c r="H353" s="14">
        <v>0</v>
      </c>
      <c r="I353" s="14">
        <v>1</v>
      </c>
      <c r="J353" s="14">
        <v>1.75</v>
      </c>
      <c r="K353" s="14">
        <v>3</v>
      </c>
      <c r="L353" s="15">
        <v>0.1</v>
      </c>
      <c r="M353" s="15">
        <v>0</v>
      </c>
      <c r="N353" s="14">
        <v>24</v>
      </c>
      <c r="O353" s="14">
        <v>50</v>
      </c>
      <c r="P353" s="13">
        <v>45</v>
      </c>
      <c r="Q353" s="13">
        <v>85</v>
      </c>
      <c r="R353" s="13" t="s">
        <v>21</v>
      </c>
      <c r="S353" s="13">
        <v>120</v>
      </c>
      <c r="T353" s="856" t="s">
        <v>85</v>
      </c>
    </row>
    <row r="354" spans="3:20">
      <c r="C354" s="13">
        <f>IF(D354&lt;&gt;"",COUNTA($D$10:D354),"")</f>
        <v>294</v>
      </c>
      <c r="D354" s="14" t="s">
        <v>204</v>
      </c>
      <c r="E354" s="14">
        <v>2.7</v>
      </c>
      <c r="F354" s="14">
        <v>4</v>
      </c>
      <c r="G354" s="14">
        <v>2.4</v>
      </c>
      <c r="H354" s="14">
        <v>2</v>
      </c>
      <c r="I354" s="14">
        <v>1</v>
      </c>
      <c r="J354" s="14">
        <v>1.75</v>
      </c>
      <c r="K354" s="14">
        <v>3</v>
      </c>
      <c r="L354" s="15">
        <v>0.1</v>
      </c>
      <c r="M354" s="15">
        <v>0</v>
      </c>
      <c r="N354" s="14">
        <v>24</v>
      </c>
      <c r="O354" s="14">
        <v>50</v>
      </c>
      <c r="P354" s="13">
        <v>45</v>
      </c>
      <c r="Q354" s="13">
        <v>85</v>
      </c>
      <c r="R354" s="13" t="s">
        <v>21</v>
      </c>
      <c r="S354" s="13">
        <v>120</v>
      </c>
      <c r="T354" s="856" t="s">
        <v>85</v>
      </c>
    </row>
    <row r="355" spans="3:20">
      <c r="C355" s="13">
        <f>IF(D355&lt;&gt;"",COUNTA($D$10:D355),"")</f>
        <v>295</v>
      </c>
      <c r="D355" s="14" t="s">
        <v>205</v>
      </c>
      <c r="E355" s="14">
        <v>3.8</v>
      </c>
      <c r="F355" s="14">
        <v>4.2</v>
      </c>
      <c r="G355" s="14">
        <v>2.4</v>
      </c>
      <c r="H355" s="14">
        <v>3</v>
      </c>
      <c r="I355" s="14">
        <v>3</v>
      </c>
      <c r="J355" s="14">
        <v>1.75</v>
      </c>
      <c r="K355" s="14">
        <v>3</v>
      </c>
      <c r="L355" s="15">
        <v>0.1</v>
      </c>
      <c r="M355" s="15">
        <v>0</v>
      </c>
      <c r="N355" s="14">
        <v>24</v>
      </c>
      <c r="O355" s="14">
        <v>50</v>
      </c>
      <c r="P355" s="13">
        <v>45</v>
      </c>
      <c r="Q355" s="13">
        <v>85</v>
      </c>
      <c r="R355" s="13" t="s">
        <v>21</v>
      </c>
      <c r="S355" s="13">
        <v>120</v>
      </c>
      <c r="T355" s="856" t="s">
        <v>85</v>
      </c>
    </row>
    <row r="356" spans="3:20">
      <c r="C356" s="13">
        <f>IF(D356&lt;&gt;"",COUNTA($D$10:D356),"")</f>
        <v>296</v>
      </c>
      <c r="D356" s="14" t="s">
        <v>206</v>
      </c>
      <c r="E356" s="14">
        <v>3.1</v>
      </c>
      <c r="F356" s="14">
        <v>2.6</v>
      </c>
      <c r="G356" s="14">
        <v>2.4</v>
      </c>
      <c r="H356" s="14">
        <v>2</v>
      </c>
      <c r="I356" s="14">
        <v>1</v>
      </c>
      <c r="J356" s="14">
        <v>1.75</v>
      </c>
      <c r="K356" s="14">
        <v>3</v>
      </c>
      <c r="L356" s="15">
        <v>0.1</v>
      </c>
      <c r="M356" s="15">
        <v>0</v>
      </c>
      <c r="N356" s="14">
        <v>24</v>
      </c>
      <c r="O356" s="14">
        <v>50</v>
      </c>
      <c r="P356" s="13">
        <v>45</v>
      </c>
      <c r="Q356" s="13">
        <v>85</v>
      </c>
      <c r="R356" s="13" t="s">
        <v>21</v>
      </c>
      <c r="S356" s="13">
        <v>120</v>
      </c>
      <c r="T356" s="856" t="s">
        <v>85</v>
      </c>
    </row>
    <row r="357" spans="3:20">
      <c r="C357" s="13">
        <f>IF(D357&lt;&gt;"",COUNTA($D$10:D357),"")</f>
        <v>297</v>
      </c>
      <c r="D357" s="14" t="s">
        <v>207</v>
      </c>
      <c r="E357" s="14">
        <v>1.9</v>
      </c>
      <c r="F357" s="14">
        <v>2.4</v>
      </c>
      <c r="G357" s="14">
        <v>2.4</v>
      </c>
      <c r="H357" s="14">
        <v>3</v>
      </c>
      <c r="I357" s="14">
        <v>2</v>
      </c>
      <c r="J357" s="14">
        <v>1.75</v>
      </c>
      <c r="K357" s="14">
        <v>3</v>
      </c>
      <c r="L357" s="15">
        <v>0.1</v>
      </c>
      <c r="M357" s="15">
        <v>0</v>
      </c>
      <c r="N357" s="14">
        <v>24</v>
      </c>
      <c r="O357" s="14">
        <v>50</v>
      </c>
      <c r="P357" s="13">
        <v>45</v>
      </c>
      <c r="Q357" s="13">
        <v>85</v>
      </c>
      <c r="R357" s="13" t="s">
        <v>21</v>
      </c>
      <c r="S357" s="13">
        <v>120</v>
      </c>
      <c r="T357" s="856" t="s">
        <v>85</v>
      </c>
    </row>
    <row r="358" spans="3:20">
      <c r="C358" s="13">
        <f>IF(D358&lt;&gt;"",COUNTA($D$10:D358),"")</f>
        <v>298</v>
      </c>
      <c r="D358" s="14" t="s">
        <v>208</v>
      </c>
      <c r="E358" s="14">
        <v>3</v>
      </c>
      <c r="F358" s="14">
        <v>2.9</v>
      </c>
      <c r="G358" s="14">
        <v>2.4</v>
      </c>
      <c r="H358" s="14">
        <v>2</v>
      </c>
      <c r="I358" s="14">
        <v>1</v>
      </c>
      <c r="J358" s="14">
        <v>1.75</v>
      </c>
      <c r="K358" s="14">
        <v>3</v>
      </c>
      <c r="L358" s="15">
        <v>0.1</v>
      </c>
      <c r="M358" s="15">
        <v>0</v>
      </c>
      <c r="N358" s="14">
        <v>24</v>
      </c>
      <c r="O358" s="14">
        <v>50</v>
      </c>
      <c r="P358" s="13">
        <v>45</v>
      </c>
      <c r="Q358" s="13">
        <v>85</v>
      </c>
      <c r="R358" s="13" t="s">
        <v>21</v>
      </c>
      <c r="S358" s="13">
        <v>120</v>
      </c>
      <c r="T358" s="856" t="s">
        <v>85</v>
      </c>
    </row>
    <row r="359" spans="3:20">
      <c r="C359" s="13">
        <f>IF(D359&lt;&gt;"",COUNTA($D$10:D359),"")</f>
        <v>299</v>
      </c>
      <c r="D359" s="14" t="s">
        <v>209</v>
      </c>
      <c r="E359" s="14">
        <v>2.4</v>
      </c>
      <c r="F359" s="14">
        <v>2</v>
      </c>
      <c r="G359" s="14">
        <v>2.4</v>
      </c>
      <c r="H359" s="14">
        <v>2</v>
      </c>
      <c r="I359" s="14">
        <v>1</v>
      </c>
      <c r="J359" s="14">
        <v>1.75</v>
      </c>
      <c r="K359" s="14">
        <v>3</v>
      </c>
      <c r="L359" s="15">
        <v>0.1</v>
      </c>
      <c r="M359" s="15">
        <v>0</v>
      </c>
      <c r="N359" s="14">
        <v>24</v>
      </c>
      <c r="O359" s="14">
        <v>50</v>
      </c>
      <c r="P359" s="13">
        <v>45</v>
      </c>
      <c r="Q359" s="13">
        <v>85</v>
      </c>
      <c r="R359" s="13" t="s">
        <v>21</v>
      </c>
      <c r="S359" s="13">
        <v>120</v>
      </c>
      <c r="T359" s="856" t="s">
        <v>85</v>
      </c>
    </row>
    <row r="360" spans="3:20">
      <c r="C360" s="13">
        <f>IF(D360&lt;&gt;"",COUNTA($D$10:D360),"")</f>
        <v>300</v>
      </c>
      <c r="D360" s="14" t="s">
        <v>210</v>
      </c>
      <c r="E360" s="14">
        <v>2.1</v>
      </c>
      <c r="F360" s="14">
        <v>1.8</v>
      </c>
      <c r="G360" s="14">
        <v>2.4</v>
      </c>
      <c r="H360" s="14">
        <v>2</v>
      </c>
      <c r="I360" s="14">
        <v>1</v>
      </c>
      <c r="J360" s="14">
        <v>1.75</v>
      </c>
      <c r="K360" s="14">
        <v>3</v>
      </c>
      <c r="L360" s="15">
        <v>0.1</v>
      </c>
      <c r="M360" s="15">
        <v>0</v>
      </c>
      <c r="N360" s="14">
        <v>24</v>
      </c>
      <c r="O360" s="14">
        <v>50</v>
      </c>
      <c r="P360" s="13">
        <v>45</v>
      </c>
      <c r="Q360" s="13">
        <v>85</v>
      </c>
      <c r="R360" s="13" t="s">
        <v>21</v>
      </c>
      <c r="S360" s="13">
        <v>120</v>
      </c>
      <c r="T360" s="856" t="s">
        <v>85</v>
      </c>
    </row>
    <row r="361" spans="3:20">
      <c r="C361" s="13">
        <f>IF(D361&lt;&gt;"",COUNTA($D$10:D361),"")</f>
        <v>301</v>
      </c>
      <c r="D361" s="14" t="s">
        <v>211</v>
      </c>
      <c r="E361" s="14">
        <v>1.8</v>
      </c>
      <c r="F361" s="14">
        <v>1.9</v>
      </c>
      <c r="G361" s="14">
        <v>2.4</v>
      </c>
      <c r="H361" s="14">
        <v>2</v>
      </c>
      <c r="I361" s="14">
        <v>1</v>
      </c>
      <c r="J361" s="14">
        <v>1.75</v>
      </c>
      <c r="K361" s="14">
        <v>3</v>
      </c>
      <c r="L361" s="15">
        <v>0.1</v>
      </c>
      <c r="M361" s="15">
        <v>0</v>
      </c>
      <c r="N361" s="14">
        <v>24</v>
      </c>
      <c r="O361" s="14">
        <v>50</v>
      </c>
      <c r="P361" s="13">
        <v>45</v>
      </c>
      <c r="Q361" s="13">
        <v>85</v>
      </c>
      <c r="R361" s="13" t="s">
        <v>21</v>
      </c>
      <c r="S361" s="13">
        <v>120</v>
      </c>
      <c r="T361" s="856" t="s">
        <v>85</v>
      </c>
    </row>
    <row r="362" spans="3:20">
      <c r="C362" s="13">
        <f>IF(D362&lt;&gt;"",COUNTA($D$10:D362),"")</f>
        <v>302</v>
      </c>
      <c r="D362" s="14" t="s">
        <v>212</v>
      </c>
      <c r="E362" s="14">
        <v>1.9</v>
      </c>
      <c r="F362" s="14">
        <v>2</v>
      </c>
      <c r="G362" s="14">
        <v>2.4</v>
      </c>
      <c r="H362" s="14">
        <v>2</v>
      </c>
      <c r="I362" s="14">
        <v>1</v>
      </c>
      <c r="J362" s="14">
        <v>1.75</v>
      </c>
      <c r="K362" s="14">
        <v>3</v>
      </c>
      <c r="L362" s="15">
        <v>0.1</v>
      </c>
      <c r="M362" s="15">
        <v>0</v>
      </c>
      <c r="N362" s="14">
        <v>24</v>
      </c>
      <c r="O362" s="14">
        <v>50</v>
      </c>
      <c r="P362" s="13">
        <v>45</v>
      </c>
      <c r="Q362" s="13">
        <v>85</v>
      </c>
      <c r="R362" s="13" t="s">
        <v>21</v>
      </c>
      <c r="S362" s="13">
        <v>120</v>
      </c>
      <c r="T362" s="856" t="s">
        <v>85</v>
      </c>
    </row>
    <row r="363" spans="3:20">
      <c r="C363" s="13">
        <f>IF(D363&lt;&gt;"",COUNTA($D$10:D363),"")</f>
        <v>303</v>
      </c>
      <c r="D363" s="14" t="s">
        <v>213</v>
      </c>
      <c r="E363" s="14">
        <v>2.2999999999999998</v>
      </c>
      <c r="F363" s="14">
        <v>2.2000000000000002</v>
      </c>
      <c r="G363" s="14">
        <v>2.4</v>
      </c>
      <c r="H363" s="14">
        <v>2</v>
      </c>
      <c r="I363" s="14">
        <v>1</v>
      </c>
      <c r="J363" s="14">
        <v>1.75</v>
      </c>
      <c r="K363" s="14">
        <v>3</v>
      </c>
      <c r="L363" s="15">
        <v>0.1</v>
      </c>
      <c r="M363" s="15">
        <v>0</v>
      </c>
      <c r="N363" s="14">
        <v>24</v>
      </c>
      <c r="O363" s="14">
        <v>50</v>
      </c>
      <c r="P363" s="13">
        <v>45</v>
      </c>
      <c r="Q363" s="13">
        <v>85</v>
      </c>
      <c r="R363" s="13" t="s">
        <v>21</v>
      </c>
      <c r="S363" s="13">
        <v>120</v>
      </c>
      <c r="T363" s="856" t="s">
        <v>85</v>
      </c>
    </row>
    <row r="364" spans="3:20">
      <c r="C364" s="13">
        <f>IF(D364&lt;&gt;"",COUNTA($D$10:D364),"")</f>
        <v>304</v>
      </c>
      <c r="D364" s="14" t="s">
        <v>214</v>
      </c>
      <c r="E364" s="14">
        <v>2.2000000000000002</v>
      </c>
      <c r="F364" s="14">
        <v>2.8</v>
      </c>
      <c r="G364" s="14">
        <v>2.4</v>
      </c>
      <c r="H364" s="14">
        <v>2</v>
      </c>
      <c r="I364" s="14">
        <v>1</v>
      </c>
      <c r="J364" s="14">
        <v>1.75</v>
      </c>
      <c r="K364" s="14">
        <v>3</v>
      </c>
      <c r="L364" s="15">
        <v>0.1</v>
      </c>
      <c r="M364" s="15">
        <v>0</v>
      </c>
      <c r="N364" s="14">
        <v>24</v>
      </c>
      <c r="O364" s="14">
        <v>50</v>
      </c>
      <c r="P364" s="13">
        <v>45</v>
      </c>
      <c r="Q364" s="13">
        <v>85</v>
      </c>
      <c r="R364" s="13" t="s">
        <v>21</v>
      </c>
      <c r="S364" s="13">
        <v>120</v>
      </c>
      <c r="T364" s="856" t="s">
        <v>85</v>
      </c>
    </row>
    <row r="365" spans="3:20">
      <c r="C365" s="13">
        <f>IF(D365&lt;&gt;"",COUNTA($D$10:D365),"")</f>
        <v>305</v>
      </c>
      <c r="D365" s="14" t="s">
        <v>215</v>
      </c>
      <c r="E365" s="14">
        <v>2.8</v>
      </c>
      <c r="F365" s="14">
        <v>2.4</v>
      </c>
      <c r="G365" s="14">
        <v>2.4</v>
      </c>
      <c r="H365" s="14">
        <v>2</v>
      </c>
      <c r="I365" s="14">
        <v>1</v>
      </c>
      <c r="J365" s="14">
        <v>1.75</v>
      </c>
      <c r="K365" s="14">
        <v>3</v>
      </c>
      <c r="L365" s="15">
        <v>0.1</v>
      </c>
      <c r="M365" s="15">
        <v>0</v>
      </c>
      <c r="N365" s="14">
        <v>24</v>
      </c>
      <c r="O365" s="14">
        <v>50</v>
      </c>
      <c r="P365" s="13">
        <v>45</v>
      </c>
      <c r="Q365" s="13">
        <v>85</v>
      </c>
      <c r="R365" s="13" t="s">
        <v>21</v>
      </c>
      <c r="S365" s="13">
        <v>120</v>
      </c>
      <c r="T365" s="856" t="s">
        <v>85</v>
      </c>
    </row>
    <row r="366" spans="3:20">
      <c r="C366" s="19"/>
      <c r="D366" s="19"/>
      <c r="E366" s="19"/>
      <c r="F366" s="19"/>
      <c r="G366" s="19"/>
      <c r="H366" s="19"/>
      <c r="I366" s="19"/>
      <c r="J366" s="19"/>
      <c r="K366" s="19"/>
      <c r="L366" s="19"/>
      <c r="M366" s="19"/>
      <c r="N366" s="19"/>
      <c r="O366" s="19"/>
      <c r="P366" s="19"/>
      <c r="Q366" s="19"/>
      <c r="R366" s="19"/>
      <c r="S366" s="19"/>
      <c r="T366" s="19"/>
    </row>
    <row r="368" spans="3:20" ht="26.1">
      <c r="C368" s="8" t="str">
        <f>"Zoning Area AHU - " &amp; INT((ROW()-8)/20)+1 &amp; "  " &amp; IF(ISNUMBER(N370),"Air-Conditioning System " &amp; IF(AH370="D","(DX)",IF(AH370="C","(Chilled Water)","")),IF(AND(N370="Amb",ISTEXT(N370)),"Ventilation System","Refer"))</f>
        <v xml:space="preserve">Zoning Area AHU - 19  Air-Conditioning System </v>
      </c>
      <c r="D368" s="8"/>
      <c r="E368" s="8"/>
      <c r="F368" s="8"/>
      <c r="G368" s="8"/>
      <c r="H368" s="8"/>
      <c r="I368" s="8"/>
      <c r="J368" s="8"/>
      <c r="K368" s="8"/>
      <c r="L368" s="8"/>
      <c r="M368" s="8"/>
      <c r="N368" s="8"/>
      <c r="O368" s="8"/>
      <c r="P368" s="8"/>
      <c r="Q368" s="8"/>
      <c r="R368" s="8"/>
      <c r="S368" s="8"/>
      <c r="T368" s="8"/>
    </row>
    <row r="369" spans="3:20">
      <c r="C369" s="13">
        <f>IF(D369&lt;&gt;"",COUNTA($D$10:D369),"")</f>
        <v>306</v>
      </c>
      <c r="D369" s="5" t="s">
        <v>165</v>
      </c>
      <c r="E369" s="5" t="s">
        <v>166</v>
      </c>
      <c r="F369" s="5" t="s">
        <v>167</v>
      </c>
      <c r="G369" s="5" t="s">
        <v>168</v>
      </c>
      <c r="H369" s="5" t="s">
        <v>169</v>
      </c>
      <c r="I369" s="5" t="s">
        <v>170</v>
      </c>
      <c r="J369" s="5" t="s">
        <v>171</v>
      </c>
      <c r="K369" s="5" t="s">
        <v>172</v>
      </c>
      <c r="L369" s="5" t="s">
        <v>173</v>
      </c>
      <c r="M369" s="5" t="s">
        <v>174</v>
      </c>
      <c r="N369" s="5" t="s">
        <v>175</v>
      </c>
      <c r="O369" s="5" t="s">
        <v>176</v>
      </c>
      <c r="P369" s="5" t="s">
        <v>177</v>
      </c>
      <c r="Q369" s="5" t="s">
        <v>178</v>
      </c>
      <c r="R369" s="5" t="s">
        <v>199</v>
      </c>
      <c r="S369" s="5" t="s">
        <v>180</v>
      </c>
      <c r="T369" s="5" t="s">
        <v>180</v>
      </c>
    </row>
    <row r="370" spans="3:20">
      <c r="C370" s="13">
        <f>IF(D370&lt;&gt;"",COUNTA($D$10:D370),"")</f>
        <v>307</v>
      </c>
      <c r="D370" s="14" t="s">
        <v>200</v>
      </c>
      <c r="E370" s="14">
        <v>3</v>
      </c>
      <c r="F370" s="14">
        <v>3</v>
      </c>
      <c r="G370" s="14">
        <v>2.4</v>
      </c>
      <c r="H370" s="14">
        <v>1</v>
      </c>
      <c r="I370" s="14">
        <v>2</v>
      </c>
      <c r="J370" s="14">
        <v>1.75</v>
      </c>
      <c r="K370" s="14">
        <v>3</v>
      </c>
      <c r="L370" s="15">
        <v>0.1</v>
      </c>
      <c r="M370" s="15">
        <v>0</v>
      </c>
      <c r="N370" s="14">
        <v>24</v>
      </c>
      <c r="O370" s="14">
        <v>50</v>
      </c>
      <c r="P370" s="13">
        <v>45</v>
      </c>
      <c r="Q370" s="13">
        <v>85</v>
      </c>
      <c r="R370" s="13" t="s">
        <v>14</v>
      </c>
      <c r="S370" s="13">
        <v>120</v>
      </c>
      <c r="T370" s="856" t="s">
        <v>85</v>
      </c>
    </row>
    <row r="371" spans="3:20">
      <c r="C371" s="13">
        <f>IF(D371&lt;&gt;"",COUNTA($D$10:D371),"")</f>
        <v>308</v>
      </c>
      <c r="D371" s="14" t="s">
        <v>201</v>
      </c>
      <c r="E371" s="14">
        <v>1.8</v>
      </c>
      <c r="F371" s="14">
        <v>2.2000000000000002</v>
      </c>
      <c r="G371" s="14">
        <v>2.4</v>
      </c>
      <c r="H371" s="14">
        <v>2</v>
      </c>
      <c r="I371" s="14">
        <v>1</v>
      </c>
      <c r="J371" s="14">
        <v>1.75</v>
      </c>
      <c r="K371" s="14">
        <v>3</v>
      </c>
      <c r="L371" s="15">
        <v>0.1</v>
      </c>
      <c r="M371" s="15">
        <v>0</v>
      </c>
      <c r="N371" s="14">
        <v>24</v>
      </c>
      <c r="O371" s="14">
        <v>50</v>
      </c>
      <c r="P371" s="13">
        <v>45</v>
      </c>
      <c r="Q371" s="13">
        <v>85</v>
      </c>
      <c r="R371" s="13" t="s">
        <v>14</v>
      </c>
      <c r="S371" s="13">
        <v>120</v>
      </c>
      <c r="T371" s="856" t="s">
        <v>85</v>
      </c>
    </row>
    <row r="372" spans="3:20">
      <c r="C372" s="13">
        <f>IF(D372&lt;&gt;"",COUNTA($D$10:D372),"")</f>
        <v>309</v>
      </c>
      <c r="D372" s="14" t="s">
        <v>202</v>
      </c>
      <c r="E372" s="14">
        <v>1.5</v>
      </c>
      <c r="F372" s="14">
        <v>2.8</v>
      </c>
      <c r="G372" s="14">
        <v>2.4</v>
      </c>
      <c r="H372" s="14">
        <v>2</v>
      </c>
      <c r="I372" s="14">
        <v>3</v>
      </c>
      <c r="J372" s="14">
        <v>1.75</v>
      </c>
      <c r="K372" s="14">
        <v>3</v>
      </c>
      <c r="L372" s="15">
        <v>0.1</v>
      </c>
      <c r="M372" s="15">
        <v>0</v>
      </c>
      <c r="N372" s="14">
        <v>24</v>
      </c>
      <c r="O372" s="14">
        <v>50</v>
      </c>
      <c r="P372" s="13">
        <v>45</v>
      </c>
      <c r="Q372" s="13">
        <v>85</v>
      </c>
      <c r="R372" s="13" t="s">
        <v>14</v>
      </c>
      <c r="S372" s="13">
        <v>120</v>
      </c>
      <c r="T372" s="856" t="s">
        <v>85</v>
      </c>
    </row>
    <row r="373" spans="3:20">
      <c r="C373" s="13">
        <f>IF(D373&lt;&gt;"",COUNTA($D$10:D373),"")</f>
        <v>310</v>
      </c>
      <c r="D373" s="14" t="s">
        <v>203</v>
      </c>
      <c r="E373" s="14">
        <v>2.1</v>
      </c>
      <c r="F373" s="14">
        <v>3.5</v>
      </c>
      <c r="G373" s="14">
        <v>2.4</v>
      </c>
      <c r="H373" s="14">
        <v>0</v>
      </c>
      <c r="I373" s="14">
        <v>1</v>
      </c>
      <c r="J373" s="14">
        <v>1.75</v>
      </c>
      <c r="K373" s="14">
        <v>3</v>
      </c>
      <c r="L373" s="15">
        <v>0.1</v>
      </c>
      <c r="M373" s="15">
        <v>0</v>
      </c>
      <c r="N373" s="14">
        <v>24</v>
      </c>
      <c r="O373" s="14">
        <v>50</v>
      </c>
      <c r="P373" s="13">
        <v>45</v>
      </c>
      <c r="Q373" s="13">
        <v>85</v>
      </c>
      <c r="R373" s="13" t="s">
        <v>14</v>
      </c>
      <c r="S373" s="13">
        <v>120</v>
      </c>
      <c r="T373" s="856" t="s">
        <v>85</v>
      </c>
    </row>
    <row r="374" spans="3:20">
      <c r="C374" s="13">
        <f>IF(D374&lt;&gt;"",COUNTA($D$10:D374),"")</f>
        <v>311</v>
      </c>
      <c r="D374" s="14" t="s">
        <v>204</v>
      </c>
      <c r="E374" s="14">
        <v>2.7</v>
      </c>
      <c r="F374" s="14">
        <v>4</v>
      </c>
      <c r="G374" s="14">
        <v>2.4</v>
      </c>
      <c r="H374" s="14">
        <v>2</v>
      </c>
      <c r="I374" s="14">
        <v>1</v>
      </c>
      <c r="J374" s="14">
        <v>1.75</v>
      </c>
      <c r="K374" s="14">
        <v>3</v>
      </c>
      <c r="L374" s="15">
        <v>0.1</v>
      </c>
      <c r="M374" s="15">
        <v>0</v>
      </c>
      <c r="N374" s="14">
        <v>24</v>
      </c>
      <c r="O374" s="14">
        <v>50</v>
      </c>
      <c r="P374" s="13">
        <v>45</v>
      </c>
      <c r="Q374" s="13">
        <v>85</v>
      </c>
      <c r="R374" s="13" t="s">
        <v>14</v>
      </c>
      <c r="S374" s="13">
        <v>120</v>
      </c>
      <c r="T374" s="856" t="s">
        <v>85</v>
      </c>
    </row>
    <row r="375" spans="3:20">
      <c r="C375" s="13">
        <f>IF(D375&lt;&gt;"",COUNTA($D$10:D375),"")</f>
        <v>312</v>
      </c>
      <c r="D375" s="14" t="s">
        <v>205</v>
      </c>
      <c r="E375" s="14">
        <v>3.8</v>
      </c>
      <c r="F375" s="14">
        <v>4.2</v>
      </c>
      <c r="G375" s="14">
        <v>2.4</v>
      </c>
      <c r="H375" s="14">
        <v>3</v>
      </c>
      <c r="I375" s="14">
        <v>3</v>
      </c>
      <c r="J375" s="14">
        <v>1.75</v>
      </c>
      <c r="K375" s="14">
        <v>3</v>
      </c>
      <c r="L375" s="15">
        <v>0.1</v>
      </c>
      <c r="M375" s="15">
        <v>0</v>
      </c>
      <c r="N375" s="14">
        <v>24</v>
      </c>
      <c r="O375" s="14">
        <v>50</v>
      </c>
      <c r="P375" s="13">
        <v>45</v>
      </c>
      <c r="Q375" s="13">
        <v>85</v>
      </c>
      <c r="R375" s="13" t="s">
        <v>14</v>
      </c>
      <c r="S375" s="13">
        <v>120</v>
      </c>
      <c r="T375" s="856" t="s">
        <v>85</v>
      </c>
    </row>
    <row r="376" spans="3:20">
      <c r="C376" s="13">
        <f>IF(D376&lt;&gt;"",COUNTA($D$10:D376),"")</f>
        <v>313</v>
      </c>
      <c r="D376" s="14" t="s">
        <v>206</v>
      </c>
      <c r="E376" s="14">
        <v>3.1</v>
      </c>
      <c r="F376" s="14">
        <v>2.6</v>
      </c>
      <c r="G376" s="14">
        <v>2.4</v>
      </c>
      <c r="H376" s="14">
        <v>2</v>
      </c>
      <c r="I376" s="14">
        <v>1</v>
      </c>
      <c r="J376" s="14">
        <v>1.75</v>
      </c>
      <c r="K376" s="14">
        <v>3</v>
      </c>
      <c r="L376" s="15">
        <v>0.1</v>
      </c>
      <c r="M376" s="15">
        <v>0</v>
      </c>
      <c r="N376" s="14">
        <v>24</v>
      </c>
      <c r="O376" s="14">
        <v>50</v>
      </c>
      <c r="P376" s="13">
        <v>45</v>
      </c>
      <c r="Q376" s="13">
        <v>85</v>
      </c>
      <c r="R376" s="13" t="s">
        <v>14</v>
      </c>
      <c r="S376" s="13">
        <v>120</v>
      </c>
      <c r="T376" s="856" t="s">
        <v>85</v>
      </c>
    </row>
    <row r="377" spans="3:20">
      <c r="C377" s="13">
        <f>IF(D377&lt;&gt;"",COUNTA($D$10:D377),"")</f>
        <v>314</v>
      </c>
      <c r="D377" s="14" t="s">
        <v>207</v>
      </c>
      <c r="E377" s="14">
        <v>1.9</v>
      </c>
      <c r="F377" s="14">
        <v>2.4</v>
      </c>
      <c r="G377" s="14">
        <v>2.4</v>
      </c>
      <c r="H377" s="14">
        <v>3</v>
      </c>
      <c r="I377" s="14">
        <v>2</v>
      </c>
      <c r="J377" s="14">
        <v>1.75</v>
      </c>
      <c r="K377" s="14">
        <v>3</v>
      </c>
      <c r="L377" s="15">
        <v>0.1</v>
      </c>
      <c r="M377" s="15">
        <v>0</v>
      </c>
      <c r="N377" s="14">
        <v>24</v>
      </c>
      <c r="O377" s="14">
        <v>50</v>
      </c>
      <c r="P377" s="13">
        <v>45</v>
      </c>
      <c r="Q377" s="13">
        <v>85</v>
      </c>
      <c r="R377" s="13" t="s">
        <v>14</v>
      </c>
      <c r="S377" s="13">
        <v>120</v>
      </c>
      <c r="T377" s="856" t="s">
        <v>85</v>
      </c>
    </row>
    <row r="378" spans="3:20">
      <c r="C378" s="13">
        <f>IF(D378&lt;&gt;"",COUNTA($D$10:D378),"")</f>
        <v>315</v>
      </c>
      <c r="D378" s="14" t="s">
        <v>208</v>
      </c>
      <c r="E378" s="14">
        <v>3</v>
      </c>
      <c r="F378" s="14">
        <v>2.9</v>
      </c>
      <c r="G378" s="14">
        <v>2.4</v>
      </c>
      <c r="H378" s="14">
        <v>2</v>
      </c>
      <c r="I378" s="14">
        <v>1</v>
      </c>
      <c r="J378" s="14">
        <v>1.75</v>
      </c>
      <c r="K378" s="14">
        <v>3</v>
      </c>
      <c r="L378" s="15">
        <v>0.1</v>
      </c>
      <c r="M378" s="15">
        <v>0</v>
      </c>
      <c r="N378" s="14">
        <v>24</v>
      </c>
      <c r="O378" s="14">
        <v>50</v>
      </c>
      <c r="P378" s="13">
        <v>45</v>
      </c>
      <c r="Q378" s="13">
        <v>85</v>
      </c>
      <c r="R378" s="13" t="s">
        <v>14</v>
      </c>
      <c r="S378" s="13">
        <v>120</v>
      </c>
      <c r="T378" s="856" t="s">
        <v>85</v>
      </c>
    </row>
    <row r="379" spans="3:20">
      <c r="C379" s="13">
        <f>IF(D379&lt;&gt;"",COUNTA($D$10:D379),"")</f>
        <v>316</v>
      </c>
      <c r="D379" s="14" t="s">
        <v>209</v>
      </c>
      <c r="E379" s="14">
        <v>2.4</v>
      </c>
      <c r="F379" s="14">
        <v>2</v>
      </c>
      <c r="G379" s="14">
        <v>2.4</v>
      </c>
      <c r="H379" s="14">
        <v>2</v>
      </c>
      <c r="I379" s="14">
        <v>1</v>
      </c>
      <c r="J379" s="14">
        <v>1.75</v>
      </c>
      <c r="K379" s="14">
        <v>3</v>
      </c>
      <c r="L379" s="15">
        <v>0.1</v>
      </c>
      <c r="M379" s="15">
        <v>0</v>
      </c>
      <c r="N379" s="14">
        <v>24</v>
      </c>
      <c r="O379" s="14">
        <v>50</v>
      </c>
      <c r="P379" s="13">
        <v>45</v>
      </c>
      <c r="Q379" s="13">
        <v>85</v>
      </c>
      <c r="R379" s="13" t="s">
        <v>14</v>
      </c>
      <c r="S379" s="13">
        <v>120</v>
      </c>
      <c r="T379" s="856" t="s">
        <v>85</v>
      </c>
    </row>
    <row r="380" spans="3:20">
      <c r="C380" s="13">
        <f>IF(D380&lt;&gt;"",COUNTA($D$10:D380),"")</f>
        <v>317</v>
      </c>
      <c r="D380" s="14" t="s">
        <v>210</v>
      </c>
      <c r="E380" s="14">
        <v>2.1</v>
      </c>
      <c r="F380" s="14">
        <v>1.8</v>
      </c>
      <c r="G380" s="14">
        <v>2.4</v>
      </c>
      <c r="H380" s="14">
        <v>2</v>
      </c>
      <c r="I380" s="14">
        <v>1</v>
      </c>
      <c r="J380" s="14">
        <v>1.75</v>
      </c>
      <c r="K380" s="14">
        <v>3</v>
      </c>
      <c r="L380" s="15">
        <v>0.1</v>
      </c>
      <c r="M380" s="15">
        <v>0</v>
      </c>
      <c r="N380" s="14">
        <v>24</v>
      </c>
      <c r="O380" s="14">
        <v>50</v>
      </c>
      <c r="P380" s="13">
        <v>45</v>
      </c>
      <c r="Q380" s="13">
        <v>85</v>
      </c>
      <c r="R380" s="13" t="s">
        <v>14</v>
      </c>
      <c r="S380" s="13">
        <v>120</v>
      </c>
      <c r="T380" s="856" t="s">
        <v>85</v>
      </c>
    </row>
    <row r="381" spans="3:20">
      <c r="C381" s="13">
        <f>IF(D381&lt;&gt;"",COUNTA($D$10:D381),"")</f>
        <v>318</v>
      </c>
      <c r="D381" s="14" t="s">
        <v>211</v>
      </c>
      <c r="E381" s="14">
        <v>1.8</v>
      </c>
      <c r="F381" s="14">
        <v>1.9</v>
      </c>
      <c r="G381" s="14">
        <v>2.4</v>
      </c>
      <c r="H381" s="14">
        <v>2</v>
      </c>
      <c r="I381" s="14">
        <v>1</v>
      </c>
      <c r="J381" s="14">
        <v>1.75</v>
      </c>
      <c r="K381" s="14">
        <v>3</v>
      </c>
      <c r="L381" s="15">
        <v>0.1</v>
      </c>
      <c r="M381" s="15">
        <v>0</v>
      </c>
      <c r="N381" s="14">
        <v>24</v>
      </c>
      <c r="O381" s="14">
        <v>50</v>
      </c>
      <c r="P381" s="13">
        <v>45</v>
      </c>
      <c r="Q381" s="13">
        <v>85</v>
      </c>
      <c r="R381" s="13" t="s">
        <v>14</v>
      </c>
      <c r="S381" s="13">
        <v>120</v>
      </c>
      <c r="T381" s="856" t="s">
        <v>85</v>
      </c>
    </row>
    <row r="382" spans="3:20">
      <c r="C382" s="13">
        <f>IF(D382&lt;&gt;"",COUNTA($D$10:D382),"")</f>
        <v>319</v>
      </c>
      <c r="D382" s="14" t="s">
        <v>212</v>
      </c>
      <c r="E382" s="14">
        <v>1.9</v>
      </c>
      <c r="F382" s="14">
        <v>2</v>
      </c>
      <c r="G382" s="14">
        <v>2.4</v>
      </c>
      <c r="H382" s="14">
        <v>2</v>
      </c>
      <c r="I382" s="14">
        <v>1</v>
      </c>
      <c r="J382" s="14">
        <v>1.75</v>
      </c>
      <c r="K382" s="14">
        <v>3</v>
      </c>
      <c r="L382" s="15">
        <v>0.1</v>
      </c>
      <c r="M382" s="15">
        <v>0</v>
      </c>
      <c r="N382" s="14">
        <v>24</v>
      </c>
      <c r="O382" s="14">
        <v>50</v>
      </c>
      <c r="P382" s="13">
        <v>45</v>
      </c>
      <c r="Q382" s="13">
        <v>85</v>
      </c>
      <c r="R382" s="13" t="s">
        <v>14</v>
      </c>
      <c r="S382" s="13">
        <v>120</v>
      </c>
      <c r="T382" s="856" t="s">
        <v>85</v>
      </c>
    </row>
    <row r="383" spans="3:20">
      <c r="C383" s="13">
        <f>IF(D383&lt;&gt;"",COUNTA($D$10:D383),"")</f>
        <v>320</v>
      </c>
      <c r="D383" s="14" t="s">
        <v>213</v>
      </c>
      <c r="E383" s="14">
        <v>2.2999999999999998</v>
      </c>
      <c r="F383" s="14">
        <v>2.2000000000000002</v>
      </c>
      <c r="G383" s="14">
        <v>2.4</v>
      </c>
      <c r="H383" s="14">
        <v>2</v>
      </c>
      <c r="I383" s="14">
        <v>1</v>
      </c>
      <c r="J383" s="14">
        <v>1.75</v>
      </c>
      <c r="K383" s="14">
        <v>3</v>
      </c>
      <c r="L383" s="15">
        <v>0.1</v>
      </c>
      <c r="M383" s="15">
        <v>0</v>
      </c>
      <c r="N383" s="14">
        <v>24</v>
      </c>
      <c r="O383" s="14">
        <v>50</v>
      </c>
      <c r="P383" s="13">
        <v>45</v>
      </c>
      <c r="Q383" s="13">
        <v>85</v>
      </c>
      <c r="R383" s="13" t="s">
        <v>14</v>
      </c>
      <c r="S383" s="13">
        <v>120</v>
      </c>
      <c r="T383" s="856" t="s">
        <v>85</v>
      </c>
    </row>
    <row r="384" spans="3:20">
      <c r="C384" s="13">
        <f>IF(D384&lt;&gt;"",COUNTA($D$10:D384),"")</f>
        <v>321</v>
      </c>
      <c r="D384" s="14" t="s">
        <v>214</v>
      </c>
      <c r="E384" s="14">
        <v>2.2000000000000002</v>
      </c>
      <c r="F384" s="14">
        <v>2.8</v>
      </c>
      <c r="G384" s="14">
        <v>2.4</v>
      </c>
      <c r="H384" s="14">
        <v>2</v>
      </c>
      <c r="I384" s="14">
        <v>1</v>
      </c>
      <c r="J384" s="14">
        <v>1.75</v>
      </c>
      <c r="K384" s="14">
        <v>3</v>
      </c>
      <c r="L384" s="15">
        <v>0.1</v>
      </c>
      <c r="M384" s="15">
        <v>0</v>
      </c>
      <c r="N384" s="14">
        <v>24</v>
      </c>
      <c r="O384" s="14">
        <v>50</v>
      </c>
      <c r="P384" s="13">
        <v>45</v>
      </c>
      <c r="Q384" s="13">
        <v>85</v>
      </c>
      <c r="R384" s="13" t="s">
        <v>14</v>
      </c>
      <c r="S384" s="13">
        <v>120</v>
      </c>
      <c r="T384" s="856" t="s">
        <v>85</v>
      </c>
    </row>
    <row r="385" spans="3:20">
      <c r="C385" s="13">
        <f>IF(D385&lt;&gt;"",COUNTA($D$10:D385),"")</f>
        <v>322</v>
      </c>
      <c r="D385" s="14" t="s">
        <v>215</v>
      </c>
      <c r="E385" s="14">
        <v>2.8</v>
      </c>
      <c r="F385" s="14">
        <v>2.4</v>
      </c>
      <c r="G385" s="14">
        <v>2.4</v>
      </c>
      <c r="H385" s="14">
        <v>2</v>
      </c>
      <c r="I385" s="14">
        <v>1</v>
      </c>
      <c r="J385" s="14">
        <v>1.75</v>
      </c>
      <c r="K385" s="14">
        <v>3</v>
      </c>
      <c r="L385" s="15">
        <v>0.1</v>
      </c>
      <c r="M385" s="15">
        <v>0</v>
      </c>
      <c r="N385" s="14">
        <v>24</v>
      </c>
      <c r="O385" s="14">
        <v>50</v>
      </c>
      <c r="P385" s="13">
        <v>45</v>
      </c>
      <c r="Q385" s="13">
        <v>85</v>
      </c>
      <c r="R385" s="13" t="s">
        <v>14</v>
      </c>
      <c r="S385" s="13">
        <v>120</v>
      </c>
      <c r="T385" s="856" t="s">
        <v>85</v>
      </c>
    </row>
    <row r="386" spans="3:20">
      <c r="C386" s="19"/>
      <c r="D386" s="19"/>
      <c r="E386" s="19"/>
      <c r="F386" s="19"/>
      <c r="G386" s="19"/>
      <c r="H386" s="19"/>
      <c r="I386" s="19"/>
      <c r="J386" s="19"/>
      <c r="K386" s="19"/>
      <c r="L386" s="19"/>
      <c r="M386" s="19"/>
      <c r="N386" s="19"/>
      <c r="O386" s="19"/>
      <c r="P386" s="19"/>
      <c r="Q386" s="19"/>
      <c r="R386" s="19"/>
      <c r="S386" s="19"/>
      <c r="T386" s="19"/>
    </row>
    <row r="388" spans="3:20" ht="26.1">
      <c r="C388" s="8" t="str">
        <f>"Zoning Area AHU - " &amp; INT((ROW()-8)/20)+1 &amp; "  " &amp; IF(ISNUMBER(N390),"Air-Conditioning System " &amp; IF(AH390="D","(DX)",IF(AH390="C","(Chilled Water)","")),IF(AND(N390="Amb",ISTEXT(N390)),"Ventilation System","Refer"))</f>
        <v xml:space="preserve">Zoning Area AHU - 20  Air-Conditioning System </v>
      </c>
      <c r="D388" s="8"/>
      <c r="E388" s="8"/>
      <c r="F388" s="8"/>
      <c r="G388" s="8"/>
      <c r="H388" s="8"/>
      <c r="I388" s="8"/>
      <c r="J388" s="8"/>
      <c r="K388" s="8"/>
      <c r="L388" s="8"/>
      <c r="M388" s="8"/>
      <c r="N388" s="8"/>
      <c r="O388" s="8"/>
      <c r="P388" s="8"/>
      <c r="Q388" s="8"/>
      <c r="R388" s="8"/>
      <c r="S388" s="8"/>
      <c r="T388" s="8"/>
    </row>
    <row r="389" spans="3:20">
      <c r="C389" s="13">
        <f>IF(D389&lt;&gt;"",COUNTA($D$10:D389),"")</f>
        <v>323</v>
      </c>
      <c r="D389" s="5" t="s">
        <v>165</v>
      </c>
      <c r="E389" s="5" t="s">
        <v>166</v>
      </c>
      <c r="F389" s="5" t="s">
        <v>167</v>
      </c>
      <c r="G389" s="5" t="s">
        <v>168</v>
      </c>
      <c r="H389" s="5" t="s">
        <v>169</v>
      </c>
      <c r="I389" s="5" t="s">
        <v>170</v>
      </c>
      <c r="J389" s="5" t="s">
        <v>171</v>
      </c>
      <c r="K389" s="5" t="s">
        <v>172</v>
      </c>
      <c r="L389" s="5" t="s">
        <v>173</v>
      </c>
      <c r="M389" s="5" t="s">
        <v>174</v>
      </c>
      <c r="N389" s="5" t="s">
        <v>175</v>
      </c>
      <c r="O389" s="5" t="s">
        <v>176</v>
      </c>
      <c r="P389" s="5" t="s">
        <v>177</v>
      </c>
      <c r="Q389" s="5" t="s">
        <v>178</v>
      </c>
      <c r="R389" s="5" t="s">
        <v>199</v>
      </c>
      <c r="S389" s="5" t="s">
        <v>180</v>
      </c>
      <c r="T389" s="5" t="s">
        <v>180</v>
      </c>
    </row>
    <row r="390" spans="3:20">
      <c r="C390" s="13">
        <f>IF(D390&lt;&gt;"",COUNTA($D$10:D390),"")</f>
        <v>324</v>
      </c>
      <c r="D390" s="14" t="s">
        <v>200</v>
      </c>
      <c r="E390" s="14">
        <v>3</v>
      </c>
      <c r="F390" s="14">
        <v>3</v>
      </c>
      <c r="G390" s="14">
        <v>2.4</v>
      </c>
      <c r="H390" s="14">
        <v>1</v>
      </c>
      <c r="I390" s="14">
        <v>2</v>
      </c>
      <c r="J390" s="14">
        <v>1.75</v>
      </c>
      <c r="K390" s="14">
        <v>3</v>
      </c>
      <c r="L390" s="15">
        <v>0.1</v>
      </c>
      <c r="M390" s="15">
        <v>0</v>
      </c>
      <c r="N390" s="14">
        <v>21</v>
      </c>
      <c r="O390" s="14">
        <v>50</v>
      </c>
      <c r="P390" s="13">
        <v>45</v>
      </c>
      <c r="Q390" s="13">
        <v>85</v>
      </c>
      <c r="R390" s="13" t="s">
        <v>12</v>
      </c>
      <c r="S390" s="13">
        <v>120</v>
      </c>
      <c r="T390" s="856" t="s">
        <v>85</v>
      </c>
    </row>
    <row r="391" spans="3:20">
      <c r="C391" s="13">
        <f>IF(D391&lt;&gt;"",COUNTA($D$10:D391),"")</f>
        <v>325</v>
      </c>
      <c r="D391" s="14" t="s">
        <v>201</v>
      </c>
      <c r="E391" s="14">
        <v>1.8</v>
      </c>
      <c r="F391" s="14">
        <v>2.2000000000000002</v>
      </c>
      <c r="G391" s="14">
        <v>2.4</v>
      </c>
      <c r="H391" s="14">
        <v>2</v>
      </c>
      <c r="I391" s="14">
        <v>1</v>
      </c>
      <c r="J391" s="14">
        <v>1.75</v>
      </c>
      <c r="K391" s="14">
        <v>3</v>
      </c>
      <c r="L391" s="15">
        <v>0.1</v>
      </c>
      <c r="M391" s="15">
        <v>0</v>
      </c>
      <c r="N391" s="14">
        <v>21</v>
      </c>
      <c r="O391" s="14">
        <v>50</v>
      </c>
      <c r="P391" s="13">
        <v>45</v>
      </c>
      <c r="Q391" s="13">
        <v>85</v>
      </c>
      <c r="R391" s="13" t="s">
        <v>12</v>
      </c>
      <c r="S391" s="13">
        <v>120</v>
      </c>
      <c r="T391" s="856" t="s">
        <v>85</v>
      </c>
    </row>
    <row r="392" spans="3:20">
      <c r="C392" s="13">
        <f>IF(D392&lt;&gt;"",COUNTA($D$10:D392),"")</f>
        <v>326</v>
      </c>
      <c r="D392" s="14" t="s">
        <v>202</v>
      </c>
      <c r="E392" s="14">
        <v>1.5</v>
      </c>
      <c r="F392" s="14">
        <v>2.8</v>
      </c>
      <c r="G392" s="14">
        <v>2.4</v>
      </c>
      <c r="H392" s="14">
        <v>2</v>
      </c>
      <c r="I392" s="14">
        <v>3</v>
      </c>
      <c r="J392" s="14">
        <v>1.75</v>
      </c>
      <c r="K392" s="14">
        <v>3</v>
      </c>
      <c r="L392" s="15">
        <v>0.1</v>
      </c>
      <c r="M392" s="15">
        <v>0</v>
      </c>
      <c r="N392" s="14">
        <v>21</v>
      </c>
      <c r="O392" s="14">
        <v>50</v>
      </c>
      <c r="P392" s="13">
        <v>45</v>
      </c>
      <c r="Q392" s="13">
        <v>85</v>
      </c>
      <c r="R392" s="13" t="s">
        <v>12</v>
      </c>
      <c r="S392" s="13">
        <v>120</v>
      </c>
      <c r="T392" s="856" t="s">
        <v>85</v>
      </c>
    </row>
    <row r="393" spans="3:20">
      <c r="C393" s="13">
        <f>IF(D393&lt;&gt;"",COUNTA($D$10:D393),"")</f>
        <v>327</v>
      </c>
      <c r="D393" s="14" t="s">
        <v>203</v>
      </c>
      <c r="E393" s="14">
        <v>2.1</v>
      </c>
      <c r="F393" s="14">
        <v>3.5</v>
      </c>
      <c r="G393" s="14">
        <v>2.4</v>
      </c>
      <c r="H393" s="14">
        <v>0</v>
      </c>
      <c r="I393" s="14">
        <v>1</v>
      </c>
      <c r="J393" s="14">
        <v>1.75</v>
      </c>
      <c r="K393" s="14">
        <v>3</v>
      </c>
      <c r="L393" s="15">
        <v>0.1</v>
      </c>
      <c r="M393" s="15">
        <v>0</v>
      </c>
      <c r="N393" s="14">
        <v>21</v>
      </c>
      <c r="O393" s="14">
        <v>50</v>
      </c>
      <c r="P393" s="13">
        <v>45</v>
      </c>
      <c r="Q393" s="13">
        <v>85</v>
      </c>
      <c r="R393" s="13" t="s">
        <v>12</v>
      </c>
      <c r="S393" s="13">
        <v>120</v>
      </c>
      <c r="T393" s="856" t="s">
        <v>85</v>
      </c>
    </row>
    <row r="394" spans="3:20">
      <c r="C394" s="13">
        <f>IF(D394&lt;&gt;"",COUNTA($D$10:D394),"")</f>
        <v>328</v>
      </c>
      <c r="D394" s="14" t="s">
        <v>204</v>
      </c>
      <c r="E394" s="14">
        <v>2.7</v>
      </c>
      <c r="F394" s="14">
        <v>4</v>
      </c>
      <c r="G394" s="14">
        <v>2.4</v>
      </c>
      <c r="H394" s="14">
        <v>2</v>
      </c>
      <c r="I394" s="14">
        <v>1</v>
      </c>
      <c r="J394" s="14">
        <v>1.75</v>
      </c>
      <c r="K394" s="14">
        <v>3</v>
      </c>
      <c r="L394" s="15">
        <v>0.1</v>
      </c>
      <c r="M394" s="15">
        <v>0</v>
      </c>
      <c r="N394" s="14">
        <v>21</v>
      </c>
      <c r="O394" s="14">
        <v>50</v>
      </c>
      <c r="P394" s="13">
        <v>45</v>
      </c>
      <c r="Q394" s="13">
        <v>85</v>
      </c>
      <c r="R394" s="13" t="s">
        <v>12</v>
      </c>
      <c r="S394" s="13">
        <v>120</v>
      </c>
      <c r="T394" s="856" t="s">
        <v>85</v>
      </c>
    </row>
    <row r="395" spans="3:20">
      <c r="C395" s="13">
        <f>IF(D395&lt;&gt;"",COUNTA($D$10:D395),"")</f>
        <v>329</v>
      </c>
      <c r="D395" s="14" t="s">
        <v>205</v>
      </c>
      <c r="E395" s="14">
        <v>3.8</v>
      </c>
      <c r="F395" s="14">
        <v>4.2</v>
      </c>
      <c r="G395" s="14">
        <v>2.4</v>
      </c>
      <c r="H395" s="14">
        <v>3</v>
      </c>
      <c r="I395" s="14">
        <v>3</v>
      </c>
      <c r="J395" s="14">
        <v>1.75</v>
      </c>
      <c r="K395" s="14">
        <v>3</v>
      </c>
      <c r="L395" s="15">
        <v>0.1</v>
      </c>
      <c r="M395" s="15">
        <v>0</v>
      </c>
      <c r="N395" s="14">
        <v>21</v>
      </c>
      <c r="O395" s="14">
        <v>50</v>
      </c>
      <c r="P395" s="13">
        <v>45</v>
      </c>
      <c r="Q395" s="13">
        <v>85</v>
      </c>
      <c r="R395" s="13" t="s">
        <v>12</v>
      </c>
      <c r="S395" s="13">
        <v>120</v>
      </c>
      <c r="T395" s="856" t="s">
        <v>85</v>
      </c>
    </row>
    <row r="396" spans="3:20">
      <c r="C396" s="13">
        <f>IF(D396&lt;&gt;"",COUNTA($D$10:D396),"")</f>
        <v>330</v>
      </c>
      <c r="D396" s="14" t="s">
        <v>206</v>
      </c>
      <c r="E396" s="14">
        <v>3.1</v>
      </c>
      <c r="F396" s="14">
        <v>2.6</v>
      </c>
      <c r="G396" s="14">
        <v>2.4</v>
      </c>
      <c r="H396" s="14">
        <v>2</v>
      </c>
      <c r="I396" s="14">
        <v>1</v>
      </c>
      <c r="J396" s="14">
        <v>1.75</v>
      </c>
      <c r="K396" s="14">
        <v>3</v>
      </c>
      <c r="L396" s="15">
        <v>0.1</v>
      </c>
      <c r="M396" s="15">
        <v>0</v>
      </c>
      <c r="N396" s="14">
        <v>21</v>
      </c>
      <c r="O396" s="14">
        <v>50</v>
      </c>
      <c r="P396" s="13">
        <v>45</v>
      </c>
      <c r="Q396" s="13">
        <v>85</v>
      </c>
      <c r="R396" s="13" t="s">
        <v>12</v>
      </c>
      <c r="S396" s="13">
        <v>120</v>
      </c>
      <c r="T396" s="856" t="s">
        <v>85</v>
      </c>
    </row>
    <row r="397" spans="3:20">
      <c r="C397" s="13">
        <f>IF(D397&lt;&gt;"",COUNTA($D$10:D397),"")</f>
        <v>331</v>
      </c>
      <c r="D397" s="14" t="s">
        <v>207</v>
      </c>
      <c r="E397" s="14">
        <v>1.9</v>
      </c>
      <c r="F397" s="14">
        <v>2.4</v>
      </c>
      <c r="G397" s="14">
        <v>2.4</v>
      </c>
      <c r="H397" s="14">
        <v>3</v>
      </c>
      <c r="I397" s="14">
        <v>2</v>
      </c>
      <c r="J397" s="14">
        <v>1.75</v>
      </c>
      <c r="K397" s="14">
        <v>3</v>
      </c>
      <c r="L397" s="15">
        <v>0.1</v>
      </c>
      <c r="M397" s="15">
        <v>0</v>
      </c>
      <c r="N397" s="14">
        <v>21</v>
      </c>
      <c r="O397" s="14">
        <v>50</v>
      </c>
      <c r="P397" s="13">
        <v>45</v>
      </c>
      <c r="Q397" s="13">
        <v>85</v>
      </c>
      <c r="R397" s="13" t="s">
        <v>12</v>
      </c>
      <c r="S397" s="13">
        <v>120</v>
      </c>
      <c r="T397" s="856" t="s">
        <v>85</v>
      </c>
    </row>
    <row r="398" spans="3:20">
      <c r="C398" s="13">
        <f>IF(D398&lt;&gt;"",COUNTA($D$10:D398),"")</f>
        <v>332</v>
      </c>
      <c r="D398" s="14" t="s">
        <v>208</v>
      </c>
      <c r="E398" s="14">
        <v>3</v>
      </c>
      <c r="F398" s="14">
        <v>2.9</v>
      </c>
      <c r="G398" s="14">
        <v>2.4</v>
      </c>
      <c r="H398" s="14">
        <v>2</v>
      </c>
      <c r="I398" s="14">
        <v>1</v>
      </c>
      <c r="J398" s="14">
        <v>1.75</v>
      </c>
      <c r="K398" s="14">
        <v>3</v>
      </c>
      <c r="L398" s="15">
        <v>0.1</v>
      </c>
      <c r="M398" s="15">
        <v>0</v>
      </c>
      <c r="N398" s="14">
        <v>21</v>
      </c>
      <c r="O398" s="14">
        <v>50</v>
      </c>
      <c r="P398" s="13">
        <v>45</v>
      </c>
      <c r="Q398" s="13">
        <v>85</v>
      </c>
      <c r="R398" s="13" t="s">
        <v>12</v>
      </c>
      <c r="S398" s="13">
        <v>120</v>
      </c>
      <c r="T398" s="856" t="s">
        <v>85</v>
      </c>
    </row>
    <row r="399" spans="3:20">
      <c r="C399" s="13">
        <f>IF(D399&lt;&gt;"",COUNTA($D$10:D399),"")</f>
        <v>333</v>
      </c>
      <c r="D399" s="14" t="s">
        <v>209</v>
      </c>
      <c r="E399" s="14">
        <v>2.4</v>
      </c>
      <c r="F399" s="14">
        <v>2</v>
      </c>
      <c r="G399" s="14">
        <v>2.4</v>
      </c>
      <c r="H399" s="14">
        <v>2</v>
      </c>
      <c r="I399" s="14">
        <v>1</v>
      </c>
      <c r="J399" s="14">
        <v>1.75</v>
      </c>
      <c r="K399" s="14">
        <v>3</v>
      </c>
      <c r="L399" s="15">
        <v>0.1</v>
      </c>
      <c r="M399" s="15">
        <v>0</v>
      </c>
      <c r="N399" s="14">
        <v>21</v>
      </c>
      <c r="O399" s="14">
        <v>50</v>
      </c>
      <c r="P399" s="13">
        <v>45</v>
      </c>
      <c r="Q399" s="13">
        <v>85</v>
      </c>
      <c r="R399" s="13" t="s">
        <v>12</v>
      </c>
      <c r="S399" s="13">
        <v>120</v>
      </c>
      <c r="T399" s="856" t="s">
        <v>85</v>
      </c>
    </row>
    <row r="400" spans="3:20">
      <c r="C400" s="13">
        <f>IF(D400&lt;&gt;"",COUNTA($D$10:D400),"")</f>
        <v>334</v>
      </c>
      <c r="D400" s="14" t="s">
        <v>210</v>
      </c>
      <c r="E400" s="14">
        <v>2.1</v>
      </c>
      <c r="F400" s="14">
        <v>1.8</v>
      </c>
      <c r="G400" s="14">
        <v>2.4</v>
      </c>
      <c r="H400" s="14">
        <v>2</v>
      </c>
      <c r="I400" s="14">
        <v>1</v>
      </c>
      <c r="J400" s="14">
        <v>1.75</v>
      </c>
      <c r="K400" s="14">
        <v>3</v>
      </c>
      <c r="L400" s="15">
        <v>0.1</v>
      </c>
      <c r="M400" s="15">
        <v>0</v>
      </c>
      <c r="N400" s="14">
        <v>21</v>
      </c>
      <c r="O400" s="14">
        <v>50</v>
      </c>
      <c r="P400" s="13">
        <v>45</v>
      </c>
      <c r="Q400" s="13">
        <v>85</v>
      </c>
      <c r="R400" s="13" t="s">
        <v>12</v>
      </c>
      <c r="S400" s="13">
        <v>120</v>
      </c>
      <c r="T400" s="856" t="s">
        <v>85</v>
      </c>
    </row>
    <row r="401" spans="3:20">
      <c r="C401" s="13">
        <f>IF(D401&lt;&gt;"",COUNTA($D$10:D401),"")</f>
        <v>335</v>
      </c>
      <c r="D401" s="14" t="s">
        <v>211</v>
      </c>
      <c r="E401" s="14">
        <v>1.8</v>
      </c>
      <c r="F401" s="14">
        <v>1.9</v>
      </c>
      <c r="G401" s="14">
        <v>2.4</v>
      </c>
      <c r="H401" s="14">
        <v>2</v>
      </c>
      <c r="I401" s="14">
        <v>1</v>
      </c>
      <c r="J401" s="14">
        <v>1.75</v>
      </c>
      <c r="K401" s="14">
        <v>3</v>
      </c>
      <c r="L401" s="15">
        <v>0.1</v>
      </c>
      <c r="M401" s="15">
        <v>0</v>
      </c>
      <c r="N401" s="14">
        <v>21</v>
      </c>
      <c r="O401" s="14">
        <v>50</v>
      </c>
      <c r="P401" s="13">
        <v>45</v>
      </c>
      <c r="Q401" s="13">
        <v>85</v>
      </c>
      <c r="R401" s="13" t="s">
        <v>12</v>
      </c>
      <c r="S401" s="13">
        <v>120</v>
      </c>
      <c r="T401" s="856" t="s">
        <v>85</v>
      </c>
    </row>
    <row r="402" spans="3:20">
      <c r="C402" s="13">
        <f>IF(D402&lt;&gt;"",COUNTA($D$10:D402),"")</f>
        <v>336</v>
      </c>
      <c r="D402" s="14" t="s">
        <v>212</v>
      </c>
      <c r="E402" s="14">
        <v>1.9</v>
      </c>
      <c r="F402" s="14">
        <v>2</v>
      </c>
      <c r="G402" s="14">
        <v>2.4</v>
      </c>
      <c r="H402" s="14">
        <v>2</v>
      </c>
      <c r="I402" s="14">
        <v>1</v>
      </c>
      <c r="J402" s="14">
        <v>1.75</v>
      </c>
      <c r="K402" s="14">
        <v>3</v>
      </c>
      <c r="L402" s="15">
        <v>0.1</v>
      </c>
      <c r="M402" s="15">
        <v>0</v>
      </c>
      <c r="N402" s="14">
        <v>21</v>
      </c>
      <c r="O402" s="14">
        <v>50</v>
      </c>
      <c r="P402" s="13">
        <v>45</v>
      </c>
      <c r="Q402" s="13">
        <v>85</v>
      </c>
      <c r="R402" s="13" t="s">
        <v>12</v>
      </c>
      <c r="S402" s="13">
        <v>120</v>
      </c>
      <c r="T402" s="856" t="s">
        <v>85</v>
      </c>
    </row>
    <row r="403" spans="3:20">
      <c r="C403" s="13">
        <f>IF(D403&lt;&gt;"",COUNTA($D$10:D403),"")</f>
        <v>337</v>
      </c>
      <c r="D403" s="14" t="s">
        <v>213</v>
      </c>
      <c r="E403" s="14">
        <v>2.2999999999999998</v>
      </c>
      <c r="F403" s="14">
        <v>2.2000000000000002</v>
      </c>
      <c r="G403" s="14">
        <v>2.4</v>
      </c>
      <c r="H403" s="14">
        <v>2</v>
      </c>
      <c r="I403" s="14">
        <v>1</v>
      </c>
      <c r="J403" s="14">
        <v>1.75</v>
      </c>
      <c r="K403" s="14">
        <v>3</v>
      </c>
      <c r="L403" s="15">
        <v>0.1</v>
      </c>
      <c r="M403" s="15">
        <v>0</v>
      </c>
      <c r="N403" s="14">
        <v>21</v>
      </c>
      <c r="O403" s="14">
        <v>50</v>
      </c>
      <c r="P403" s="13">
        <v>45</v>
      </c>
      <c r="Q403" s="13">
        <v>85</v>
      </c>
      <c r="R403" s="13" t="s">
        <v>12</v>
      </c>
      <c r="S403" s="13">
        <v>120</v>
      </c>
      <c r="T403" s="856" t="s">
        <v>85</v>
      </c>
    </row>
    <row r="404" spans="3:20">
      <c r="C404" s="13">
        <f>IF(D404&lt;&gt;"",COUNTA($D$10:D404),"")</f>
        <v>338</v>
      </c>
      <c r="D404" s="14" t="s">
        <v>214</v>
      </c>
      <c r="E404" s="14">
        <v>2.2000000000000002</v>
      </c>
      <c r="F404" s="14">
        <v>2.8</v>
      </c>
      <c r="G404" s="14">
        <v>2.4</v>
      </c>
      <c r="H404" s="14">
        <v>2</v>
      </c>
      <c r="I404" s="14">
        <v>1</v>
      </c>
      <c r="J404" s="14">
        <v>1.75</v>
      </c>
      <c r="K404" s="14">
        <v>3</v>
      </c>
      <c r="L404" s="15">
        <v>0.1</v>
      </c>
      <c r="M404" s="15">
        <v>0</v>
      </c>
      <c r="N404" s="14">
        <v>21</v>
      </c>
      <c r="O404" s="14">
        <v>50</v>
      </c>
      <c r="P404" s="13">
        <v>45</v>
      </c>
      <c r="Q404" s="13">
        <v>85</v>
      </c>
      <c r="R404" s="13" t="s">
        <v>12</v>
      </c>
      <c r="S404" s="13">
        <v>120</v>
      </c>
      <c r="T404" s="856" t="s">
        <v>85</v>
      </c>
    </row>
    <row r="405" spans="3:20">
      <c r="C405" s="13">
        <f>IF(D405&lt;&gt;"",COUNTA($D$10:D405),"")</f>
        <v>339</v>
      </c>
      <c r="D405" s="14" t="s">
        <v>215</v>
      </c>
      <c r="E405" s="14">
        <v>2.8</v>
      </c>
      <c r="F405" s="14">
        <v>2.4</v>
      </c>
      <c r="G405" s="14">
        <v>2.4</v>
      </c>
      <c r="H405" s="14">
        <v>2</v>
      </c>
      <c r="I405" s="14">
        <v>1</v>
      </c>
      <c r="J405" s="14">
        <v>1.75</v>
      </c>
      <c r="K405" s="14">
        <v>3</v>
      </c>
      <c r="L405" s="15">
        <v>0.1</v>
      </c>
      <c r="M405" s="15">
        <v>0</v>
      </c>
      <c r="N405" s="14">
        <v>21</v>
      </c>
      <c r="O405" s="14">
        <v>50</v>
      </c>
      <c r="P405" s="13">
        <v>45</v>
      </c>
      <c r="Q405" s="13">
        <v>85</v>
      </c>
      <c r="R405" s="13" t="s">
        <v>12</v>
      </c>
      <c r="S405" s="13">
        <v>120</v>
      </c>
      <c r="T405" s="856" t="s">
        <v>85</v>
      </c>
    </row>
    <row r="406" spans="3:20">
      <c r="C406" s="19"/>
      <c r="D406" s="19"/>
      <c r="E406" s="19"/>
      <c r="F406" s="19"/>
      <c r="G406" s="19"/>
      <c r="H406" s="19"/>
      <c r="I406" s="19"/>
      <c r="J406" s="19"/>
      <c r="K406" s="19"/>
      <c r="L406" s="19"/>
      <c r="M406" s="19"/>
      <c r="N406" s="19"/>
      <c r="O406" s="19"/>
      <c r="P406" s="19"/>
      <c r="Q406" s="19"/>
      <c r="R406" s="19"/>
      <c r="S406" s="19"/>
    </row>
  </sheetData>
  <dataConsolidate/>
  <dataValidations count="1">
    <dataValidation type="list" allowBlank="1" showInputMessage="1" showErrorMessage="1" sqref="R10" xr:uid="{D3C44C66-F650-4AB5-8908-183B092AC495}">
      <formula1>INDIRECT(U10)</formula1>
    </dataValidation>
  </dataValidations>
  <pageMargins left="0.23622047244094491" right="0.23622047244094491" top="0.74803149606299213" bottom="0.74803149606299213" header="0.31496062992125984" footer="0.31496062992125984"/>
  <pageSetup paperSize="9" scale="1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DA07D8-1CAB-405D-A891-62FD47CBD6CB}">
          <x14:formula1>
            <xm:f>Classification!$B$1:$B$12</xm:f>
          </x14:formula1>
          <xm:sqref>U10</xm:sqref>
        </x14:dataValidation>
        <x14:dataValidation type="custom" allowBlank="1" showInputMessage="1" showErrorMessage="1" xr:uid="{57E76D88-18F9-45A4-871C-92BA655E4603}">
          <x14:formula1>
            <xm:f>IF(ISNUMBER(S10), S10, IFERROR(INDEX('Class Air Changes'!$E$6:$E$75, MATCH(R10, 'Class Air Changes'!$D$6:$D$75, 0)), "Not Found"))</xm:f>
          </x14:formula1>
          <xm:sqref>S10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8EC2-5873-4A91-9C27-995115A0DD40}">
  <dimension ref="C7:AZ406"/>
  <sheetViews>
    <sheetView topLeftCell="A43" zoomScale="70" workbookViewId="0">
      <selection activeCell="I16" sqref="I16"/>
    </sheetView>
  </sheetViews>
  <sheetFormatPr defaultRowHeight="14.45"/>
  <cols>
    <col min="4" max="4" width="28.42578125" customWidth="1"/>
    <col min="38" max="38" width="9.5703125" bestFit="1" customWidth="1"/>
  </cols>
  <sheetData>
    <row r="7" spans="3:52" ht="12.75" customHeight="1"/>
    <row r="8" spans="3:52" ht="57.75" customHeight="1">
      <c r="C8" s="8" t="str">
        <f>"Zoning Area  AHU - " &amp; INT((ROW()-8)/20)+1 &amp; "  " &amp;IF(AQ10&gt;0,"Air-Conditioning System " &amp; IF(AH10="D","(DX)",IF(AH10="C","(Chilled Water)","")),IF(AND(N10="Amb",AQ10=0),"Ventilation System","Refer"))</f>
        <v>Zoning Area  AHU - 1  Air-Conditioning System (DX)</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39"/>
      <c r="AI8" s="8"/>
      <c r="AJ8" s="8"/>
      <c r="AK8" s="8"/>
      <c r="AL8" s="8"/>
      <c r="AM8" s="8"/>
      <c r="AN8" s="8"/>
      <c r="AO8" s="8"/>
      <c r="AP8" s="8"/>
      <c r="AQ8" s="8"/>
      <c r="AR8" s="8"/>
      <c r="AS8" s="9" t="s">
        <v>221</v>
      </c>
      <c r="AT8" s="10"/>
      <c r="AU8" s="10"/>
      <c r="AV8" s="11"/>
      <c r="AW8" s="9" t="s">
        <v>222</v>
      </c>
      <c r="AX8" s="10"/>
      <c r="AY8" s="10"/>
      <c r="AZ8" s="11"/>
    </row>
    <row r="9" spans="3:52" ht="84.95" customHeight="1">
      <c r="C9" s="4" t="s">
        <v>164</v>
      </c>
      <c r="D9" s="5" t="s">
        <v>165</v>
      </c>
      <c r="E9" s="5" t="s">
        <v>166</v>
      </c>
      <c r="F9" s="5" t="s">
        <v>167</v>
      </c>
      <c r="G9" s="5" t="s">
        <v>168</v>
      </c>
      <c r="H9" s="5" t="s">
        <v>169</v>
      </c>
      <c r="I9" s="5" t="s">
        <v>170</v>
      </c>
      <c r="J9" s="5" t="s">
        <v>171</v>
      </c>
      <c r="K9" s="5" t="s">
        <v>172</v>
      </c>
      <c r="L9" s="5" t="s">
        <v>173</v>
      </c>
      <c r="M9" s="5" t="s">
        <v>174</v>
      </c>
      <c r="N9" s="5" t="s">
        <v>175</v>
      </c>
      <c r="O9" s="5" t="s">
        <v>176</v>
      </c>
      <c r="P9" s="5" t="s">
        <v>177</v>
      </c>
      <c r="Q9" s="5" t="s">
        <v>178</v>
      </c>
      <c r="R9" s="5" t="s">
        <v>199</v>
      </c>
      <c r="S9" s="5" t="s">
        <v>180</v>
      </c>
      <c r="T9" s="5" t="s">
        <v>223</v>
      </c>
      <c r="U9" s="5" t="s">
        <v>224</v>
      </c>
      <c r="V9" s="5" t="s">
        <v>199</v>
      </c>
      <c r="W9" s="5" t="s">
        <v>180</v>
      </c>
      <c r="X9" s="5" t="s">
        <v>225</v>
      </c>
      <c r="Y9" s="5" t="s">
        <v>226</v>
      </c>
      <c r="Z9" s="5" t="s">
        <v>227</v>
      </c>
      <c r="AA9" s="5" t="s">
        <v>228</v>
      </c>
      <c r="AB9" s="5" t="s">
        <v>229</v>
      </c>
      <c r="AC9" s="5" t="s">
        <v>230</v>
      </c>
      <c r="AD9" s="5" t="s">
        <v>231</v>
      </c>
      <c r="AE9" s="5" t="s">
        <v>232</v>
      </c>
      <c r="AF9" s="6" t="s">
        <v>233</v>
      </c>
      <c r="AG9" s="6" t="s">
        <v>234</v>
      </c>
      <c r="AH9" s="6" t="s">
        <v>235</v>
      </c>
      <c r="AI9" s="5" t="s">
        <v>236</v>
      </c>
      <c r="AJ9" s="5" t="s">
        <v>237</v>
      </c>
      <c r="AK9" s="5" t="s">
        <v>238</v>
      </c>
      <c r="AL9" s="5" t="s">
        <v>239</v>
      </c>
      <c r="AM9" s="5" t="s">
        <v>240</v>
      </c>
      <c r="AN9" s="5" t="s">
        <v>241</v>
      </c>
      <c r="AO9" s="5" t="s">
        <v>242</v>
      </c>
      <c r="AP9" s="5" t="s">
        <v>243</v>
      </c>
      <c r="AQ9" s="5" t="s">
        <v>244</v>
      </c>
      <c r="AR9" s="5" t="s">
        <v>245</v>
      </c>
      <c r="AS9" s="5" t="s">
        <v>246</v>
      </c>
      <c r="AT9" s="5" t="s">
        <v>247</v>
      </c>
      <c r="AU9" s="5" t="s">
        <v>248</v>
      </c>
      <c r="AV9" s="5" t="s">
        <v>249</v>
      </c>
      <c r="AW9" s="5" t="s">
        <v>250</v>
      </c>
      <c r="AX9" s="5" t="s">
        <v>251</v>
      </c>
      <c r="AY9" s="5" t="s">
        <v>252</v>
      </c>
      <c r="AZ9" s="5" t="s">
        <v>253</v>
      </c>
    </row>
    <row r="10" spans="3:52" ht="18.600000000000001">
      <c r="C10" s="13">
        <f>'Input BOD'!C10</f>
        <v>1</v>
      </c>
      <c r="D10" s="14" t="str">
        <f>'BOD-Cold &amp; Amb.'!D10</f>
        <v>Chandrashekar</v>
      </c>
      <c r="E10" s="14">
        <f>'BOD-Cold &amp; Amb.'!E10</f>
        <v>1</v>
      </c>
      <c r="F10" s="14">
        <f>'BOD-Cold &amp; Amb.'!F10</f>
        <v>1</v>
      </c>
      <c r="G10" s="14">
        <f>'BOD-Cold &amp; Amb.'!G10</f>
        <v>2</v>
      </c>
      <c r="H10" s="14">
        <f>'BOD-Cold &amp; Amb.'!H10</f>
        <v>1</v>
      </c>
      <c r="I10" s="14">
        <f>'BOD-Cold &amp; Amb.'!I10</f>
        <v>2</v>
      </c>
      <c r="J10" s="14">
        <f>'BOD-Cold &amp; Amb.'!J10</f>
        <v>1.75</v>
      </c>
      <c r="K10" s="14">
        <f>'BOD-Cold &amp; Amb.'!K10</f>
        <v>2</v>
      </c>
      <c r="L10" s="15">
        <f>'BOD-Cold &amp; Amb.'!L10</f>
        <v>0.1</v>
      </c>
      <c r="M10" s="15">
        <f>'BOD-Cold &amp; Amb.'!M10</f>
        <v>0</v>
      </c>
      <c r="N10" s="14">
        <f>'BOD-Cold &amp; Amb.'!N10</f>
        <v>24</v>
      </c>
      <c r="O10" s="14">
        <f>'BOD-Cold &amp; Amb.'!O10</f>
        <v>50</v>
      </c>
      <c r="P10" s="13">
        <f>'BOD-Cold &amp; Amb.'!P10</f>
        <v>41</v>
      </c>
      <c r="Q10" s="13">
        <f>'BOD-Cold &amp; Amb.'!Q10</f>
        <v>85</v>
      </c>
      <c r="R10" s="13" t="str">
        <f>'BOD-Cold &amp; Amb.'!R10</f>
        <v>Class100K</v>
      </c>
      <c r="S10" s="13">
        <f>'BOD-Cold &amp; Amb.'!S10</f>
        <v>12</v>
      </c>
      <c r="T10" s="13">
        <f>'BOD-Cold &amp; Amb.'!T10</f>
        <v>0</v>
      </c>
      <c r="U10" s="13">
        <f>'BOD-Cold &amp; Amb.'!U10</f>
        <v>100</v>
      </c>
      <c r="V10" s="13" t="str">
        <f>'BOD-Cold &amp; Amb.'!V10</f>
        <v>Class100K</v>
      </c>
      <c r="W10" s="13">
        <f>'BOD-Cold &amp; Amb.'!W10</f>
        <v>12</v>
      </c>
      <c r="X10" s="16">
        <f>'BOD-Cold &amp; Amb.'!X10</f>
        <v>10.76</v>
      </c>
      <c r="Y10" s="16">
        <f>'BOD-Cold &amp; Amb.'!Y10</f>
        <v>70.585599999999999</v>
      </c>
      <c r="Z10" s="16">
        <f>'BOD-Cold &amp; Amb.'!Z10</f>
        <v>14.11712</v>
      </c>
      <c r="AA10" s="16">
        <f>'BOD-Cold &amp; Amb.'!AA10</f>
        <v>1.4117120000000001</v>
      </c>
      <c r="AB10" s="16">
        <f>'BOD-Cold &amp; Amb.'!AB10</f>
        <v>0</v>
      </c>
      <c r="AC10" s="16">
        <f>'BOD-Cold &amp; Amb.'!AC10</f>
        <v>9.8307653762101654E-2</v>
      </c>
      <c r="AD10" s="16">
        <f>'BOD-Cold &amp; Amb.'!AD10</f>
        <v>975</v>
      </c>
      <c r="AE10" s="16">
        <f>'BOD-Cold &amp; Amb.'!AE10</f>
        <v>975</v>
      </c>
      <c r="AF10" s="16">
        <f>'BOD-Cold &amp; Amb.'!AF10</f>
        <v>0</v>
      </c>
      <c r="AG10" s="16">
        <f>'BOD-Cold &amp; Amb.'!AG10</f>
        <v>3.5</v>
      </c>
      <c r="AH10" s="838" t="str">
        <f>'BOD-Cold &amp; Amb.'!AH10</f>
        <v>D</v>
      </c>
      <c r="AI10" s="17">
        <f>'BOD-Cold &amp; Amb.'!AI10</f>
        <v>2.5</v>
      </c>
      <c r="AJ10" s="17">
        <f>'BOD-Cold &amp; Amb.'!AJ10</f>
        <v>3.5</v>
      </c>
      <c r="AK10" s="891">
        <f>'BOD-Cold &amp; Amb.'!AK10:AK25</f>
        <v>15750</v>
      </c>
      <c r="AL10" s="18" t="s">
        <v>254</v>
      </c>
      <c r="AM10" s="889">
        <f>'BOD-Cold &amp; Amb.'!AM10:AM25</f>
        <v>125</v>
      </c>
      <c r="AN10" s="891">
        <f>'BOD-Cold &amp; Amb.'!AN10:AN25</f>
        <v>710</v>
      </c>
      <c r="AO10" s="888">
        <f>'BOD-Cold &amp; Amb.'!AO10:AO25</f>
        <v>20</v>
      </c>
      <c r="AP10" s="891">
        <f>'BOD-Cold &amp; Amb.'!AP10:AP25</f>
        <v>8</v>
      </c>
      <c r="AQ10" s="891">
        <f>'BOD-Cold &amp; Amb.'!AQ10:AQ25</f>
        <v>56</v>
      </c>
      <c r="AR10" s="889">
        <f>'BOD-Cold &amp; Amb.'!AR10:AR25</f>
        <v>3</v>
      </c>
      <c r="AS10" s="888">
        <f>'BOD-Cold &amp; Amb.'!AS10:AS25</f>
        <v>224</v>
      </c>
      <c r="AT10" s="888">
        <f>'BOD-Cold &amp; Amb.'!AT10:AT25</f>
        <v>14.132159999999999</v>
      </c>
      <c r="AU10" s="890">
        <f>'BOD-Cold &amp; Amb.'!AU10:AU25</f>
        <v>2</v>
      </c>
      <c r="AV10" s="888">
        <f>'BOD-Cold &amp; Amb.'!AV10:AV25</f>
        <v>94.875580610493984</v>
      </c>
      <c r="AW10" s="888"/>
      <c r="AX10" s="888"/>
      <c r="AY10" s="887"/>
      <c r="AZ10" s="888"/>
    </row>
    <row r="11" spans="3:52" ht="18.600000000000001">
      <c r="C11" s="13">
        <f>'Input BOD'!C11</f>
        <v>2</v>
      </c>
      <c r="D11" s="14" t="str">
        <f>'BOD-Cold &amp; Amb.'!D11</f>
        <v>vijay bhasker</v>
      </c>
      <c r="E11" s="14">
        <f>'BOD-Cold &amp; Amb.'!E11</f>
        <v>1</v>
      </c>
      <c r="F11" s="14">
        <f>'BOD-Cold &amp; Amb.'!F11</f>
        <v>1</v>
      </c>
      <c r="G11" s="14">
        <f>'BOD-Cold &amp; Amb.'!G11</f>
        <v>2</v>
      </c>
      <c r="H11" s="14">
        <f>'BOD-Cold &amp; Amb.'!H11</f>
        <v>1</v>
      </c>
      <c r="I11" s="14">
        <f>'BOD-Cold &amp; Amb.'!I11</f>
        <v>2</v>
      </c>
      <c r="J11" s="14">
        <f>'BOD-Cold &amp; Amb.'!J11</f>
        <v>1.75</v>
      </c>
      <c r="K11" s="14">
        <f>'BOD-Cold &amp; Amb.'!K11</f>
        <v>2</v>
      </c>
      <c r="L11" s="15">
        <f>'BOD-Cold &amp; Amb.'!L11</f>
        <v>0.1</v>
      </c>
      <c r="M11" s="15">
        <f>'BOD-Cold &amp; Amb.'!M11</f>
        <v>0</v>
      </c>
      <c r="N11" s="14">
        <f>'BOD-Cold &amp; Amb.'!N11</f>
        <v>24</v>
      </c>
      <c r="O11" s="14">
        <f>'BOD-Cold &amp; Amb.'!O11</f>
        <v>50</v>
      </c>
      <c r="P11" s="13">
        <f>'BOD-Cold &amp; Amb.'!P11</f>
        <v>41</v>
      </c>
      <c r="Q11" s="13">
        <f>'BOD-Cold &amp; Amb.'!Q11</f>
        <v>85</v>
      </c>
      <c r="R11" s="13" t="str">
        <f>'BOD-Cold &amp; Amb.'!R11</f>
        <v>Class100K</v>
      </c>
      <c r="S11" s="13">
        <f>'BOD-Cold &amp; Amb.'!S11</f>
        <v>12</v>
      </c>
      <c r="T11" s="13">
        <f>'BOD-Cold &amp; Amb.'!T11</f>
        <v>0</v>
      </c>
      <c r="U11" s="13">
        <f>'BOD-Cold &amp; Amb.'!U11</f>
        <v>100</v>
      </c>
      <c r="V11" s="13" t="str">
        <f>'BOD-Cold &amp; Amb.'!V11</f>
        <v>Class100K</v>
      </c>
      <c r="W11" s="13">
        <f>'BOD-Cold &amp; Amb.'!W11</f>
        <v>12</v>
      </c>
      <c r="X11" s="16">
        <f>'BOD-Cold &amp; Amb.'!X11</f>
        <v>10.76</v>
      </c>
      <c r="Y11" s="16">
        <f>'BOD-Cold &amp; Amb.'!Y11</f>
        <v>70.585599999999999</v>
      </c>
      <c r="Z11" s="16">
        <f>'BOD-Cold &amp; Amb.'!Z11</f>
        <v>14.11712</v>
      </c>
      <c r="AA11" s="16">
        <f>'BOD-Cold &amp; Amb.'!AA11</f>
        <v>1.4117120000000001</v>
      </c>
      <c r="AB11" s="16">
        <f>'BOD-Cold &amp; Amb.'!AB11</f>
        <v>0</v>
      </c>
      <c r="AC11" s="16">
        <f>'BOD-Cold &amp; Amb.'!AC11</f>
        <v>9.8307653762101654E-2</v>
      </c>
      <c r="AD11" s="16">
        <f>'BOD-Cold &amp; Amb.'!AD11</f>
        <v>975</v>
      </c>
      <c r="AE11" s="16">
        <f>'BOD-Cold &amp; Amb.'!AE11</f>
        <v>975</v>
      </c>
      <c r="AF11" s="16">
        <f>'BOD-Cold &amp; Amb.'!AF11</f>
        <v>0</v>
      </c>
      <c r="AG11" s="16">
        <f>'BOD-Cold &amp; Amb.'!AG11</f>
        <v>3.5</v>
      </c>
      <c r="AH11" s="838" t="str">
        <f>'BOD-Cold &amp; Amb.'!AH11</f>
        <v>D</v>
      </c>
      <c r="AI11" s="17">
        <f>'BOD-Cold &amp; Amb.'!AI11</f>
        <v>2.5</v>
      </c>
      <c r="AJ11" s="17">
        <f>'BOD-Cold &amp; Amb.'!AJ11</f>
        <v>3.5</v>
      </c>
      <c r="AK11" s="891"/>
      <c r="AL11" s="18">
        <f>'BOD-Cold &amp; Amb.'!AL11</f>
        <v>2050</v>
      </c>
      <c r="AM11" s="889"/>
      <c r="AN11" s="891"/>
      <c r="AO11" s="888"/>
      <c r="AP11" s="891"/>
      <c r="AQ11" s="891"/>
      <c r="AR11" s="889"/>
      <c r="AS11" s="888"/>
      <c r="AT11" s="888"/>
      <c r="AU11" s="890"/>
      <c r="AV11" s="888"/>
      <c r="AW11" s="888"/>
      <c r="AX11" s="888"/>
      <c r="AY11" s="887"/>
      <c r="AZ11" s="888"/>
    </row>
    <row r="12" spans="3:52" ht="18.600000000000001">
      <c r="C12" s="13">
        <f>'Input BOD'!C12</f>
        <v>3</v>
      </c>
      <c r="D12" s="14" t="str">
        <f>'BOD-Cold &amp; Amb.'!D12</f>
        <v>nimma</v>
      </c>
      <c r="E12" s="14">
        <f>'BOD-Cold &amp; Amb.'!E12</f>
        <v>1</v>
      </c>
      <c r="F12" s="14">
        <f>'BOD-Cold &amp; Amb.'!F12</f>
        <v>1</v>
      </c>
      <c r="G12" s="14">
        <f>'BOD-Cold &amp; Amb.'!G12</f>
        <v>2</v>
      </c>
      <c r="H12" s="14">
        <f>'BOD-Cold &amp; Amb.'!H12</f>
        <v>1</v>
      </c>
      <c r="I12" s="14">
        <f>'BOD-Cold &amp; Amb.'!I12</f>
        <v>2</v>
      </c>
      <c r="J12" s="14">
        <f>'BOD-Cold &amp; Amb.'!J12</f>
        <v>1.75</v>
      </c>
      <c r="K12" s="14">
        <f>'BOD-Cold &amp; Amb.'!K12</f>
        <v>2</v>
      </c>
      <c r="L12" s="15">
        <f>'BOD-Cold &amp; Amb.'!L12</f>
        <v>0.1</v>
      </c>
      <c r="M12" s="15">
        <f>'BOD-Cold &amp; Amb.'!M12</f>
        <v>0</v>
      </c>
      <c r="N12" s="14">
        <f>'BOD-Cold &amp; Amb.'!N12</f>
        <v>24</v>
      </c>
      <c r="O12" s="14">
        <f>'BOD-Cold &amp; Amb.'!O12</f>
        <v>50</v>
      </c>
      <c r="P12" s="13">
        <f>'BOD-Cold &amp; Amb.'!P12</f>
        <v>41</v>
      </c>
      <c r="Q12" s="13">
        <f>'BOD-Cold &amp; Amb.'!Q12</f>
        <v>85</v>
      </c>
      <c r="R12" s="13" t="str">
        <f>'BOD-Cold &amp; Amb.'!R12</f>
        <v>Class100K</v>
      </c>
      <c r="S12" s="13">
        <f>'BOD-Cold &amp; Amb.'!S12</f>
        <v>12</v>
      </c>
      <c r="T12" s="13">
        <f>'BOD-Cold &amp; Amb.'!T12</f>
        <v>0</v>
      </c>
      <c r="U12" s="13">
        <f>'BOD-Cold &amp; Amb.'!U12</f>
        <v>100</v>
      </c>
      <c r="V12" s="13" t="str">
        <f>'BOD-Cold &amp; Amb.'!V12</f>
        <v>Class100K</v>
      </c>
      <c r="W12" s="13">
        <f>'BOD-Cold &amp; Amb.'!W12</f>
        <v>12</v>
      </c>
      <c r="X12" s="16">
        <f>'BOD-Cold &amp; Amb.'!X12</f>
        <v>10.76</v>
      </c>
      <c r="Y12" s="16">
        <f>'BOD-Cold &amp; Amb.'!Y12</f>
        <v>70.585599999999999</v>
      </c>
      <c r="Z12" s="16">
        <f>'BOD-Cold &amp; Amb.'!Z12</f>
        <v>14.11712</v>
      </c>
      <c r="AA12" s="16">
        <f>'BOD-Cold &amp; Amb.'!AA12</f>
        <v>1.4117120000000001</v>
      </c>
      <c r="AB12" s="16">
        <f>'BOD-Cold &amp; Amb.'!AB12</f>
        <v>0</v>
      </c>
      <c r="AC12" s="16">
        <f>'BOD-Cold &amp; Amb.'!AC12</f>
        <v>9.8307653762101654E-2</v>
      </c>
      <c r="AD12" s="16">
        <f>'BOD-Cold &amp; Amb.'!AD12</f>
        <v>975</v>
      </c>
      <c r="AE12" s="16">
        <f>'BOD-Cold &amp; Amb.'!AE12</f>
        <v>975</v>
      </c>
      <c r="AF12" s="16">
        <f>'BOD-Cold &amp; Amb.'!AF12</f>
        <v>0</v>
      </c>
      <c r="AG12" s="16">
        <f>'BOD-Cold &amp; Amb.'!AG12</f>
        <v>3.5</v>
      </c>
      <c r="AH12" s="838" t="str">
        <f>'BOD-Cold &amp; Amb.'!AH12</f>
        <v>D</v>
      </c>
      <c r="AI12" s="17">
        <f>'BOD-Cold &amp; Amb.'!AI12</f>
        <v>2.5</v>
      </c>
      <c r="AJ12" s="17">
        <f>'BOD-Cold &amp; Amb.'!AJ12</f>
        <v>3.5</v>
      </c>
      <c r="AK12" s="891"/>
      <c r="AL12" s="18" t="s">
        <v>255</v>
      </c>
      <c r="AM12" s="889"/>
      <c r="AN12" s="891"/>
      <c r="AO12" s="888"/>
      <c r="AP12" s="891"/>
      <c r="AQ12" s="891"/>
      <c r="AR12" s="889"/>
      <c r="AS12" s="888"/>
      <c r="AT12" s="888"/>
      <c r="AU12" s="890"/>
      <c r="AV12" s="888"/>
      <c r="AW12" s="888"/>
      <c r="AX12" s="888"/>
      <c r="AY12" s="887"/>
      <c r="AZ12" s="888"/>
    </row>
    <row r="13" spans="3:52" ht="18.600000000000001">
      <c r="C13" s="13">
        <f>'Input BOD'!C13</f>
        <v>4</v>
      </c>
      <c r="D13" s="14" t="str">
        <f>'BOD-Cold &amp; Amb.'!D13</f>
        <v>sahajanand</v>
      </c>
      <c r="E13" s="14">
        <f>'BOD-Cold &amp; Amb.'!E13</f>
        <v>1</v>
      </c>
      <c r="F13" s="14">
        <f>'BOD-Cold &amp; Amb.'!F13</f>
        <v>1</v>
      </c>
      <c r="G13" s="14">
        <f>'BOD-Cold &amp; Amb.'!G13</f>
        <v>2</v>
      </c>
      <c r="H13" s="14">
        <f>'BOD-Cold &amp; Amb.'!H13</f>
        <v>1</v>
      </c>
      <c r="I13" s="14">
        <f>'BOD-Cold &amp; Amb.'!I13</f>
        <v>2</v>
      </c>
      <c r="J13" s="14">
        <f>'BOD-Cold &amp; Amb.'!J13</f>
        <v>1.75</v>
      </c>
      <c r="K13" s="14">
        <f>'BOD-Cold &amp; Amb.'!K13</f>
        <v>2</v>
      </c>
      <c r="L13" s="15">
        <f>'BOD-Cold &amp; Amb.'!L13</f>
        <v>0.1</v>
      </c>
      <c r="M13" s="15">
        <f>'BOD-Cold &amp; Amb.'!M13</f>
        <v>0</v>
      </c>
      <c r="N13" s="14">
        <f>'BOD-Cold &amp; Amb.'!N13</f>
        <v>24</v>
      </c>
      <c r="O13" s="14">
        <f>'BOD-Cold &amp; Amb.'!O13</f>
        <v>50</v>
      </c>
      <c r="P13" s="13">
        <f>'BOD-Cold &amp; Amb.'!P13</f>
        <v>41</v>
      </c>
      <c r="Q13" s="13">
        <f>'BOD-Cold &amp; Amb.'!Q13</f>
        <v>85</v>
      </c>
      <c r="R13" s="13" t="str">
        <f>'BOD-Cold &amp; Amb.'!R13</f>
        <v>Class100K</v>
      </c>
      <c r="S13" s="13">
        <f>'BOD-Cold &amp; Amb.'!S13</f>
        <v>12</v>
      </c>
      <c r="T13" s="13">
        <f>'BOD-Cold &amp; Amb.'!T13</f>
        <v>0</v>
      </c>
      <c r="U13" s="13">
        <f>'BOD-Cold &amp; Amb.'!U13</f>
        <v>100</v>
      </c>
      <c r="V13" s="13" t="str">
        <f>'BOD-Cold &amp; Amb.'!V13</f>
        <v>Class100K</v>
      </c>
      <c r="W13" s="13">
        <f>'BOD-Cold &amp; Amb.'!W13</f>
        <v>12</v>
      </c>
      <c r="X13" s="16">
        <f>'BOD-Cold &amp; Amb.'!X13</f>
        <v>10.76</v>
      </c>
      <c r="Y13" s="16">
        <f>'BOD-Cold &amp; Amb.'!Y13</f>
        <v>70.585599999999999</v>
      </c>
      <c r="Z13" s="16">
        <f>'BOD-Cold &amp; Amb.'!Z13</f>
        <v>14.11712</v>
      </c>
      <c r="AA13" s="16">
        <f>'BOD-Cold &amp; Amb.'!AA13</f>
        <v>1.4117120000000001</v>
      </c>
      <c r="AB13" s="16">
        <f>'BOD-Cold &amp; Amb.'!AB13</f>
        <v>0</v>
      </c>
      <c r="AC13" s="16">
        <f>'BOD-Cold &amp; Amb.'!AC13</f>
        <v>9.8307653762101654E-2</v>
      </c>
      <c r="AD13" s="16">
        <f>'BOD-Cold &amp; Amb.'!AD13</f>
        <v>975</v>
      </c>
      <c r="AE13" s="16">
        <f>'BOD-Cold &amp; Amb.'!AE13</f>
        <v>975</v>
      </c>
      <c r="AF13" s="16">
        <f>'BOD-Cold &amp; Amb.'!AF13</f>
        <v>0</v>
      </c>
      <c r="AG13" s="16">
        <f>'BOD-Cold &amp; Amb.'!AG13</f>
        <v>3.5</v>
      </c>
      <c r="AH13" s="838" t="str">
        <f>'BOD-Cold &amp; Amb.'!AH13</f>
        <v>D</v>
      </c>
      <c r="AI13" s="17">
        <f>'BOD-Cold &amp; Amb.'!AI13</f>
        <v>2.5</v>
      </c>
      <c r="AJ13" s="17">
        <f>'BOD-Cold &amp; Amb.'!AJ13</f>
        <v>3.5</v>
      </c>
      <c r="AK13" s="891"/>
      <c r="AL13" s="18">
        <f>'BOD-Cold &amp; Amb.'!AL13</f>
        <v>2050</v>
      </c>
      <c r="AM13" s="889"/>
      <c r="AN13" s="891"/>
      <c r="AO13" s="888"/>
      <c r="AP13" s="891"/>
      <c r="AQ13" s="891"/>
      <c r="AR13" s="889"/>
      <c r="AS13" s="888"/>
      <c r="AT13" s="888"/>
      <c r="AU13" s="890"/>
      <c r="AV13" s="888"/>
      <c r="AW13" s="888"/>
      <c r="AX13" s="888"/>
      <c r="AY13" s="887"/>
      <c r="AZ13" s="888"/>
    </row>
    <row r="14" spans="3:52" ht="18.600000000000001">
      <c r="C14" s="13">
        <f>'Input BOD'!C14</f>
        <v>5</v>
      </c>
      <c r="D14" s="14" t="str">
        <f>'BOD-Cold &amp; Amb.'!D14</f>
        <v>xyz</v>
      </c>
      <c r="E14" s="14">
        <f>'BOD-Cold &amp; Amb.'!E14</f>
        <v>1</v>
      </c>
      <c r="F14" s="14">
        <f>'BOD-Cold &amp; Amb.'!F14</f>
        <v>1</v>
      </c>
      <c r="G14" s="14">
        <f>'BOD-Cold &amp; Amb.'!G14</f>
        <v>2</v>
      </c>
      <c r="H14" s="14">
        <f>'BOD-Cold &amp; Amb.'!H14</f>
        <v>1</v>
      </c>
      <c r="I14" s="14">
        <f>'BOD-Cold &amp; Amb.'!I14</f>
        <v>2</v>
      </c>
      <c r="J14" s="14">
        <f>'BOD-Cold &amp; Amb.'!J14</f>
        <v>1.75</v>
      </c>
      <c r="K14" s="14">
        <f>'BOD-Cold &amp; Amb.'!K14</f>
        <v>2</v>
      </c>
      <c r="L14" s="15">
        <f>'BOD-Cold &amp; Amb.'!L14</f>
        <v>0.1</v>
      </c>
      <c r="M14" s="15">
        <f>'BOD-Cold &amp; Amb.'!M14</f>
        <v>0</v>
      </c>
      <c r="N14" s="14">
        <f>'BOD-Cold &amp; Amb.'!N14</f>
        <v>24</v>
      </c>
      <c r="O14" s="14">
        <f>'BOD-Cold &amp; Amb.'!O14</f>
        <v>50</v>
      </c>
      <c r="P14" s="13">
        <f>'BOD-Cold &amp; Amb.'!P14</f>
        <v>41</v>
      </c>
      <c r="Q14" s="13">
        <f>'BOD-Cold &amp; Amb.'!Q14</f>
        <v>85</v>
      </c>
      <c r="R14" s="13" t="str">
        <f>'BOD-Cold &amp; Amb.'!R14</f>
        <v>Class100K</v>
      </c>
      <c r="S14" s="13">
        <f>'BOD-Cold &amp; Amb.'!S14</f>
        <v>12</v>
      </c>
      <c r="T14" s="13">
        <f>'BOD-Cold &amp; Amb.'!T14</f>
        <v>0</v>
      </c>
      <c r="U14" s="13">
        <f>'BOD-Cold &amp; Amb.'!U14</f>
        <v>100</v>
      </c>
      <c r="V14" s="13" t="str">
        <f>'BOD-Cold &amp; Amb.'!V14</f>
        <v>Class100K</v>
      </c>
      <c r="W14" s="13">
        <f>'BOD-Cold &amp; Amb.'!W14</f>
        <v>12</v>
      </c>
      <c r="X14" s="16">
        <f>'BOD-Cold &amp; Amb.'!X14</f>
        <v>10.76</v>
      </c>
      <c r="Y14" s="16">
        <f>'BOD-Cold &amp; Amb.'!Y14</f>
        <v>70.585599999999999</v>
      </c>
      <c r="Z14" s="16">
        <f>'BOD-Cold &amp; Amb.'!Z14</f>
        <v>14.11712</v>
      </c>
      <c r="AA14" s="16">
        <f>'BOD-Cold &amp; Amb.'!AA14</f>
        <v>1.4117120000000001</v>
      </c>
      <c r="AB14" s="16">
        <f>'BOD-Cold &amp; Amb.'!AB14</f>
        <v>0</v>
      </c>
      <c r="AC14" s="16">
        <f>'BOD-Cold &amp; Amb.'!AC14</f>
        <v>9.8307653762101654E-2</v>
      </c>
      <c r="AD14" s="16">
        <f>'BOD-Cold &amp; Amb.'!AD14</f>
        <v>975</v>
      </c>
      <c r="AE14" s="16">
        <f>'BOD-Cold &amp; Amb.'!AE14</f>
        <v>975</v>
      </c>
      <c r="AF14" s="16">
        <f>'BOD-Cold &amp; Amb.'!AF14</f>
        <v>0</v>
      </c>
      <c r="AG14" s="16">
        <f>'BOD-Cold &amp; Amb.'!AG14</f>
        <v>3.5</v>
      </c>
      <c r="AH14" s="838" t="str">
        <f>'BOD-Cold &amp; Amb.'!AH14</f>
        <v>D</v>
      </c>
      <c r="AI14" s="17">
        <f>'BOD-Cold &amp; Amb.'!AI14</f>
        <v>2.5</v>
      </c>
      <c r="AJ14" s="17">
        <f>'BOD-Cold &amp; Amb.'!AJ14</f>
        <v>3.5</v>
      </c>
      <c r="AK14" s="891"/>
      <c r="AL14" s="18" t="s">
        <v>256</v>
      </c>
      <c r="AM14" s="889"/>
      <c r="AN14" s="891"/>
      <c r="AO14" s="888"/>
      <c r="AP14" s="891"/>
      <c r="AQ14" s="891"/>
      <c r="AR14" s="889"/>
      <c r="AS14" s="888"/>
      <c r="AT14" s="888"/>
      <c r="AU14" s="890"/>
      <c r="AV14" s="888"/>
      <c r="AW14" s="888"/>
      <c r="AX14" s="888"/>
      <c r="AY14" s="887"/>
      <c r="AZ14" s="888"/>
    </row>
    <row r="15" spans="3:52" ht="18.600000000000001">
      <c r="C15" s="13">
        <f>'Input BOD'!C15</f>
        <v>6</v>
      </c>
      <c r="D15" s="14" t="str">
        <f>'BOD-Cold &amp; Amb.'!D15</f>
        <v>abc</v>
      </c>
      <c r="E15" s="14">
        <f>'BOD-Cold &amp; Amb.'!E15</f>
        <v>1</v>
      </c>
      <c r="F15" s="14">
        <f>'BOD-Cold &amp; Amb.'!F15</f>
        <v>1</v>
      </c>
      <c r="G15" s="14">
        <f>'BOD-Cold &amp; Amb.'!G15</f>
        <v>2</v>
      </c>
      <c r="H15" s="14">
        <f>'BOD-Cold &amp; Amb.'!H15</f>
        <v>1</v>
      </c>
      <c r="I15" s="14">
        <f>'BOD-Cold &amp; Amb.'!I15</f>
        <v>2</v>
      </c>
      <c r="J15" s="14">
        <f>'BOD-Cold &amp; Amb.'!J15</f>
        <v>1.75</v>
      </c>
      <c r="K15" s="14">
        <f>'BOD-Cold &amp; Amb.'!K15</f>
        <v>2</v>
      </c>
      <c r="L15" s="15">
        <f>'BOD-Cold &amp; Amb.'!L15</f>
        <v>0.1</v>
      </c>
      <c r="M15" s="15">
        <f>'BOD-Cold &amp; Amb.'!M15</f>
        <v>0</v>
      </c>
      <c r="N15" s="14">
        <f>'BOD-Cold &amp; Amb.'!N15</f>
        <v>24</v>
      </c>
      <c r="O15" s="14">
        <f>'BOD-Cold &amp; Amb.'!O15</f>
        <v>50</v>
      </c>
      <c r="P15" s="13">
        <f>'BOD-Cold &amp; Amb.'!P15</f>
        <v>41</v>
      </c>
      <c r="Q15" s="13">
        <f>'BOD-Cold &amp; Amb.'!Q15</f>
        <v>85</v>
      </c>
      <c r="R15" s="13" t="str">
        <f>'BOD-Cold &amp; Amb.'!R15</f>
        <v>Class100K</v>
      </c>
      <c r="S15" s="13">
        <f>'BOD-Cold &amp; Amb.'!S15</f>
        <v>12</v>
      </c>
      <c r="T15" s="13">
        <f>'BOD-Cold &amp; Amb.'!T15</f>
        <v>0</v>
      </c>
      <c r="U15" s="13">
        <f>'BOD-Cold &amp; Amb.'!U15</f>
        <v>100</v>
      </c>
      <c r="V15" s="13" t="str">
        <f>'BOD-Cold &amp; Amb.'!V15</f>
        <v>Class100K</v>
      </c>
      <c r="W15" s="13">
        <f>'BOD-Cold &amp; Amb.'!W15</f>
        <v>12</v>
      </c>
      <c r="X15" s="16">
        <f>'BOD-Cold &amp; Amb.'!X15</f>
        <v>10.76</v>
      </c>
      <c r="Y15" s="16">
        <f>'BOD-Cold &amp; Amb.'!Y15</f>
        <v>70.585599999999999</v>
      </c>
      <c r="Z15" s="16">
        <f>'BOD-Cold &amp; Amb.'!Z15</f>
        <v>14.11712</v>
      </c>
      <c r="AA15" s="16">
        <f>'BOD-Cold &amp; Amb.'!AA15</f>
        <v>1.4117120000000001</v>
      </c>
      <c r="AB15" s="16">
        <f>'BOD-Cold &amp; Amb.'!AB15</f>
        <v>0</v>
      </c>
      <c r="AC15" s="16">
        <f>'BOD-Cold &amp; Amb.'!AC15</f>
        <v>9.8307653762101654E-2</v>
      </c>
      <c r="AD15" s="16">
        <f>'BOD-Cold &amp; Amb.'!AD15</f>
        <v>975</v>
      </c>
      <c r="AE15" s="16">
        <f>'BOD-Cold &amp; Amb.'!AE15</f>
        <v>975</v>
      </c>
      <c r="AF15" s="16">
        <f>'BOD-Cold &amp; Amb.'!AF15</f>
        <v>0</v>
      </c>
      <c r="AG15" s="16">
        <f>'BOD-Cold &amp; Amb.'!AG15</f>
        <v>3.5</v>
      </c>
      <c r="AH15" s="838" t="str">
        <f>'BOD-Cold &amp; Amb.'!AH15</f>
        <v>D</v>
      </c>
      <c r="AI15" s="17">
        <f>'BOD-Cold &amp; Amb.'!AI15</f>
        <v>2.5</v>
      </c>
      <c r="AJ15" s="17">
        <f>'BOD-Cold &amp; Amb.'!AJ15</f>
        <v>3.5</v>
      </c>
      <c r="AK15" s="891"/>
      <c r="AL15" s="18">
        <f>'BOD-Cold &amp; Amb.'!AL15</f>
        <v>5900</v>
      </c>
      <c r="AM15" s="889"/>
      <c r="AN15" s="891"/>
      <c r="AO15" s="888"/>
      <c r="AP15" s="891"/>
      <c r="AQ15" s="891"/>
      <c r="AR15" s="889"/>
      <c r="AS15" s="888"/>
      <c r="AT15" s="888"/>
      <c r="AU15" s="890"/>
      <c r="AV15" s="888"/>
      <c r="AW15" s="888"/>
      <c r="AX15" s="888"/>
      <c r="AY15" s="887"/>
      <c r="AZ15" s="888"/>
    </row>
    <row r="16" spans="3:52" ht="18.600000000000001">
      <c r="C16" s="13">
        <f>'Input BOD'!C16</f>
        <v>7</v>
      </c>
      <c r="D16" s="14" t="str">
        <f>'BOD-Cold &amp; Amb.'!D16</f>
        <v>excel</v>
      </c>
      <c r="E16" s="14">
        <f>'BOD-Cold &amp; Amb.'!E16</f>
        <v>1</v>
      </c>
      <c r="F16" s="14">
        <f>'BOD-Cold &amp; Amb.'!F16</f>
        <v>1</v>
      </c>
      <c r="G16" s="14">
        <f>'BOD-Cold &amp; Amb.'!G16</f>
        <v>2</v>
      </c>
      <c r="H16" s="14">
        <f>'BOD-Cold &amp; Amb.'!H16</f>
        <v>1</v>
      </c>
      <c r="I16" s="14">
        <f>'BOD-Cold &amp; Amb.'!I16</f>
        <v>2</v>
      </c>
      <c r="J16" s="14">
        <f>'BOD-Cold &amp; Amb.'!J16</f>
        <v>1.75</v>
      </c>
      <c r="K16" s="14">
        <f>'BOD-Cold &amp; Amb.'!K16</f>
        <v>2</v>
      </c>
      <c r="L16" s="15">
        <f>'BOD-Cold &amp; Amb.'!L16</f>
        <v>0.1</v>
      </c>
      <c r="M16" s="15">
        <f>'BOD-Cold &amp; Amb.'!M16</f>
        <v>0</v>
      </c>
      <c r="N16" s="14">
        <f>'BOD-Cold &amp; Amb.'!N16</f>
        <v>24</v>
      </c>
      <c r="O16" s="14">
        <f>'BOD-Cold &amp; Amb.'!O16</f>
        <v>50</v>
      </c>
      <c r="P16" s="13">
        <f>'BOD-Cold &amp; Amb.'!P16</f>
        <v>41</v>
      </c>
      <c r="Q16" s="13">
        <f>'BOD-Cold &amp; Amb.'!Q16</f>
        <v>85</v>
      </c>
      <c r="R16" s="13" t="str">
        <f>'BOD-Cold &amp; Amb.'!R16</f>
        <v>Class100K</v>
      </c>
      <c r="S16" s="13">
        <f>'BOD-Cold &amp; Amb.'!S16</f>
        <v>12</v>
      </c>
      <c r="T16" s="13">
        <f>'BOD-Cold &amp; Amb.'!T16</f>
        <v>0</v>
      </c>
      <c r="U16" s="13">
        <f>'BOD-Cold &amp; Amb.'!U16</f>
        <v>100</v>
      </c>
      <c r="V16" s="13" t="str">
        <f>'BOD-Cold &amp; Amb.'!V16</f>
        <v>Class100K</v>
      </c>
      <c r="W16" s="13">
        <f>'BOD-Cold &amp; Amb.'!W16</f>
        <v>12</v>
      </c>
      <c r="X16" s="16">
        <f>'BOD-Cold &amp; Amb.'!X16</f>
        <v>10.76</v>
      </c>
      <c r="Y16" s="16">
        <f>'BOD-Cold &amp; Amb.'!Y16</f>
        <v>70.585599999999999</v>
      </c>
      <c r="Z16" s="16">
        <f>'BOD-Cold &amp; Amb.'!Z16</f>
        <v>14.11712</v>
      </c>
      <c r="AA16" s="16">
        <f>'BOD-Cold &amp; Amb.'!AA16</f>
        <v>1.4117120000000001</v>
      </c>
      <c r="AB16" s="16">
        <f>'BOD-Cold &amp; Amb.'!AB16</f>
        <v>0</v>
      </c>
      <c r="AC16" s="16">
        <f>'BOD-Cold &amp; Amb.'!AC16</f>
        <v>9.8307653762101654E-2</v>
      </c>
      <c r="AD16" s="16">
        <f>'BOD-Cold &amp; Amb.'!AD16</f>
        <v>975</v>
      </c>
      <c r="AE16" s="16">
        <f>'BOD-Cold &amp; Amb.'!AE16</f>
        <v>975</v>
      </c>
      <c r="AF16" s="16">
        <f>'BOD-Cold &amp; Amb.'!AF16</f>
        <v>0</v>
      </c>
      <c r="AG16" s="16">
        <f>'BOD-Cold &amp; Amb.'!AG16</f>
        <v>3.5</v>
      </c>
      <c r="AH16" s="838" t="str">
        <f>'BOD-Cold &amp; Amb.'!AH16</f>
        <v>D</v>
      </c>
      <c r="AI16" s="17">
        <f>'BOD-Cold &amp; Amb.'!AI16</f>
        <v>2.5</v>
      </c>
      <c r="AJ16" s="17">
        <f>'BOD-Cold &amp; Amb.'!AJ16</f>
        <v>3.5</v>
      </c>
      <c r="AK16" s="891"/>
      <c r="AL16" s="18"/>
      <c r="AM16" s="889"/>
      <c r="AN16" s="891"/>
      <c r="AO16" s="888"/>
      <c r="AP16" s="891"/>
      <c r="AQ16" s="891"/>
      <c r="AR16" s="889"/>
      <c r="AS16" s="888"/>
      <c r="AT16" s="888"/>
      <c r="AU16" s="890"/>
      <c r="AV16" s="888"/>
      <c r="AW16" s="888"/>
      <c r="AX16" s="888"/>
      <c r="AY16" s="887"/>
      <c r="AZ16" s="888"/>
    </row>
    <row r="17" spans="3:52" ht="18.600000000000001">
      <c r="C17" s="13">
        <f>'Input BOD'!C17</f>
        <v>8</v>
      </c>
      <c r="D17" s="14" t="str">
        <f>'BOD-Cold &amp; Amb.'!D17</f>
        <v>word</v>
      </c>
      <c r="E17" s="14">
        <f>'BOD-Cold &amp; Amb.'!E17</f>
        <v>1</v>
      </c>
      <c r="F17" s="14">
        <f>'BOD-Cold &amp; Amb.'!F17</f>
        <v>1</v>
      </c>
      <c r="G17" s="14">
        <f>'BOD-Cold &amp; Amb.'!G17</f>
        <v>2</v>
      </c>
      <c r="H17" s="14">
        <f>'BOD-Cold &amp; Amb.'!H17</f>
        <v>1</v>
      </c>
      <c r="I17" s="14">
        <f>'BOD-Cold &amp; Amb.'!I17</f>
        <v>2</v>
      </c>
      <c r="J17" s="14">
        <f>'BOD-Cold &amp; Amb.'!J17</f>
        <v>1.75</v>
      </c>
      <c r="K17" s="14">
        <f>'BOD-Cold &amp; Amb.'!K17</f>
        <v>2</v>
      </c>
      <c r="L17" s="15">
        <f>'BOD-Cold &amp; Amb.'!L17</f>
        <v>0.1</v>
      </c>
      <c r="M17" s="15">
        <f>'BOD-Cold &amp; Amb.'!M17</f>
        <v>0</v>
      </c>
      <c r="N17" s="14">
        <f>'BOD-Cold &amp; Amb.'!N17</f>
        <v>24</v>
      </c>
      <c r="O17" s="14">
        <f>'BOD-Cold &amp; Amb.'!O17</f>
        <v>50</v>
      </c>
      <c r="P17" s="13">
        <f>'BOD-Cold &amp; Amb.'!P17</f>
        <v>41</v>
      </c>
      <c r="Q17" s="13">
        <f>'BOD-Cold &amp; Amb.'!Q17</f>
        <v>85</v>
      </c>
      <c r="R17" s="13" t="str">
        <f>'BOD-Cold &amp; Amb.'!R17</f>
        <v>Class100K</v>
      </c>
      <c r="S17" s="13">
        <f>'BOD-Cold &amp; Amb.'!S17</f>
        <v>12</v>
      </c>
      <c r="T17" s="13">
        <f>'BOD-Cold &amp; Amb.'!T17</f>
        <v>0</v>
      </c>
      <c r="U17" s="13">
        <f>'BOD-Cold &amp; Amb.'!U17</f>
        <v>100</v>
      </c>
      <c r="V17" s="13" t="str">
        <f>'BOD-Cold &amp; Amb.'!V17</f>
        <v>Class100K</v>
      </c>
      <c r="W17" s="13">
        <f>'BOD-Cold &amp; Amb.'!W17</f>
        <v>12</v>
      </c>
      <c r="X17" s="16">
        <f>'BOD-Cold &amp; Amb.'!X17</f>
        <v>10.76</v>
      </c>
      <c r="Y17" s="16">
        <f>'BOD-Cold &amp; Amb.'!Y17</f>
        <v>70.585599999999999</v>
      </c>
      <c r="Z17" s="16">
        <f>'BOD-Cold &amp; Amb.'!Z17</f>
        <v>14.11712</v>
      </c>
      <c r="AA17" s="16">
        <f>'BOD-Cold &amp; Amb.'!AA17</f>
        <v>1.4117120000000001</v>
      </c>
      <c r="AB17" s="16">
        <f>'BOD-Cold &amp; Amb.'!AB17</f>
        <v>0</v>
      </c>
      <c r="AC17" s="16">
        <f>'BOD-Cold &amp; Amb.'!AC17</f>
        <v>9.8307653762101654E-2</v>
      </c>
      <c r="AD17" s="16">
        <f>'BOD-Cold &amp; Amb.'!AD17</f>
        <v>975</v>
      </c>
      <c r="AE17" s="16">
        <f>'BOD-Cold &amp; Amb.'!AE17</f>
        <v>975</v>
      </c>
      <c r="AF17" s="16">
        <f>'BOD-Cold &amp; Amb.'!AF17</f>
        <v>0</v>
      </c>
      <c r="AG17" s="16">
        <f>'BOD-Cold &amp; Amb.'!AG17</f>
        <v>3.5</v>
      </c>
      <c r="AH17" s="838" t="str">
        <f>'BOD-Cold &amp; Amb.'!AH17</f>
        <v>D</v>
      </c>
      <c r="AI17" s="17">
        <f>'BOD-Cold &amp; Amb.'!AI17</f>
        <v>2.5</v>
      </c>
      <c r="AJ17" s="17">
        <f>'BOD-Cold &amp; Amb.'!AJ17</f>
        <v>3.5</v>
      </c>
      <c r="AK17" s="891"/>
      <c r="AL17" s="18"/>
      <c r="AM17" s="889"/>
      <c r="AN17" s="891"/>
      <c r="AO17" s="888"/>
      <c r="AP17" s="891"/>
      <c r="AQ17" s="891"/>
      <c r="AR17" s="889"/>
      <c r="AS17" s="888"/>
      <c r="AT17" s="888"/>
      <c r="AU17" s="890"/>
      <c r="AV17" s="888"/>
      <c r="AW17" s="888"/>
      <c r="AX17" s="888"/>
      <c r="AY17" s="887"/>
      <c r="AZ17" s="888"/>
    </row>
    <row r="18" spans="3:52" ht="18.600000000000001">
      <c r="C18" s="13">
        <f>'Input BOD'!C18</f>
        <v>9</v>
      </c>
      <c r="D18" s="14" t="str">
        <f>'BOD-Cold &amp; Amb.'!D18</f>
        <v>java</v>
      </c>
      <c r="E18" s="14">
        <f>'BOD-Cold &amp; Amb.'!E18</f>
        <v>1</v>
      </c>
      <c r="F18" s="14">
        <f>'BOD-Cold &amp; Amb.'!F18</f>
        <v>1</v>
      </c>
      <c r="G18" s="14">
        <f>'BOD-Cold &amp; Amb.'!G18</f>
        <v>2</v>
      </c>
      <c r="H18" s="14">
        <f>'BOD-Cold &amp; Amb.'!H18</f>
        <v>1</v>
      </c>
      <c r="I18" s="14">
        <f>'BOD-Cold &amp; Amb.'!I18</f>
        <v>2</v>
      </c>
      <c r="J18" s="14">
        <f>'BOD-Cold &amp; Amb.'!J18</f>
        <v>1.75</v>
      </c>
      <c r="K18" s="14">
        <f>'BOD-Cold &amp; Amb.'!K18</f>
        <v>2</v>
      </c>
      <c r="L18" s="15">
        <f>'BOD-Cold &amp; Amb.'!L18</f>
        <v>0.1</v>
      </c>
      <c r="M18" s="15">
        <f>'BOD-Cold &amp; Amb.'!M18</f>
        <v>0</v>
      </c>
      <c r="N18" s="14">
        <f>'BOD-Cold &amp; Amb.'!N18</f>
        <v>24</v>
      </c>
      <c r="O18" s="14">
        <f>'BOD-Cold &amp; Amb.'!O18</f>
        <v>50</v>
      </c>
      <c r="P18" s="13">
        <f>'BOD-Cold &amp; Amb.'!P18</f>
        <v>41</v>
      </c>
      <c r="Q18" s="13">
        <f>'BOD-Cold &amp; Amb.'!Q18</f>
        <v>85</v>
      </c>
      <c r="R18" s="13" t="str">
        <f>'BOD-Cold &amp; Amb.'!R18</f>
        <v>Class100K</v>
      </c>
      <c r="S18" s="13">
        <f>'BOD-Cold &amp; Amb.'!S18</f>
        <v>12</v>
      </c>
      <c r="T18" s="13">
        <f>'BOD-Cold &amp; Amb.'!T18</f>
        <v>0</v>
      </c>
      <c r="U18" s="13">
        <f>'BOD-Cold &amp; Amb.'!U18</f>
        <v>100</v>
      </c>
      <c r="V18" s="13" t="str">
        <f>'BOD-Cold &amp; Amb.'!V18</f>
        <v>Class100K</v>
      </c>
      <c r="W18" s="13">
        <f>'BOD-Cold &amp; Amb.'!W18</f>
        <v>12</v>
      </c>
      <c r="X18" s="16">
        <f>'BOD-Cold &amp; Amb.'!X18</f>
        <v>10.76</v>
      </c>
      <c r="Y18" s="16">
        <f>'BOD-Cold &amp; Amb.'!Y18</f>
        <v>70.585599999999999</v>
      </c>
      <c r="Z18" s="16">
        <f>'BOD-Cold &amp; Amb.'!Z18</f>
        <v>14.11712</v>
      </c>
      <c r="AA18" s="16">
        <f>'BOD-Cold &amp; Amb.'!AA18</f>
        <v>1.4117120000000001</v>
      </c>
      <c r="AB18" s="16">
        <f>'BOD-Cold &amp; Amb.'!AB18</f>
        <v>0</v>
      </c>
      <c r="AC18" s="16">
        <f>'BOD-Cold &amp; Amb.'!AC18</f>
        <v>9.8307653762101654E-2</v>
      </c>
      <c r="AD18" s="16">
        <f>'BOD-Cold &amp; Amb.'!AD18</f>
        <v>975</v>
      </c>
      <c r="AE18" s="16">
        <f>'BOD-Cold &amp; Amb.'!AE18</f>
        <v>975</v>
      </c>
      <c r="AF18" s="16">
        <f>'BOD-Cold &amp; Amb.'!AF18</f>
        <v>0</v>
      </c>
      <c r="AG18" s="16">
        <f>'BOD-Cold &amp; Amb.'!AG18</f>
        <v>3.5</v>
      </c>
      <c r="AH18" s="838" t="str">
        <f>'BOD-Cold &amp; Amb.'!AH18</f>
        <v>D</v>
      </c>
      <c r="AI18" s="17">
        <f>'BOD-Cold &amp; Amb.'!AI18</f>
        <v>2.5</v>
      </c>
      <c r="AJ18" s="17">
        <f>'BOD-Cold &amp; Amb.'!AJ18</f>
        <v>3.5</v>
      </c>
      <c r="AK18" s="891"/>
      <c r="AL18" s="18"/>
      <c r="AM18" s="889"/>
      <c r="AN18" s="891"/>
      <c r="AO18" s="888"/>
      <c r="AP18" s="891"/>
      <c r="AQ18" s="891"/>
      <c r="AR18" s="889"/>
      <c r="AS18" s="888"/>
      <c r="AT18" s="888"/>
      <c r="AU18" s="890"/>
      <c r="AV18" s="888"/>
      <c r="AW18" s="888"/>
      <c r="AX18" s="888"/>
      <c r="AY18" s="887"/>
      <c r="AZ18" s="888"/>
    </row>
    <row r="19" spans="3:52" ht="18.600000000000001">
      <c r="C19" s="13">
        <f>'Input BOD'!C19</f>
        <v>10</v>
      </c>
      <c r="D19" s="883">
        <f>'BOD-Cold &amp; Amb.'!D19</f>
        <v>12345</v>
      </c>
      <c r="E19" s="14">
        <f>'BOD-Cold &amp; Amb.'!E19</f>
        <v>1</v>
      </c>
      <c r="F19" s="14">
        <f>'BOD-Cold &amp; Amb.'!F19</f>
        <v>1</v>
      </c>
      <c r="G19" s="14">
        <f>'BOD-Cold &amp; Amb.'!G19</f>
        <v>2</v>
      </c>
      <c r="H19" s="14">
        <f>'BOD-Cold &amp; Amb.'!H19</f>
        <v>1</v>
      </c>
      <c r="I19" s="14">
        <f>'BOD-Cold &amp; Amb.'!I19</f>
        <v>2</v>
      </c>
      <c r="J19" s="14">
        <f>'BOD-Cold &amp; Amb.'!J19</f>
        <v>1.75</v>
      </c>
      <c r="K19" s="14">
        <f>'BOD-Cold &amp; Amb.'!K19</f>
        <v>2</v>
      </c>
      <c r="L19" s="15">
        <f>'BOD-Cold &amp; Amb.'!L19</f>
        <v>0.1</v>
      </c>
      <c r="M19" s="15">
        <f>'BOD-Cold &amp; Amb.'!M19</f>
        <v>0</v>
      </c>
      <c r="N19" s="14">
        <f>'BOD-Cold &amp; Amb.'!N19</f>
        <v>24</v>
      </c>
      <c r="O19" s="14">
        <f>'BOD-Cold &amp; Amb.'!O19</f>
        <v>50</v>
      </c>
      <c r="P19" s="13">
        <f>'BOD-Cold &amp; Amb.'!P19</f>
        <v>41</v>
      </c>
      <c r="Q19" s="13">
        <f>'BOD-Cold &amp; Amb.'!Q19</f>
        <v>85</v>
      </c>
      <c r="R19" s="13" t="str">
        <f>'BOD-Cold &amp; Amb.'!R19</f>
        <v>Class100K</v>
      </c>
      <c r="S19" s="13">
        <f>'BOD-Cold &amp; Amb.'!S19</f>
        <v>12</v>
      </c>
      <c r="T19" s="13">
        <f>'BOD-Cold &amp; Amb.'!T19</f>
        <v>0</v>
      </c>
      <c r="U19" s="13">
        <f>'BOD-Cold &amp; Amb.'!U19</f>
        <v>100</v>
      </c>
      <c r="V19" s="13" t="str">
        <f>'BOD-Cold &amp; Amb.'!V19</f>
        <v>Class100K</v>
      </c>
      <c r="W19" s="13">
        <f>'BOD-Cold &amp; Amb.'!W19</f>
        <v>12</v>
      </c>
      <c r="X19" s="16">
        <f>'BOD-Cold &amp; Amb.'!X19</f>
        <v>10.76</v>
      </c>
      <c r="Y19" s="16">
        <f>'BOD-Cold &amp; Amb.'!Y19</f>
        <v>70.585599999999999</v>
      </c>
      <c r="Z19" s="16">
        <f>'BOD-Cold &amp; Amb.'!Z19</f>
        <v>14.11712</v>
      </c>
      <c r="AA19" s="16">
        <f>'BOD-Cold &amp; Amb.'!AA19</f>
        <v>1.4117120000000001</v>
      </c>
      <c r="AB19" s="16">
        <f>'BOD-Cold &amp; Amb.'!AB19</f>
        <v>0</v>
      </c>
      <c r="AC19" s="16">
        <f>'BOD-Cold &amp; Amb.'!AC19</f>
        <v>9.8307653762101654E-2</v>
      </c>
      <c r="AD19" s="16">
        <f>'BOD-Cold &amp; Amb.'!AD19</f>
        <v>975</v>
      </c>
      <c r="AE19" s="16">
        <f>'BOD-Cold &amp; Amb.'!AE19</f>
        <v>975</v>
      </c>
      <c r="AF19" s="16">
        <f>'BOD-Cold &amp; Amb.'!AF19</f>
        <v>0</v>
      </c>
      <c r="AG19" s="16">
        <f>'BOD-Cold &amp; Amb.'!AG19</f>
        <v>3.5</v>
      </c>
      <c r="AH19" s="838" t="str">
        <f>'BOD-Cold &amp; Amb.'!AH19</f>
        <v>D</v>
      </c>
      <c r="AI19" s="17">
        <f>'BOD-Cold &amp; Amb.'!AI19</f>
        <v>2.5</v>
      </c>
      <c r="AJ19" s="17">
        <f>'BOD-Cold &amp; Amb.'!AJ19</f>
        <v>3.5</v>
      </c>
      <c r="AK19" s="891"/>
      <c r="AL19" s="174">
        <f>'BOD-Cold &amp; Amb.'!AL19</f>
        <v>5500</v>
      </c>
      <c r="AM19" s="889"/>
      <c r="AN19" s="891"/>
      <c r="AO19" s="888"/>
      <c r="AP19" s="891"/>
      <c r="AQ19" s="891"/>
      <c r="AR19" s="889"/>
      <c r="AS19" s="888"/>
      <c r="AT19" s="888"/>
      <c r="AU19" s="890"/>
      <c r="AV19" s="888"/>
      <c r="AW19" s="888"/>
      <c r="AX19" s="888"/>
      <c r="AY19" s="887"/>
      <c r="AZ19" s="888"/>
    </row>
    <row r="20" spans="3:52" ht="18.600000000000001">
      <c r="C20" s="13">
        <f>'Input BOD'!C20</f>
        <v>11</v>
      </c>
      <c r="D20" s="14" t="str">
        <f>'BOD-Cold &amp; Amb.'!D20</f>
        <v>cvdwvjvq</v>
      </c>
      <c r="E20" s="14">
        <f>'BOD-Cold &amp; Amb.'!E20</f>
        <v>1</v>
      </c>
      <c r="F20" s="14">
        <f>'BOD-Cold &amp; Amb.'!F20</f>
        <v>1</v>
      </c>
      <c r="G20" s="14">
        <f>'BOD-Cold &amp; Amb.'!G20</f>
        <v>2</v>
      </c>
      <c r="H20" s="14">
        <f>'BOD-Cold &amp; Amb.'!H20</f>
        <v>1</v>
      </c>
      <c r="I20" s="14">
        <f>'BOD-Cold &amp; Amb.'!I20</f>
        <v>2</v>
      </c>
      <c r="J20" s="14">
        <f>'BOD-Cold &amp; Amb.'!J20</f>
        <v>1.75</v>
      </c>
      <c r="K20" s="14">
        <f>'BOD-Cold &amp; Amb.'!K20</f>
        <v>2</v>
      </c>
      <c r="L20" s="15">
        <f>'BOD-Cold &amp; Amb.'!L20</f>
        <v>0.1</v>
      </c>
      <c r="M20" s="15">
        <f>'BOD-Cold &amp; Amb.'!M20</f>
        <v>0</v>
      </c>
      <c r="N20" s="14">
        <f>'BOD-Cold &amp; Amb.'!N20</f>
        <v>24</v>
      </c>
      <c r="O20" s="14">
        <f>'BOD-Cold &amp; Amb.'!O20</f>
        <v>50</v>
      </c>
      <c r="P20" s="13">
        <f>'BOD-Cold &amp; Amb.'!P20</f>
        <v>41</v>
      </c>
      <c r="Q20" s="13">
        <f>'BOD-Cold &amp; Amb.'!Q20</f>
        <v>85</v>
      </c>
      <c r="R20" s="13" t="str">
        <f>'BOD-Cold &amp; Amb.'!R20</f>
        <v>Class100K</v>
      </c>
      <c r="S20" s="13">
        <f>'BOD-Cold &amp; Amb.'!S20</f>
        <v>12</v>
      </c>
      <c r="T20" s="13">
        <f>'BOD-Cold &amp; Amb.'!T20</f>
        <v>0</v>
      </c>
      <c r="U20" s="13">
        <f>'BOD-Cold &amp; Amb.'!U20</f>
        <v>100</v>
      </c>
      <c r="V20" s="13" t="str">
        <f>'BOD-Cold &amp; Amb.'!V20</f>
        <v>Class100K</v>
      </c>
      <c r="W20" s="13">
        <f>'BOD-Cold &amp; Amb.'!W20</f>
        <v>12</v>
      </c>
      <c r="X20" s="16">
        <f>'BOD-Cold &amp; Amb.'!X20</f>
        <v>10.76</v>
      </c>
      <c r="Y20" s="16">
        <f>'BOD-Cold &amp; Amb.'!Y20</f>
        <v>70.585599999999999</v>
      </c>
      <c r="Z20" s="16">
        <f>'BOD-Cold &amp; Amb.'!Z20</f>
        <v>14.11712</v>
      </c>
      <c r="AA20" s="16">
        <f>'BOD-Cold &amp; Amb.'!AA20</f>
        <v>1.4117120000000001</v>
      </c>
      <c r="AB20" s="16">
        <f>'BOD-Cold &amp; Amb.'!AB20</f>
        <v>0</v>
      </c>
      <c r="AC20" s="16">
        <f>'BOD-Cold &amp; Amb.'!AC20</f>
        <v>9.8307653762101654E-2</v>
      </c>
      <c r="AD20" s="16">
        <f>'BOD-Cold &amp; Amb.'!AD20</f>
        <v>975</v>
      </c>
      <c r="AE20" s="16">
        <f>'BOD-Cold &amp; Amb.'!AE20</f>
        <v>975</v>
      </c>
      <c r="AF20" s="16">
        <f>'BOD-Cold &amp; Amb.'!AF20</f>
        <v>0</v>
      </c>
      <c r="AG20" s="16">
        <f>'BOD-Cold &amp; Amb.'!AG20</f>
        <v>3.5</v>
      </c>
      <c r="AH20" s="838" t="str">
        <f>'BOD-Cold &amp; Amb.'!AH20</f>
        <v>D</v>
      </c>
      <c r="AI20" s="17">
        <f>'BOD-Cold &amp; Amb.'!AI20</f>
        <v>2.5</v>
      </c>
      <c r="AJ20" s="17">
        <f>'BOD-Cold &amp; Amb.'!AJ20</f>
        <v>3.5</v>
      </c>
      <c r="AK20" s="891"/>
      <c r="AL20" s="18"/>
      <c r="AM20" s="889"/>
      <c r="AN20" s="891"/>
      <c r="AO20" s="888"/>
      <c r="AP20" s="891"/>
      <c r="AQ20" s="891"/>
      <c r="AR20" s="889"/>
      <c r="AS20" s="888"/>
      <c r="AT20" s="888"/>
      <c r="AU20" s="890"/>
      <c r="AV20" s="888"/>
      <c r="AW20" s="888"/>
      <c r="AX20" s="888"/>
      <c r="AY20" s="887"/>
      <c r="AZ20" s="888"/>
    </row>
    <row r="21" spans="3:52" ht="18.600000000000001">
      <c r="C21" s="13">
        <f>'Input BOD'!C21</f>
        <v>12</v>
      </c>
      <c r="D21" s="14" t="str">
        <f>'BOD-Cold &amp; Amb.'!D21</f>
        <v>jcvbbvk</v>
      </c>
      <c r="E21" s="14">
        <f>'BOD-Cold &amp; Amb.'!E21</f>
        <v>1</v>
      </c>
      <c r="F21" s="14">
        <f>'BOD-Cold &amp; Amb.'!F21</f>
        <v>1</v>
      </c>
      <c r="G21" s="14">
        <f>'BOD-Cold &amp; Amb.'!G21</f>
        <v>2</v>
      </c>
      <c r="H21" s="14">
        <f>'BOD-Cold &amp; Amb.'!H21</f>
        <v>1</v>
      </c>
      <c r="I21" s="14">
        <f>'BOD-Cold &amp; Amb.'!I21</f>
        <v>2</v>
      </c>
      <c r="J21" s="14">
        <f>'BOD-Cold &amp; Amb.'!J21</f>
        <v>1.75</v>
      </c>
      <c r="K21" s="14">
        <f>'BOD-Cold &amp; Amb.'!K21</f>
        <v>2</v>
      </c>
      <c r="L21" s="15">
        <f>'BOD-Cold &amp; Amb.'!L21</f>
        <v>0.1</v>
      </c>
      <c r="M21" s="15">
        <f>'BOD-Cold &amp; Amb.'!M21</f>
        <v>0</v>
      </c>
      <c r="N21" s="14">
        <f>'BOD-Cold &amp; Amb.'!N21</f>
        <v>24</v>
      </c>
      <c r="O21" s="14">
        <f>'BOD-Cold &amp; Amb.'!O21</f>
        <v>50</v>
      </c>
      <c r="P21" s="13">
        <f>'BOD-Cold &amp; Amb.'!P21</f>
        <v>41</v>
      </c>
      <c r="Q21" s="13">
        <f>'BOD-Cold &amp; Amb.'!Q21</f>
        <v>85</v>
      </c>
      <c r="R21" s="13" t="str">
        <f>'BOD-Cold &amp; Amb.'!R21</f>
        <v>Class100K</v>
      </c>
      <c r="S21" s="13">
        <f>'BOD-Cold &amp; Amb.'!S21</f>
        <v>12</v>
      </c>
      <c r="T21" s="13">
        <f>'BOD-Cold &amp; Amb.'!T21</f>
        <v>0</v>
      </c>
      <c r="U21" s="13">
        <f>'BOD-Cold &amp; Amb.'!U21</f>
        <v>100</v>
      </c>
      <c r="V21" s="13" t="str">
        <f>'BOD-Cold &amp; Amb.'!V21</f>
        <v>Class100K</v>
      </c>
      <c r="W21" s="13">
        <f>'BOD-Cold &amp; Amb.'!W21</f>
        <v>12</v>
      </c>
      <c r="X21" s="16">
        <f>'BOD-Cold &amp; Amb.'!X21</f>
        <v>10.76</v>
      </c>
      <c r="Y21" s="16">
        <f>'BOD-Cold &amp; Amb.'!Y21</f>
        <v>70.585599999999999</v>
      </c>
      <c r="Z21" s="16">
        <f>'BOD-Cold &amp; Amb.'!Z21</f>
        <v>14.11712</v>
      </c>
      <c r="AA21" s="16">
        <f>'BOD-Cold &amp; Amb.'!AA21</f>
        <v>1.4117120000000001</v>
      </c>
      <c r="AB21" s="16">
        <f>'BOD-Cold &amp; Amb.'!AB21</f>
        <v>0</v>
      </c>
      <c r="AC21" s="16">
        <f>'BOD-Cold &amp; Amb.'!AC21</f>
        <v>9.8307653762101654E-2</v>
      </c>
      <c r="AD21" s="16">
        <f>'BOD-Cold &amp; Amb.'!AD21</f>
        <v>975</v>
      </c>
      <c r="AE21" s="16">
        <f>'BOD-Cold &amp; Amb.'!AE21</f>
        <v>975</v>
      </c>
      <c r="AF21" s="16">
        <f>'BOD-Cold &amp; Amb.'!AF21</f>
        <v>0</v>
      </c>
      <c r="AG21" s="16">
        <f>'BOD-Cold &amp; Amb.'!AG21</f>
        <v>3.5</v>
      </c>
      <c r="AH21" s="838" t="str">
        <f>'BOD-Cold &amp; Amb.'!AH21</f>
        <v>D</v>
      </c>
      <c r="AI21" s="17">
        <f>'BOD-Cold &amp; Amb.'!AI21</f>
        <v>2.5</v>
      </c>
      <c r="AJ21" s="17">
        <f>'BOD-Cold &amp; Amb.'!AJ21</f>
        <v>3.5</v>
      </c>
      <c r="AK21" s="891"/>
      <c r="AL21" s="18"/>
      <c r="AM21" s="889"/>
      <c r="AN21" s="891"/>
      <c r="AO21" s="888"/>
      <c r="AP21" s="891"/>
      <c r="AQ21" s="891"/>
      <c r="AR21" s="889"/>
      <c r="AS21" s="888"/>
      <c r="AT21" s="888"/>
      <c r="AU21" s="890"/>
      <c r="AV21" s="888"/>
      <c r="AW21" s="888"/>
      <c r="AX21" s="888"/>
      <c r="AY21" s="887"/>
      <c r="AZ21" s="888"/>
    </row>
    <row r="22" spans="3:52" ht="18.600000000000001">
      <c r="C22" s="13">
        <f>'Input BOD'!C22</f>
        <v>13</v>
      </c>
      <c r="D22" s="14" t="str">
        <f>'BOD-Cold &amp; Amb.'!D22</f>
        <v xml:space="preserve"> vbwbvb</v>
      </c>
      <c r="E22" s="14">
        <f>'BOD-Cold &amp; Amb.'!E22</f>
        <v>1</v>
      </c>
      <c r="F22" s="14">
        <f>'BOD-Cold &amp; Amb.'!F22</f>
        <v>1</v>
      </c>
      <c r="G22" s="14">
        <f>'BOD-Cold &amp; Amb.'!G22</f>
        <v>2</v>
      </c>
      <c r="H22" s="14">
        <f>'BOD-Cold &amp; Amb.'!H22</f>
        <v>1</v>
      </c>
      <c r="I22" s="14">
        <f>'BOD-Cold &amp; Amb.'!I22</f>
        <v>2</v>
      </c>
      <c r="J22" s="14">
        <f>'BOD-Cold &amp; Amb.'!J22</f>
        <v>1.75</v>
      </c>
      <c r="K22" s="14">
        <f>'BOD-Cold &amp; Amb.'!K22</f>
        <v>2</v>
      </c>
      <c r="L22" s="15">
        <f>'BOD-Cold &amp; Amb.'!L22</f>
        <v>0.1</v>
      </c>
      <c r="M22" s="15">
        <f>'BOD-Cold &amp; Amb.'!M22</f>
        <v>0</v>
      </c>
      <c r="N22" s="14">
        <f>'BOD-Cold &amp; Amb.'!N22</f>
        <v>24</v>
      </c>
      <c r="O22" s="14">
        <f>'BOD-Cold &amp; Amb.'!O22</f>
        <v>50</v>
      </c>
      <c r="P22" s="13">
        <f>'BOD-Cold &amp; Amb.'!P22</f>
        <v>41</v>
      </c>
      <c r="Q22" s="13">
        <f>'BOD-Cold &amp; Amb.'!Q22</f>
        <v>85</v>
      </c>
      <c r="R22" s="13" t="str">
        <f>'BOD-Cold &amp; Amb.'!R22</f>
        <v>Class100K</v>
      </c>
      <c r="S22" s="13">
        <f>'BOD-Cold &amp; Amb.'!S22</f>
        <v>12</v>
      </c>
      <c r="T22" s="13">
        <f>'BOD-Cold &amp; Amb.'!T22</f>
        <v>0</v>
      </c>
      <c r="U22" s="13">
        <f>'BOD-Cold &amp; Amb.'!U22</f>
        <v>100</v>
      </c>
      <c r="V22" s="13" t="str">
        <f>'BOD-Cold &amp; Amb.'!V22</f>
        <v>Class100K</v>
      </c>
      <c r="W22" s="13">
        <f>'BOD-Cold &amp; Amb.'!W22</f>
        <v>12</v>
      </c>
      <c r="X22" s="16">
        <f>'BOD-Cold &amp; Amb.'!X22</f>
        <v>10.76</v>
      </c>
      <c r="Y22" s="16">
        <f>'BOD-Cold &amp; Amb.'!Y22</f>
        <v>70.585599999999999</v>
      </c>
      <c r="Z22" s="16">
        <f>'BOD-Cold &amp; Amb.'!Z22</f>
        <v>14.11712</v>
      </c>
      <c r="AA22" s="16">
        <f>'BOD-Cold &amp; Amb.'!AA22</f>
        <v>1.4117120000000001</v>
      </c>
      <c r="AB22" s="16">
        <f>'BOD-Cold &amp; Amb.'!AB22</f>
        <v>0</v>
      </c>
      <c r="AC22" s="16">
        <f>'BOD-Cold &amp; Amb.'!AC22</f>
        <v>9.8307653762101654E-2</v>
      </c>
      <c r="AD22" s="16">
        <f>'BOD-Cold &amp; Amb.'!AD22</f>
        <v>975</v>
      </c>
      <c r="AE22" s="16">
        <f>'BOD-Cold &amp; Amb.'!AE22</f>
        <v>975</v>
      </c>
      <c r="AF22" s="16">
        <f>'BOD-Cold &amp; Amb.'!AF22</f>
        <v>0</v>
      </c>
      <c r="AG22" s="16">
        <f>'BOD-Cold &amp; Amb.'!AG22</f>
        <v>3.5</v>
      </c>
      <c r="AH22" s="838" t="str">
        <f>'BOD-Cold &amp; Amb.'!AH22</f>
        <v>D</v>
      </c>
      <c r="AI22" s="17">
        <f>'BOD-Cold &amp; Amb.'!AI22</f>
        <v>2.5</v>
      </c>
      <c r="AJ22" s="17">
        <f>'BOD-Cold &amp; Amb.'!AJ22</f>
        <v>3.5</v>
      </c>
      <c r="AK22" s="891"/>
      <c r="AL22" s="18"/>
      <c r="AM22" s="889"/>
      <c r="AN22" s="891"/>
      <c r="AO22" s="888"/>
      <c r="AP22" s="891"/>
      <c r="AQ22" s="891"/>
      <c r="AR22" s="889"/>
      <c r="AS22" s="888"/>
      <c r="AT22" s="888"/>
      <c r="AU22" s="890"/>
      <c r="AV22" s="888"/>
      <c r="AW22" s="888"/>
      <c r="AX22" s="888"/>
      <c r="AY22" s="887"/>
      <c r="AZ22" s="888"/>
    </row>
    <row r="23" spans="3:52" ht="18.600000000000001">
      <c r="C23" s="13">
        <f>'Input BOD'!C23</f>
        <v>14</v>
      </c>
      <c r="D23" s="14" t="str">
        <f>'BOD-Cold &amp; Amb.'!D23</f>
        <v xml:space="preserve"> b cjvjvve</v>
      </c>
      <c r="E23" s="14">
        <f>'BOD-Cold &amp; Amb.'!E23</f>
        <v>1</v>
      </c>
      <c r="F23" s="14">
        <f>'BOD-Cold &amp; Amb.'!F23</f>
        <v>1</v>
      </c>
      <c r="G23" s="14">
        <f>'BOD-Cold &amp; Amb.'!G23</f>
        <v>2</v>
      </c>
      <c r="H23" s="14">
        <f>'BOD-Cold &amp; Amb.'!H23</f>
        <v>1</v>
      </c>
      <c r="I23" s="14">
        <f>'BOD-Cold &amp; Amb.'!I23</f>
        <v>2</v>
      </c>
      <c r="J23" s="14">
        <f>'BOD-Cold &amp; Amb.'!J23</f>
        <v>1.75</v>
      </c>
      <c r="K23" s="14">
        <f>'BOD-Cold &amp; Amb.'!K23</f>
        <v>2</v>
      </c>
      <c r="L23" s="15">
        <f>'BOD-Cold &amp; Amb.'!L23</f>
        <v>0.1</v>
      </c>
      <c r="M23" s="15">
        <f>'BOD-Cold &amp; Amb.'!M23</f>
        <v>0</v>
      </c>
      <c r="N23" s="14">
        <f>'BOD-Cold &amp; Amb.'!N23</f>
        <v>24</v>
      </c>
      <c r="O23" s="14">
        <f>'BOD-Cold &amp; Amb.'!O23</f>
        <v>50</v>
      </c>
      <c r="P23" s="13">
        <f>'BOD-Cold &amp; Amb.'!P23</f>
        <v>41</v>
      </c>
      <c r="Q23" s="13">
        <f>'BOD-Cold &amp; Amb.'!Q23</f>
        <v>85</v>
      </c>
      <c r="R23" s="13" t="str">
        <f>'BOD-Cold &amp; Amb.'!R23</f>
        <v>Class100K</v>
      </c>
      <c r="S23" s="13">
        <f>'BOD-Cold &amp; Amb.'!S23</f>
        <v>12</v>
      </c>
      <c r="T23" s="13">
        <f>'BOD-Cold &amp; Amb.'!T23</f>
        <v>0</v>
      </c>
      <c r="U23" s="13">
        <f>'BOD-Cold &amp; Amb.'!U23</f>
        <v>100</v>
      </c>
      <c r="V23" s="13" t="str">
        <f>'BOD-Cold &amp; Amb.'!V23</f>
        <v>Class100K</v>
      </c>
      <c r="W23" s="13">
        <f>'BOD-Cold &amp; Amb.'!W23</f>
        <v>12</v>
      </c>
      <c r="X23" s="16">
        <f>'BOD-Cold &amp; Amb.'!X23</f>
        <v>10.76</v>
      </c>
      <c r="Y23" s="16">
        <f>'BOD-Cold &amp; Amb.'!Y23</f>
        <v>70.585599999999999</v>
      </c>
      <c r="Z23" s="16">
        <f>'BOD-Cold &amp; Amb.'!Z23</f>
        <v>14.11712</v>
      </c>
      <c r="AA23" s="16">
        <f>'BOD-Cold &amp; Amb.'!AA23</f>
        <v>1.4117120000000001</v>
      </c>
      <c r="AB23" s="16">
        <f>'BOD-Cold &amp; Amb.'!AB23</f>
        <v>0</v>
      </c>
      <c r="AC23" s="16">
        <f>'BOD-Cold &amp; Amb.'!AC23</f>
        <v>9.8307653762101654E-2</v>
      </c>
      <c r="AD23" s="16">
        <f>'BOD-Cold &amp; Amb.'!AD23</f>
        <v>975</v>
      </c>
      <c r="AE23" s="16">
        <f>'BOD-Cold &amp; Amb.'!AE23</f>
        <v>975</v>
      </c>
      <c r="AF23" s="16">
        <f>'BOD-Cold &amp; Amb.'!AF23</f>
        <v>0</v>
      </c>
      <c r="AG23" s="16">
        <f>'BOD-Cold &amp; Amb.'!AG23</f>
        <v>3.5</v>
      </c>
      <c r="AH23" s="838" t="str">
        <f>'BOD-Cold &amp; Amb.'!AH23</f>
        <v>D</v>
      </c>
      <c r="AI23" s="17">
        <f>'BOD-Cold &amp; Amb.'!AI23</f>
        <v>2.5</v>
      </c>
      <c r="AJ23" s="17">
        <f>'BOD-Cold &amp; Amb.'!AJ23</f>
        <v>3.5</v>
      </c>
      <c r="AK23" s="891"/>
      <c r="AL23" s="18"/>
      <c r="AM23" s="889"/>
      <c r="AN23" s="891"/>
      <c r="AO23" s="888"/>
      <c r="AP23" s="891"/>
      <c r="AQ23" s="891"/>
      <c r="AR23" s="889"/>
      <c r="AS23" s="888"/>
      <c r="AT23" s="888"/>
      <c r="AU23" s="890"/>
      <c r="AV23" s="888"/>
      <c r="AW23" s="888"/>
      <c r="AX23" s="888"/>
      <c r="AY23" s="887"/>
      <c r="AZ23" s="888"/>
    </row>
    <row r="24" spans="3:52" ht="18.600000000000001">
      <c r="C24" s="13">
        <f>'Input BOD'!C24</f>
        <v>15</v>
      </c>
      <c r="D24" s="14" t="str">
        <f>'BOD-Cold &amp; Amb.'!D24</f>
        <v>ifhiuhfigi</v>
      </c>
      <c r="E24" s="14">
        <f>'BOD-Cold &amp; Amb.'!E24</f>
        <v>1</v>
      </c>
      <c r="F24" s="14">
        <f>'BOD-Cold &amp; Amb.'!F24</f>
        <v>1</v>
      </c>
      <c r="G24" s="14">
        <f>'BOD-Cold &amp; Amb.'!G24</f>
        <v>2</v>
      </c>
      <c r="H24" s="14">
        <f>'BOD-Cold &amp; Amb.'!H24</f>
        <v>1</v>
      </c>
      <c r="I24" s="14">
        <f>'BOD-Cold &amp; Amb.'!I24</f>
        <v>2</v>
      </c>
      <c r="J24" s="14">
        <f>'BOD-Cold &amp; Amb.'!J24</f>
        <v>1.75</v>
      </c>
      <c r="K24" s="14">
        <f>'BOD-Cold &amp; Amb.'!K24</f>
        <v>2</v>
      </c>
      <c r="L24" s="15">
        <f>'BOD-Cold &amp; Amb.'!L24</f>
        <v>0.1</v>
      </c>
      <c r="M24" s="15">
        <f>'BOD-Cold &amp; Amb.'!M24</f>
        <v>0</v>
      </c>
      <c r="N24" s="14">
        <f>'BOD-Cold &amp; Amb.'!N24</f>
        <v>24</v>
      </c>
      <c r="O24" s="14">
        <f>'BOD-Cold &amp; Amb.'!O24</f>
        <v>50</v>
      </c>
      <c r="P24" s="13">
        <f>'BOD-Cold &amp; Amb.'!P24</f>
        <v>41</v>
      </c>
      <c r="Q24" s="13">
        <f>'BOD-Cold &amp; Amb.'!Q24</f>
        <v>85</v>
      </c>
      <c r="R24" s="13" t="str">
        <f>'BOD-Cold &amp; Amb.'!R24</f>
        <v>Class100K</v>
      </c>
      <c r="S24" s="13">
        <f>'BOD-Cold &amp; Amb.'!S24</f>
        <v>12</v>
      </c>
      <c r="T24" s="13">
        <f>'BOD-Cold &amp; Amb.'!T24</f>
        <v>0</v>
      </c>
      <c r="U24" s="13">
        <f>'BOD-Cold &amp; Amb.'!U24</f>
        <v>100</v>
      </c>
      <c r="V24" s="13" t="str">
        <f>'BOD-Cold &amp; Amb.'!V24</f>
        <v>Class100K</v>
      </c>
      <c r="W24" s="13">
        <f>'BOD-Cold &amp; Amb.'!W24</f>
        <v>12</v>
      </c>
      <c r="X24" s="16">
        <f>'BOD-Cold &amp; Amb.'!X24</f>
        <v>10.76</v>
      </c>
      <c r="Y24" s="16">
        <f>'BOD-Cold &amp; Amb.'!Y24</f>
        <v>70.585599999999999</v>
      </c>
      <c r="Z24" s="16">
        <f>'BOD-Cold &amp; Amb.'!Z24</f>
        <v>14.11712</v>
      </c>
      <c r="AA24" s="16">
        <f>'BOD-Cold &amp; Amb.'!AA24</f>
        <v>1.4117120000000001</v>
      </c>
      <c r="AB24" s="16">
        <f>'BOD-Cold &amp; Amb.'!AB24</f>
        <v>0</v>
      </c>
      <c r="AC24" s="16">
        <f>'BOD-Cold &amp; Amb.'!AC24</f>
        <v>9.8307653762101654E-2</v>
      </c>
      <c r="AD24" s="16">
        <f>'BOD-Cold &amp; Amb.'!AD24</f>
        <v>975</v>
      </c>
      <c r="AE24" s="16">
        <f>'BOD-Cold &amp; Amb.'!AE24</f>
        <v>975</v>
      </c>
      <c r="AF24" s="16">
        <f>'BOD-Cold &amp; Amb.'!AF24</f>
        <v>0</v>
      </c>
      <c r="AG24" s="16">
        <f>'BOD-Cold &amp; Amb.'!AG24</f>
        <v>3.5</v>
      </c>
      <c r="AH24" s="838" t="str">
        <f>'BOD-Cold &amp; Amb.'!AH24</f>
        <v>D</v>
      </c>
      <c r="AI24" s="17">
        <f>'BOD-Cold &amp; Amb.'!AI24</f>
        <v>2.5</v>
      </c>
      <c r="AJ24" s="17">
        <f>'BOD-Cold &amp; Amb.'!AJ24</f>
        <v>3.5</v>
      </c>
      <c r="AK24" s="891"/>
      <c r="AL24" s="18"/>
      <c r="AM24" s="889"/>
      <c r="AN24" s="891"/>
      <c r="AO24" s="888"/>
      <c r="AP24" s="891"/>
      <c r="AQ24" s="891"/>
      <c r="AR24" s="889"/>
      <c r="AS24" s="888"/>
      <c r="AT24" s="888"/>
      <c r="AU24" s="890"/>
      <c r="AV24" s="888"/>
      <c r="AW24" s="888"/>
      <c r="AX24" s="888"/>
      <c r="AY24" s="887"/>
      <c r="AZ24" s="888"/>
    </row>
    <row r="25" spans="3:52" ht="18.600000000000001">
      <c r="C25" s="13">
        <f>'Input BOD'!C25</f>
        <v>16</v>
      </c>
      <c r="D25" s="14" t="str">
        <f>'BOD-Cold &amp; Amb.'!D25</f>
        <v>hbhwbfb</v>
      </c>
      <c r="E25" s="14">
        <f>'BOD-Cold &amp; Amb.'!E25</f>
        <v>1</v>
      </c>
      <c r="F25" s="14">
        <f>'BOD-Cold &amp; Amb.'!F25</f>
        <v>1</v>
      </c>
      <c r="G25" s="14">
        <f>'BOD-Cold &amp; Amb.'!G25</f>
        <v>2</v>
      </c>
      <c r="H25" s="14">
        <f>'BOD-Cold &amp; Amb.'!H25</f>
        <v>1</v>
      </c>
      <c r="I25" s="14">
        <f>'BOD-Cold &amp; Amb.'!I25</f>
        <v>2</v>
      </c>
      <c r="J25" s="14">
        <f>'BOD-Cold &amp; Amb.'!J25</f>
        <v>1.75</v>
      </c>
      <c r="K25" s="14">
        <f>'BOD-Cold &amp; Amb.'!K25</f>
        <v>2</v>
      </c>
      <c r="L25" s="15">
        <f>'BOD-Cold &amp; Amb.'!L25</f>
        <v>0.1</v>
      </c>
      <c r="M25" s="15">
        <f>'BOD-Cold &amp; Amb.'!M25</f>
        <v>0</v>
      </c>
      <c r="N25" s="14">
        <f>'BOD-Cold &amp; Amb.'!N25</f>
        <v>24</v>
      </c>
      <c r="O25" s="14">
        <f>'BOD-Cold &amp; Amb.'!O25</f>
        <v>50</v>
      </c>
      <c r="P25" s="13">
        <f>'BOD-Cold &amp; Amb.'!P25</f>
        <v>41</v>
      </c>
      <c r="Q25" s="13">
        <f>'BOD-Cold &amp; Amb.'!Q25</f>
        <v>85</v>
      </c>
      <c r="R25" s="13" t="str">
        <f>'BOD-Cold &amp; Amb.'!R25</f>
        <v>Class100K</v>
      </c>
      <c r="S25" s="13">
        <f>'BOD-Cold &amp; Amb.'!S25</f>
        <v>12</v>
      </c>
      <c r="T25" s="13">
        <f>'BOD-Cold &amp; Amb.'!T25</f>
        <v>0</v>
      </c>
      <c r="U25" s="13">
        <f>'BOD-Cold &amp; Amb.'!U25</f>
        <v>100</v>
      </c>
      <c r="V25" s="13" t="str">
        <f>'BOD-Cold &amp; Amb.'!V25</f>
        <v>Class100K</v>
      </c>
      <c r="W25" s="13">
        <f>'BOD-Cold &amp; Amb.'!W25</f>
        <v>12</v>
      </c>
      <c r="X25" s="16">
        <f>'BOD-Cold &amp; Amb.'!X25</f>
        <v>10.76</v>
      </c>
      <c r="Y25" s="16">
        <f>'BOD-Cold &amp; Amb.'!Y25</f>
        <v>70.585599999999999</v>
      </c>
      <c r="Z25" s="16">
        <f>'BOD-Cold &amp; Amb.'!Z25</f>
        <v>14.11712</v>
      </c>
      <c r="AA25" s="16">
        <f>'BOD-Cold &amp; Amb.'!AA25</f>
        <v>1.4117120000000001</v>
      </c>
      <c r="AB25" s="16">
        <f>'BOD-Cold &amp; Amb.'!AB25</f>
        <v>0</v>
      </c>
      <c r="AC25" s="16">
        <f>'BOD-Cold &amp; Amb.'!AC25</f>
        <v>9.8307653762101654E-2</v>
      </c>
      <c r="AD25" s="16">
        <f>'BOD-Cold &amp; Amb.'!AD25</f>
        <v>975</v>
      </c>
      <c r="AE25" s="16">
        <f>'BOD-Cold &amp; Amb.'!AE25</f>
        <v>975</v>
      </c>
      <c r="AF25" s="16">
        <f>'BOD-Cold &amp; Amb.'!AF25</f>
        <v>0</v>
      </c>
      <c r="AG25" s="16">
        <f>'BOD-Cold &amp; Amb.'!AG25</f>
        <v>3.5</v>
      </c>
      <c r="AH25" s="838" t="str">
        <f>'BOD-Cold &amp; Amb.'!AH25</f>
        <v>D</v>
      </c>
      <c r="AI25" s="17">
        <f>'BOD-Cold &amp; Amb.'!AI25</f>
        <v>2.5</v>
      </c>
      <c r="AJ25" s="17">
        <f>'BOD-Cold &amp; Amb.'!AJ25</f>
        <v>3.5</v>
      </c>
      <c r="AK25" s="891"/>
      <c r="AL25" s="18"/>
      <c r="AM25" s="889"/>
      <c r="AN25" s="891"/>
      <c r="AO25" s="888"/>
      <c r="AP25" s="891"/>
      <c r="AQ25" s="891"/>
      <c r="AR25" s="889"/>
      <c r="AS25" s="888"/>
      <c r="AT25" s="888"/>
      <c r="AU25" s="890"/>
      <c r="AV25" s="888"/>
      <c r="AW25" s="888"/>
      <c r="AX25" s="888"/>
      <c r="AY25" s="887"/>
      <c r="AZ25" s="888"/>
    </row>
    <row r="26" spans="3:52">
      <c r="C26" s="13" t="str">
        <f>IF(D26&lt;&gt;"",COUNTA($D$10:D26),"")</f>
        <v/>
      </c>
      <c r="D26" s="19"/>
      <c r="E26" s="19"/>
      <c r="F26" s="19"/>
      <c r="G26" s="19"/>
      <c r="H26" s="19"/>
      <c r="I26" s="19"/>
      <c r="J26" s="19"/>
      <c r="K26" s="19"/>
      <c r="L26" s="19"/>
      <c r="M26" s="19"/>
      <c r="N26" s="19"/>
      <c r="O26" s="19"/>
      <c r="P26" s="19"/>
      <c r="Q26" s="19"/>
      <c r="R26" s="19"/>
      <c r="S26" s="19"/>
      <c r="T26" s="19"/>
      <c r="U26" s="19"/>
      <c r="V26" s="19"/>
      <c r="W26" s="19"/>
      <c r="X26" s="20">
        <f>SUM(X10:X25)</f>
        <v>172.16</v>
      </c>
      <c r="Y26" s="20">
        <f t="shared" ref="Y26:AJ26" si="0">SUM(Y10:Y25)</f>
        <v>1129.3696</v>
      </c>
      <c r="Z26" s="20">
        <f t="shared" si="0"/>
        <v>225.87392</v>
      </c>
      <c r="AA26" s="20">
        <f t="shared" si="0"/>
        <v>22.587392000000005</v>
      </c>
      <c r="AB26" s="20">
        <f t="shared" si="0"/>
        <v>0</v>
      </c>
      <c r="AC26" s="20">
        <f t="shared" si="0"/>
        <v>1.5729224601936269</v>
      </c>
      <c r="AD26" s="20">
        <f t="shared" si="0"/>
        <v>15600</v>
      </c>
      <c r="AE26" s="20">
        <f t="shared" si="0"/>
        <v>15600</v>
      </c>
      <c r="AF26" s="20">
        <f t="shared" si="0"/>
        <v>0</v>
      </c>
      <c r="AG26" s="20">
        <f t="shared" si="0"/>
        <v>56</v>
      </c>
      <c r="AH26" s="841"/>
      <c r="AI26" s="20">
        <f t="shared" si="0"/>
        <v>40</v>
      </c>
      <c r="AJ26" s="20">
        <f t="shared" si="0"/>
        <v>56</v>
      </c>
      <c r="AK26" s="21"/>
      <c r="AL26" s="21"/>
      <c r="AM26" s="21"/>
      <c r="AN26" s="21"/>
      <c r="AO26" s="21"/>
      <c r="AP26" s="21"/>
      <c r="AQ26" s="21"/>
      <c r="AR26" s="21"/>
      <c r="AS26" s="21"/>
      <c r="AT26" s="21"/>
      <c r="AU26" s="21"/>
      <c r="AV26" s="21"/>
      <c r="AW26" s="21"/>
      <c r="AX26" s="21"/>
      <c r="AY26" s="21"/>
      <c r="AZ26" s="21"/>
    </row>
    <row r="27" spans="3:52">
      <c r="C27" s="13" t="str">
        <f>IF(D27&lt;&gt;"",COUNTA($D$10:D27),"")</f>
        <v/>
      </c>
      <c r="D27" s="19"/>
      <c r="E27" s="19"/>
      <c r="F27" s="19"/>
      <c r="G27" s="19"/>
      <c r="H27" s="19"/>
      <c r="I27" s="19"/>
      <c r="J27" s="19"/>
      <c r="K27" s="19"/>
      <c r="L27" s="19"/>
      <c r="M27" s="19"/>
      <c r="N27" s="19"/>
      <c r="O27" s="19"/>
      <c r="P27" s="19"/>
      <c r="Q27" s="19"/>
      <c r="R27" s="19"/>
      <c r="S27" s="19"/>
      <c r="T27" s="19"/>
      <c r="U27" s="19"/>
      <c r="V27" s="19"/>
      <c r="W27" s="19"/>
      <c r="X27" s="21"/>
      <c r="Y27" s="21"/>
      <c r="Z27" s="21"/>
      <c r="AA27" s="21"/>
      <c r="AB27" s="21"/>
      <c r="AC27" s="21"/>
      <c r="AD27" s="21"/>
      <c r="AE27" s="21"/>
      <c r="AF27" s="21"/>
      <c r="AG27" s="21"/>
      <c r="AH27" s="842"/>
      <c r="AI27" s="21"/>
      <c r="AJ27" s="21"/>
      <c r="AK27" s="21"/>
      <c r="AL27" s="21"/>
      <c r="AM27" s="21"/>
      <c r="AN27" s="21"/>
      <c r="AO27" s="21"/>
      <c r="AP27" s="21"/>
      <c r="AQ27" s="21"/>
      <c r="AR27" s="21"/>
      <c r="AS27" s="21"/>
      <c r="AT27" s="21"/>
      <c r="AU27" s="21"/>
      <c r="AV27" s="21"/>
      <c r="AW27" s="21"/>
      <c r="AX27" s="21"/>
      <c r="AY27" s="21"/>
      <c r="AZ27" s="21"/>
    </row>
    <row r="28" spans="3:52" ht="26.1">
      <c r="C28" s="8" t="e">
        <f>"Zoning Area  AHU - " &amp; INT((ROW()-8)/20)+1 &amp; "  " &amp;IF(AQ30&gt;0,"Air-Conditioning System " &amp; IF(AH30="D","(DX)",IF(AH30="C","(Chilled Water)","")),IF(AND(N30="Amb",AQ30=0),"Ventilation System","Refer"))</f>
        <v>#DIV/0!</v>
      </c>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39"/>
      <c r="AI28" s="8"/>
      <c r="AJ28" s="8"/>
      <c r="AK28" s="8"/>
      <c r="AL28" s="8"/>
      <c r="AM28" s="8"/>
      <c r="AN28" s="8"/>
      <c r="AO28" s="8"/>
      <c r="AP28" s="8"/>
      <c r="AQ28" s="8"/>
      <c r="AR28" s="8"/>
      <c r="AS28" s="9" t="s">
        <v>221</v>
      </c>
      <c r="AT28" s="10"/>
      <c r="AU28" s="10"/>
      <c r="AV28" s="11"/>
      <c r="AW28" s="9" t="s">
        <v>222</v>
      </c>
      <c r="AX28" s="10"/>
      <c r="AY28" s="10"/>
      <c r="AZ28" s="11"/>
    </row>
    <row r="29" spans="3:52">
      <c r="C29" s="13"/>
      <c r="D29" s="5" t="s">
        <v>165</v>
      </c>
      <c r="E29" s="5" t="s">
        <v>166</v>
      </c>
      <c r="F29" s="5" t="s">
        <v>167</v>
      </c>
      <c r="G29" s="5" t="s">
        <v>168</v>
      </c>
      <c r="H29" s="5" t="s">
        <v>169</v>
      </c>
      <c r="I29" s="5" t="s">
        <v>170</v>
      </c>
      <c r="J29" s="5" t="s">
        <v>171</v>
      </c>
      <c r="K29" s="5" t="s">
        <v>172</v>
      </c>
      <c r="L29" s="5" t="s">
        <v>173</v>
      </c>
      <c r="M29" s="5" t="s">
        <v>174</v>
      </c>
      <c r="N29" s="5" t="s">
        <v>175</v>
      </c>
      <c r="O29" s="5" t="s">
        <v>176</v>
      </c>
      <c r="P29" s="5" t="s">
        <v>177</v>
      </c>
      <c r="Q29" s="5" t="s">
        <v>178</v>
      </c>
      <c r="R29" s="5" t="s">
        <v>199</v>
      </c>
      <c r="S29" s="5" t="s">
        <v>180</v>
      </c>
      <c r="T29" s="5" t="s">
        <v>223</v>
      </c>
      <c r="U29" s="5" t="s">
        <v>224</v>
      </c>
      <c r="V29" s="5" t="s">
        <v>199</v>
      </c>
      <c r="W29" s="5" t="s">
        <v>180</v>
      </c>
      <c r="X29" s="5" t="s">
        <v>225</v>
      </c>
      <c r="Y29" s="5" t="s">
        <v>226</v>
      </c>
      <c r="Z29" s="5" t="s">
        <v>227</v>
      </c>
      <c r="AA29" s="5" t="s">
        <v>228</v>
      </c>
      <c r="AB29" s="5" t="s">
        <v>229</v>
      </c>
      <c r="AC29" s="5" t="s">
        <v>230</v>
      </c>
      <c r="AD29" s="5" t="s">
        <v>231</v>
      </c>
      <c r="AE29" s="5" t="s">
        <v>232</v>
      </c>
      <c r="AF29" s="6" t="s">
        <v>233</v>
      </c>
      <c r="AG29" s="6" t="s">
        <v>234</v>
      </c>
      <c r="AH29" s="6" t="s">
        <v>235</v>
      </c>
      <c r="AI29" s="5" t="s">
        <v>236</v>
      </c>
      <c r="AJ29" s="5" t="s">
        <v>237</v>
      </c>
      <c r="AK29" s="5" t="s">
        <v>238</v>
      </c>
      <c r="AL29" s="5" t="s">
        <v>239</v>
      </c>
      <c r="AM29" s="5" t="s">
        <v>240</v>
      </c>
      <c r="AN29" s="5" t="s">
        <v>241</v>
      </c>
      <c r="AO29" s="5" t="s">
        <v>242</v>
      </c>
      <c r="AP29" s="5" t="s">
        <v>243</v>
      </c>
      <c r="AQ29" s="5" t="s">
        <v>244</v>
      </c>
      <c r="AR29" s="5" t="s">
        <v>245</v>
      </c>
      <c r="AS29" s="5" t="s">
        <v>246</v>
      </c>
      <c r="AT29" s="5" t="s">
        <v>247</v>
      </c>
      <c r="AU29" s="5" t="s">
        <v>248</v>
      </c>
      <c r="AV29" s="5" t="s">
        <v>249</v>
      </c>
      <c r="AW29" s="5" t="s">
        <v>250</v>
      </c>
      <c r="AX29" s="5" t="s">
        <v>251</v>
      </c>
      <c r="AY29" s="5" t="s">
        <v>252</v>
      </c>
      <c r="AZ29" s="5" t="s">
        <v>253</v>
      </c>
    </row>
    <row r="30" spans="3:52" ht="18.600000000000001">
      <c r="C30" s="13">
        <f>IF(D30&lt;&gt;"",COUNTA($D$10:D30),"")</f>
        <v>18</v>
      </c>
      <c r="D30" s="14" t="s">
        <v>200</v>
      </c>
      <c r="E30" s="14">
        <v>3</v>
      </c>
      <c r="F30" s="14">
        <v>3</v>
      </c>
      <c r="G30" s="14">
        <v>2.4</v>
      </c>
      <c r="H30" s="14">
        <v>1</v>
      </c>
      <c r="I30" s="14">
        <v>2</v>
      </c>
      <c r="J30" s="14">
        <v>1.75</v>
      </c>
      <c r="K30" s="14">
        <v>3</v>
      </c>
      <c r="L30" s="15">
        <v>0.1</v>
      </c>
      <c r="M30" s="15">
        <v>0</v>
      </c>
      <c r="N30" s="14">
        <v>24</v>
      </c>
      <c r="O30" s="14">
        <v>50</v>
      </c>
      <c r="P30" s="13">
        <v>45</v>
      </c>
      <c r="Q30" s="13">
        <v>85</v>
      </c>
      <c r="R30" s="13" t="s">
        <v>17</v>
      </c>
      <c r="S30" s="13">
        <v>160</v>
      </c>
      <c r="T30" s="13">
        <v>0</v>
      </c>
      <c r="U30" s="13">
        <v>100</v>
      </c>
      <c r="V30" s="13" t="str">
        <f>R30</f>
        <v>ISO 6</v>
      </c>
      <c r="W30" s="13">
        <f>S30</f>
        <v>160</v>
      </c>
      <c r="X30" s="16">
        <f>E30*F30*10.76</f>
        <v>96.84</v>
      </c>
      <c r="Y30" s="16">
        <f>X30*G30*3.28</f>
        <v>762.32447999999999</v>
      </c>
      <c r="Z30" s="16">
        <f>Y30*S30/60</f>
        <v>2032.8652800000002</v>
      </c>
      <c r="AA30" s="16">
        <f>Z30*L30</f>
        <v>203.28652800000003</v>
      </c>
      <c r="AB30" s="16">
        <f>IF(N30="Amb",Z30,Z30*M30)</f>
        <v>0</v>
      </c>
      <c r="AC30" s="16">
        <f>IF(ISNUMBER(N30), (AA30*0.075*60/2.20462)*BP30/7000, "Ambient")</f>
        <v>0</v>
      </c>
      <c r="AD30" s="16" t="e">
        <f>IF(ISNUMBER(N30), CEILING(CF30/(0.68*BP30),25), "Ambient")</f>
        <v>#DIV/0!</v>
      </c>
      <c r="AE30" s="16" t="e">
        <f>CEILING(MAX((Z30+AA30),AD30),25)</f>
        <v>#DIV/0!</v>
      </c>
      <c r="AF30" s="16" t="e">
        <f>CEILING(IF(OR($R30="ISO 6",$R30="GRADE B",$R30="1K",$R30=1000),AE30*1/175,IF(OR($R30="ISO 5",$R30="GRADE A",$R30=100),AE30*1/100,IF(OR($R30="ISO 7",$R30="GRADE C",$R30="10K",$R30=10000),$AE30*1/250,IF(OR($R30="ISO 8",$R30="GRADE D",$R30="100K",$R30=100000),$AE30*1/250,IF(OR($R30="NC",$R30="20 Micron",$R30="5 Micron",$R30="N C"),$AE30*1/350,0))))),2)</f>
        <v>#DIV/0!</v>
      </c>
      <c r="AG30" s="16" t="e">
        <f>IF(ISNUMBER(N30), CEILING(MAX(AI30,AJ30),0.5), "Ambient")</f>
        <v>#DIV/0!</v>
      </c>
      <c r="AH30" s="838" t="s">
        <v>85</v>
      </c>
      <c r="AI30" s="17">
        <f>IF(ISNUMBER(N30), CEILING(CE30/12000,0.5), "Ambient")</f>
        <v>0</v>
      </c>
      <c r="AJ30" s="17" t="e">
        <f>IF(ISNUMBER(N30),CEILING(AE30/(IF(AH30="C",400,300)),0.5), "Ambient")</f>
        <v>#DIV/0!</v>
      </c>
      <c r="AK30" s="891" t="e">
        <f>CEILING(SUM(AE30:AE45),250)</f>
        <v>#DIV/0!</v>
      </c>
      <c r="AL30" s="18" t="s">
        <v>254</v>
      </c>
      <c r="AM30" s="889">
        <v>150</v>
      </c>
      <c r="AN30" s="891" t="e">
        <f>IF(AK30&lt;=1300,200,IF(AK30&lt;=1600,225,IF(AK30&lt;=2100,250,IF(AK30&lt;=2700,280,IF(AK30&lt;=3450,315,IF(AK30&lt;=4250,355,IF(AK30&lt;=5250,400,IF(AK30&lt;=6750,450,IF(AK30&lt;=8500,500,IF(AK30&lt;=10750,560,IF(AK30&lt;=13500,630,IF(AK30&lt;=17000,710,IF(AK30&lt;=21500,800,IF(AK30&lt;=27000,900,IF(AK30&lt;=34000,1000,IF(AK30&lt;=43000,1120,IF(AK30&lt;=49000,1200,IF(AK30&lt;=68000,1450,"Refer"))))))))))))))))))</f>
        <v>#DIV/0!</v>
      </c>
      <c r="AO30" s="888" t="e">
        <f>IF(AK30*AM30/(6356*0.7*0.9*1.1*25.4)&lt;=1,1,IF(AK30*AM30/(6356*0.7*0.9*1.1*25.4)&lt;=1.5,1.5,IF(AK30*AM30/(6356*0.7*0.9*1.1*25.4)&lt;=2,2,IF(AK30*AM30/(6356*0.7*0.9*1.1*25.4)&lt;=3,3,IF(AK30*AM30/(6356*0.7*0.9*1.1*25.4)&lt;=5,5,IF(AK30*AM30/(6356*0.7*0.9*1.1*25.4)&lt;=7.5,7.5,IF(AK30*AM30/(6356*0.7*0.9*1.1*25.4)&lt;=10,10,IF(AK30*AM30/(6356*0.7*0.9*1.1*25.4)&lt;=12.5,12.5,IF(AK30*AM30/(6356*0.7*0.9*1.1*25.4)&lt;=15,15,IF(AK30*AM30/(6356*0.7*0.9*1.1*25.4)&lt;=20,20,IF(AK30*AM30/(6356*0.7*0.9*1.1*25.4)&lt;=25,25,IF(AK30*AM30/(6356*0.7*0.9*1.1*25.4)&lt;=30,30,IF(AK30*AM30/(6356*0.7*0.9*1.1*25.4)&lt;=40,40,IF(AK30*AM30/(6356*0.7*0.9*1.1*25.4)&lt;=50,50,IF(AK30*AM30/(6356*0.7*0.9*1.1*25.4)&lt;=60,60,IF(AK30*AM30/(6356*0.7*0.9*1.1*25.4)&lt;=75,75,"Refer"))))))))))))))))</f>
        <v>#DIV/0!</v>
      </c>
      <c r="AP30" s="891" t="e">
        <f>IF(AND(AQ30=0, N30="Amb"), "Amb",IF((AL31-250)*(AL33-150)*10.76/(1000*1000) &gt;= MAX(AI46,AJ46), 4,IF((AL31-250)*(AL33-150)*10.76*1.5/(1000*1000) &gt;= MAX(AI46,AJ46), 6,IF((AL31-250)*(AL33-150)*10.76*2/(1000*1000) &gt;= MAX(AI46,AJ46), 8, 0))
 )
)</f>
        <v>#DIV/0!</v>
      </c>
      <c r="AQ30" s="891" t="e">
        <f>AG46</f>
        <v>#DIV/0!</v>
      </c>
      <c r="AR30" s="889">
        <f>_xlfn.SWITCH(TRIM(UPPER(R30)),"ISO 9", 3,"ISO 8", 4,"Grade D", 4,"Class 100,000", 4,"Class 100K", 4,"ISO 7", 3,"Grade C", 3,"Class 10,000", 3,"Class 10K", 3,"ISO 6", 3,"Class 1,000", 3,"Class 1K", 3,"ISO 5", 4,"Grade A", 4,"Grade B", 4,"Class 100", 4,"ISO 4", 3,"ISO 3", 4,"ISO 2", 4,"ISO 1", 4,"NCV20",1,"NCV-10",2,"NCV-5",3,"NCAC-10",1,"NCAC-5",2,"NCAC-1",3,3)</f>
        <v>3</v>
      </c>
      <c r="AS30" s="888" t="e">
        <f>MAX(AI46,AJ46)*24/6</f>
        <v>#DIV/0!</v>
      </c>
      <c r="AT30" s="888" t="e">
        <f>AS30*0.06309</f>
        <v>#DIV/0!</v>
      </c>
      <c r="AU30" s="890">
        <v>2</v>
      </c>
      <c r="AV30" s="888" t="e">
        <f>SQRT((4*AS30*0.00006309)/(3.14*AU30))*1000</f>
        <v>#DIV/0!</v>
      </c>
      <c r="AW30" s="888"/>
      <c r="AX30" s="888"/>
      <c r="AY30" s="887"/>
      <c r="AZ30" s="888"/>
    </row>
    <row r="31" spans="3:52" ht="18.600000000000001">
      <c r="C31" s="13">
        <f>IF(D31&lt;&gt;"",COUNTA($D$10:D31),"")</f>
        <v>19</v>
      </c>
      <c r="D31" s="14" t="s">
        <v>201</v>
      </c>
      <c r="E31" s="14">
        <v>1.8</v>
      </c>
      <c r="F31" s="14">
        <v>2.2000000000000002</v>
      </c>
      <c r="G31" s="14">
        <v>2.4</v>
      </c>
      <c r="H31" s="14">
        <v>2</v>
      </c>
      <c r="I31" s="14">
        <v>1</v>
      </c>
      <c r="J31" s="14">
        <v>1.75</v>
      </c>
      <c r="K31" s="14">
        <v>3</v>
      </c>
      <c r="L31" s="15">
        <v>0.1</v>
      </c>
      <c r="M31" s="15">
        <v>0</v>
      </c>
      <c r="N31" s="14">
        <v>24</v>
      </c>
      <c r="O31" s="14">
        <v>50</v>
      </c>
      <c r="P31" s="13">
        <v>45</v>
      </c>
      <c r="Q31" s="13">
        <v>85</v>
      </c>
      <c r="R31" s="13" t="s">
        <v>17</v>
      </c>
      <c r="S31" s="13">
        <v>160</v>
      </c>
      <c r="T31" s="13">
        <v>0</v>
      </c>
      <c r="U31" s="13">
        <v>100</v>
      </c>
      <c r="V31" s="13" t="str">
        <f t="shared" ref="V31:W45" si="1">R31</f>
        <v>ISO 6</v>
      </c>
      <c r="W31" s="13">
        <f t="shared" si="1"/>
        <v>160</v>
      </c>
      <c r="X31" s="16">
        <f t="shared" ref="X31:X45" si="2">E31*F31*10.76</f>
        <v>42.6096</v>
      </c>
      <c r="Y31" s="16">
        <f t="shared" ref="Y31:Y45" si="3">X31*G31*3.28</f>
        <v>335.4227712</v>
      </c>
      <c r="Z31" s="16">
        <f t="shared" ref="Z31:Z45" si="4">Y31*S31/60</f>
        <v>894.46072319999996</v>
      </c>
      <c r="AA31" s="16">
        <f t="shared" ref="AA31:AA45" si="5">Z31*L31</f>
        <v>89.446072319999999</v>
      </c>
      <c r="AB31" s="16">
        <f t="shared" ref="AB31:AB45" si="6">IF(N31="Amb",Z31,Z31*M31)</f>
        <v>0</v>
      </c>
      <c r="AC31" s="16">
        <f t="shared" ref="AC31:AC45" si="7">IF(ISNUMBER(N31), (AA31*0.075*60/2.20462)*BP31/7000, "Ambient")</f>
        <v>0</v>
      </c>
      <c r="AD31" s="16" t="e">
        <f t="shared" ref="AD31:AD37" si="8">IF(ISNUMBER(N31), CEILING(CF31/(0.68*BP31),25), "Ambient")</f>
        <v>#DIV/0!</v>
      </c>
      <c r="AE31" s="16" t="e">
        <f t="shared" ref="AE31:AE45" si="9">CEILING(MAX((Z31+AA31),AD31),25)</f>
        <v>#DIV/0!</v>
      </c>
      <c r="AF31" s="16" t="e">
        <f t="shared" ref="AF31:AF45" si="10">CEILING(IF(OR($R31="ISO 6",$R31="GRADE B",$R31="1K",$R31=1000),AE31*1/175,IF(OR($R31="ISO 5",$R31="GRADE A",$R31=100),AE31*1/100,IF(OR($R31="ISO 7",$R31="GRADE C",$R31="10K",$R31=10000),$AE31*1/250,IF(OR($R31="ISO 8",$R31="GRADE D",$R31="100K",$R31=100000),$AE31*1/250,IF(OR($R31="NC",$R31="20 Micron",$R31="5 Micron",$R31="N C"),$AE31*1/350,0))))),2)</f>
        <v>#DIV/0!</v>
      </c>
      <c r="AG31" s="16" t="e">
        <f t="shared" ref="AG31:AG45" si="11">IF(ISNUMBER(N31), CEILING(MAX(AI31,AJ31),0.5), "Ambient")</f>
        <v>#DIV/0!</v>
      </c>
      <c r="AH31" s="838" t="s">
        <v>85</v>
      </c>
      <c r="AI31" s="17">
        <f t="shared" ref="AI31:AI45" si="12">IF(ISNUMBER(N31), CEILING(CE31/12000,0.5), "Ambient")</f>
        <v>0</v>
      </c>
      <c r="AJ31" s="17" t="e">
        <f t="shared" ref="AJ31:AJ45" si="13">IF(ISNUMBER(N31),CEILING(AE31/(IF(AH31="C",400,300)),0.5), "Ambient")</f>
        <v>#DIV/0!</v>
      </c>
      <c r="AK31" s="891"/>
      <c r="AL31" s="18" t="e">
        <f>IF(AK30&lt;=2000,950,(IF(AK30&lt;=3000,1150,(IF(AK30&lt;=8000,1550,(IF(AK30&lt;=10000,1750,(IF(AK30&lt;=18000,2050,(IF(AK30&lt;=32000,2900,(IF(AK30&lt;=40000,3600,4000)))))))))))))</f>
        <v>#DIV/0!</v>
      </c>
      <c r="AM31" s="889"/>
      <c r="AN31" s="891"/>
      <c r="AO31" s="888"/>
      <c r="AP31" s="891"/>
      <c r="AQ31" s="891"/>
      <c r="AR31" s="889"/>
      <c r="AS31" s="888"/>
      <c r="AT31" s="888"/>
      <c r="AU31" s="890"/>
      <c r="AV31" s="888"/>
      <c r="AW31" s="888"/>
      <c r="AX31" s="888"/>
      <c r="AY31" s="887"/>
      <c r="AZ31" s="888"/>
    </row>
    <row r="32" spans="3:52" ht="18.600000000000001">
      <c r="C32" s="13">
        <f>IF(D32&lt;&gt;"",COUNTA($D$10:D32),"")</f>
        <v>20</v>
      </c>
      <c r="D32" s="14" t="s">
        <v>202</v>
      </c>
      <c r="E32" s="14">
        <v>1.5</v>
      </c>
      <c r="F32" s="14">
        <v>2.8</v>
      </c>
      <c r="G32" s="14">
        <v>2.4</v>
      </c>
      <c r="H32" s="14">
        <v>2</v>
      </c>
      <c r="I32" s="14">
        <v>3</v>
      </c>
      <c r="J32" s="14">
        <v>1.75</v>
      </c>
      <c r="K32" s="14">
        <v>3</v>
      </c>
      <c r="L32" s="15">
        <v>0.1</v>
      </c>
      <c r="M32" s="15">
        <v>0</v>
      </c>
      <c r="N32" s="14">
        <v>24</v>
      </c>
      <c r="O32" s="14">
        <v>50</v>
      </c>
      <c r="P32" s="13">
        <v>45</v>
      </c>
      <c r="Q32" s="13">
        <v>85</v>
      </c>
      <c r="R32" s="13" t="s">
        <v>17</v>
      </c>
      <c r="S32" s="13">
        <v>160</v>
      </c>
      <c r="T32" s="13">
        <v>0</v>
      </c>
      <c r="U32" s="13">
        <v>100</v>
      </c>
      <c r="V32" s="13" t="str">
        <f t="shared" si="1"/>
        <v>ISO 6</v>
      </c>
      <c r="W32" s="13">
        <f t="shared" si="1"/>
        <v>160</v>
      </c>
      <c r="X32" s="16">
        <f t="shared" si="2"/>
        <v>45.191999999999993</v>
      </c>
      <c r="Y32" s="16">
        <f t="shared" si="3"/>
        <v>355.75142399999993</v>
      </c>
      <c r="Z32" s="16">
        <f t="shared" si="4"/>
        <v>948.67046399999992</v>
      </c>
      <c r="AA32" s="16">
        <f t="shared" si="5"/>
        <v>94.867046399999992</v>
      </c>
      <c r="AB32" s="16">
        <f t="shared" si="6"/>
        <v>0</v>
      </c>
      <c r="AC32" s="16">
        <f t="shared" si="7"/>
        <v>0</v>
      </c>
      <c r="AD32" s="16" t="e">
        <f t="shared" si="8"/>
        <v>#DIV/0!</v>
      </c>
      <c r="AE32" s="16" t="e">
        <f t="shared" si="9"/>
        <v>#DIV/0!</v>
      </c>
      <c r="AF32" s="16" t="e">
        <f t="shared" si="10"/>
        <v>#DIV/0!</v>
      </c>
      <c r="AG32" s="16" t="e">
        <f t="shared" si="11"/>
        <v>#DIV/0!</v>
      </c>
      <c r="AH32" s="838" t="s">
        <v>85</v>
      </c>
      <c r="AI32" s="17">
        <f t="shared" si="12"/>
        <v>0</v>
      </c>
      <c r="AJ32" s="17" t="e">
        <f t="shared" si="13"/>
        <v>#DIV/0!</v>
      </c>
      <c r="AK32" s="891"/>
      <c r="AL32" s="18" t="s">
        <v>255</v>
      </c>
      <c r="AM32" s="889"/>
      <c r="AN32" s="891"/>
      <c r="AO32" s="888"/>
      <c r="AP32" s="891"/>
      <c r="AQ32" s="891"/>
      <c r="AR32" s="889"/>
      <c r="AS32" s="888"/>
      <c r="AT32" s="888"/>
      <c r="AU32" s="890"/>
      <c r="AV32" s="888"/>
      <c r="AW32" s="888"/>
      <c r="AX32" s="888"/>
      <c r="AY32" s="887"/>
      <c r="AZ32" s="888"/>
    </row>
    <row r="33" spans="3:52" ht="18.600000000000001">
      <c r="C33" s="13">
        <f>IF(D33&lt;&gt;"",COUNTA($D$10:D33),"")</f>
        <v>21</v>
      </c>
      <c r="D33" s="14" t="s">
        <v>203</v>
      </c>
      <c r="E33" s="14">
        <v>2.1</v>
      </c>
      <c r="F33" s="14">
        <v>3.5</v>
      </c>
      <c r="G33" s="14">
        <v>2.4</v>
      </c>
      <c r="H33" s="14">
        <v>0</v>
      </c>
      <c r="I33" s="14">
        <v>1</v>
      </c>
      <c r="J33" s="14">
        <v>1.75</v>
      </c>
      <c r="K33" s="14">
        <v>3</v>
      </c>
      <c r="L33" s="15">
        <v>0.1</v>
      </c>
      <c r="M33" s="15">
        <v>0</v>
      </c>
      <c r="N33" s="14">
        <v>24</v>
      </c>
      <c r="O33" s="14">
        <v>50</v>
      </c>
      <c r="P33" s="13">
        <v>45</v>
      </c>
      <c r="Q33" s="13">
        <v>85</v>
      </c>
      <c r="R33" s="13" t="s">
        <v>17</v>
      </c>
      <c r="S33" s="13">
        <v>160</v>
      </c>
      <c r="T33" s="13">
        <v>0</v>
      </c>
      <c r="U33" s="13">
        <v>100</v>
      </c>
      <c r="V33" s="13" t="str">
        <f t="shared" si="1"/>
        <v>ISO 6</v>
      </c>
      <c r="W33" s="13">
        <f t="shared" si="1"/>
        <v>160</v>
      </c>
      <c r="X33" s="16">
        <f t="shared" si="2"/>
        <v>79.085999999999999</v>
      </c>
      <c r="Y33" s="16">
        <f t="shared" si="3"/>
        <v>622.56499199999996</v>
      </c>
      <c r="Z33" s="16">
        <f t="shared" si="4"/>
        <v>1660.1733119999999</v>
      </c>
      <c r="AA33" s="16">
        <f t="shared" si="5"/>
        <v>166.0173312</v>
      </c>
      <c r="AB33" s="16">
        <f t="shared" si="6"/>
        <v>0</v>
      </c>
      <c r="AC33" s="16">
        <f t="shared" si="7"/>
        <v>0</v>
      </c>
      <c r="AD33" s="16" t="e">
        <f t="shared" si="8"/>
        <v>#DIV/0!</v>
      </c>
      <c r="AE33" s="16" t="e">
        <f t="shared" si="9"/>
        <v>#DIV/0!</v>
      </c>
      <c r="AF33" s="16" t="e">
        <f t="shared" si="10"/>
        <v>#DIV/0!</v>
      </c>
      <c r="AG33" s="16" t="e">
        <f t="shared" si="11"/>
        <v>#DIV/0!</v>
      </c>
      <c r="AH33" s="838" t="s">
        <v>85</v>
      </c>
      <c r="AI33" s="17">
        <f t="shared" si="12"/>
        <v>0</v>
      </c>
      <c r="AJ33" s="17" t="e">
        <f t="shared" si="13"/>
        <v>#DIV/0!</v>
      </c>
      <c r="AK33" s="891"/>
      <c r="AL33" s="18" t="e">
        <f>IF(AK30&lt;=2000,950,(IF(AK30&lt;=4000,1100,(IF(AK30&lt;=6000,1250,(IF(AK30&lt;=10000,1550,(IF(AK30&lt;=15000,1750,(IF(AK30&lt;=24000,2050,(IF(AK30&lt;=40000,2900,3600)))))))))))))</f>
        <v>#DIV/0!</v>
      </c>
      <c r="AM33" s="889"/>
      <c r="AN33" s="891"/>
      <c r="AO33" s="888"/>
      <c r="AP33" s="891"/>
      <c r="AQ33" s="891"/>
      <c r="AR33" s="889"/>
      <c r="AS33" s="888"/>
      <c r="AT33" s="888"/>
      <c r="AU33" s="890"/>
      <c r="AV33" s="888"/>
      <c r="AW33" s="888"/>
      <c r="AX33" s="888"/>
      <c r="AY33" s="887"/>
      <c r="AZ33" s="888"/>
    </row>
    <row r="34" spans="3:52" ht="18.600000000000001">
      <c r="C34" s="13">
        <f>IF(D34&lt;&gt;"",COUNTA($D$10:D34),"")</f>
        <v>22</v>
      </c>
      <c r="D34" s="14" t="s">
        <v>204</v>
      </c>
      <c r="E34" s="14">
        <v>2.7</v>
      </c>
      <c r="F34" s="14">
        <v>4</v>
      </c>
      <c r="G34" s="14">
        <v>2.4</v>
      </c>
      <c r="H34" s="14">
        <v>2</v>
      </c>
      <c r="I34" s="14">
        <v>1</v>
      </c>
      <c r="J34" s="14">
        <v>1.75</v>
      </c>
      <c r="K34" s="14">
        <v>3</v>
      </c>
      <c r="L34" s="15">
        <v>0.1</v>
      </c>
      <c r="M34" s="15">
        <v>0</v>
      </c>
      <c r="N34" s="14">
        <v>24</v>
      </c>
      <c r="O34" s="14">
        <v>50</v>
      </c>
      <c r="P34" s="13">
        <v>45</v>
      </c>
      <c r="Q34" s="13">
        <v>85</v>
      </c>
      <c r="R34" s="13" t="s">
        <v>17</v>
      </c>
      <c r="S34" s="13">
        <v>160</v>
      </c>
      <c r="T34" s="13">
        <v>0</v>
      </c>
      <c r="U34" s="13">
        <v>100</v>
      </c>
      <c r="V34" s="13" t="str">
        <f t="shared" si="1"/>
        <v>ISO 6</v>
      </c>
      <c r="W34" s="13">
        <f t="shared" si="1"/>
        <v>160</v>
      </c>
      <c r="X34" s="16">
        <f t="shared" si="2"/>
        <v>116.208</v>
      </c>
      <c r="Y34" s="16">
        <f t="shared" si="3"/>
        <v>914.78937599999995</v>
      </c>
      <c r="Z34" s="16">
        <f t="shared" si="4"/>
        <v>2439.4383359999997</v>
      </c>
      <c r="AA34" s="16">
        <f t="shared" si="5"/>
        <v>243.94383359999998</v>
      </c>
      <c r="AB34" s="16">
        <f t="shared" si="6"/>
        <v>0</v>
      </c>
      <c r="AC34" s="16">
        <f t="shared" si="7"/>
        <v>0</v>
      </c>
      <c r="AD34" s="16" t="e">
        <f t="shared" si="8"/>
        <v>#DIV/0!</v>
      </c>
      <c r="AE34" s="16" t="e">
        <f t="shared" si="9"/>
        <v>#DIV/0!</v>
      </c>
      <c r="AF34" s="16" t="e">
        <f t="shared" si="10"/>
        <v>#DIV/0!</v>
      </c>
      <c r="AG34" s="16" t="e">
        <f t="shared" si="11"/>
        <v>#DIV/0!</v>
      </c>
      <c r="AH34" s="838" t="s">
        <v>85</v>
      </c>
      <c r="AI34" s="17">
        <f t="shared" si="12"/>
        <v>0</v>
      </c>
      <c r="AJ34" s="17" t="e">
        <f t="shared" si="13"/>
        <v>#DIV/0!</v>
      </c>
      <c r="AK34" s="891"/>
      <c r="AL34" s="18" t="s">
        <v>256</v>
      </c>
      <c r="AM34" s="889"/>
      <c r="AN34" s="891"/>
      <c r="AO34" s="888"/>
      <c r="AP34" s="891"/>
      <c r="AQ34" s="891"/>
      <c r="AR34" s="889"/>
      <c r="AS34" s="888"/>
      <c r="AT34" s="888"/>
      <c r="AU34" s="890"/>
      <c r="AV34" s="888"/>
      <c r="AW34" s="888"/>
      <c r="AX34" s="888"/>
      <c r="AY34" s="887"/>
      <c r="AZ34" s="888"/>
    </row>
    <row r="35" spans="3:52" ht="18.600000000000001">
      <c r="C35" s="13">
        <f>IF(D35&lt;&gt;"",COUNTA($D$10:D35),"")</f>
        <v>23</v>
      </c>
      <c r="D35" s="14" t="s">
        <v>205</v>
      </c>
      <c r="E35" s="14">
        <v>3.8</v>
      </c>
      <c r="F35" s="14">
        <v>4.2</v>
      </c>
      <c r="G35" s="14">
        <v>2.4</v>
      </c>
      <c r="H35" s="14">
        <v>3</v>
      </c>
      <c r="I35" s="14">
        <v>3</v>
      </c>
      <c r="J35" s="14">
        <v>1.75</v>
      </c>
      <c r="K35" s="14">
        <v>3</v>
      </c>
      <c r="L35" s="15">
        <v>0.1</v>
      </c>
      <c r="M35" s="15">
        <v>0</v>
      </c>
      <c r="N35" s="14">
        <v>24</v>
      </c>
      <c r="O35" s="14">
        <v>50</v>
      </c>
      <c r="P35" s="13">
        <v>45</v>
      </c>
      <c r="Q35" s="13">
        <v>85</v>
      </c>
      <c r="R35" s="13" t="s">
        <v>17</v>
      </c>
      <c r="S35" s="13">
        <v>160</v>
      </c>
      <c r="T35" s="13">
        <v>0</v>
      </c>
      <c r="U35" s="13">
        <v>100</v>
      </c>
      <c r="V35" s="13" t="str">
        <f t="shared" si="1"/>
        <v>ISO 6</v>
      </c>
      <c r="W35" s="13">
        <f t="shared" si="1"/>
        <v>160</v>
      </c>
      <c r="X35" s="16">
        <f t="shared" si="2"/>
        <v>171.72959999999998</v>
      </c>
      <c r="Y35" s="16">
        <f t="shared" si="3"/>
        <v>1351.8554111999997</v>
      </c>
      <c r="Z35" s="16">
        <f t="shared" si="4"/>
        <v>3604.9477631999994</v>
      </c>
      <c r="AA35" s="16">
        <f t="shared" si="5"/>
        <v>360.49477631999997</v>
      </c>
      <c r="AB35" s="16">
        <f t="shared" si="6"/>
        <v>0</v>
      </c>
      <c r="AC35" s="16">
        <f t="shared" si="7"/>
        <v>0</v>
      </c>
      <c r="AD35" s="16" t="e">
        <f t="shared" si="8"/>
        <v>#DIV/0!</v>
      </c>
      <c r="AE35" s="16" t="e">
        <f t="shared" si="9"/>
        <v>#DIV/0!</v>
      </c>
      <c r="AF35" s="16" t="e">
        <f t="shared" si="10"/>
        <v>#DIV/0!</v>
      </c>
      <c r="AG35" s="16" t="e">
        <f t="shared" si="11"/>
        <v>#DIV/0!</v>
      </c>
      <c r="AH35" s="838" t="s">
        <v>85</v>
      </c>
      <c r="AI35" s="17">
        <f t="shared" si="12"/>
        <v>0</v>
      </c>
      <c r="AJ35" s="17" t="e">
        <f t="shared" si="13"/>
        <v>#DIV/0!</v>
      </c>
      <c r="AK35" s="891"/>
      <c r="AL35" s="18" t="e">
        <f>IF(AL39&lt;4000,AL39,AL39+400)</f>
        <v>#DIV/0!</v>
      </c>
      <c r="AM35" s="889"/>
      <c r="AN35" s="891"/>
      <c r="AO35" s="888"/>
      <c r="AP35" s="891"/>
      <c r="AQ35" s="891"/>
      <c r="AR35" s="889"/>
      <c r="AS35" s="888"/>
      <c r="AT35" s="888"/>
      <c r="AU35" s="890"/>
      <c r="AV35" s="888"/>
      <c r="AW35" s="888"/>
      <c r="AX35" s="888"/>
      <c r="AY35" s="887"/>
      <c r="AZ35" s="888"/>
    </row>
    <row r="36" spans="3:52" ht="18.600000000000001">
      <c r="C36" s="13">
        <f>IF(D36&lt;&gt;"",COUNTA($D$10:D36),"")</f>
        <v>24</v>
      </c>
      <c r="D36" s="14" t="s">
        <v>206</v>
      </c>
      <c r="E36" s="14">
        <v>3.1</v>
      </c>
      <c r="F36" s="14">
        <v>2.6</v>
      </c>
      <c r="G36" s="14">
        <v>2.4</v>
      </c>
      <c r="H36" s="14">
        <v>2</v>
      </c>
      <c r="I36" s="14">
        <v>1</v>
      </c>
      <c r="J36" s="14">
        <v>1.75</v>
      </c>
      <c r="K36" s="14">
        <v>3</v>
      </c>
      <c r="L36" s="15">
        <v>0.1</v>
      </c>
      <c r="M36" s="15">
        <v>0</v>
      </c>
      <c r="N36" s="14">
        <v>24</v>
      </c>
      <c r="O36" s="14">
        <v>50</v>
      </c>
      <c r="P36" s="13">
        <v>45</v>
      </c>
      <c r="Q36" s="13">
        <v>85</v>
      </c>
      <c r="R36" s="13" t="s">
        <v>17</v>
      </c>
      <c r="S36" s="13">
        <v>160</v>
      </c>
      <c r="T36" s="13">
        <v>0</v>
      </c>
      <c r="U36" s="13">
        <v>100</v>
      </c>
      <c r="V36" s="13" t="str">
        <f t="shared" si="1"/>
        <v>ISO 6</v>
      </c>
      <c r="W36" s="13">
        <f t="shared" si="1"/>
        <v>160</v>
      </c>
      <c r="X36" s="16">
        <f t="shared" si="2"/>
        <v>86.7256</v>
      </c>
      <c r="Y36" s="16">
        <f t="shared" si="3"/>
        <v>682.70392319999996</v>
      </c>
      <c r="Z36" s="16">
        <f t="shared" si="4"/>
        <v>1820.5437951999997</v>
      </c>
      <c r="AA36" s="16">
        <f t="shared" si="5"/>
        <v>182.05437952</v>
      </c>
      <c r="AB36" s="16">
        <f t="shared" si="6"/>
        <v>0</v>
      </c>
      <c r="AC36" s="16">
        <f t="shared" si="7"/>
        <v>0</v>
      </c>
      <c r="AD36" s="16" t="e">
        <f t="shared" si="8"/>
        <v>#DIV/0!</v>
      </c>
      <c r="AE36" s="16" t="e">
        <f t="shared" si="9"/>
        <v>#DIV/0!</v>
      </c>
      <c r="AF36" s="16" t="e">
        <f t="shared" si="10"/>
        <v>#DIV/0!</v>
      </c>
      <c r="AG36" s="16" t="e">
        <f t="shared" si="11"/>
        <v>#DIV/0!</v>
      </c>
      <c r="AH36" s="838" t="s">
        <v>85</v>
      </c>
      <c r="AI36" s="17">
        <f t="shared" si="12"/>
        <v>0</v>
      </c>
      <c r="AJ36" s="17" t="e">
        <f t="shared" si="13"/>
        <v>#DIV/0!</v>
      </c>
      <c r="AK36" s="891"/>
      <c r="AL36" s="18"/>
      <c r="AM36" s="889"/>
      <c r="AN36" s="891"/>
      <c r="AO36" s="888"/>
      <c r="AP36" s="891"/>
      <c r="AQ36" s="891"/>
      <c r="AR36" s="889"/>
      <c r="AS36" s="888"/>
      <c r="AT36" s="888"/>
      <c r="AU36" s="890"/>
      <c r="AV36" s="888"/>
      <c r="AW36" s="888"/>
      <c r="AX36" s="888"/>
      <c r="AY36" s="887"/>
      <c r="AZ36" s="888"/>
    </row>
    <row r="37" spans="3:52" ht="18.600000000000001">
      <c r="C37" s="13">
        <f>IF(D37&lt;&gt;"",COUNTA($D$10:D37),"")</f>
        <v>25</v>
      </c>
      <c r="D37" s="14" t="s">
        <v>207</v>
      </c>
      <c r="E37" s="14">
        <v>1.9</v>
      </c>
      <c r="F37" s="14">
        <v>2.4</v>
      </c>
      <c r="G37" s="14">
        <v>2.4</v>
      </c>
      <c r="H37" s="14">
        <v>3</v>
      </c>
      <c r="I37" s="14">
        <v>2</v>
      </c>
      <c r="J37" s="14">
        <v>1.75</v>
      </c>
      <c r="K37" s="14">
        <v>3</v>
      </c>
      <c r="L37" s="15">
        <v>0.1</v>
      </c>
      <c r="M37" s="15">
        <v>0</v>
      </c>
      <c r="N37" s="14">
        <v>24</v>
      </c>
      <c r="O37" s="14">
        <v>50</v>
      </c>
      <c r="P37" s="13">
        <v>45</v>
      </c>
      <c r="Q37" s="13">
        <v>85</v>
      </c>
      <c r="R37" s="13" t="s">
        <v>17</v>
      </c>
      <c r="S37" s="13">
        <v>160</v>
      </c>
      <c r="T37" s="13">
        <v>0</v>
      </c>
      <c r="U37" s="13">
        <v>100</v>
      </c>
      <c r="V37" s="13" t="str">
        <f t="shared" si="1"/>
        <v>ISO 6</v>
      </c>
      <c r="W37" s="13">
        <f t="shared" si="1"/>
        <v>160</v>
      </c>
      <c r="X37" s="16">
        <f t="shared" si="2"/>
        <v>49.065599999999996</v>
      </c>
      <c r="Y37" s="16">
        <f t="shared" si="3"/>
        <v>386.24440319999997</v>
      </c>
      <c r="Z37" s="16">
        <f t="shared" si="4"/>
        <v>1029.9850751999998</v>
      </c>
      <c r="AA37" s="16">
        <f t="shared" si="5"/>
        <v>102.99850751999998</v>
      </c>
      <c r="AB37" s="16">
        <f t="shared" si="6"/>
        <v>0</v>
      </c>
      <c r="AC37" s="16">
        <f t="shared" si="7"/>
        <v>0</v>
      </c>
      <c r="AD37" s="16" t="e">
        <f t="shared" si="8"/>
        <v>#DIV/0!</v>
      </c>
      <c r="AE37" s="16" t="e">
        <f t="shared" si="9"/>
        <v>#DIV/0!</v>
      </c>
      <c r="AF37" s="16" t="e">
        <f t="shared" si="10"/>
        <v>#DIV/0!</v>
      </c>
      <c r="AG37" s="16" t="e">
        <f t="shared" si="11"/>
        <v>#DIV/0!</v>
      </c>
      <c r="AH37" s="838" t="s">
        <v>85</v>
      </c>
      <c r="AI37" s="17">
        <f t="shared" si="12"/>
        <v>0</v>
      </c>
      <c r="AJ37" s="17" t="e">
        <f t="shared" si="13"/>
        <v>#DIV/0!</v>
      </c>
      <c r="AK37" s="891"/>
      <c r="AL37" s="18"/>
      <c r="AM37" s="889"/>
      <c r="AN37" s="891"/>
      <c r="AO37" s="888"/>
      <c r="AP37" s="891"/>
      <c r="AQ37" s="891"/>
      <c r="AR37" s="889"/>
      <c r="AS37" s="888"/>
      <c r="AT37" s="888"/>
      <c r="AU37" s="890"/>
      <c r="AV37" s="888"/>
      <c r="AW37" s="888"/>
      <c r="AX37" s="888"/>
      <c r="AY37" s="887"/>
      <c r="AZ37" s="888"/>
    </row>
    <row r="38" spans="3:52" ht="18.600000000000001">
      <c r="C38" s="13">
        <f>IF(D38&lt;&gt;"",COUNTA($D$10:D38),"")</f>
        <v>26</v>
      </c>
      <c r="D38" s="14" t="s">
        <v>208</v>
      </c>
      <c r="E38" s="14">
        <v>3</v>
      </c>
      <c r="F38" s="14">
        <v>2.9</v>
      </c>
      <c r="G38" s="14">
        <v>2.4</v>
      </c>
      <c r="H38" s="14">
        <v>2</v>
      </c>
      <c r="I38" s="14">
        <v>1</v>
      </c>
      <c r="J38" s="14">
        <v>1.75</v>
      </c>
      <c r="K38" s="14">
        <v>3</v>
      </c>
      <c r="L38" s="15">
        <v>0.1</v>
      </c>
      <c r="M38" s="15">
        <v>0</v>
      </c>
      <c r="N38" s="14">
        <v>24</v>
      </c>
      <c r="O38" s="14">
        <v>50</v>
      </c>
      <c r="P38" s="13">
        <v>45</v>
      </c>
      <c r="Q38" s="13">
        <v>85</v>
      </c>
      <c r="R38" s="13" t="s">
        <v>17</v>
      </c>
      <c r="S38" s="13">
        <v>160</v>
      </c>
      <c r="T38" s="13">
        <v>0</v>
      </c>
      <c r="U38" s="13">
        <v>100</v>
      </c>
      <c r="V38" s="13" t="str">
        <f t="shared" si="1"/>
        <v>ISO 6</v>
      </c>
      <c r="W38" s="13">
        <f t="shared" si="1"/>
        <v>160</v>
      </c>
      <c r="X38" s="16">
        <f t="shared" si="2"/>
        <v>93.611999999999995</v>
      </c>
      <c r="Y38" s="16">
        <f t="shared" si="3"/>
        <v>736.91366399999993</v>
      </c>
      <c r="Z38" s="16">
        <f t="shared" si="4"/>
        <v>1965.1031039999996</v>
      </c>
      <c r="AA38" s="16">
        <f t="shared" si="5"/>
        <v>196.51031039999998</v>
      </c>
      <c r="AB38" s="16">
        <f t="shared" si="6"/>
        <v>0</v>
      </c>
      <c r="AC38" s="16">
        <f t="shared" si="7"/>
        <v>0</v>
      </c>
      <c r="AD38" s="16" t="e">
        <f>IF(ISNUMBER(N38), CEILING(CF38/(0.68*BP38),25), "Ambient")</f>
        <v>#DIV/0!</v>
      </c>
      <c r="AE38" s="16" t="e">
        <f t="shared" si="9"/>
        <v>#DIV/0!</v>
      </c>
      <c r="AF38" s="16" t="e">
        <f t="shared" si="10"/>
        <v>#DIV/0!</v>
      </c>
      <c r="AG38" s="16" t="e">
        <f t="shared" si="11"/>
        <v>#DIV/0!</v>
      </c>
      <c r="AH38" s="838" t="s">
        <v>85</v>
      </c>
      <c r="AI38" s="17">
        <f t="shared" si="12"/>
        <v>0</v>
      </c>
      <c r="AJ38" s="17" t="e">
        <f t="shared" si="13"/>
        <v>#DIV/0!</v>
      </c>
      <c r="AK38" s="891"/>
      <c r="AL38" s="18"/>
      <c r="AM38" s="889"/>
      <c r="AN38" s="891"/>
      <c r="AO38" s="888"/>
      <c r="AP38" s="891"/>
      <c r="AQ38" s="891"/>
      <c r="AR38" s="889"/>
      <c r="AS38" s="888"/>
      <c r="AT38" s="888"/>
      <c r="AU38" s="890"/>
      <c r="AV38" s="888"/>
      <c r="AW38" s="888"/>
      <c r="AX38" s="888"/>
      <c r="AY38" s="887"/>
      <c r="AZ38" s="888"/>
    </row>
    <row r="39" spans="3:52" ht="18.600000000000001">
      <c r="C39" s="13">
        <f>IF(D39&lt;&gt;"",COUNTA($D$10:D39),"")</f>
        <v>27</v>
      </c>
      <c r="D39" s="14" t="s">
        <v>209</v>
      </c>
      <c r="E39" s="14">
        <v>2.4</v>
      </c>
      <c r="F39" s="14">
        <v>2</v>
      </c>
      <c r="G39" s="14">
        <v>2.4</v>
      </c>
      <c r="H39" s="14">
        <v>2</v>
      </c>
      <c r="I39" s="14">
        <v>1</v>
      </c>
      <c r="J39" s="14">
        <v>1.75</v>
      </c>
      <c r="K39" s="14">
        <v>3</v>
      </c>
      <c r="L39" s="15">
        <v>0.1</v>
      </c>
      <c r="M39" s="15">
        <v>0</v>
      </c>
      <c r="N39" s="14">
        <v>24</v>
      </c>
      <c r="O39" s="14">
        <v>50</v>
      </c>
      <c r="P39" s="13">
        <v>45</v>
      </c>
      <c r="Q39" s="13">
        <v>85</v>
      </c>
      <c r="R39" s="13" t="s">
        <v>17</v>
      </c>
      <c r="S39" s="13">
        <v>160</v>
      </c>
      <c r="T39" s="13">
        <v>0</v>
      </c>
      <c r="U39" s="13">
        <v>100</v>
      </c>
      <c r="V39" s="13" t="str">
        <f t="shared" si="1"/>
        <v>ISO 6</v>
      </c>
      <c r="W39" s="13">
        <f t="shared" si="1"/>
        <v>160</v>
      </c>
      <c r="X39" s="16">
        <f t="shared" si="2"/>
        <v>51.647999999999996</v>
      </c>
      <c r="Y39" s="16">
        <f t="shared" si="3"/>
        <v>406.57305599999995</v>
      </c>
      <c r="Z39" s="16">
        <f t="shared" si="4"/>
        <v>1084.1948159999999</v>
      </c>
      <c r="AA39" s="16">
        <f t="shared" si="5"/>
        <v>108.4194816</v>
      </c>
      <c r="AB39" s="16">
        <f t="shared" si="6"/>
        <v>0</v>
      </c>
      <c r="AC39" s="16">
        <f t="shared" si="7"/>
        <v>0</v>
      </c>
      <c r="AD39" s="16" t="e">
        <f t="shared" ref="AD39:AD45" si="14">IF(ISNUMBER(N39), CEILING(CF39/(0.68*BP39),25), "Ambient")</f>
        <v>#DIV/0!</v>
      </c>
      <c r="AE39" s="16" t="e">
        <f t="shared" si="9"/>
        <v>#DIV/0!</v>
      </c>
      <c r="AF39" s="16" t="e">
        <f t="shared" si="10"/>
        <v>#DIV/0!</v>
      </c>
      <c r="AG39" s="16" t="e">
        <f t="shared" si="11"/>
        <v>#DIV/0!</v>
      </c>
      <c r="AH39" s="838" t="s">
        <v>85</v>
      </c>
      <c r="AI39" s="17">
        <f t="shared" si="12"/>
        <v>0</v>
      </c>
      <c r="AJ39" s="17" t="e">
        <f t="shared" si="13"/>
        <v>#DIV/0!</v>
      </c>
      <c r="AK39" s="891"/>
      <c r="AL39" s="174" t="e">
        <f>IF(AN30&lt;=315,1600,(IF(AN30=355,1650,(IF(AN30=400,1650,(IF(AN30=450,1700,(IF(AN30=500,1700,(IF(AN30=560,1800,(IF(AN30=630,2000,(IF(AN30=710,2200,2500)))))))))))))))+IF(AR30=2,1800,(IF(AR30=3,2300,(IF(AR30=4,3300,0)))))+IF(AP30&lt;=4,600,(IF(AP30&lt;=6,800,(IF(AP30&lt;=8,1000,1200)))))</f>
        <v>#DIV/0!</v>
      </c>
      <c r="AM39" s="889"/>
      <c r="AN39" s="891"/>
      <c r="AO39" s="888"/>
      <c r="AP39" s="891"/>
      <c r="AQ39" s="891"/>
      <c r="AR39" s="889"/>
      <c r="AS39" s="888"/>
      <c r="AT39" s="888"/>
      <c r="AU39" s="890"/>
      <c r="AV39" s="888"/>
      <c r="AW39" s="888"/>
      <c r="AX39" s="888"/>
      <c r="AY39" s="887"/>
      <c r="AZ39" s="888"/>
    </row>
    <row r="40" spans="3:52" ht="18.600000000000001">
      <c r="C40" s="13">
        <f>IF(D40&lt;&gt;"",COUNTA($D$10:D40),"")</f>
        <v>28</v>
      </c>
      <c r="D40" s="14" t="s">
        <v>210</v>
      </c>
      <c r="E40" s="14">
        <v>2.1</v>
      </c>
      <c r="F40" s="14">
        <v>1.8</v>
      </c>
      <c r="G40" s="14">
        <v>2.4</v>
      </c>
      <c r="H40" s="14">
        <v>2</v>
      </c>
      <c r="I40" s="14">
        <v>1</v>
      </c>
      <c r="J40" s="14">
        <v>1.75</v>
      </c>
      <c r="K40" s="14">
        <v>3</v>
      </c>
      <c r="L40" s="15">
        <v>0.1</v>
      </c>
      <c r="M40" s="15">
        <v>0</v>
      </c>
      <c r="N40" s="14">
        <v>24</v>
      </c>
      <c r="O40" s="14">
        <v>50</v>
      </c>
      <c r="P40" s="13">
        <v>45</v>
      </c>
      <c r="Q40" s="13">
        <v>85</v>
      </c>
      <c r="R40" s="13" t="s">
        <v>17</v>
      </c>
      <c r="S40" s="13">
        <v>160</v>
      </c>
      <c r="T40" s="13">
        <v>0</v>
      </c>
      <c r="U40" s="13">
        <v>100</v>
      </c>
      <c r="V40" s="13" t="str">
        <f t="shared" si="1"/>
        <v>ISO 6</v>
      </c>
      <c r="W40" s="13">
        <f t="shared" si="1"/>
        <v>160</v>
      </c>
      <c r="X40" s="16">
        <f t="shared" si="2"/>
        <v>40.672800000000002</v>
      </c>
      <c r="Y40" s="16">
        <f t="shared" si="3"/>
        <v>320.17628159999998</v>
      </c>
      <c r="Z40" s="16">
        <f t="shared" si="4"/>
        <v>853.80341759999999</v>
      </c>
      <c r="AA40" s="16">
        <f t="shared" si="5"/>
        <v>85.380341760000007</v>
      </c>
      <c r="AB40" s="16">
        <f t="shared" si="6"/>
        <v>0</v>
      </c>
      <c r="AC40" s="16">
        <f t="shared" si="7"/>
        <v>0</v>
      </c>
      <c r="AD40" s="16" t="e">
        <f t="shared" si="14"/>
        <v>#DIV/0!</v>
      </c>
      <c r="AE40" s="16" t="e">
        <f t="shared" si="9"/>
        <v>#DIV/0!</v>
      </c>
      <c r="AF40" s="16" t="e">
        <f t="shared" si="10"/>
        <v>#DIV/0!</v>
      </c>
      <c r="AG40" s="16" t="e">
        <f t="shared" si="11"/>
        <v>#DIV/0!</v>
      </c>
      <c r="AH40" s="838" t="s">
        <v>85</v>
      </c>
      <c r="AI40" s="17">
        <f t="shared" si="12"/>
        <v>0</v>
      </c>
      <c r="AJ40" s="17" t="e">
        <f t="shared" si="13"/>
        <v>#DIV/0!</v>
      </c>
      <c r="AK40" s="891"/>
      <c r="AL40" s="18"/>
      <c r="AM40" s="889"/>
      <c r="AN40" s="891"/>
      <c r="AO40" s="888"/>
      <c r="AP40" s="891"/>
      <c r="AQ40" s="891"/>
      <c r="AR40" s="889"/>
      <c r="AS40" s="888"/>
      <c r="AT40" s="888"/>
      <c r="AU40" s="890"/>
      <c r="AV40" s="888"/>
      <c r="AW40" s="888"/>
      <c r="AX40" s="888"/>
      <c r="AY40" s="887"/>
      <c r="AZ40" s="888"/>
    </row>
    <row r="41" spans="3:52" ht="18.600000000000001">
      <c r="C41" s="13">
        <f>IF(D41&lt;&gt;"",COUNTA($D$10:D41),"")</f>
        <v>29</v>
      </c>
      <c r="D41" s="14" t="s">
        <v>211</v>
      </c>
      <c r="E41" s="14">
        <v>1.8</v>
      </c>
      <c r="F41" s="14">
        <v>1.9</v>
      </c>
      <c r="G41" s="14">
        <v>2.4</v>
      </c>
      <c r="H41" s="14">
        <v>2</v>
      </c>
      <c r="I41" s="14">
        <v>1</v>
      </c>
      <c r="J41" s="14">
        <v>1.75</v>
      </c>
      <c r="K41" s="14">
        <v>3</v>
      </c>
      <c r="L41" s="15">
        <v>0.1</v>
      </c>
      <c r="M41" s="15">
        <v>0</v>
      </c>
      <c r="N41" s="14">
        <v>24</v>
      </c>
      <c r="O41" s="14">
        <v>50</v>
      </c>
      <c r="P41" s="13">
        <v>45</v>
      </c>
      <c r="Q41" s="13">
        <v>85</v>
      </c>
      <c r="R41" s="13" t="s">
        <v>17</v>
      </c>
      <c r="S41" s="13">
        <v>160</v>
      </c>
      <c r="T41" s="13">
        <v>0</v>
      </c>
      <c r="U41" s="13">
        <v>100</v>
      </c>
      <c r="V41" s="13" t="str">
        <f t="shared" si="1"/>
        <v>ISO 6</v>
      </c>
      <c r="W41" s="13">
        <f t="shared" si="1"/>
        <v>160</v>
      </c>
      <c r="X41" s="16">
        <f t="shared" si="2"/>
        <v>36.799199999999999</v>
      </c>
      <c r="Y41" s="16">
        <f t="shared" si="3"/>
        <v>289.68330239999995</v>
      </c>
      <c r="Z41" s="16">
        <f t="shared" si="4"/>
        <v>772.48880639999993</v>
      </c>
      <c r="AA41" s="16">
        <f t="shared" si="5"/>
        <v>77.248880639999996</v>
      </c>
      <c r="AB41" s="16">
        <f t="shared" si="6"/>
        <v>0</v>
      </c>
      <c r="AC41" s="16">
        <f t="shared" si="7"/>
        <v>0</v>
      </c>
      <c r="AD41" s="16" t="e">
        <f t="shared" si="14"/>
        <v>#DIV/0!</v>
      </c>
      <c r="AE41" s="16" t="e">
        <f t="shared" si="9"/>
        <v>#DIV/0!</v>
      </c>
      <c r="AF41" s="16" t="e">
        <f t="shared" si="10"/>
        <v>#DIV/0!</v>
      </c>
      <c r="AG41" s="16" t="e">
        <f t="shared" si="11"/>
        <v>#DIV/0!</v>
      </c>
      <c r="AH41" s="838" t="s">
        <v>85</v>
      </c>
      <c r="AI41" s="17">
        <f t="shared" si="12"/>
        <v>0</v>
      </c>
      <c r="AJ41" s="17" t="e">
        <f t="shared" si="13"/>
        <v>#DIV/0!</v>
      </c>
      <c r="AK41" s="891"/>
      <c r="AL41" s="18"/>
      <c r="AM41" s="889"/>
      <c r="AN41" s="891"/>
      <c r="AO41" s="888"/>
      <c r="AP41" s="891"/>
      <c r="AQ41" s="891"/>
      <c r="AR41" s="889"/>
      <c r="AS41" s="888"/>
      <c r="AT41" s="888"/>
      <c r="AU41" s="890"/>
      <c r="AV41" s="888"/>
      <c r="AW41" s="888"/>
      <c r="AX41" s="888"/>
      <c r="AY41" s="887"/>
      <c r="AZ41" s="888"/>
    </row>
    <row r="42" spans="3:52" ht="18.600000000000001">
      <c r="C42" s="13">
        <f>IF(D42&lt;&gt;"",COUNTA($D$10:D42),"")</f>
        <v>30</v>
      </c>
      <c r="D42" s="14" t="s">
        <v>212</v>
      </c>
      <c r="E42" s="14">
        <v>1.9</v>
      </c>
      <c r="F42" s="14">
        <v>2</v>
      </c>
      <c r="G42" s="14">
        <v>2.4</v>
      </c>
      <c r="H42" s="14">
        <v>2</v>
      </c>
      <c r="I42" s="14">
        <v>1</v>
      </c>
      <c r="J42" s="14">
        <v>1.75</v>
      </c>
      <c r="K42" s="14">
        <v>3</v>
      </c>
      <c r="L42" s="15">
        <v>0.1</v>
      </c>
      <c r="M42" s="15">
        <v>0</v>
      </c>
      <c r="N42" s="14">
        <v>24</v>
      </c>
      <c r="O42" s="14">
        <v>50</v>
      </c>
      <c r="P42" s="13">
        <v>45</v>
      </c>
      <c r="Q42" s="13">
        <v>85</v>
      </c>
      <c r="R42" s="13" t="s">
        <v>17</v>
      </c>
      <c r="S42" s="13">
        <v>160</v>
      </c>
      <c r="T42" s="13">
        <v>0</v>
      </c>
      <c r="U42" s="13">
        <v>100</v>
      </c>
      <c r="V42" s="13" t="str">
        <f t="shared" si="1"/>
        <v>ISO 6</v>
      </c>
      <c r="W42" s="13">
        <f t="shared" si="1"/>
        <v>160</v>
      </c>
      <c r="X42" s="16">
        <f t="shared" si="2"/>
        <v>40.887999999999998</v>
      </c>
      <c r="Y42" s="16">
        <f t="shared" si="3"/>
        <v>321.87033599999995</v>
      </c>
      <c r="Z42" s="16">
        <f t="shared" si="4"/>
        <v>858.32089599999983</v>
      </c>
      <c r="AA42" s="16">
        <f t="shared" si="5"/>
        <v>85.832089599999989</v>
      </c>
      <c r="AB42" s="16">
        <f t="shared" si="6"/>
        <v>0</v>
      </c>
      <c r="AC42" s="16">
        <f t="shared" si="7"/>
        <v>0</v>
      </c>
      <c r="AD42" s="16" t="e">
        <f t="shared" si="14"/>
        <v>#DIV/0!</v>
      </c>
      <c r="AE42" s="16" t="e">
        <f t="shared" si="9"/>
        <v>#DIV/0!</v>
      </c>
      <c r="AF42" s="16" t="e">
        <f t="shared" si="10"/>
        <v>#DIV/0!</v>
      </c>
      <c r="AG42" s="16" t="e">
        <f t="shared" si="11"/>
        <v>#DIV/0!</v>
      </c>
      <c r="AH42" s="838" t="s">
        <v>85</v>
      </c>
      <c r="AI42" s="17">
        <f t="shared" si="12"/>
        <v>0</v>
      </c>
      <c r="AJ42" s="17" t="e">
        <f t="shared" si="13"/>
        <v>#DIV/0!</v>
      </c>
      <c r="AK42" s="891"/>
      <c r="AL42" s="18"/>
      <c r="AM42" s="889"/>
      <c r="AN42" s="891"/>
      <c r="AO42" s="888"/>
      <c r="AP42" s="891"/>
      <c r="AQ42" s="891"/>
      <c r="AR42" s="889"/>
      <c r="AS42" s="888"/>
      <c r="AT42" s="888"/>
      <c r="AU42" s="890"/>
      <c r="AV42" s="888"/>
      <c r="AW42" s="888"/>
      <c r="AX42" s="888"/>
      <c r="AY42" s="887"/>
      <c r="AZ42" s="888"/>
    </row>
    <row r="43" spans="3:52" ht="18.600000000000001">
      <c r="C43" s="13">
        <f>IF(D43&lt;&gt;"",COUNTA($D$10:D43),"")</f>
        <v>31</v>
      </c>
      <c r="D43" s="14" t="s">
        <v>213</v>
      </c>
      <c r="E43" s="14">
        <v>2.2999999999999998</v>
      </c>
      <c r="F43" s="14">
        <v>2.2000000000000002</v>
      </c>
      <c r="G43" s="14">
        <v>2.4</v>
      </c>
      <c r="H43" s="14">
        <v>2</v>
      </c>
      <c r="I43" s="14">
        <v>1</v>
      </c>
      <c r="J43" s="14">
        <v>1.75</v>
      </c>
      <c r="K43" s="14">
        <v>3</v>
      </c>
      <c r="L43" s="15">
        <v>0.1</v>
      </c>
      <c r="M43" s="15">
        <v>0</v>
      </c>
      <c r="N43" s="14">
        <v>24</v>
      </c>
      <c r="O43" s="14">
        <v>50</v>
      </c>
      <c r="P43" s="13">
        <v>45</v>
      </c>
      <c r="Q43" s="13">
        <v>85</v>
      </c>
      <c r="R43" s="13" t="s">
        <v>17</v>
      </c>
      <c r="S43" s="13">
        <v>160</v>
      </c>
      <c r="T43" s="13">
        <v>0</v>
      </c>
      <c r="U43" s="13">
        <v>100</v>
      </c>
      <c r="V43" s="13" t="str">
        <f t="shared" si="1"/>
        <v>ISO 6</v>
      </c>
      <c r="W43" s="13">
        <f t="shared" si="1"/>
        <v>160</v>
      </c>
      <c r="X43" s="16">
        <f t="shared" si="2"/>
        <v>54.445599999999992</v>
      </c>
      <c r="Y43" s="16">
        <f t="shared" si="3"/>
        <v>428.59576319999991</v>
      </c>
      <c r="Z43" s="16">
        <f t="shared" si="4"/>
        <v>1142.9220351999998</v>
      </c>
      <c r="AA43" s="16">
        <f t="shared" si="5"/>
        <v>114.29220351999999</v>
      </c>
      <c r="AB43" s="16">
        <f t="shared" si="6"/>
        <v>0</v>
      </c>
      <c r="AC43" s="16">
        <f t="shared" si="7"/>
        <v>0</v>
      </c>
      <c r="AD43" s="16" t="e">
        <f t="shared" si="14"/>
        <v>#DIV/0!</v>
      </c>
      <c r="AE43" s="16" t="e">
        <f t="shared" si="9"/>
        <v>#DIV/0!</v>
      </c>
      <c r="AF43" s="16" t="e">
        <f t="shared" si="10"/>
        <v>#DIV/0!</v>
      </c>
      <c r="AG43" s="16" t="e">
        <f t="shared" si="11"/>
        <v>#DIV/0!</v>
      </c>
      <c r="AH43" s="838" t="s">
        <v>85</v>
      </c>
      <c r="AI43" s="17">
        <f t="shared" si="12"/>
        <v>0</v>
      </c>
      <c r="AJ43" s="17" t="e">
        <f t="shared" si="13"/>
        <v>#DIV/0!</v>
      </c>
      <c r="AK43" s="891"/>
      <c r="AL43" s="18"/>
      <c r="AM43" s="889"/>
      <c r="AN43" s="891"/>
      <c r="AO43" s="888"/>
      <c r="AP43" s="891"/>
      <c r="AQ43" s="891"/>
      <c r="AR43" s="889"/>
      <c r="AS43" s="888"/>
      <c r="AT43" s="888"/>
      <c r="AU43" s="890"/>
      <c r="AV43" s="888"/>
      <c r="AW43" s="888"/>
      <c r="AX43" s="888"/>
      <c r="AY43" s="887"/>
      <c r="AZ43" s="888"/>
    </row>
    <row r="44" spans="3:52" ht="18.600000000000001">
      <c r="C44" s="13">
        <f>IF(D44&lt;&gt;"",COUNTA($D$10:D44),"")</f>
        <v>32</v>
      </c>
      <c r="D44" s="14" t="s">
        <v>214</v>
      </c>
      <c r="E44" s="14">
        <v>2.2000000000000002</v>
      </c>
      <c r="F44" s="14">
        <v>2.8</v>
      </c>
      <c r="G44" s="14">
        <v>2.4</v>
      </c>
      <c r="H44" s="14">
        <v>2</v>
      </c>
      <c r="I44" s="14">
        <v>1</v>
      </c>
      <c r="J44" s="14">
        <v>1.75</v>
      </c>
      <c r="K44" s="14">
        <v>3</v>
      </c>
      <c r="L44" s="15">
        <v>0.1</v>
      </c>
      <c r="M44" s="15">
        <v>0</v>
      </c>
      <c r="N44" s="14">
        <v>24</v>
      </c>
      <c r="O44" s="14">
        <v>50</v>
      </c>
      <c r="P44" s="13">
        <v>45</v>
      </c>
      <c r="Q44" s="13">
        <v>85</v>
      </c>
      <c r="R44" s="13" t="s">
        <v>17</v>
      </c>
      <c r="S44" s="13">
        <v>160</v>
      </c>
      <c r="T44" s="13">
        <v>0</v>
      </c>
      <c r="U44" s="13">
        <v>100</v>
      </c>
      <c r="V44" s="13" t="str">
        <f t="shared" si="1"/>
        <v>ISO 6</v>
      </c>
      <c r="W44" s="13">
        <f t="shared" si="1"/>
        <v>160</v>
      </c>
      <c r="X44" s="16">
        <f t="shared" si="2"/>
        <v>66.281599999999997</v>
      </c>
      <c r="Y44" s="16">
        <f t="shared" si="3"/>
        <v>521.76875519999999</v>
      </c>
      <c r="Z44" s="16">
        <f t="shared" si="4"/>
        <v>1391.3833471999999</v>
      </c>
      <c r="AA44" s="16">
        <f t="shared" si="5"/>
        <v>139.13833471999999</v>
      </c>
      <c r="AB44" s="16">
        <f t="shared" si="6"/>
        <v>0</v>
      </c>
      <c r="AC44" s="16">
        <f t="shared" si="7"/>
        <v>0</v>
      </c>
      <c r="AD44" s="16" t="e">
        <f t="shared" si="14"/>
        <v>#DIV/0!</v>
      </c>
      <c r="AE44" s="16" t="e">
        <f t="shared" si="9"/>
        <v>#DIV/0!</v>
      </c>
      <c r="AF44" s="16" t="e">
        <f t="shared" si="10"/>
        <v>#DIV/0!</v>
      </c>
      <c r="AG44" s="16" t="e">
        <f t="shared" si="11"/>
        <v>#DIV/0!</v>
      </c>
      <c r="AH44" s="838" t="s">
        <v>85</v>
      </c>
      <c r="AI44" s="17">
        <f t="shared" si="12"/>
        <v>0</v>
      </c>
      <c r="AJ44" s="17" t="e">
        <f t="shared" si="13"/>
        <v>#DIV/0!</v>
      </c>
      <c r="AK44" s="891"/>
      <c r="AL44" s="18"/>
      <c r="AM44" s="889"/>
      <c r="AN44" s="891"/>
      <c r="AO44" s="888"/>
      <c r="AP44" s="891"/>
      <c r="AQ44" s="891"/>
      <c r="AR44" s="889"/>
      <c r="AS44" s="888"/>
      <c r="AT44" s="888"/>
      <c r="AU44" s="890"/>
      <c r="AV44" s="888"/>
      <c r="AW44" s="888"/>
      <c r="AX44" s="888"/>
      <c r="AY44" s="887"/>
      <c r="AZ44" s="888"/>
    </row>
    <row r="45" spans="3:52" ht="18.600000000000001">
      <c r="C45" s="13">
        <f>IF(D45&lt;&gt;"",COUNTA($D$10:D45),"")</f>
        <v>33</v>
      </c>
      <c r="D45" s="14" t="s">
        <v>215</v>
      </c>
      <c r="E45" s="14">
        <v>2.8</v>
      </c>
      <c r="F45" s="14">
        <v>2.4</v>
      </c>
      <c r="G45" s="14">
        <v>2.4</v>
      </c>
      <c r="H45" s="14">
        <v>2</v>
      </c>
      <c r="I45" s="14">
        <v>1</v>
      </c>
      <c r="J45" s="14">
        <v>1.75</v>
      </c>
      <c r="K45" s="14">
        <v>3</v>
      </c>
      <c r="L45" s="15">
        <v>0.1</v>
      </c>
      <c r="M45" s="15">
        <v>0</v>
      </c>
      <c r="N45" s="14">
        <v>24</v>
      </c>
      <c r="O45" s="14">
        <v>50</v>
      </c>
      <c r="P45" s="13">
        <v>45</v>
      </c>
      <c r="Q45" s="13">
        <v>85</v>
      </c>
      <c r="R45" s="13" t="s">
        <v>17</v>
      </c>
      <c r="S45" s="13">
        <v>160</v>
      </c>
      <c r="T45" s="13">
        <v>0</v>
      </c>
      <c r="U45" s="13">
        <v>100</v>
      </c>
      <c r="V45" s="13" t="str">
        <f t="shared" si="1"/>
        <v>ISO 6</v>
      </c>
      <c r="W45" s="13">
        <f t="shared" si="1"/>
        <v>160</v>
      </c>
      <c r="X45" s="16">
        <f t="shared" si="2"/>
        <v>72.307199999999995</v>
      </c>
      <c r="Y45" s="16">
        <f t="shared" si="3"/>
        <v>569.20227839999995</v>
      </c>
      <c r="Z45" s="16">
        <f t="shared" si="4"/>
        <v>1517.8727423999999</v>
      </c>
      <c r="AA45" s="16">
        <f t="shared" si="5"/>
        <v>151.78727423999999</v>
      </c>
      <c r="AB45" s="16">
        <f t="shared" si="6"/>
        <v>0</v>
      </c>
      <c r="AC45" s="16">
        <f t="shared" si="7"/>
        <v>0</v>
      </c>
      <c r="AD45" s="16" t="e">
        <f t="shared" si="14"/>
        <v>#DIV/0!</v>
      </c>
      <c r="AE45" s="16" t="e">
        <f t="shared" si="9"/>
        <v>#DIV/0!</v>
      </c>
      <c r="AF45" s="16" t="e">
        <f t="shared" si="10"/>
        <v>#DIV/0!</v>
      </c>
      <c r="AG45" s="16" t="e">
        <f t="shared" si="11"/>
        <v>#DIV/0!</v>
      </c>
      <c r="AH45" s="838" t="s">
        <v>85</v>
      </c>
      <c r="AI45" s="17">
        <f t="shared" si="12"/>
        <v>0</v>
      </c>
      <c r="AJ45" s="17" t="e">
        <f t="shared" si="13"/>
        <v>#DIV/0!</v>
      </c>
      <c r="AK45" s="891"/>
      <c r="AL45" s="18"/>
      <c r="AM45" s="889"/>
      <c r="AN45" s="891"/>
      <c r="AO45" s="888"/>
      <c r="AP45" s="891"/>
      <c r="AQ45" s="891"/>
      <c r="AR45" s="889"/>
      <c r="AS45" s="888"/>
      <c r="AT45" s="888"/>
      <c r="AU45" s="890"/>
      <c r="AV45" s="888"/>
      <c r="AW45" s="888"/>
      <c r="AX45" s="888"/>
      <c r="AY45" s="887"/>
      <c r="AZ45" s="888"/>
    </row>
    <row r="46" spans="3:52">
      <c r="C46" s="13" t="str">
        <f>IF(D46&lt;&gt;"",COUNTA($D$10:D46),"")</f>
        <v/>
      </c>
      <c r="D46" s="19"/>
      <c r="E46" s="19"/>
      <c r="F46" s="19"/>
      <c r="G46" s="19"/>
      <c r="H46" s="19"/>
      <c r="I46" s="19"/>
      <c r="J46" s="19"/>
      <c r="K46" s="19"/>
      <c r="L46" s="19"/>
      <c r="M46" s="19"/>
      <c r="N46" s="19"/>
      <c r="O46" s="19"/>
      <c r="P46" s="19"/>
      <c r="Q46" s="19"/>
      <c r="R46" s="19"/>
      <c r="S46" s="19"/>
      <c r="T46" s="19"/>
      <c r="U46" s="19"/>
      <c r="V46" s="19"/>
      <c r="W46" s="19"/>
      <c r="X46" s="20">
        <f>SUM(X30:X45)</f>
        <v>1144.1108000000002</v>
      </c>
      <c r="Y46" s="20">
        <f t="shared" ref="Y46:AG46" si="15">SUM(Y30:Y45)</f>
        <v>9006.4402175999985</v>
      </c>
      <c r="Z46" s="20">
        <f t="shared" si="15"/>
        <v>24017.1739136</v>
      </c>
      <c r="AA46" s="20">
        <f t="shared" si="15"/>
        <v>2401.7173913599995</v>
      </c>
      <c r="AB46" s="20">
        <f t="shared" si="15"/>
        <v>0</v>
      </c>
      <c r="AC46" s="20">
        <f t="shared" si="15"/>
        <v>0</v>
      </c>
      <c r="AD46" s="20" t="e">
        <f t="shared" si="15"/>
        <v>#DIV/0!</v>
      </c>
      <c r="AE46" s="20" t="e">
        <f t="shared" si="15"/>
        <v>#DIV/0!</v>
      </c>
      <c r="AF46" s="20" t="e">
        <f t="shared" si="15"/>
        <v>#DIV/0!</v>
      </c>
      <c r="AG46" s="20" t="e">
        <f t="shared" si="15"/>
        <v>#DIV/0!</v>
      </c>
      <c r="AH46" s="841"/>
      <c r="AI46" s="20">
        <f t="shared" ref="AI46:AJ46" si="16">SUM(AI30:AI45)</f>
        <v>0</v>
      </c>
      <c r="AJ46" s="20" t="e">
        <f t="shared" si="16"/>
        <v>#DIV/0!</v>
      </c>
      <c r="AK46" s="21"/>
      <c r="AL46" s="21"/>
      <c r="AM46" s="21"/>
      <c r="AN46" s="21"/>
      <c r="AO46" s="21"/>
      <c r="AP46" s="21"/>
      <c r="AQ46" s="21"/>
      <c r="AR46" s="21"/>
      <c r="AS46" s="21"/>
      <c r="AT46" s="21"/>
      <c r="AU46" s="21"/>
      <c r="AV46" s="21"/>
      <c r="AW46" s="21"/>
      <c r="AX46" s="21"/>
      <c r="AY46" s="21"/>
      <c r="AZ46" s="21"/>
    </row>
    <row r="47" spans="3:52">
      <c r="C47" s="13" t="str">
        <f>IF(D47&lt;&gt;"",COUNTA($D$10:D47),"")</f>
        <v/>
      </c>
      <c r="AH47" s="840"/>
    </row>
    <row r="48" spans="3:52" ht="26.1">
      <c r="C48" s="8" t="e">
        <f>"Zoning Area  AHU - " &amp; INT((ROW()-8)/20)+1 &amp; "  " &amp;IF(AQ50&gt;0,"Air-Conditioning System " &amp; IF(AH50="D","(DX)",IF(AH50="C","(Chilled Water)","")),IF(AND(N50="Amb",AQ50=0),"Ventilation System","Refer"))</f>
        <v>#DIV/0!</v>
      </c>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39"/>
      <c r="AI48" s="8"/>
      <c r="AJ48" s="8"/>
      <c r="AK48" s="8"/>
      <c r="AL48" s="8"/>
      <c r="AM48" s="8"/>
      <c r="AN48" s="8"/>
      <c r="AO48" s="8"/>
      <c r="AP48" s="8"/>
      <c r="AQ48" s="8"/>
      <c r="AR48" s="8"/>
      <c r="AS48" s="9" t="s">
        <v>221</v>
      </c>
      <c r="AT48" s="10"/>
      <c r="AU48" s="10"/>
      <c r="AV48" s="11"/>
      <c r="AW48" s="9" t="s">
        <v>222</v>
      </c>
      <c r="AX48" s="10"/>
      <c r="AY48" s="10"/>
      <c r="AZ48" s="11"/>
    </row>
    <row r="49" spans="3:52">
      <c r="C49" s="13">
        <f>IF(D49&lt;&gt;"",COUNTA($D$10:D49),"")</f>
        <v>34</v>
      </c>
      <c r="D49" s="5" t="s">
        <v>165</v>
      </c>
      <c r="E49" s="5" t="s">
        <v>166</v>
      </c>
      <c r="F49" s="5" t="s">
        <v>167</v>
      </c>
      <c r="G49" s="5" t="s">
        <v>168</v>
      </c>
      <c r="H49" s="5" t="s">
        <v>169</v>
      </c>
      <c r="I49" s="5" t="s">
        <v>170</v>
      </c>
      <c r="J49" s="5" t="s">
        <v>171</v>
      </c>
      <c r="K49" s="5" t="s">
        <v>172</v>
      </c>
      <c r="L49" s="5" t="s">
        <v>173</v>
      </c>
      <c r="M49" s="5" t="s">
        <v>174</v>
      </c>
      <c r="N49" s="5" t="s">
        <v>175</v>
      </c>
      <c r="O49" s="5" t="s">
        <v>176</v>
      </c>
      <c r="P49" s="5" t="s">
        <v>177</v>
      </c>
      <c r="Q49" s="5" t="s">
        <v>178</v>
      </c>
      <c r="R49" s="5" t="s">
        <v>199</v>
      </c>
      <c r="S49" s="5" t="s">
        <v>180</v>
      </c>
      <c r="T49" s="5" t="s">
        <v>223</v>
      </c>
      <c r="U49" s="5" t="s">
        <v>224</v>
      </c>
      <c r="V49" s="5" t="s">
        <v>199</v>
      </c>
      <c r="W49" s="5" t="s">
        <v>180</v>
      </c>
      <c r="X49" s="5" t="s">
        <v>225</v>
      </c>
      <c r="Y49" s="5" t="s">
        <v>226</v>
      </c>
      <c r="Z49" s="5" t="s">
        <v>227</v>
      </c>
      <c r="AA49" s="5" t="s">
        <v>228</v>
      </c>
      <c r="AB49" s="5" t="s">
        <v>229</v>
      </c>
      <c r="AC49" s="5" t="s">
        <v>230</v>
      </c>
      <c r="AD49" s="5" t="s">
        <v>231</v>
      </c>
      <c r="AE49" s="5" t="s">
        <v>232</v>
      </c>
      <c r="AF49" s="6" t="s">
        <v>233</v>
      </c>
      <c r="AG49" s="6" t="s">
        <v>234</v>
      </c>
      <c r="AH49" s="6" t="s">
        <v>235</v>
      </c>
      <c r="AI49" s="5" t="s">
        <v>236</v>
      </c>
      <c r="AJ49" s="5" t="s">
        <v>237</v>
      </c>
      <c r="AK49" s="5" t="s">
        <v>238</v>
      </c>
      <c r="AL49" s="5" t="s">
        <v>239</v>
      </c>
      <c r="AM49" s="5" t="s">
        <v>240</v>
      </c>
      <c r="AN49" s="5" t="s">
        <v>241</v>
      </c>
      <c r="AO49" s="5" t="s">
        <v>242</v>
      </c>
      <c r="AP49" s="5" t="s">
        <v>243</v>
      </c>
      <c r="AQ49" s="5" t="s">
        <v>244</v>
      </c>
      <c r="AR49" s="5" t="s">
        <v>245</v>
      </c>
      <c r="AS49" s="5" t="s">
        <v>246</v>
      </c>
      <c r="AT49" s="5" t="s">
        <v>247</v>
      </c>
      <c r="AU49" s="5" t="s">
        <v>248</v>
      </c>
      <c r="AV49" s="5" t="s">
        <v>249</v>
      </c>
      <c r="AW49" s="5" t="s">
        <v>250</v>
      </c>
      <c r="AX49" s="5" t="s">
        <v>251</v>
      </c>
      <c r="AY49" s="5" t="s">
        <v>252</v>
      </c>
      <c r="AZ49" s="5" t="s">
        <v>253</v>
      </c>
    </row>
    <row r="50" spans="3:52" ht="18.600000000000001">
      <c r="C50" s="13">
        <f>IF(D50&lt;&gt;"",COUNTA($D$10:D50),"")</f>
        <v>35</v>
      </c>
      <c r="D50" s="14" t="s">
        <v>200</v>
      </c>
      <c r="E50" s="14">
        <v>3</v>
      </c>
      <c r="F50" s="14">
        <v>3</v>
      </c>
      <c r="G50" s="14">
        <v>2.4</v>
      </c>
      <c r="H50" s="14">
        <v>1</v>
      </c>
      <c r="I50" s="14">
        <v>2</v>
      </c>
      <c r="J50" s="14">
        <v>1.75</v>
      </c>
      <c r="K50" s="14">
        <v>3</v>
      </c>
      <c r="L50" s="15">
        <v>0.1</v>
      </c>
      <c r="M50" s="15">
        <v>0</v>
      </c>
      <c r="N50" s="14">
        <v>24</v>
      </c>
      <c r="O50" s="14">
        <v>50</v>
      </c>
      <c r="P50" s="13">
        <v>45</v>
      </c>
      <c r="Q50" s="13">
        <v>85</v>
      </c>
      <c r="R50" s="13" t="s">
        <v>216</v>
      </c>
      <c r="S50" s="13">
        <v>150</v>
      </c>
      <c r="T50" s="13">
        <v>0</v>
      </c>
      <c r="U50" s="13">
        <v>100</v>
      </c>
      <c r="V50" s="13" t="str">
        <f>R50</f>
        <v>GRADE A</v>
      </c>
      <c r="W50" s="13">
        <f>S50</f>
        <v>150</v>
      </c>
      <c r="X50" s="16">
        <f>E50*F50*10.76</f>
        <v>96.84</v>
      </c>
      <c r="Y50" s="16">
        <f>X50*G50*3.28</f>
        <v>762.32447999999999</v>
      </c>
      <c r="Z50" s="16">
        <f>Y50*S50/60</f>
        <v>1905.8112000000001</v>
      </c>
      <c r="AA50" s="16">
        <f>Z50*L50</f>
        <v>190.58112000000003</v>
      </c>
      <c r="AB50" s="16">
        <f>IF(N50="Amb",Z50,Z50*M50)</f>
        <v>0</v>
      </c>
      <c r="AC50" s="16">
        <f>IF(ISNUMBER(N50), (AA50*0.075*60/2.20462)*BP50/7000, "Ambient")</f>
        <v>0</v>
      </c>
      <c r="AD50" s="16" t="e">
        <f>IF(ISNUMBER(N50), CEILING(CF50/(0.68*BP50),25), "Ambient")</f>
        <v>#DIV/0!</v>
      </c>
      <c r="AE50" s="16" t="e">
        <f>CEILING(MAX((Z50+AA50),AD50),25)</f>
        <v>#DIV/0!</v>
      </c>
      <c r="AF50" s="16" t="e">
        <f>CEILING(IF(OR($R50="ISO 6",$R50="GRADE B",$R50="1K",$R50=1000),AE50*1/175,IF(OR($R50="ISO 5",$R50="GRADE A",$R50=100),AE50*1/100,IF(OR($R50="ISO 7",$R50="GRADE C",$R50="10K",$R50=10000),$AE50*1/250,IF(OR($R50="ISO 8",$R50="GRADE D",$R50="100K",$R50=100000),$AE50*1/250,IF(OR($R50="NC",$R50="20 Micron",$R50="5 Micron",$R50="N C"),$AE50*1/350,0))))),2)</f>
        <v>#DIV/0!</v>
      </c>
      <c r="AG50" s="16" t="e">
        <f>IF(ISNUMBER(N50), CEILING(MAX(AI50,AJ50),0.5), "Ambient")</f>
        <v>#DIV/0!</v>
      </c>
      <c r="AH50" s="838" t="s">
        <v>84</v>
      </c>
      <c r="AI50" s="17">
        <f>IF(ISNUMBER(N50), CEILING(CE50/12000,0.5), "Ambient")</f>
        <v>0</v>
      </c>
      <c r="AJ50" s="17" t="e">
        <f>IF(ISNUMBER(N50),CEILING(AE50/(IF(AH50="C",400,300)),0.5), "Ambient")</f>
        <v>#DIV/0!</v>
      </c>
      <c r="AK50" s="891" t="e">
        <f>CEILING(SUM(AE50:AE65),250)</f>
        <v>#DIV/0!</v>
      </c>
      <c r="AL50" s="18" t="s">
        <v>254</v>
      </c>
      <c r="AM50" s="889">
        <v>150</v>
      </c>
      <c r="AN50" s="891" t="e">
        <f>IF(AK50&lt;=1300,200,IF(AK50&lt;=1600,225,IF(AK50&lt;=2100,250,IF(AK50&lt;=2700,280,IF(AK50&lt;=3450,315,IF(AK50&lt;=4250,355,IF(AK50&lt;=5250,400,IF(AK50&lt;=6750,450,IF(AK50&lt;=8500,500,IF(AK50&lt;=10750,560,IF(AK50&lt;=13500,630,IF(AK50&lt;=17000,710,IF(AK50&lt;=21500,800,IF(AK50&lt;=27000,900,IF(AK50&lt;=34000,1000,IF(AK50&lt;=43000,1120,IF(AK50&lt;=49000,1200,IF(AK50&lt;=68000,1450,"Refer"))))))))))))))))))</f>
        <v>#DIV/0!</v>
      </c>
      <c r="AO50" s="888" t="e">
        <f>IF(AK50*AM50/(6356*0.7*0.9*1.1*25.4)&lt;=1,1,IF(AK50*AM50/(6356*0.7*0.9*1.1*25.4)&lt;=1.5,1.5,IF(AK50*AM50/(6356*0.7*0.9*1.1*25.4)&lt;=2,2,IF(AK50*AM50/(6356*0.7*0.9*1.1*25.4)&lt;=3,3,IF(AK50*AM50/(6356*0.7*0.9*1.1*25.4)&lt;=5,5,IF(AK50*AM50/(6356*0.7*0.9*1.1*25.4)&lt;=7.5,7.5,IF(AK50*AM50/(6356*0.7*0.9*1.1*25.4)&lt;=10,10,IF(AK50*AM50/(6356*0.7*0.9*1.1*25.4)&lt;=12.5,12.5,IF(AK50*AM50/(6356*0.7*0.9*1.1*25.4)&lt;=15,15,IF(AK50*AM50/(6356*0.7*0.9*1.1*25.4)&lt;=20,20,IF(AK50*AM50/(6356*0.7*0.9*1.1*25.4)&lt;=25,25,IF(AK50*AM50/(6356*0.7*0.9*1.1*25.4)&lt;=30,30,IF(AK50*AM50/(6356*0.7*0.9*1.1*25.4)&lt;=40,40,IF(AK50*AM50/(6356*0.7*0.9*1.1*25.4)&lt;=50,50,IF(AK50*AM50/(6356*0.7*0.9*1.1*25.4)&lt;=60,60,IF(AK50*AM50/(6356*0.7*0.9*1.1*25.4)&lt;=75,75,"Refer"))))))))))))))))</f>
        <v>#DIV/0!</v>
      </c>
      <c r="AP50" s="891" t="e">
        <f>IF(AND(AQ50=0, N50="Amb"), "Amb",IF((AL51-250)*(AL53-150)*10.76/(1000*1000) &gt;= MAX(AI66,AJ66), 4,IF((AL51-250)*(AL53-150)*10.76*1.5/(1000*1000) &gt;= MAX(AI66,AJ66), 6,IF((AL51-250)*(AL53-150)*10.76*2/(1000*1000) &gt;= MAX(AI66,AJ66), 8, 0))
 )
)</f>
        <v>#DIV/0!</v>
      </c>
      <c r="AQ50" s="891" t="e">
        <f>AG66</f>
        <v>#DIV/0!</v>
      </c>
      <c r="AR50" s="889">
        <f>_xlfn.SWITCH(TRIM(UPPER(R50)),"ISO 9", 3,"ISO 8", 4,"Grade D", 4,"Class 100,000", 4,"Class 100K", 4,"ISO 7", 3,"Grade C", 3,"Class 10,000", 3,"Class 10K", 3,"ISO 6", 3,"Class 1,000", 3,"Class 1K", 3,"ISO 5", 4,"Grade A", 4,"Grade B", 4,"Class 100", 4,"ISO 4", 3,"ISO 3", 4,"ISO 2", 4,"ISO 1", 4,"NCV20",1,"NCV-10",2,"NCV-5",3,"NCAC-10",1,"NCAC-5",2,"NCAC-1",3,3)</f>
        <v>4</v>
      </c>
      <c r="AS50" s="888" t="e">
        <f>MAX(AI66,AJ66)*24/6</f>
        <v>#DIV/0!</v>
      </c>
      <c r="AT50" s="888" t="e">
        <f>AS50*0.06309</f>
        <v>#DIV/0!</v>
      </c>
      <c r="AU50" s="890">
        <v>2</v>
      </c>
      <c r="AV50" s="888" t="e">
        <f>SQRT((4*AS50*0.00006309)/(3.14*AU50))*1000</f>
        <v>#DIV/0!</v>
      </c>
      <c r="AW50" s="888"/>
      <c r="AX50" s="888"/>
      <c r="AY50" s="887"/>
      <c r="AZ50" s="888"/>
    </row>
    <row r="51" spans="3:52" ht="18.600000000000001">
      <c r="C51" s="13">
        <f>IF(D51&lt;&gt;"",COUNTA($D$10:D51),"")</f>
        <v>36</v>
      </c>
      <c r="D51" s="14" t="s">
        <v>201</v>
      </c>
      <c r="E51" s="14">
        <v>1.8</v>
      </c>
      <c r="F51" s="14">
        <v>2.2000000000000002</v>
      </c>
      <c r="G51" s="14">
        <v>2.4</v>
      </c>
      <c r="H51" s="14">
        <v>2</v>
      </c>
      <c r="I51" s="14">
        <v>1</v>
      </c>
      <c r="J51" s="14">
        <v>1.75</v>
      </c>
      <c r="K51" s="14">
        <v>3</v>
      </c>
      <c r="L51" s="15">
        <v>0.1</v>
      </c>
      <c r="M51" s="15">
        <v>0</v>
      </c>
      <c r="N51" s="14">
        <v>24</v>
      </c>
      <c r="O51" s="14">
        <v>50</v>
      </c>
      <c r="P51" s="13">
        <v>45</v>
      </c>
      <c r="Q51" s="13">
        <v>85</v>
      </c>
      <c r="R51" s="13" t="s">
        <v>216</v>
      </c>
      <c r="S51" s="13">
        <v>150</v>
      </c>
      <c r="T51" s="13">
        <v>0</v>
      </c>
      <c r="U51" s="13">
        <v>100</v>
      </c>
      <c r="V51" s="13" t="str">
        <f t="shared" ref="V51:W65" si="17">R51</f>
        <v>GRADE A</v>
      </c>
      <c r="W51" s="13">
        <f t="shared" si="17"/>
        <v>150</v>
      </c>
      <c r="X51" s="16">
        <f t="shared" ref="X51:X65" si="18">E51*F51*10.76</f>
        <v>42.6096</v>
      </c>
      <c r="Y51" s="16">
        <f t="shared" ref="Y51:Y65" si="19">X51*G51*3.28</f>
        <v>335.4227712</v>
      </c>
      <c r="Z51" s="16">
        <f t="shared" ref="Z51:Z65" si="20">Y51*S51/60</f>
        <v>838.55692799999997</v>
      </c>
      <c r="AA51" s="16">
        <f t="shared" ref="AA51:AA65" si="21">Z51*L51</f>
        <v>83.8556928</v>
      </c>
      <c r="AB51" s="16">
        <f t="shared" ref="AB51:AB65" si="22">IF(N51="Amb",Z51,Z51*M51)</f>
        <v>0</v>
      </c>
      <c r="AC51" s="16">
        <f t="shared" ref="AC51:AC65" si="23">IF(ISNUMBER(N51), (AA51*0.075*60/2.20462)*BP51/7000, "Ambient")</f>
        <v>0</v>
      </c>
      <c r="AD51" s="16" t="e">
        <f t="shared" ref="AD51:AD57" si="24">IF(ISNUMBER(N51), CEILING(CF51/(0.68*BP51),25), "Ambient")</f>
        <v>#DIV/0!</v>
      </c>
      <c r="AE51" s="16" t="e">
        <f t="shared" ref="AE51:AE65" si="25">CEILING(MAX((Z51+AA51),AD51),25)</f>
        <v>#DIV/0!</v>
      </c>
      <c r="AF51" s="16" t="e">
        <f t="shared" ref="AF51:AF65" si="26">CEILING(IF(OR($R51="ISO 6",$R51="GRADE B",$R51="1K",$R51=1000),AE51*1/175,IF(OR($R51="ISO 5",$R51="GRADE A",$R51=100),AE51*1/100,IF(OR($R51="ISO 7",$R51="GRADE C",$R51="10K",$R51=10000),$AE51*1/250,IF(OR($R51="ISO 8",$R51="GRADE D",$R51="100K",$R51=100000),$AE51*1/250,IF(OR($R51="NC",$R51="20 Micron",$R51="5 Micron",$R51="N C"),$AE51*1/350,0))))),2)</f>
        <v>#DIV/0!</v>
      </c>
      <c r="AG51" s="16" t="e">
        <f t="shared" ref="AG51:AG65" si="27">IF(ISNUMBER(N51), CEILING(MAX(AI51,AJ51),0.5), "Ambient")</f>
        <v>#DIV/0!</v>
      </c>
      <c r="AH51" s="838" t="s">
        <v>84</v>
      </c>
      <c r="AI51" s="17">
        <f t="shared" ref="AI51:AI65" si="28">IF(ISNUMBER(N51), CEILING(CE51/12000,0.5), "Ambient")</f>
        <v>0</v>
      </c>
      <c r="AJ51" s="17" t="e">
        <f t="shared" ref="AJ51:AJ65" si="29">IF(ISNUMBER(N51),CEILING(AE51/(IF(AH51="C",400,300)),0.5), "Ambient")</f>
        <v>#DIV/0!</v>
      </c>
      <c r="AK51" s="891"/>
      <c r="AL51" s="18" t="e">
        <f>IF(AK50&lt;=2000,950,(IF(AK50&lt;=3000,1150,(IF(AK50&lt;=8000,1550,(IF(AK50&lt;=10000,1750,(IF(AK50&lt;=18000,2050,(IF(AK50&lt;=32000,2900,(IF(AK50&lt;=40000,3600,4000)))))))))))))</f>
        <v>#DIV/0!</v>
      </c>
      <c r="AM51" s="889"/>
      <c r="AN51" s="891"/>
      <c r="AO51" s="888"/>
      <c r="AP51" s="891"/>
      <c r="AQ51" s="891"/>
      <c r="AR51" s="889"/>
      <c r="AS51" s="888"/>
      <c r="AT51" s="888"/>
      <c r="AU51" s="890"/>
      <c r="AV51" s="888"/>
      <c r="AW51" s="888"/>
      <c r="AX51" s="888"/>
      <c r="AY51" s="887"/>
      <c r="AZ51" s="888"/>
    </row>
    <row r="52" spans="3:52" ht="18.600000000000001">
      <c r="C52" s="13">
        <f>IF(D52&lt;&gt;"",COUNTA($D$10:D52),"")</f>
        <v>37</v>
      </c>
      <c r="D52" s="14" t="s">
        <v>202</v>
      </c>
      <c r="E52" s="14">
        <v>1.5</v>
      </c>
      <c r="F52" s="14">
        <v>2.8</v>
      </c>
      <c r="G52" s="14">
        <v>2.4</v>
      </c>
      <c r="H52" s="14">
        <v>2</v>
      </c>
      <c r="I52" s="14">
        <v>3</v>
      </c>
      <c r="J52" s="14">
        <v>1.75</v>
      </c>
      <c r="K52" s="14">
        <v>3</v>
      </c>
      <c r="L52" s="15">
        <v>0.1</v>
      </c>
      <c r="M52" s="15">
        <v>0</v>
      </c>
      <c r="N52" s="14">
        <v>24</v>
      </c>
      <c r="O52" s="14">
        <v>50</v>
      </c>
      <c r="P52" s="13">
        <v>45</v>
      </c>
      <c r="Q52" s="13">
        <v>85</v>
      </c>
      <c r="R52" s="13" t="s">
        <v>216</v>
      </c>
      <c r="S52" s="13">
        <v>150</v>
      </c>
      <c r="T52" s="13">
        <v>0</v>
      </c>
      <c r="U52" s="13">
        <v>100</v>
      </c>
      <c r="V52" s="13" t="str">
        <f t="shared" si="17"/>
        <v>GRADE A</v>
      </c>
      <c r="W52" s="13">
        <f t="shared" si="17"/>
        <v>150</v>
      </c>
      <c r="X52" s="16">
        <f t="shared" si="18"/>
        <v>45.191999999999993</v>
      </c>
      <c r="Y52" s="16">
        <f t="shared" si="19"/>
        <v>355.75142399999993</v>
      </c>
      <c r="Z52" s="16">
        <f t="shared" si="20"/>
        <v>889.37855999999977</v>
      </c>
      <c r="AA52" s="16">
        <f t="shared" si="21"/>
        <v>88.937855999999982</v>
      </c>
      <c r="AB52" s="16">
        <f t="shared" si="22"/>
        <v>0</v>
      </c>
      <c r="AC52" s="16">
        <f t="shared" si="23"/>
        <v>0</v>
      </c>
      <c r="AD52" s="16" t="e">
        <f t="shared" si="24"/>
        <v>#DIV/0!</v>
      </c>
      <c r="AE52" s="16" t="e">
        <f t="shared" si="25"/>
        <v>#DIV/0!</v>
      </c>
      <c r="AF52" s="16" t="e">
        <f t="shared" si="26"/>
        <v>#DIV/0!</v>
      </c>
      <c r="AG52" s="16" t="e">
        <f t="shared" si="27"/>
        <v>#DIV/0!</v>
      </c>
      <c r="AH52" s="838" t="s">
        <v>84</v>
      </c>
      <c r="AI52" s="17">
        <f t="shared" si="28"/>
        <v>0</v>
      </c>
      <c r="AJ52" s="17" t="e">
        <f t="shared" si="29"/>
        <v>#DIV/0!</v>
      </c>
      <c r="AK52" s="891"/>
      <c r="AL52" s="18" t="s">
        <v>255</v>
      </c>
      <c r="AM52" s="889"/>
      <c r="AN52" s="891"/>
      <c r="AO52" s="888"/>
      <c r="AP52" s="891"/>
      <c r="AQ52" s="891"/>
      <c r="AR52" s="889"/>
      <c r="AS52" s="888"/>
      <c r="AT52" s="888"/>
      <c r="AU52" s="890"/>
      <c r="AV52" s="888"/>
      <c r="AW52" s="888"/>
      <c r="AX52" s="888"/>
      <c r="AY52" s="887"/>
      <c r="AZ52" s="888"/>
    </row>
    <row r="53" spans="3:52" ht="18.600000000000001">
      <c r="C53" s="13">
        <f>IF(D53&lt;&gt;"",COUNTA($D$10:D53),"")</f>
        <v>38</v>
      </c>
      <c r="D53" s="14" t="s">
        <v>203</v>
      </c>
      <c r="E53" s="14">
        <v>2.1</v>
      </c>
      <c r="F53" s="14">
        <v>3.5</v>
      </c>
      <c r="G53" s="14">
        <v>2.4</v>
      </c>
      <c r="H53" s="14">
        <v>0</v>
      </c>
      <c r="I53" s="14">
        <v>1</v>
      </c>
      <c r="J53" s="14">
        <v>1.75</v>
      </c>
      <c r="K53" s="14">
        <v>3</v>
      </c>
      <c r="L53" s="15">
        <v>0.1</v>
      </c>
      <c r="M53" s="15">
        <v>0</v>
      </c>
      <c r="N53" s="14">
        <v>24</v>
      </c>
      <c r="O53" s="14">
        <v>50</v>
      </c>
      <c r="P53" s="13">
        <v>45</v>
      </c>
      <c r="Q53" s="13">
        <v>85</v>
      </c>
      <c r="R53" s="13" t="s">
        <v>216</v>
      </c>
      <c r="S53" s="13">
        <v>150</v>
      </c>
      <c r="T53" s="13">
        <v>0</v>
      </c>
      <c r="U53" s="13">
        <v>100</v>
      </c>
      <c r="V53" s="13" t="str">
        <f t="shared" si="17"/>
        <v>GRADE A</v>
      </c>
      <c r="W53" s="13">
        <f t="shared" si="17"/>
        <v>150</v>
      </c>
      <c r="X53" s="16">
        <f t="shared" si="18"/>
        <v>79.085999999999999</v>
      </c>
      <c r="Y53" s="16">
        <f t="shared" si="19"/>
        <v>622.56499199999996</v>
      </c>
      <c r="Z53" s="16">
        <f t="shared" si="20"/>
        <v>1556.41248</v>
      </c>
      <c r="AA53" s="16">
        <f t="shared" si="21"/>
        <v>155.64124800000002</v>
      </c>
      <c r="AB53" s="16">
        <f t="shared" si="22"/>
        <v>0</v>
      </c>
      <c r="AC53" s="16">
        <f t="shared" si="23"/>
        <v>0</v>
      </c>
      <c r="AD53" s="16" t="e">
        <f t="shared" si="24"/>
        <v>#DIV/0!</v>
      </c>
      <c r="AE53" s="16" t="e">
        <f t="shared" si="25"/>
        <v>#DIV/0!</v>
      </c>
      <c r="AF53" s="16" t="e">
        <f t="shared" si="26"/>
        <v>#DIV/0!</v>
      </c>
      <c r="AG53" s="16" t="e">
        <f t="shared" si="27"/>
        <v>#DIV/0!</v>
      </c>
      <c r="AH53" s="838" t="s">
        <v>84</v>
      </c>
      <c r="AI53" s="17">
        <f t="shared" si="28"/>
        <v>0</v>
      </c>
      <c r="AJ53" s="17" t="e">
        <f t="shared" si="29"/>
        <v>#DIV/0!</v>
      </c>
      <c r="AK53" s="891"/>
      <c r="AL53" s="18" t="e">
        <f>IF(AK50&lt;=2000,950,(IF(AK50&lt;=4000,1100,(IF(AK50&lt;=6000,1250,(IF(AK50&lt;=10000,1550,(IF(AK50&lt;=15000,1750,(IF(AK50&lt;=24000,2050,(IF(AK50&lt;=40000,2900,3600)))))))))))))</f>
        <v>#DIV/0!</v>
      </c>
      <c r="AM53" s="889"/>
      <c r="AN53" s="891"/>
      <c r="AO53" s="888"/>
      <c r="AP53" s="891"/>
      <c r="AQ53" s="891"/>
      <c r="AR53" s="889"/>
      <c r="AS53" s="888"/>
      <c r="AT53" s="888"/>
      <c r="AU53" s="890"/>
      <c r="AV53" s="888"/>
      <c r="AW53" s="888"/>
      <c r="AX53" s="888"/>
      <c r="AY53" s="887"/>
      <c r="AZ53" s="888"/>
    </row>
    <row r="54" spans="3:52" ht="18.600000000000001">
      <c r="C54" s="13">
        <f>IF(D54&lt;&gt;"",COUNTA($D$10:D54),"")</f>
        <v>39</v>
      </c>
      <c r="D54" s="14" t="s">
        <v>204</v>
      </c>
      <c r="E54" s="14">
        <v>2.7</v>
      </c>
      <c r="F54" s="14">
        <v>4</v>
      </c>
      <c r="G54" s="14">
        <v>2.4</v>
      </c>
      <c r="H54" s="14">
        <v>2</v>
      </c>
      <c r="I54" s="14">
        <v>1</v>
      </c>
      <c r="J54" s="14">
        <v>1.75</v>
      </c>
      <c r="K54" s="14">
        <v>3</v>
      </c>
      <c r="L54" s="15">
        <v>0.1</v>
      </c>
      <c r="M54" s="15">
        <v>0</v>
      </c>
      <c r="N54" s="14">
        <v>24</v>
      </c>
      <c r="O54" s="14">
        <v>50</v>
      </c>
      <c r="P54" s="13">
        <v>45</v>
      </c>
      <c r="Q54" s="13">
        <v>85</v>
      </c>
      <c r="R54" s="13" t="s">
        <v>216</v>
      </c>
      <c r="S54" s="13">
        <v>150</v>
      </c>
      <c r="T54" s="13">
        <v>0</v>
      </c>
      <c r="U54" s="13">
        <v>100</v>
      </c>
      <c r="V54" s="13" t="str">
        <f t="shared" si="17"/>
        <v>GRADE A</v>
      </c>
      <c r="W54" s="13">
        <f t="shared" si="17"/>
        <v>150</v>
      </c>
      <c r="X54" s="16">
        <f t="shared" si="18"/>
        <v>116.208</v>
      </c>
      <c r="Y54" s="16">
        <f t="shared" si="19"/>
        <v>914.78937599999995</v>
      </c>
      <c r="Z54" s="16">
        <f t="shared" si="20"/>
        <v>2286.9734399999998</v>
      </c>
      <c r="AA54" s="16">
        <f t="shared" si="21"/>
        <v>228.69734399999999</v>
      </c>
      <c r="AB54" s="16">
        <f t="shared" si="22"/>
        <v>0</v>
      </c>
      <c r="AC54" s="16">
        <f t="shared" si="23"/>
        <v>0</v>
      </c>
      <c r="AD54" s="16" t="e">
        <f t="shared" si="24"/>
        <v>#DIV/0!</v>
      </c>
      <c r="AE54" s="16" t="e">
        <f t="shared" si="25"/>
        <v>#DIV/0!</v>
      </c>
      <c r="AF54" s="16" t="e">
        <f t="shared" si="26"/>
        <v>#DIV/0!</v>
      </c>
      <c r="AG54" s="16" t="e">
        <f t="shared" si="27"/>
        <v>#DIV/0!</v>
      </c>
      <c r="AH54" s="838" t="s">
        <v>84</v>
      </c>
      <c r="AI54" s="17">
        <f t="shared" si="28"/>
        <v>0</v>
      </c>
      <c r="AJ54" s="17" t="e">
        <f t="shared" si="29"/>
        <v>#DIV/0!</v>
      </c>
      <c r="AK54" s="891"/>
      <c r="AL54" s="18" t="s">
        <v>256</v>
      </c>
      <c r="AM54" s="889"/>
      <c r="AN54" s="891"/>
      <c r="AO54" s="888"/>
      <c r="AP54" s="891"/>
      <c r="AQ54" s="891"/>
      <c r="AR54" s="889"/>
      <c r="AS54" s="888"/>
      <c r="AT54" s="888"/>
      <c r="AU54" s="890"/>
      <c r="AV54" s="888"/>
      <c r="AW54" s="888"/>
      <c r="AX54" s="888"/>
      <c r="AY54" s="887"/>
      <c r="AZ54" s="888"/>
    </row>
    <row r="55" spans="3:52" ht="18.600000000000001">
      <c r="C55" s="13">
        <f>IF(D55&lt;&gt;"",COUNTA($D$10:D55),"")</f>
        <v>40</v>
      </c>
      <c r="D55" s="14" t="s">
        <v>205</v>
      </c>
      <c r="E55" s="14">
        <v>3.8</v>
      </c>
      <c r="F55" s="14">
        <v>4.2</v>
      </c>
      <c r="G55" s="14">
        <v>2.4</v>
      </c>
      <c r="H55" s="14">
        <v>3</v>
      </c>
      <c r="I55" s="14">
        <v>3</v>
      </c>
      <c r="J55" s="14">
        <v>1.75</v>
      </c>
      <c r="K55" s="14">
        <v>3</v>
      </c>
      <c r="L55" s="15">
        <v>0.1</v>
      </c>
      <c r="M55" s="15">
        <v>0</v>
      </c>
      <c r="N55" s="14">
        <v>24</v>
      </c>
      <c r="O55" s="14">
        <v>50</v>
      </c>
      <c r="P55" s="13">
        <v>45</v>
      </c>
      <c r="Q55" s="13">
        <v>85</v>
      </c>
      <c r="R55" s="13" t="s">
        <v>216</v>
      </c>
      <c r="S55" s="13">
        <v>150</v>
      </c>
      <c r="T55" s="13">
        <v>0</v>
      </c>
      <c r="U55" s="13">
        <v>100</v>
      </c>
      <c r="V55" s="13" t="str">
        <f t="shared" si="17"/>
        <v>GRADE A</v>
      </c>
      <c r="W55" s="13">
        <f t="shared" si="17"/>
        <v>150</v>
      </c>
      <c r="X55" s="16">
        <f t="shared" si="18"/>
        <v>171.72959999999998</v>
      </c>
      <c r="Y55" s="16">
        <f t="shared" si="19"/>
        <v>1351.8554111999997</v>
      </c>
      <c r="Z55" s="16">
        <f t="shared" si="20"/>
        <v>3379.638527999999</v>
      </c>
      <c r="AA55" s="16">
        <f t="shared" si="21"/>
        <v>337.96385279999993</v>
      </c>
      <c r="AB55" s="16">
        <f t="shared" si="22"/>
        <v>0</v>
      </c>
      <c r="AC55" s="16">
        <f t="shared" si="23"/>
        <v>0</v>
      </c>
      <c r="AD55" s="16" t="e">
        <f t="shared" si="24"/>
        <v>#DIV/0!</v>
      </c>
      <c r="AE55" s="16" t="e">
        <f t="shared" si="25"/>
        <v>#DIV/0!</v>
      </c>
      <c r="AF55" s="16" t="e">
        <f t="shared" si="26"/>
        <v>#DIV/0!</v>
      </c>
      <c r="AG55" s="16" t="e">
        <f t="shared" si="27"/>
        <v>#DIV/0!</v>
      </c>
      <c r="AH55" s="838" t="s">
        <v>84</v>
      </c>
      <c r="AI55" s="17">
        <f t="shared" si="28"/>
        <v>0</v>
      </c>
      <c r="AJ55" s="17" t="e">
        <f t="shared" si="29"/>
        <v>#DIV/0!</v>
      </c>
      <c r="AK55" s="891"/>
      <c r="AL55" s="18" t="e">
        <f>IF(AL59&lt;4000,AL59,AL59+400)</f>
        <v>#DIV/0!</v>
      </c>
      <c r="AM55" s="889"/>
      <c r="AN55" s="891"/>
      <c r="AO55" s="888"/>
      <c r="AP55" s="891"/>
      <c r="AQ55" s="891"/>
      <c r="AR55" s="889"/>
      <c r="AS55" s="888"/>
      <c r="AT55" s="888"/>
      <c r="AU55" s="890"/>
      <c r="AV55" s="888"/>
      <c r="AW55" s="888"/>
      <c r="AX55" s="888"/>
      <c r="AY55" s="887"/>
      <c r="AZ55" s="888"/>
    </row>
    <row r="56" spans="3:52" ht="18.600000000000001">
      <c r="C56" s="13">
        <f>IF(D56&lt;&gt;"",COUNTA($D$10:D56),"")</f>
        <v>41</v>
      </c>
      <c r="D56" s="14" t="s">
        <v>206</v>
      </c>
      <c r="E56" s="14">
        <v>3.1</v>
      </c>
      <c r="F56" s="14">
        <v>2.6</v>
      </c>
      <c r="G56" s="14">
        <v>2.4</v>
      </c>
      <c r="H56" s="14">
        <v>2</v>
      </c>
      <c r="I56" s="14">
        <v>1</v>
      </c>
      <c r="J56" s="14">
        <v>1.75</v>
      </c>
      <c r="K56" s="14">
        <v>3</v>
      </c>
      <c r="L56" s="15">
        <v>0.1</v>
      </c>
      <c r="M56" s="15">
        <v>0</v>
      </c>
      <c r="N56" s="14">
        <v>24</v>
      </c>
      <c r="O56" s="14">
        <v>50</v>
      </c>
      <c r="P56" s="13">
        <v>45</v>
      </c>
      <c r="Q56" s="13">
        <v>85</v>
      </c>
      <c r="R56" s="13" t="s">
        <v>216</v>
      </c>
      <c r="S56" s="13">
        <v>150</v>
      </c>
      <c r="T56" s="13">
        <v>0</v>
      </c>
      <c r="U56" s="13">
        <v>100</v>
      </c>
      <c r="V56" s="13" t="str">
        <f t="shared" si="17"/>
        <v>GRADE A</v>
      </c>
      <c r="W56" s="13">
        <f t="shared" si="17"/>
        <v>150</v>
      </c>
      <c r="X56" s="16">
        <f t="shared" si="18"/>
        <v>86.7256</v>
      </c>
      <c r="Y56" s="16">
        <f t="shared" si="19"/>
        <v>682.70392319999996</v>
      </c>
      <c r="Z56" s="16">
        <f t="shared" si="20"/>
        <v>1706.7598079999998</v>
      </c>
      <c r="AA56" s="16">
        <f t="shared" si="21"/>
        <v>170.67598079999999</v>
      </c>
      <c r="AB56" s="16">
        <f t="shared" si="22"/>
        <v>0</v>
      </c>
      <c r="AC56" s="16">
        <f t="shared" si="23"/>
        <v>0</v>
      </c>
      <c r="AD56" s="16" t="e">
        <f t="shared" si="24"/>
        <v>#DIV/0!</v>
      </c>
      <c r="AE56" s="16" t="e">
        <f t="shared" si="25"/>
        <v>#DIV/0!</v>
      </c>
      <c r="AF56" s="16" t="e">
        <f t="shared" si="26"/>
        <v>#DIV/0!</v>
      </c>
      <c r="AG56" s="16" t="e">
        <f t="shared" si="27"/>
        <v>#DIV/0!</v>
      </c>
      <c r="AH56" s="838" t="s">
        <v>84</v>
      </c>
      <c r="AI56" s="17">
        <f t="shared" si="28"/>
        <v>0</v>
      </c>
      <c r="AJ56" s="17" t="e">
        <f t="shared" si="29"/>
        <v>#DIV/0!</v>
      </c>
      <c r="AK56" s="891"/>
      <c r="AL56" s="18"/>
      <c r="AM56" s="889"/>
      <c r="AN56" s="891"/>
      <c r="AO56" s="888"/>
      <c r="AP56" s="891"/>
      <c r="AQ56" s="891"/>
      <c r="AR56" s="889"/>
      <c r="AS56" s="888"/>
      <c r="AT56" s="888"/>
      <c r="AU56" s="890"/>
      <c r="AV56" s="888"/>
      <c r="AW56" s="888"/>
      <c r="AX56" s="888"/>
      <c r="AY56" s="887"/>
      <c r="AZ56" s="888"/>
    </row>
    <row r="57" spans="3:52" ht="18.600000000000001">
      <c r="C57" s="13">
        <f>IF(D57&lt;&gt;"",COUNTA($D$10:D57),"")</f>
        <v>42</v>
      </c>
      <c r="D57" s="14" t="s">
        <v>207</v>
      </c>
      <c r="E57" s="14">
        <v>1.9</v>
      </c>
      <c r="F57" s="14">
        <v>2.4</v>
      </c>
      <c r="G57" s="14">
        <v>2.4</v>
      </c>
      <c r="H57" s="14">
        <v>3</v>
      </c>
      <c r="I57" s="14">
        <v>2</v>
      </c>
      <c r="J57" s="14">
        <v>1.75</v>
      </c>
      <c r="K57" s="14">
        <v>3</v>
      </c>
      <c r="L57" s="15">
        <v>0.1</v>
      </c>
      <c r="M57" s="15">
        <v>0</v>
      </c>
      <c r="N57" s="14">
        <v>24</v>
      </c>
      <c r="O57" s="14">
        <v>50</v>
      </c>
      <c r="P57" s="13">
        <v>45</v>
      </c>
      <c r="Q57" s="13">
        <v>85</v>
      </c>
      <c r="R57" s="13" t="s">
        <v>216</v>
      </c>
      <c r="S57" s="13">
        <v>150</v>
      </c>
      <c r="T57" s="13">
        <v>0</v>
      </c>
      <c r="U57" s="13">
        <v>100</v>
      </c>
      <c r="V57" s="13" t="str">
        <f t="shared" si="17"/>
        <v>GRADE A</v>
      </c>
      <c r="W57" s="13">
        <f t="shared" si="17"/>
        <v>150</v>
      </c>
      <c r="X57" s="16">
        <f t="shared" si="18"/>
        <v>49.065599999999996</v>
      </c>
      <c r="Y57" s="16">
        <f t="shared" si="19"/>
        <v>386.24440319999997</v>
      </c>
      <c r="Z57" s="16">
        <f t="shared" si="20"/>
        <v>965.61100799999986</v>
      </c>
      <c r="AA57" s="16">
        <f t="shared" si="21"/>
        <v>96.561100799999991</v>
      </c>
      <c r="AB57" s="16">
        <f t="shared" si="22"/>
        <v>0</v>
      </c>
      <c r="AC57" s="16">
        <f t="shared" si="23"/>
        <v>0</v>
      </c>
      <c r="AD57" s="16" t="e">
        <f t="shared" si="24"/>
        <v>#DIV/0!</v>
      </c>
      <c r="AE57" s="16" t="e">
        <f t="shared" si="25"/>
        <v>#DIV/0!</v>
      </c>
      <c r="AF57" s="16" t="e">
        <f t="shared" si="26"/>
        <v>#DIV/0!</v>
      </c>
      <c r="AG57" s="16" t="e">
        <f t="shared" si="27"/>
        <v>#DIV/0!</v>
      </c>
      <c r="AH57" s="838" t="s">
        <v>84</v>
      </c>
      <c r="AI57" s="17">
        <f t="shared" si="28"/>
        <v>0</v>
      </c>
      <c r="AJ57" s="17" t="e">
        <f t="shared" si="29"/>
        <v>#DIV/0!</v>
      </c>
      <c r="AK57" s="891"/>
      <c r="AL57" s="18"/>
      <c r="AM57" s="889"/>
      <c r="AN57" s="891"/>
      <c r="AO57" s="888"/>
      <c r="AP57" s="891"/>
      <c r="AQ57" s="891"/>
      <c r="AR57" s="889"/>
      <c r="AS57" s="888"/>
      <c r="AT57" s="888"/>
      <c r="AU57" s="890"/>
      <c r="AV57" s="888"/>
      <c r="AW57" s="888"/>
      <c r="AX57" s="888"/>
      <c r="AY57" s="887"/>
      <c r="AZ57" s="888"/>
    </row>
    <row r="58" spans="3:52" ht="18.600000000000001">
      <c r="C58" s="13">
        <f>IF(D58&lt;&gt;"",COUNTA($D$10:D58),"")</f>
        <v>43</v>
      </c>
      <c r="D58" s="14" t="s">
        <v>208</v>
      </c>
      <c r="E58" s="14">
        <v>3</v>
      </c>
      <c r="F58" s="14">
        <v>2.9</v>
      </c>
      <c r="G58" s="14">
        <v>2.4</v>
      </c>
      <c r="H58" s="14">
        <v>2</v>
      </c>
      <c r="I58" s="14">
        <v>1</v>
      </c>
      <c r="J58" s="14">
        <v>1.75</v>
      </c>
      <c r="K58" s="14">
        <v>3</v>
      </c>
      <c r="L58" s="15">
        <v>0.1</v>
      </c>
      <c r="M58" s="15">
        <v>0</v>
      </c>
      <c r="N58" s="14">
        <v>24</v>
      </c>
      <c r="O58" s="14">
        <v>50</v>
      </c>
      <c r="P58" s="13">
        <v>45</v>
      </c>
      <c r="Q58" s="13">
        <v>85</v>
      </c>
      <c r="R58" s="13" t="s">
        <v>216</v>
      </c>
      <c r="S58" s="13">
        <v>150</v>
      </c>
      <c r="T58" s="13">
        <v>0</v>
      </c>
      <c r="U58" s="13">
        <v>100</v>
      </c>
      <c r="V58" s="13" t="str">
        <f t="shared" si="17"/>
        <v>GRADE A</v>
      </c>
      <c r="W58" s="13">
        <f t="shared" si="17"/>
        <v>150</v>
      </c>
      <c r="X58" s="16">
        <f t="shared" si="18"/>
        <v>93.611999999999995</v>
      </c>
      <c r="Y58" s="16">
        <f t="shared" si="19"/>
        <v>736.91366399999993</v>
      </c>
      <c r="Z58" s="16">
        <f t="shared" si="20"/>
        <v>1842.2841599999997</v>
      </c>
      <c r="AA58" s="16">
        <f t="shared" si="21"/>
        <v>184.22841599999998</v>
      </c>
      <c r="AB58" s="16">
        <f t="shared" si="22"/>
        <v>0</v>
      </c>
      <c r="AC58" s="16">
        <f t="shared" si="23"/>
        <v>0</v>
      </c>
      <c r="AD58" s="16" t="e">
        <f>IF(ISNUMBER(N58), CEILING(CF58/(0.68*BP58),25), "Ambient")</f>
        <v>#DIV/0!</v>
      </c>
      <c r="AE58" s="16" t="e">
        <f t="shared" si="25"/>
        <v>#DIV/0!</v>
      </c>
      <c r="AF58" s="16" t="e">
        <f t="shared" si="26"/>
        <v>#DIV/0!</v>
      </c>
      <c r="AG58" s="16" t="e">
        <f t="shared" si="27"/>
        <v>#DIV/0!</v>
      </c>
      <c r="AH58" s="838" t="s">
        <v>84</v>
      </c>
      <c r="AI58" s="17">
        <f t="shared" si="28"/>
        <v>0</v>
      </c>
      <c r="AJ58" s="17" t="e">
        <f t="shared" si="29"/>
        <v>#DIV/0!</v>
      </c>
      <c r="AK58" s="891"/>
      <c r="AL58" s="18"/>
      <c r="AM58" s="889"/>
      <c r="AN58" s="891"/>
      <c r="AO58" s="888"/>
      <c r="AP58" s="891"/>
      <c r="AQ58" s="891"/>
      <c r="AR58" s="889"/>
      <c r="AS58" s="888"/>
      <c r="AT58" s="888"/>
      <c r="AU58" s="890"/>
      <c r="AV58" s="888"/>
      <c r="AW58" s="888"/>
      <c r="AX58" s="888"/>
      <c r="AY58" s="887"/>
      <c r="AZ58" s="888"/>
    </row>
    <row r="59" spans="3:52" ht="18.600000000000001">
      <c r="C59" s="13">
        <f>IF(D59&lt;&gt;"",COUNTA($D$10:D59),"")</f>
        <v>44</v>
      </c>
      <c r="D59" s="14" t="s">
        <v>209</v>
      </c>
      <c r="E59" s="14">
        <v>2.4</v>
      </c>
      <c r="F59" s="14">
        <v>2</v>
      </c>
      <c r="G59" s="14">
        <v>2.4</v>
      </c>
      <c r="H59" s="14">
        <v>2</v>
      </c>
      <c r="I59" s="14">
        <v>1</v>
      </c>
      <c r="J59" s="14">
        <v>1.75</v>
      </c>
      <c r="K59" s="14">
        <v>3</v>
      </c>
      <c r="L59" s="15">
        <v>0.1</v>
      </c>
      <c r="M59" s="15">
        <v>0</v>
      </c>
      <c r="N59" s="14">
        <v>24</v>
      </c>
      <c r="O59" s="14">
        <v>50</v>
      </c>
      <c r="P59" s="13">
        <v>45</v>
      </c>
      <c r="Q59" s="13">
        <v>85</v>
      </c>
      <c r="R59" s="13" t="s">
        <v>216</v>
      </c>
      <c r="S59" s="13">
        <v>150</v>
      </c>
      <c r="T59" s="13">
        <v>0</v>
      </c>
      <c r="U59" s="13">
        <v>100</v>
      </c>
      <c r="V59" s="13" t="str">
        <f t="shared" si="17"/>
        <v>GRADE A</v>
      </c>
      <c r="W59" s="13">
        <f t="shared" si="17"/>
        <v>150</v>
      </c>
      <c r="X59" s="16">
        <f t="shared" si="18"/>
        <v>51.647999999999996</v>
      </c>
      <c r="Y59" s="16">
        <f t="shared" si="19"/>
        <v>406.57305599999995</v>
      </c>
      <c r="Z59" s="16">
        <f t="shared" si="20"/>
        <v>1016.4326399999999</v>
      </c>
      <c r="AA59" s="16">
        <f t="shared" si="21"/>
        <v>101.64326399999999</v>
      </c>
      <c r="AB59" s="16">
        <f t="shared" si="22"/>
        <v>0</v>
      </c>
      <c r="AC59" s="16">
        <f t="shared" si="23"/>
        <v>0</v>
      </c>
      <c r="AD59" s="16" t="e">
        <f t="shared" ref="AD59:AD65" si="30">IF(ISNUMBER(N59), CEILING(CF59/(0.68*BP59),25), "Ambient")</f>
        <v>#DIV/0!</v>
      </c>
      <c r="AE59" s="16" t="e">
        <f t="shared" si="25"/>
        <v>#DIV/0!</v>
      </c>
      <c r="AF59" s="16" t="e">
        <f t="shared" si="26"/>
        <v>#DIV/0!</v>
      </c>
      <c r="AG59" s="16" t="e">
        <f t="shared" si="27"/>
        <v>#DIV/0!</v>
      </c>
      <c r="AH59" s="838" t="s">
        <v>84</v>
      </c>
      <c r="AI59" s="17">
        <f t="shared" si="28"/>
        <v>0</v>
      </c>
      <c r="AJ59" s="17" t="e">
        <f t="shared" si="29"/>
        <v>#DIV/0!</v>
      </c>
      <c r="AK59" s="891"/>
      <c r="AL59" s="174" t="e">
        <f>IF(AN50&lt;=315,1600,(IF(AN50=355,1650,(IF(AN50=400,1650,(IF(AN50=450,1700,(IF(AN50=500,1700,(IF(AN50=560,1800,(IF(AN50=630,2000,(IF(AN50=710,2200,2500)))))))))))))))+IF(AR50=2,1800,(IF(AR50=3,2300,(IF(AR50=4,3300,0)))))+IF(AP50&lt;=4,600,(IF(AP50&lt;=6,800,(IF(AP50&lt;=8,1000,1200)))))</f>
        <v>#DIV/0!</v>
      </c>
      <c r="AM59" s="889"/>
      <c r="AN59" s="891"/>
      <c r="AO59" s="888"/>
      <c r="AP59" s="891"/>
      <c r="AQ59" s="891"/>
      <c r="AR59" s="889"/>
      <c r="AS59" s="888"/>
      <c r="AT59" s="888"/>
      <c r="AU59" s="890"/>
      <c r="AV59" s="888"/>
      <c r="AW59" s="888"/>
      <c r="AX59" s="888"/>
      <c r="AY59" s="887"/>
      <c r="AZ59" s="888"/>
    </row>
    <row r="60" spans="3:52" ht="18.600000000000001">
      <c r="C60" s="13">
        <f>IF(D60&lt;&gt;"",COUNTA($D$10:D60),"")</f>
        <v>45</v>
      </c>
      <c r="D60" s="14" t="s">
        <v>210</v>
      </c>
      <c r="E60" s="14">
        <v>2.1</v>
      </c>
      <c r="F60" s="14">
        <v>1.8</v>
      </c>
      <c r="G60" s="14">
        <v>2.4</v>
      </c>
      <c r="H60" s="14">
        <v>2</v>
      </c>
      <c r="I60" s="14">
        <v>1</v>
      </c>
      <c r="J60" s="14">
        <v>1.75</v>
      </c>
      <c r="K60" s="14">
        <v>3</v>
      </c>
      <c r="L60" s="15">
        <v>0.1</v>
      </c>
      <c r="M60" s="15">
        <v>0</v>
      </c>
      <c r="N60" s="14">
        <v>24</v>
      </c>
      <c r="O60" s="14">
        <v>50</v>
      </c>
      <c r="P60" s="13">
        <v>45</v>
      </c>
      <c r="Q60" s="13">
        <v>85</v>
      </c>
      <c r="R60" s="13" t="s">
        <v>216</v>
      </c>
      <c r="S60" s="13">
        <v>150</v>
      </c>
      <c r="T60" s="13">
        <v>0</v>
      </c>
      <c r="U60" s="13">
        <v>100</v>
      </c>
      <c r="V60" s="13" t="str">
        <f t="shared" si="17"/>
        <v>GRADE A</v>
      </c>
      <c r="W60" s="13">
        <f t="shared" si="17"/>
        <v>150</v>
      </c>
      <c r="X60" s="16">
        <f t="shared" si="18"/>
        <v>40.672800000000002</v>
      </c>
      <c r="Y60" s="16">
        <f t="shared" si="19"/>
        <v>320.17628159999998</v>
      </c>
      <c r="Z60" s="16">
        <f t="shared" si="20"/>
        <v>800.44070399999998</v>
      </c>
      <c r="AA60" s="16">
        <f t="shared" si="21"/>
        <v>80.04407040000001</v>
      </c>
      <c r="AB60" s="16">
        <f t="shared" si="22"/>
        <v>0</v>
      </c>
      <c r="AC60" s="16">
        <f t="shared" si="23"/>
        <v>0</v>
      </c>
      <c r="AD60" s="16" t="e">
        <f t="shared" si="30"/>
        <v>#DIV/0!</v>
      </c>
      <c r="AE60" s="16" t="e">
        <f t="shared" si="25"/>
        <v>#DIV/0!</v>
      </c>
      <c r="AF60" s="16" t="e">
        <f t="shared" si="26"/>
        <v>#DIV/0!</v>
      </c>
      <c r="AG60" s="16" t="e">
        <f t="shared" si="27"/>
        <v>#DIV/0!</v>
      </c>
      <c r="AH60" s="838" t="s">
        <v>84</v>
      </c>
      <c r="AI60" s="17">
        <f t="shared" si="28"/>
        <v>0</v>
      </c>
      <c r="AJ60" s="17" t="e">
        <f t="shared" si="29"/>
        <v>#DIV/0!</v>
      </c>
      <c r="AK60" s="891"/>
      <c r="AL60" s="18"/>
      <c r="AM60" s="889"/>
      <c r="AN60" s="891"/>
      <c r="AO60" s="888"/>
      <c r="AP60" s="891"/>
      <c r="AQ60" s="891"/>
      <c r="AR60" s="889"/>
      <c r="AS60" s="888"/>
      <c r="AT60" s="888"/>
      <c r="AU60" s="890"/>
      <c r="AV60" s="888"/>
      <c r="AW60" s="888"/>
      <c r="AX60" s="888"/>
      <c r="AY60" s="887"/>
      <c r="AZ60" s="888"/>
    </row>
    <row r="61" spans="3:52" ht="18.600000000000001">
      <c r="C61" s="13">
        <f>IF(D61&lt;&gt;"",COUNTA($D$10:D61),"")</f>
        <v>46</v>
      </c>
      <c r="D61" s="14" t="s">
        <v>211</v>
      </c>
      <c r="E61" s="14">
        <v>1.8</v>
      </c>
      <c r="F61" s="14">
        <v>1.9</v>
      </c>
      <c r="G61" s="14">
        <v>2.4</v>
      </c>
      <c r="H61" s="14">
        <v>2</v>
      </c>
      <c r="I61" s="14">
        <v>1</v>
      </c>
      <c r="J61" s="14">
        <v>1.75</v>
      </c>
      <c r="K61" s="14">
        <v>3</v>
      </c>
      <c r="L61" s="15">
        <v>0.1</v>
      </c>
      <c r="M61" s="15">
        <v>0</v>
      </c>
      <c r="N61" s="14">
        <v>24</v>
      </c>
      <c r="O61" s="14">
        <v>50</v>
      </c>
      <c r="P61" s="13">
        <v>45</v>
      </c>
      <c r="Q61" s="13">
        <v>85</v>
      </c>
      <c r="R61" s="13" t="s">
        <v>216</v>
      </c>
      <c r="S61" s="13">
        <v>150</v>
      </c>
      <c r="T61" s="13">
        <v>0</v>
      </c>
      <c r="U61" s="13">
        <v>100</v>
      </c>
      <c r="V61" s="13" t="str">
        <f t="shared" si="17"/>
        <v>GRADE A</v>
      </c>
      <c r="W61" s="13">
        <f t="shared" si="17"/>
        <v>150</v>
      </c>
      <c r="X61" s="16">
        <f t="shared" si="18"/>
        <v>36.799199999999999</v>
      </c>
      <c r="Y61" s="16">
        <f t="shared" si="19"/>
        <v>289.68330239999995</v>
      </c>
      <c r="Z61" s="16">
        <f t="shared" si="20"/>
        <v>724.20825599999989</v>
      </c>
      <c r="AA61" s="16">
        <f t="shared" si="21"/>
        <v>72.420825599999986</v>
      </c>
      <c r="AB61" s="16">
        <f t="shared" si="22"/>
        <v>0</v>
      </c>
      <c r="AC61" s="16">
        <f t="shared" si="23"/>
        <v>0</v>
      </c>
      <c r="AD61" s="16" t="e">
        <f t="shared" si="30"/>
        <v>#DIV/0!</v>
      </c>
      <c r="AE61" s="16" t="e">
        <f t="shared" si="25"/>
        <v>#DIV/0!</v>
      </c>
      <c r="AF61" s="16" t="e">
        <f t="shared" si="26"/>
        <v>#DIV/0!</v>
      </c>
      <c r="AG61" s="16" t="e">
        <f t="shared" si="27"/>
        <v>#DIV/0!</v>
      </c>
      <c r="AH61" s="838" t="s">
        <v>84</v>
      </c>
      <c r="AI61" s="17">
        <f t="shared" si="28"/>
        <v>0</v>
      </c>
      <c r="AJ61" s="17" t="e">
        <f t="shared" si="29"/>
        <v>#DIV/0!</v>
      </c>
      <c r="AK61" s="891"/>
      <c r="AL61" s="18"/>
      <c r="AM61" s="889"/>
      <c r="AN61" s="891"/>
      <c r="AO61" s="888"/>
      <c r="AP61" s="891"/>
      <c r="AQ61" s="891"/>
      <c r="AR61" s="889"/>
      <c r="AS61" s="888"/>
      <c r="AT61" s="888"/>
      <c r="AU61" s="890"/>
      <c r="AV61" s="888"/>
      <c r="AW61" s="888"/>
      <c r="AX61" s="888"/>
      <c r="AY61" s="887"/>
      <c r="AZ61" s="888"/>
    </row>
    <row r="62" spans="3:52" ht="18.600000000000001">
      <c r="C62" s="13">
        <f>IF(D62&lt;&gt;"",COUNTA($D$10:D62),"")</f>
        <v>47</v>
      </c>
      <c r="D62" s="14" t="s">
        <v>212</v>
      </c>
      <c r="E62" s="14">
        <v>1.9</v>
      </c>
      <c r="F62" s="14">
        <v>2</v>
      </c>
      <c r="G62" s="14">
        <v>2.4</v>
      </c>
      <c r="H62" s="14">
        <v>2</v>
      </c>
      <c r="I62" s="14">
        <v>1</v>
      </c>
      <c r="J62" s="14">
        <v>1.75</v>
      </c>
      <c r="K62" s="14">
        <v>3</v>
      </c>
      <c r="L62" s="15">
        <v>0.1</v>
      </c>
      <c r="M62" s="15">
        <v>0</v>
      </c>
      <c r="N62" s="14">
        <v>24</v>
      </c>
      <c r="O62" s="14">
        <v>50</v>
      </c>
      <c r="P62" s="13">
        <v>45</v>
      </c>
      <c r="Q62" s="13">
        <v>85</v>
      </c>
      <c r="R62" s="13" t="s">
        <v>216</v>
      </c>
      <c r="S62" s="13">
        <v>150</v>
      </c>
      <c r="T62" s="13">
        <v>0</v>
      </c>
      <c r="U62" s="13">
        <v>100</v>
      </c>
      <c r="V62" s="13" t="str">
        <f t="shared" si="17"/>
        <v>GRADE A</v>
      </c>
      <c r="W62" s="13">
        <f t="shared" si="17"/>
        <v>150</v>
      </c>
      <c r="X62" s="16">
        <f t="shared" si="18"/>
        <v>40.887999999999998</v>
      </c>
      <c r="Y62" s="16">
        <f t="shared" si="19"/>
        <v>321.87033599999995</v>
      </c>
      <c r="Z62" s="16">
        <f t="shared" si="20"/>
        <v>804.67583999999988</v>
      </c>
      <c r="AA62" s="16">
        <f t="shared" si="21"/>
        <v>80.467583999999988</v>
      </c>
      <c r="AB62" s="16">
        <f t="shared" si="22"/>
        <v>0</v>
      </c>
      <c r="AC62" s="16">
        <f t="shared" si="23"/>
        <v>0</v>
      </c>
      <c r="AD62" s="16" t="e">
        <f t="shared" si="30"/>
        <v>#DIV/0!</v>
      </c>
      <c r="AE62" s="16" t="e">
        <f t="shared" si="25"/>
        <v>#DIV/0!</v>
      </c>
      <c r="AF62" s="16" t="e">
        <f t="shared" si="26"/>
        <v>#DIV/0!</v>
      </c>
      <c r="AG62" s="16" t="e">
        <f t="shared" si="27"/>
        <v>#DIV/0!</v>
      </c>
      <c r="AH62" s="838" t="s">
        <v>84</v>
      </c>
      <c r="AI62" s="17">
        <f t="shared" si="28"/>
        <v>0</v>
      </c>
      <c r="AJ62" s="17" t="e">
        <f t="shared" si="29"/>
        <v>#DIV/0!</v>
      </c>
      <c r="AK62" s="891"/>
      <c r="AL62" s="18"/>
      <c r="AM62" s="889"/>
      <c r="AN62" s="891"/>
      <c r="AO62" s="888"/>
      <c r="AP62" s="891"/>
      <c r="AQ62" s="891"/>
      <c r="AR62" s="889"/>
      <c r="AS62" s="888"/>
      <c r="AT62" s="888"/>
      <c r="AU62" s="890"/>
      <c r="AV62" s="888"/>
      <c r="AW62" s="888"/>
      <c r="AX62" s="888"/>
      <c r="AY62" s="887"/>
      <c r="AZ62" s="888"/>
    </row>
    <row r="63" spans="3:52" ht="18.600000000000001">
      <c r="C63" s="13">
        <f>IF(D63&lt;&gt;"",COUNTA($D$10:D63),"")</f>
        <v>48</v>
      </c>
      <c r="D63" s="14" t="s">
        <v>213</v>
      </c>
      <c r="E63" s="14">
        <v>2.2999999999999998</v>
      </c>
      <c r="F63" s="14">
        <v>2.2000000000000002</v>
      </c>
      <c r="G63" s="14">
        <v>2.4</v>
      </c>
      <c r="H63" s="14">
        <v>2</v>
      </c>
      <c r="I63" s="14">
        <v>1</v>
      </c>
      <c r="J63" s="14">
        <v>1.75</v>
      </c>
      <c r="K63" s="14">
        <v>3</v>
      </c>
      <c r="L63" s="15">
        <v>0.1</v>
      </c>
      <c r="M63" s="15">
        <v>0</v>
      </c>
      <c r="N63" s="14">
        <v>24</v>
      </c>
      <c r="O63" s="14">
        <v>50</v>
      </c>
      <c r="P63" s="13">
        <v>45</v>
      </c>
      <c r="Q63" s="13">
        <v>85</v>
      </c>
      <c r="R63" s="13" t="s">
        <v>216</v>
      </c>
      <c r="S63" s="13">
        <v>150</v>
      </c>
      <c r="T63" s="13">
        <v>0</v>
      </c>
      <c r="U63" s="13">
        <v>100</v>
      </c>
      <c r="V63" s="13" t="str">
        <f t="shared" si="17"/>
        <v>GRADE A</v>
      </c>
      <c r="W63" s="13">
        <f t="shared" si="17"/>
        <v>150</v>
      </c>
      <c r="X63" s="16">
        <f t="shared" si="18"/>
        <v>54.445599999999992</v>
      </c>
      <c r="Y63" s="16">
        <f t="shared" si="19"/>
        <v>428.59576319999991</v>
      </c>
      <c r="Z63" s="16">
        <f t="shared" si="20"/>
        <v>1071.4894079999999</v>
      </c>
      <c r="AA63" s="16">
        <f t="shared" si="21"/>
        <v>107.14894079999999</v>
      </c>
      <c r="AB63" s="16">
        <f t="shared" si="22"/>
        <v>0</v>
      </c>
      <c r="AC63" s="16">
        <f t="shared" si="23"/>
        <v>0</v>
      </c>
      <c r="AD63" s="16" t="e">
        <f t="shared" si="30"/>
        <v>#DIV/0!</v>
      </c>
      <c r="AE63" s="16" t="e">
        <f t="shared" si="25"/>
        <v>#DIV/0!</v>
      </c>
      <c r="AF63" s="16" t="e">
        <f t="shared" si="26"/>
        <v>#DIV/0!</v>
      </c>
      <c r="AG63" s="16" t="e">
        <f t="shared" si="27"/>
        <v>#DIV/0!</v>
      </c>
      <c r="AH63" s="838" t="s">
        <v>84</v>
      </c>
      <c r="AI63" s="17">
        <f t="shared" si="28"/>
        <v>0</v>
      </c>
      <c r="AJ63" s="17" t="e">
        <f t="shared" si="29"/>
        <v>#DIV/0!</v>
      </c>
      <c r="AK63" s="891"/>
      <c r="AL63" s="18"/>
      <c r="AM63" s="889"/>
      <c r="AN63" s="891"/>
      <c r="AO63" s="888"/>
      <c r="AP63" s="891"/>
      <c r="AQ63" s="891"/>
      <c r="AR63" s="889"/>
      <c r="AS63" s="888"/>
      <c r="AT63" s="888"/>
      <c r="AU63" s="890"/>
      <c r="AV63" s="888"/>
      <c r="AW63" s="888"/>
      <c r="AX63" s="888"/>
      <c r="AY63" s="887"/>
      <c r="AZ63" s="888"/>
    </row>
    <row r="64" spans="3:52" ht="18.600000000000001">
      <c r="C64" s="13">
        <f>IF(D64&lt;&gt;"",COUNTA($D$10:D64),"")</f>
        <v>49</v>
      </c>
      <c r="D64" s="14" t="s">
        <v>214</v>
      </c>
      <c r="E64" s="14">
        <v>2.2000000000000002</v>
      </c>
      <c r="F64" s="14">
        <v>2.8</v>
      </c>
      <c r="G64" s="14">
        <v>2.4</v>
      </c>
      <c r="H64" s="14">
        <v>2</v>
      </c>
      <c r="I64" s="14">
        <v>1</v>
      </c>
      <c r="J64" s="14">
        <v>1.75</v>
      </c>
      <c r="K64" s="14">
        <v>3</v>
      </c>
      <c r="L64" s="15">
        <v>0.1</v>
      </c>
      <c r="M64" s="15">
        <v>0</v>
      </c>
      <c r="N64" s="14">
        <v>24</v>
      </c>
      <c r="O64" s="14">
        <v>50</v>
      </c>
      <c r="P64" s="13">
        <v>45</v>
      </c>
      <c r="Q64" s="13">
        <v>85</v>
      </c>
      <c r="R64" s="13" t="s">
        <v>216</v>
      </c>
      <c r="S64" s="13">
        <v>150</v>
      </c>
      <c r="T64" s="13">
        <v>0</v>
      </c>
      <c r="U64" s="13">
        <v>100</v>
      </c>
      <c r="V64" s="13" t="str">
        <f t="shared" si="17"/>
        <v>GRADE A</v>
      </c>
      <c r="W64" s="13">
        <f t="shared" si="17"/>
        <v>150</v>
      </c>
      <c r="X64" s="16">
        <f t="shared" si="18"/>
        <v>66.281599999999997</v>
      </c>
      <c r="Y64" s="16">
        <f t="shared" si="19"/>
        <v>521.76875519999999</v>
      </c>
      <c r="Z64" s="16">
        <f t="shared" si="20"/>
        <v>1304.4218880000001</v>
      </c>
      <c r="AA64" s="16">
        <f t="shared" si="21"/>
        <v>130.44218880000003</v>
      </c>
      <c r="AB64" s="16">
        <f t="shared" si="22"/>
        <v>0</v>
      </c>
      <c r="AC64" s="16">
        <f t="shared" si="23"/>
        <v>0</v>
      </c>
      <c r="AD64" s="16" t="e">
        <f t="shared" si="30"/>
        <v>#DIV/0!</v>
      </c>
      <c r="AE64" s="16" t="e">
        <f t="shared" si="25"/>
        <v>#DIV/0!</v>
      </c>
      <c r="AF64" s="16" t="e">
        <f t="shared" si="26"/>
        <v>#DIV/0!</v>
      </c>
      <c r="AG64" s="16" t="e">
        <f t="shared" si="27"/>
        <v>#DIV/0!</v>
      </c>
      <c r="AH64" s="838" t="s">
        <v>84</v>
      </c>
      <c r="AI64" s="17">
        <f t="shared" si="28"/>
        <v>0</v>
      </c>
      <c r="AJ64" s="17" t="e">
        <f t="shared" si="29"/>
        <v>#DIV/0!</v>
      </c>
      <c r="AK64" s="891"/>
      <c r="AL64" s="18"/>
      <c r="AM64" s="889"/>
      <c r="AN64" s="891"/>
      <c r="AO64" s="888"/>
      <c r="AP64" s="891"/>
      <c r="AQ64" s="891"/>
      <c r="AR64" s="889"/>
      <c r="AS64" s="888"/>
      <c r="AT64" s="888"/>
      <c r="AU64" s="890"/>
      <c r="AV64" s="888"/>
      <c r="AW64" s="888"/>
      <c r="AX64" s="888"/>
      <c r="AY64" s="887"/>
      <c r="AZ64" s="888"/>
    </row>
    <row r="65" spans="3:52" ht="18.600000000000001">
      <c r="C65" s="13">
        <f>IF(D65&lt;&gt;"",COUNTA($D$10:D65),"")</f>
        <v>50</v>
      </c>
      <c r="D65" s="14" t="s">
        <v>215</v>
      </c>
      <c r="E65" s="14">
        <v>2.8</v>
      </c>
      <c r="F65" s="14">
        <v>2.4</v>
      </c>
      <c r="G65" s="14">
        <v>2.4</v>
      </c>
      <c r="H65" s="14">
        <v>2</v>
      </c>
      <c r="I65" s="14">
        <v>1</v>
      </c>
      <c r="J65" s="14">
        <v>1.75</v>
      </c>
      <c r="K65" s="14">
        <v>3</v>
      </c>
      <c r="L65" s="15">
        <v>0.1</v>
      </c>
      <c r="M65" s="15">
        <v>0</v>
      </c>
      <c r="N65" s="14">
        <v>24</v>
      </c>
      <c r="O65" s="14">
        <v>50</v>
      </c>
      <c r="P65" s="13">
        <v>45</v>
      </c>
      <c r="Q65" s="13">
        <v>85</v>
      </c>
      <c r="R65" s="13" t="s">
        <v>216</v>
      </c>
      <c r="S65" s="13">
        <v>150</v>
      </c>
      <c r="T65" s="13">
        <v>0</v>
      </c>
      <c r="U65" s="13">
        <v>100</v>
      </c>
      <c r="V65" s="13" t="str">
        <f t="shared" si="17"/>
        <v>GRADE A</v>
      </c>
      <c r="W65" s="13">
        <f t="shared" si="17"/>
        <v>150</v>
      </c>
      <c r="X65" s="16">
        <f t="shared" si="18"/>
        <v>72.307199999999995</v>
      </c>
      <c r="Y65" s="16">
        <f t="shared" si="19"/>
        <v>569.20227839999995</v>
      </c>
      <c r="Z65" s="16">
        <f t="shared" si="20"/>
        <v>1423.0056959999999</v>
      </c>
      <c r="AA65" s="16">
        <f t="shared" si="21"/>
        <v>142.30056959999999</v>
      </c>
      <c r="AB65" s="16">
        <f t="shared" si="22"/>
        <v>0</v>
      </c>
      <c r="AC65" s="16">
        <f t="shared" si="23"/>
        <v>0</v>
      </c>
      <c r="AD65" s="16" t="e">
        <f t="shared" si="30"/>
        <v>#DIV/0!</v>
      </c>
      <c r="AE65" s="16" t="e">
        <f t="shared" si="25"/>
        <v>#DIV/0!</v>
      </c>
      <c r="AF65" s="16" t="e">
        <f t="shared" si="26"/>
        <v>#DIV/0!</v>
      </c>
      <c r="AG65" s="16" t="e">
        <f t="shared" si="27"/>
        <v>#DIV/0!</v>
      </c>
      <c r="AH65" s="838" t="s">
        <v>84</v>
      </c>
      <c r="AI65" s="17">
        <f t="shared" si="28"/>
        <v>0</v>
      </c>
      <c r="AJ65" s="17" t="e">
        <f t="shared" si="29"/>
        <v>#DIV/0!</v>
      </c>
      <c r="AK65" s="891"/>
      <c r="AL65" s="18"/>
      <c r="AM65" s="889"/>
      <c r="AN65" s="891"/>
      <c r="AO65" s="888"/>
      <c r="AP65" s="891"/>
      <c r="AQ65" s="891"/>
      <c r="AR65" s="889"/>
      <c r="AS65" s="888"/>
      <c r="AT65" s="888"/>
      <c r="AU65" s="890"/>
      <c r="AV65" s="888"/>
      <c r="AW65" s="888"/>
      <c r="AX65" s="888"/>
      <c r="AY65" s="887"/>
      <c r="AZ65" s="888"/>
    </row>
    <row r="66" spans="3:52">
      <c r="C66" s="13" t="str">
        <f>IF(D66&lt;&gt;"",COUNTA($D$10:D66),"")</f>
        <v/>
      </c>
      <c r="D66" s="19"/>
      <c r="E66" s="19"/>
      <c r="F66" s="19"/>
      <c r="G66" s="19"/>
      <c r="H66" s="19"/>
      <c r="I66" s="19"/>
      <c r="J66" s="19"/>
      <c r="K66" s="19"/>
      <c r="L66" s="19"/>
      <c r="M66" s="19"/>
      <c r="N66" s="19"/>
      <c r="O66" s="19"/>
      <c r="P66" s="19"/>
      <c r="Q66" s="19"/>
      <c r="R66" s="19"/>
      <c r="S66" s="19"/>
      <c r="T66" s="19"/>
      <c r="U66" s="19"/>
      <c r="V66" s="19"/>
      <c r="W66" s="19"/>
      <c r="X66" s="20">
        <f>SUM(X50:X65)</f>
        <v>1144.1108000000002</v>
      </c>
      <c r="Y66" s="20">
        <f t="shared" ref="Y66:AG66" si="31">SUM(Y50:Y65)</f>
        <v>9006.4402175999985</v>
      </c>
      <c r="Z66" s="20">
        <f t="shared" si="31"/>
        <v>22516.100544000001</v>
      </c>
      <c r="AA66" s="20">
        <f t="shared" si="31"/>
        <v>2251.6100543999996</v>
      </c>
      <c r="AB66" s="20">
        <f t="shared" si="31"/>
        <v>0</v>
      </c>
      <c r="AC66" s="20">
        <f t="shared" si="31"/>
        <v>0</v>
      </c>
      <c r="AD66" s="20" t="e">
        <f t="shared" si="31"/>
        <v>#DIV/0!</v>
      </c>
      <c r="AE66" s="20" t="e">
        <f t="shared" si="31"/>
        <v>#DIV/0!</v>
      </c>
      <c r="AF66" s="20" t="e">
        <f t="shared" si="31"/>
        <v>#DIV/0!</v>
      </c>
      <c r="AG66" s="20" t="e">
        <f t="shared" si="31"/>
        <v>#DIV/0!</v>
      </c>
      <c r="AH66" s="841"/>
      <c r="AI66" s="20">
        <f t="shared" ref="AI66:AJ66" si="32">SUM(AI50:AI65)</f>
        <v>0</v>
      </c>
      <c r="AJ66" s="20" t="e">
        <f t="shared" si="32"/>
        <v>#DIV/0!</v>
      </c>
      <c r="AK66" s="21"/>
      <c r="AL66" s="21"/>
      <c r="AM66" s="21"/>
      <c r="AN66" s="21"/>
      <c r="AO66" s="21"/>
      <c r="AP66" s="21"/>
      <c r="AQ66" s="21"/>
      <c r="AR66" s="21"/>
      <c r="AS66" s="21"/>
      <c r="AT66" s="21"/>
      <c r="AU66" s="21"/>
      <c r="AV66" s="21"/>
      <c r="AW66" s="21"/>
      <c r="AX66" s="21"/>
      <c r="AY66" s="21"/>
      <c r="AZ66" s="21"/>
    </row>
    <row r="67" spans="3:52">
      <c r="C67" s="13" t="str">
        <f>IF(D67&lt;&gt;"",COUNTA($D$10:D67),"")</f>
        <v/>
      </c>
      <c r="AH67" s="840"/>
    </row>
    <row r="68" spans="3:52" ht="26.1">
      <c r="C68" s="8" t="e">
        <f>"Zoning Area  AHU - " &amp; INT((ROW()-8)/20)+1 &amp; "  " &amp;IF(AQ70&gt;0,"Air-Conditioning System " &amp; IF(AH70="D","(DX)",IF(AH70="C","(Chilled Water)","")),IF(AND(N70="Amb",AQ70=0),"Ventilation System","Refer"))</f>
        <v>#DIV/0!</v>
      </c>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39"/>
      <c r="AI68" s="8"/>
      <c r="AJ68" s="8"/>
      <c r="AK68" s="8"/>
      <c r="AL68" s="8"/>
      <c r="AM68" s="8"/>
      <c r="AN68" s="8"/>
      <c r="AO68" s="8"/>
      <c r="AP68" s="8"/>
      <c r="AQ68" s="8"/>
      <c r="AR68" s="8"/>
      <c r="AS68" s="9" t="s">
        <v>221</v>
      </c>
      <c r="AT68" s="10"/>
      <c r="AU68" s="10"/>
      <c r="AV68" s="11"/>
      <c r="AW68" s="9" t="s">
        <v>222</v>
      </c>
      <c r="AX68" s="10"/>
      <c r="AY68" s="10"/>
      <c r="AZ68" s="11"/>
    </row>
    <row r="69" spans="3:52">
      <c r="C69" s="13">
        <f>IF(D69&lt;&gt;"",COUNTA($D$10:D69),"")</f>
        <v>51</v>
      </c>
      <c r="D69" s="5" t="s">
        <v>165</v>
      </c>
      <c r="E69" s="5" t="s">
        <v>166</v>
      </c>
      <c r="F69" s="5" t="s">
        <v>167</v>
      </c>
      <c r="G69" s="5" t="s">
        <v>168</v>
      </c>
      <c r="H69" s="5" t="s">
        <v>169</v>
      </c>
      <c r="I69" s="5" t="s">
        <v>170</v>
      </c>
      <c r="J69" s="5" t="s">
        <v>171</v>
      </c>
      <c r="K69" s="5" t="s">
        <v>172</v>
      </c>
      <c r="L69" s="5" t="s">
        <v>173</v>
      </c>
      <c r="M69" s="5" t="s">
        <v>174</v>
      </c>
      <c r="N69" s="5" t="s">
        <v>175</v>
      </c>
      <c r="O69" s="5" t="s">
        <v>176</v>
      </c>
      <c r="P69" s="5" t="s">
        <v>177</v>
      </c>
      <c r="Q69" s="5" t="s">
        <v>178</v>
      </c>
      <c r="R69" s="5" t="s">
        <v>199</v>
      </c>
      <c r="S69" s="5" t="s">
        <v>180</v>
      </c>
      <c r="T69" s="5" t="s">
        <v>223</v>
      </c>
      <c r="U69" s="5" t="s">
        <v>224</v>
      </c>
      <c r="V69" s="5" t="s">
        <v>199</v>
      </c>
      <c r="W69" s="5" t="s">
        <v>180</v>
      </c>
      <c r="X69" s="5" t="s">
        <v>225</v>
      </c>
      <c r="Y69" s="5" t="s">
        <v>226</v>
      </c>
      <c r="Z69" s="5" t="s">
        <v>227</v>
      </c>
      <c r="AA69" s="5" t="s">
        <v>228</v>
      </c>
      <c r="AB69" s="5" t="s">
        <v>229</v>
      </c>
      <c r="AC69" s="5" t="s">
        <v>230</v>
      </c>
      <c r="AD69" s="5" t="s">
        <v>231</v>
      </c>
      <c r="AE69" s="5" t="s">
        <v>232</v>
      </c>
      <c r="AF69" s="6" t="s">
        <v>233</v>
      </c>
      <c r="AG69" s="6" t="s">
        <v>234</v>
      </c>
      <c r="AH69" s="6" t="s">
        <v>235</v>
      </c>
      <c r="AI69" s="5" t="s">
        <v>236</v>
      </c>
      <c r="AJ69" s="5" t="s">
        <v>237</v>
      </c>
      <c r="AK69" s="5" t="s">
        <v>238</v>
      </c>
      <c r="AL69" s="5" t="s">
        <v>239</v>
      </c>
      <c r="AM69" s="5" t="s">
        <v>240</v>
      </c>
      <c r="AN69" s="5" t="s">
        <v>241</v>
      </c>
      <c r="AO69" s="5" t="s">
        <v>242</v>
      </c>
      <c r="AP69" s="5" t="s">
        <v>243</v>
      </c>
      <c r="AQ69" s="5" t="s">
        <v>244</v>
      </c>
      <c r="AR69" s="5" t="s">
        <v>245</v>
      </c>
      <c r="AS69" s="5" t="s">
        <v>246</v>
      </c>
      <c r="AT69" s="5" t="s">
        <v>247</v>
      </c>
      <c r="AU69" s="5" t="s">
        <v>248</v>
      </c>
      <c r="AV69" s="5" t="s">
        <v>249</v>
      </c>
      <c r="AW69" s="5" t="s">
        <v>250</v>
      </c>
      <c r="AX69" s="5" t="s">
        <v>251</v>
      </c>
      <c r="AY69" s="5" t="s">
        <v>252</v>
      </c>
      <c r="AZ69" s="5" t="s">
        <v>253</v>
      </c>
    </row>
    <row r="70" spans="3:52" ht="18.600000000000001">
      <c r="C70" s="13">
        <f>IF(D70&lt;&gt;"",COUNTA($D$10:D70),"")</f>
        <v>52</v>
      </c>
      <c r="D70" s="14" t="s">
        <v>200</v>
      </c>
      <c r="E70" s="14">
        <v>3</v>
      </c>
      <c r="F70" s="14">
        <v>3</v>
      </c>
      <c r="G70" s="14">
        <v>2.4</v>
      </c>
      <c r="H70" s="14">
        <v>1</v>
      </c>
      <c r="I70" s="14">
        <v>2</v>
      </c>
      <c r="J70" s="14">
        <v>1.75</v>
      </c>
      <c r="K70" s="14">
        <v>3</v>
      </c>
      <c r="L70" s="15">
        <v>0.1</v>
      </c>
      <c r="M70" s="15">
        <v>0</v>
      </c>
      <c r="N70" s="14">
        <v>24</v>
      </c>
      <c r="O70" s="14">
        <v>50</v>
      </c>
      <c r="P70" s="13">
        <v>45</v>
      </c>
      <c r="Q70" s="13">
        <v>85</v>
      </c>
      <c r="R70" s="13" t="s">
        <v>217</v>
      </c>
      <c r="S70" s="13">
        <v>80</v>
      </c>
      <c r="T70" s="13">
        <v>0</v>
      </c>
      <c r="U70" s="13">
        <v>100</v>
      </c>
      <c r="V70" s="13" t="str">
        <f>R70</f>
        <v>10K</v>
      </c>
      <c r="W70" s="13">
        <f>S70</f>
        <v>80</v>
      </c>
      <c r="X70" s="16">
        <f>E70*F70*10.76</f>
        <v>96.84</v>
      </c>
      <c r="Y70" s="16">
        <f>X70*G70*3.28</f>
        <v>762.32447999999999</v>
      </c>
      <c r="Z70" s="16">
        <f>Y70*S70/60</f>
        <v>1016.4326400000001</v>
      </c>
      <c r="AA70" s="16">
        <f>Z70*L70</f>
        <v>101.64326400000002</v>
      </c>
      <c r="AB70" s="16">
        <f>IF(N70="Amb",Z70,Z70*M70)</f>
        <v>0</v>
      </c>
      <c r="AC70" s="16">
        <f>IF(ISNUMBER(N70), (AA70*0.075*60/2.20462)*BP70/7000, "Ambient")</f>
        <v>0</v>
      </c>
      <c r="AD70" s="16" t="e">
        <f>IF(ISNUMBER(N70), CEILING(CF70/(0.68*BP70),25), "Ambient")</f>
        <v>#DIV/0!</v>
      </c>
      <c r="AE70" s="16" t="e">
        <f>CEILING(MAX((Z70+AA70),AD70),25)</f>
        <v>#DIV/0!</v>
      </c>
      <c r="AF70" s="16" t="e">
        <f>CEILING(IF(OR($R70="ISO 6",$R70="GRADE B",$R70="1K",$R70=1000),AE70*1/175,IF(OR($R70="ISO 5",$R70="GRADE A",$R70=100),AE70*1/100,IF(OR($R70="ISO 7",$R70="GRADE C",$R70="10K",$R70=10000),$AE70*1/250,IF(OR($R70="ISO 8",$R70="GRADE D",$R70="100K",$R70=100000),$AE70*1/250,IF(OR($R70="NC",$R70="20 Micron",$R70="5 Micron",$R70="N C"),$AE70*1/350,0))))),2)</f>
        <v>#DIV/0!</v>
      </c>
      <c r="AG70" s="16" t="e">
        <f>IF(ISNUMBER(N70), CEILING(MAX(AI70,AJ70),0.5), "Ambient")</f>
        <v>#DIV/0!</v>
      </c>
      <c r="AH70" s="838" t="s">
        <v>85</v>
      </c>
      <c r="AI70" s="17">
        <f>IF(ISNUMBER(N70), CEILING(CE70/12000,0.5), "Ambient")</f>
        <v>0</v>
      </c>
      <c r="AJ70" s="17" t="e">
        <f>IF(ISNUMBER(N70),CEILING(AE70/(IF(AH70="C",400,300)),0.5), "Ambient")</f>
        <v>#DIV/0!</v>
      </c>
      <c r="AK70" s="891" t="e">
        <f>CEILING(SUM(AE70:AE85),250)</f>
        <v>#DIV/0!</v>
      </c>
      <c r="AL70" s="18" t="s">
        <v>254</v>
      </c>
      <c r="AM70" s="889">
        <v>150</v>
      </c>
      <c r="AN70" s="891" t="e">
        <f>IF(AK70&lt;=1300,200,IF(AK70&lt;=1600,225,IF(AK70&lt;=2100,250,IF(AK70&lt;=2700,280,IF(AK70&lt;=3450,315,IF(AK70&lt;=4250,355,IF(AK70&lt;=5250,400,IF(AK70&lt;=6750,450,IF(AK70&lt;=8500,500,IF(AK70&lt;=10750,560,IF(AK70&lt;=13500,630,IF(AK70&lt;=17000,710,IF(AK70&lt;=21500,800,IF(AK70&lt;=27000,900,IF(AK70&lt;=34000,1000,IF(AK70&lt;=43000,1120,IF(AK70&lt;=49000,1200,IF(AK70&lt;=68000,1450,"Refer"))))))))))))))))))</f>
        <v>#DIV/0!</v>
      </c>
      <c r="AO70" s="888" t="e">
        <f>IF(AK70*AM70/(6356*0.7*0.9*1.1*25.4)&lt;=1,1,IF(AK70*AM70/(6356*0.7*0.9*1.1*25.4)&lt;=1.5,1.5,IF(AK70*AM70/(6356*0.7*0.9*1.1*25.4)&lt;=2,2,IF(AK70*AM70/(6356*0.7*0.9*1.1*25.4)&lt;=3,3,IF(AK70*AM70/(6356*0.7*0.9*1.1*25.4)&lt;=5,5,IF(AK70*AM70/(6356*0.7*0.9*1.1*25.4)&lt;=7.5,7.5,IF(AK70*AM70/(6356*0.7*0.9*1.1*25.4)&lt;=10,10,IF(AK70*AM70/(6356*0.7*0.9*1.1*25.4)&lt;=12.5,12.5,IF(AK70*AM70/(6356*0.7*0.9*1.1*25.4)&lt;=15,15,IF(AK70*AM70/(6356*0.7*0.9*1.1*25.4)&lt;=20,20,IF(AK70*AM70/(6356*0.7*0.9*1.1*25.4)&lt;=25,25,IF(AK70*AM70/(6356*0.7*0.9*1.1*25.4)&lt;=30,30,IF(AK70*AM70/(6356*0.7*0.9*1.1*25.4)&lt;=40,40,IF(AK70*AM70/(6356*0.7*0.9*1.1*25.4)&lt;=50,50,IF(AK70*AM70/(6356*0.7*0.9*1.1*25.4)&lt;=60,60,IF(AK70*AM70/(6356*0.7*0.9*1.1*25.4)&lt;=75,75,"Refer"))))))))))))))))</f>
        <v>#DIV/0!</v>
      </c>
      <c r="AP70" s="891" t="e">
        <f>IF(AND(AQ70=0, N70="Amb"), "Amb",IF((AL71-250)*(AL73-150)*10.76/(1000*1000) &gt;= MAX(AI86,AJ86), 4,IF((AL71-250)*(AL73-150)*10.76*1.5/(1000*1000) &gt;= MAX(AI86,AJ86), 6,IF((AL71-250)*(AL73-150)*10.76*2/(1000*1000) &gt;= MAX(AI86,AJ86), 8, 0))
 )
)</f>
        <v>#DIV/0!</v>
      </c>
      <c r="AQ70" s="891" t="e">
        <f>AG86</f>
        <v>#DIV/0!</v>
      </c>
      <c r="AR70" s="889">
        <f>_xlfn.SWITCH(TRIM(UPPER(R70)),"ISO 9", 3,"ISO 8", 4,"Grade D", 4,"Class 100,000", 4,"Class 100K", 4,"ISO 7", 3,"Grade C", 3,"Class 10,000", 3,"Class 10K", 3,"ISO 6", 3,"Class 1,000", 3,"Class 1K", 3,"ISO 5", 4,"Grade A", 4,"Grade B", 4,"Class 100", 4,"ISO 4", 3,"ISO 3", 4,"ISO 2", 4,"ISO 1", 4,"NCV20",1,"NCV-10",2,"NCV-5",3,"NCAC-10",1,"NCAC-5",2,"NCAC-1",3,3)</f>
        <v>3</v>
      </c>
      <c r="AS70" s="888" t="e">
        <f>MAX(AI86,AJ86)*24/6</f>
        <v>#DIV/0!</v>
      </c>
      <c r="AT70" s="888" t="e">
        <f>AS70*0.06309</f>
        <v>#DIV/0!</v>
      </c>
      <c r="AU70" s="890">
        <v>2</v>
      </c>
      <c r="AV70" s="888" t="e">
        <f>SQRT((4*AS70*0.00006309)/(3.14*AU70))*1000</f>
        <v>#DIV/0!</v>
      </c>
      <c r="AW70" s="888"/>
      <c r="AX70" s="888"/>
      <c r="AY70" s="887"/>
      <c r="AZ70" s="888"/>
    </row>
    <row r="71" spans="3:52" ht="18.600000000000001">
      <c r="C71" s="13">
        <f>IF(D71&lt;&gt;"",COUNTA($D$10:D71),"")</f>
        <v>53</v>
      </c>
      <c r="D71" s="14" t="s">
        <v>201</v>
      </c>
      <c r="E71" s="14">
        <v>1.8</v>
      </c>
      <c r="F71" s="14">
        <v>2.2000000000000002</v>
      </c>
      <c r="G71" s="14">
        <v>2.4</v>
      </c>
      <c r="H71" s="14">
        <v>2</v>
      </c>
      <c r="I71" s="14">
        <v>1</v>
      </c>
      <c r="J71" s="14">
        <v>1.75</v>
      </c>
      <c r="K71" s="14">
        <v>3</v>
      </c>
      <c r="L71" s="15">
        <v>0.1</v>
      </c>
      <c r="M71" s="15">
        <v>0</v>
      </c>
      <c r="N71" s="14">
        <v>24</v>
      </c>
      <c r="O71" s="14">
        <v>50</v>
      </c>
      <c r="P71" s="13">
        <v>45</v>
      </c>
      <c r="Q71" s="13">
        <v>85</v>
      </c>
      <c r="R71" s="13" t="s">
        <v>217</v>
      </c>
      <c r="S71" s="13">
        <v>80</v>
      </c>
      <c r="T71" s="13">
        <v>0</v>
      </c>
      <c r="U71" s="13">
        <v>100</v>
      </c>
      <c r="V71" s="13" t="str">
        <f t="shared" ref="V71:W85" si="33">R71</f>
        <v>10K</v>
      </c>
      <c r="W71" s="13">
        <f t="shared" si="33"/>
        <v>80</v>
      </c>
      <c r="X71" s="16">
        <f t="shared" ref="X71:X85" si="34">E71*F71*10.76</f>
        <v>42.6096</v>
      </c>
      <c r="Y71" s="16">
        <f t="shared" ref="Y71:Y85" si="35">X71*G71*3.28</f>
        <v>335.4227712</v>
      </c>
      <c r="Z71" s="16">
        <f t="shared" ref="Z71:Z85" si="36">Y71*S71/60</f>
        <v>447.23036159999998</v>
      </c>
      <c r="AA71" s="16">
        <f t="shared" ref="AA71:AA85" si="37">Z71*L71</f>
        <v>44.723036159999999</v>
      </c>
      <c r="AB71" s="16">
        <f t="shared" ref="AB71:AB85" si="38">IF(N71="Amb",Z71,Z71*M71)</f>
        <v>0</v>
      </c>
      <c r="AC71" s="16">
        <f t="shared" ref="AC71:AC85" si="39">IF(ISNUMBER(N71), (AA71*0.075*60/2.20462)*BP71/7000, "Ambient")</f>
        <v>0</v>
      </c>
      <c r="AD71" s="16" t="e">
        <f t="shared" ref="AD71:AD77" si="40">IF(ISNUMBER(N71), CEILING(CF71/(0.68*BP71),25), "Ambient")</f>
        <v>#DIV/0!</v>
      </c>
      <c r="AE71" s="16" t="e">
        <f t="shared" ref="AE71:AE85" si="41">CEILING(MAX((Z71+AA71),AD71),25)</f>
        <v>#DIV/0!</v>
      </c>
      <c r="AF71" s="16" t="e">
        <f t="shared" ref="AF71:AF85" si="42">CEILING(IF(OR($R71="ISO 6",$R71="GRADE B",$R71="1K",$R71=1000),AE71*1/175,IF(OR($R71="ISO 5",$R71="GRADE A",$R71=100),AE71*1/100,IF(OR($R71="ISO 7",$R71="GRADE C",$R71="10K",$R71=10000),$AE71*1/250,IF(OR($R71="ISO 8",$R71="GRADE D",$R71="100K",$R71=100000),$AE71*1/250,IF(OR($R71="NC",$R71="20 Micron",$R71="5 Micron",$R71="N C"),$AE71*1/350,0))))),2)</f>
        <v>#DIV/0!</v>
      </c>
      <c r="AG71" s="16" t="e">
        <f t="shared" ref="AG71:AG85" si="43">IF(ISNUMBER(N71), CEILING(MAX(AI71,AJ71),0.5), "Ambient")</f>
        <v>#DIV/0!</v>
      </c>
      <c r="AH71" s="838" t="s">
        <v>85</v>
      </c>
      <c r="AI71" s="17">
        <f t="shared" ref="AI71:AI85" si="44">IF(ISNUMBER(N71), CEILING(CE71/12000,0.5), "Ambient")</f>
        <v>0</v>
      </c>
      <c r="AJ71" s="17" t="e">
        <f t="shared" ref="AJ71:AJ85" si="45">IF(ISNUMBER(N71),CEILING(AE71/(IF(AH71="C",400,300)),0.5), "Ambient")</f>
        <v>#DIV/0!</v>
      </c>
      <c r="AK71" s="891"/>
      <c r="AL71" s="18" t="e">
        <f>IF(AK70&lt;=2000,950,(IF(AK70&lt;=3000,1150,(IF(AK70&lt;=8000,1550,(IF(AK70&lt;=10000,1750,(IF(AK70&lt;=18000,2050,(IF(AK70&lt;=32000,2900,(IF(AK70&lt;=40000,3600,4000)))))))))))))</f>
        <v>#DIV/0!</v>
      </c>
      <c r="AM71" s="889"/>
      <c r="AN71" s="891"/>
      <c r="AO71" s="888"/>
      <c r="AP71" s="891"/>
      <c r="AQ71" s="891"/>
      <c r="AR71" s="889"/>
      <c r="AS71" s="888"/>
      <c r="AT71" s="888"/>
      <c r="AU71" s="890"/>
      <c r="AV71" s="888"/>
      <c r="AW71" s="888"/>
      <c r="AX71" s="888"/>
      <c r="AY71" s="887"/>
      <c r="AZ71" s="888"/>
    </row>
    <row r="72" spans="3:52" ht="18.600000000000001">
      <c r="C72" s="13">
        <f>IF(D72&lt;&gt;"",COUNTA($D$10:D72),"")</f>
        <v>54</v>
      </c>
      <c r="D72" s="14" t="s">
        <v>202</v>
      </c>
      <c r="E72" s="14">
        <v>1.5</v>
      </c>
      <c r="F72" s="14">
        <v>2.8</v>
      </c>
      <c r="G72" s="14">
        <v>2.4</v>
      </c>
      <c r="H72" s="14">
        <v>2</v>
      </c>
      <c r="I72" s="14">
        <v>3</v>
      </c>
      <c r="J72" s="14">
        <v>1.75</v>
      </c>
      <c r="K72" s="14">
        <v>3</v>
      </c>
      <c r="L72" s="15">
        <v>0.1</v>
      </c>
      <c r="M72" s="15">
        <v>0</v>
      </c>
      <c r="N72" s="14">
        <v>24</v>
      </c>
      <c r="O72" s="14">
        <v>50</v>
      </c>
      <c r="P72" s="13">
        <v>45</v>
      </c>
      <c r="Q72" s="13">
        <v>85</v>
      </c>
      <c r="R72" s="13" t="s">
        <v>217</v>
      </c>
      <c r="S72" s="13">
        <v>80</v>
      </c>
      <c r="T72" s="13">
        <v>0</v>
      </c>
      <c r="U72" s="13">
        <v>100</v>
      </c>
      <c r="V72" s="13" t="str">
        <f t="shared" si="33"/>
        <v>10K</v>
      </c>
      <c r="W72" s="13">
        <f t="shared" si="33"/>
        <v>80</v>
      </c>
      <c r="X72" s="16">
        <f t="shared" si="34"/>
        <v>45.191999999999993</v>
      </c>
      <c r="Y72" s="16">
        <f t="shared" si="35"/>
        <v>355.75142399999993</v>
      </c>
      <c r="Z72" s="16">
        <f t="shared" si="36"/>
        <v>474.33523199999996</v>
      </c>
      <c r="AA72" s="16">
        <f t="shared" si="37"/>
        <v>47.433523199999996</v>
      </c>
      <c r="AB72" s="16">
        <f t="shared" si="38"/>
        <v>0</v>
      </c>
      <c r="AC72" s="16">
        <f t="shared" si="39"/>
        <v>0</v>
      </c>
      <c r="AD72" s="16" t="e">
        <f t="shared" si="40"/>
        <v>#DIV/0!</v>
      </c>
      <c r="AE72" s="16" t="e">
        <f t="shared" si="41"/>
        <v>#DIV/0!</v>
      </c>
      <c r="AF72" s="16" t="e">
        <f t="shared" si="42"/>
        <v>#DIV/0!</v>
      </c>
      <c r="AG72" s="16" t="e">
        <f t="shared" si="43"/>
        <v>#DIV/0!</v>
      </c>
      <c r="AH72" s="838" t="s">
        <v>85</v>
      </c>
      <c r="AI72" s="17">
        <f t="shared" si="44"/>
        <v>0</v>
      </c>
      <c r="AJ72" s="17" t="e">
        <f t="shared" si="45"/>
        <v>#DIV/0!</v>
      </c>
      <c r="AK72" s="891"/>
      <c r="AL72" s="18" t="s">
        <v>255</v>
      </c>
      <c r="AM72" s="889"/>
      <c r="AN72" s="891"/>
      <c r="AO72" s="888"/>
      <c r="AP72" s="891"/>
      <c r="AQ72" s="891"/>
      <c r="AR72" s="889"/>
      <c r="AS72" s="888"/>
      <c r="AT72" s="888"/>
      <c r="AU72" s="890"/>
      <c r="AV72" s="888"/>
      <c r="AW72" s="888"/>
      <c r="AX72" s="888"/>
      <c r="AY72" s="887"/>
      <c r="AZ72" s="888"/>
    </row>
    <row r="73" spans="3:52" ht="18.600000000000001">
      <c r="C73" s="13">
        <f>IF(D73&lt;&gt;"",COUNTA($D$10:D73),"")</f>
        <v>55</v>
      </c>
      <c r="D73" s="14" t="s">
        <v>203</v>
      </c>
      <c r="E73" s="14">
        <v>2.1</v>
      </c>
      <c r="F73" s="14">
        <v>3.5</v>
      </c>
      <c r="G73" s="14">
        <v>2.4</v>
      </c>
      <c r="H73" s="14">
        <v>0</v>
      </c>
      <c r="I73" s="14">
        <v>1</v>
      </c>
      <c r="J73" s="14">
        <v>1.75</v>
      </c>
      <c r="K73" s="14">
        <v>3</v>
      </c>
      <c r="L73" s="15">
        <v>0.1</v>
      </c>
      <c r="M73" s="15">
        <v>0</v>
      </c>
      <c r="N73" s="14">
        <v>24</v>
      </c>
      <c r="O73" s="14">
        <v>50</v>
      </c>
      <c r="P73" s="13">
        <v>45</v>
      </c>
      <c r="Q73" s="13">
        <v>85</v>
      </c>
      <c r="R73" s="13" t="s">
        <v>217</v>
      </c>
      <c r="S73" s="13">
        <v>80</v>
      </c>
      <c r="T73" s="13">
        <v>0</v>
      </c>
      <c r="U73" s="13">
        <v>100</v>
      </c>
      <c r="V73" s="13" t="str">
        <f t="shared" si="33"/>
        <v>10K</v>
      </c>
      <c r="W73" s="13">
        <f t="shared" si="33"/>
        <v>80</v>
      </c>
      <c r="X73" s="16">
        <f t="shared" si="34"/>
        <v>79.085999999999999</v>
      </c>
      <c r="Y73" s="16">
        <f t="shared" si="35"/>
        <v>622.56499199999996</v>
      </c>
      <c r="Z73" s="16">
        <f t="shared" si="36"/>
        <v>830.08665599999995</v>
      </c>
      <c r="AA73" s="16">
        <f t="shared" si="37"/>
        <v>83.0086656</v>
      </c>
      <c r="AB73" s="16">
        <f t="shared" si="38"/>
        <v>0</v>
      </c>
      <c r="AC73" s="16">
        <f t="shared" si="39"/>
        <v>0</v>
      </c>
      <c r="AD73" s="16" t="e">
        <f t="shared" si="40"/>
        <v>#DIV/0!</v>
      </c>
      <c r="AE73" s="16" t="e">
        <f t="shared" si="41"/>
        <v>#DIV/0!</v>
      </c>
      <c r="AF73" s="16" t="e">
        <f t="shared" si="42"/>
        <v>#DIV/0!</v>
      </c>
      <c r="AG73" s="16" t="e">
        <f t="shared" si="43"/>
        <v>#DIV/0!</v>
      </c>
      <c r="AH73" s="838" t="s">
        <v>85</v>
      </c>
      <c r="AI73" s="17">
        <f t="shared" si="44"/>
        <v>0</v>
      </c>
      <c r="AJ73" s="17" t="e">
        <f t="shared" si="45"/>
        <v>#DIV/0!</v>
      </c>
      <c r="AK73" s="891"/>
      <c r="AL73" s="18" t="e">
        <f>IF(AK70&lt;=2000,950,(IF(AK70&lt;=4000,1100,(IF(AK70&lt;=6000,1250,(IF(AK70&lt;=10000,1550,(IF(AK70&lt;=15000,1750,(IF(AK70&lt;=24000,2050,(IF(AK70&lt;=40000,2900,3600)))))))))))))</f>
        <v>#DIV/0!</v>
      </c>
      <c r="AM73" s="889"/>
      <c r="AN73" s="891"/>
      <c r="AO73" s="888"/>
      <c r="AP73" s="891"/>
      <c r="AQ73" s="891"/>
      <c r="AR73" s="889"/>
      <c r="AS73" s="888"/>
      <c r="AT73" s="888"/>
      <c r="AU73" s="890"/>
      <c r="AV73" s="888"/>
      <c r="AW73" s="888"/>
      <c r="AX73" s="888"/>
      <c r="AY73" s="887"/>
      <c r="AZ73" s="888"/>
    </row>
    <row r="74" spans="3:52" ht="18.600000000000001">
      <c r="C74" s="13">
        <f>IF(D74&lt;&gt;"",COUNTA($D$10:D74),"")</f>
        <v>56</v>
      </c>
      <c r="D74" s="14" t="s">
        <v>204</v>
      </c>
      <c r="E74" s="14">
        <v>2.7</v>
      </c>
      <c r="F74" s="14">
        <v>4</v>
      </c>
      <c r="G74" s="14">
        <v>2.4</v>
      </c>
      <c r="H74" s="14">
        <v>2</v>
      </c>
      <c r="I74" s="14">
        <v>1</v>
      </c>
      <c r="J74" s="14">
        <v>1.75</v>
      </c>
      <c r="K74" s="14">
        <v>3</v>
      </c>
      <c r="L74" s="15">
        <v>0.1</v>
      </c>
      <c r="M74" s="15">
        <v>0</v>
      </c>
      <c r="N74" s="14">
        <v>24</v>
      </c>
      <c r="O74" s="14">
        <v>50</v>
      </c>
      <c r="P74" s="13">
        <v>45</v>
      </c>
      <c r="Q74" s="13">
        <v>85</v>
      </c>
      <c r="R74" s="13" t="s">
        <v>217</v>
      </c>
      <c r="S74" s="13">
        <v>80</v>
      </c>
      <c r="T74" s="13">
        <v>0</v>
      </c>
      <c r="U74" s="13">
        <v>100</v>
      </c>
      <c r="V74" s="13" t="str">
        <f t="shared" si="33"/>
        <v>10K</v>
      </c>
      <c r="W74" s="13">
        <f t="shared" si="33"/>
        <v>80</v>
      </c>
      <c r="X74" s="16">
        <f t="shared" si="34"/>
        <v>116.208</v>
      </c>
      <c r="Y74" s="16">
        <f t="shared" si="35"/>
        <v>914.78937599999995</v>
      </c>
      <c r="Z74" s="16">
        <f t="shared" si="36"/>
        <v>1219.7191679999999</v>
      </c>
      <c r="AA74" s="16">
        <f t="shared" si="37"/>
        <v>121.97191679999999</v>
      </c>
      <c r="AB74" s="16">
        <f t="shared" si="38"/>
        <v>0</v>
      </c>
      <c r="AC74" s="16">
        <f t="shared" si="39"/>
        <v>0</v>
      </c>
      <c r="AD74" s="16" t="e">
        <f t="shared" si="40"/>
        <v>#DIV/0!</v>
      </c>
      <c r="AE74" s="16" t="e">
        <f t="shared" si="41"/>
        <v>#DIV/0!</v>
      </c>
      <c r="AF74" s="16" t="e">
        <f t="shared" si="42"/>
        <v>#DIV/0!</v>
      </c>
      <c r="AG74" s="16" t="e">
        <f t="shared" si="43"/>
        <v>#DIV/0!</v>
      </c>
      <c r="AH74" s="838" t="s">
        <v>85</v>
      </c>
      <c r="AI74" s="17">
        <f t="shared" si="44"/>
        <v>0</v>
      </c>
      <c r="AJ74" s="17" t="e">
        <f t="shared" si="45"/>
        <v>#DIV/0!</v>
      </c>
      <c r="AK74" s="891"/>
      <c r="AL74" s="18" t="s">
        <v>256</v>
      </c>
      <c r="AM74" s="889"/>
      <c r="AN74" s="891"/>
      <c r="AO74" s="888"/>
      <c r="AP74" s="891"/>
      <c r="AQ74" s="891"/>
      <c r="AR74" s="889"/>
      <c r="AS74" s="888"/>
      <c r="AT74" s="888"/>
      <c r="AU74" s="890"/>
      <c r="AV74" s="888"/>
      <c r="AW74" s="888"/>
      <c r="AX74" s="888"/>
      <c r="AY74" s="887"/>
      <c r="AZ74" s="888"/>
    </row>
    <row r="75" spans="3:52" ht="18.600000000000001">
      <c r="C75" s="13">
        <f>IF(D75&lt;&gt;"",COUNTA($D$10:D75),"")</f>
        <v>57</v>
      </c>
      <c r="D75" s="14" t="s">
        <v>205</v>
      </c>
      <c r="E75" s="14">
        <v>3.8</v>
      </c>
      <c r="F75" s="14">
        <v>4.2</v>
      </c>
      <c r="G75" s="14">
        <v>2.4</v>
      </c>
      <c r="H75" s="14">
        <v>3</v>
      </c>
      <c r="I75" s="14">
        <v>3</v>
      </c>
      <c r="J75" s="14">
        <v>1.75</v>
      </c>
      <c r="K75" s="14">
        <v>3</v>
      </c>
      <c r="L75" s="15">
        <v>0.1</v>
      </c>
      <c r="M75" s="15">
        <v>0</v>
      </c>
      <c r="N75" s="14">
        <v>24</v>
      </c>
      <c r="O75" s="14">
        <v>50</v>
      </c>
      <c r="P75" s="13">
        <v>45</v>
      </c>
      <c r="Q75" s="13">
        <v>85</v>
      </c>
      <c r="R75" s="13" t="s">
        <v>217</v>
      </c>
      <c r="S75" s="13">
        <v>80</v>
      </c>
      <c r="T75" s="13">
        <v>0</v>
      </c>
      <c r="U75" s="13">
        <v>100</v>
      </c>
      <c r="V75" s="13" t="str">
        <f t="shared" si="33"/>
        <v>10K</v>
      </c>
      <c r="W75" s="13">
        <f t="shared" si="33"/>
        <v>80</v>
      </c>
      <c r="X75" s="16">
        <f t="shared" si="34"/>
        <v>171.72959999999998</v>
      </c>
      <c r="Y75" s="16">
        <f t="shared" si="35"/>
        <v>1351.8554111999997</v>
      </c>
      <c r="Z75" s="16">
        <f t="shared" si="36"/>
        <v>1802.4738815999997</v>
      </c>
      <c r="AA75" s="16">
        <f t="shared" si="37"/>
        <v>180.24738815999999</v>
      </c>
      <c r="AB75" s="16">
        <f t="shared" si="38"/>
        <v>0</v>
      </c>
      <c r="AC75" s="16">
        <f t="shared" si="39"/>
        <v>0</v>
      </c>
      <c r="AD75" s="16" t="e">
        <f t="shared" si="40"/>
        <v>#DIV/0!</v>
      </c>
      <c r="AE75" s="16" t="e">
        <f t="shared" si="41"/>
        <v>#DIV/0!</v>
      </c>
      <c r="AF75" s="16" t="e">
        <f t="shared" si="42"/>
        <v>#DIV/0!</v>
      </c>
      <c r="AG75" s="16" t="e">
        <f t="shared" si="43"/>
        <v>#DIV/0!</v>
      </c>
      <c r="AH75" s="838" t="s">
        <v>85</v>
      </c>
      <c r="AI75" s="17">
        <f t="shared" si="44"/>
        <v>0</v>
      </c>
      <c r="AJ75" s="17" t="e">
        <f t="shared" si="45"/>
        <v>#DIV/0!</v>
      </c>
      <c r="AK75" s="891"/>
      <c r="AL75" s="18" t="e">
        <f>IF(AL79&lt;4000,AL79,AL79+400)</f>
        <v>#DIV/0!</v>
      </c>
      <c r="AM75" s="889"/>
      <c r="AN75" s="891"/>
      <c r="AO75" s="888"/>
      <c r="AP75" s="891"/>
      <c r="AQ75" s="891"/>
      <c r="AR75" s="889"/>
      <c r="AS75" s="888"/>
      <c r="AT75" s="888"/>
      <c r="AU75" s="890"/>
      <c r="AV75" s="888"/>
      <c r="AW75" s="888"/>
      <c r="AX75" s="888"/>
      <c r="AY75" s="887"/>
      <c r="AZ75" s="888"/>
    </row>
    <row r="76" spans="3:52" ht="18.600000000000001">
      <c r="C76" s="13">
        <f>IF(D76&lt;&gt;"",COUNTA($D$10:D76),"")</f>
        <v>58</v>
      </c>
      <c r="D76" s="14" t="s">
        <v>206</v>
      </c>
      <c r="E76" s="14">
        <v>3.1</v>
      </c>
      <c r="F76" s="14">
        <v>2.6</v>
      </c>
      <c r="G76" s="14">
        <v>2.4</v>
      </c>
      <c r="H76" s="14">
        <v>2</v>
      </c>
      <c r="I76" s="14">
        <v>1</v>
      </c>
      <c r="J76" s="14">
        <v>1.75</v>
      </c>
      <c r="K76" s="14">
        <v>3</v>
      </c>
      <c r="L76" s="15">
        <v>0.1</v>
      </c>
      <c r="M76" s="15">
        <v>0</v>
      </c>
      <c r="N76" s="14">
        <v>24</v>
      </c>
      <c r="O76" s="14">
        <v>50</v>
      </c>
      <c r="P76" s="13">
        <v>45</v>
      </c>
      <c r="Q76" s="13">
        <v>85</v>
      </c>
      <c r="R76" s="13" t="s">
        <v>217</v>
      </c>
      <c r="S76" s="13">
        <v>80</v>
      </c>
      <c r="T76" s="13">
        <v>0</v>
      </c>
      <c r="U76" s="13">
        <v>100</v>
      </c>
      <c r="V76" s="13" t="str">
        <f t="shared" si="33"/>
        <v>10K</v>
      </c>
      <c r="W76" s="13">
        <f t="shared" si="33"/>
        <v>80</v>
      </c>
      <c r="X76" s="16">
        <f t="shared" si="34"/>
        <v>86.7256</v>
      </c>
      <c r="Y76" s="16">
        <f t="shared" si="35"/>
        <v>682.70392319999996</v>
      </c>
      <c r="Z76" s="16">
        <f t="shared" si="36"/>
        <v>910.27189759999987</v>
      </c>
      <c r="AA76" s="16">
        <f t="shared" si="37"/>
        <v>91.027189759999999</v>
      </c>
      <c r="AB76" s="16">
        <f t="shared" si="38"/>
        <v>0</v>
      </c>
      <c r="AC76" s="16">
        <f t="shared" si="39"/>
        <v>0</v>
      </c>
      <c r="AD76" s="16" t="e">
        <f t="shared" si="40"/>
        <v>#DIV/0!</v>
      </c>
      <c r="AE76" s="16" t="e">
        <f t="shared" si="41"/>
        <v>#DIV/0!</v>
      </c>
      <c r="AF76" s="16" t="e">
        <f t="shared" si="42"/>
        <v>#DIV/0!</v>
      </c>
      <c r="AG76" s="16" t="e">
        <f t="shared" si="43"/>
        <v>#DIV/0!</v>
      </c>
      <c r="AH76" s="838" t="s">
        <v>85</v>
      </c>
      <c r="AI76" s="17">
        <f t="shared" si="44"/>
        <v>0</v>
      </c>
      <c r="AJ76" s="17" t="e">
        <f t="shared" si="45"/>
        <v>#DIV/0!</v>
      </c>
      <c r="AK76" s="891"/>
      <c r="AL76" s="18"/>
      <c r="AM76" s="889"/>
      <c r="AN76" s="891"/>
      <c r="AO76" s="888"/>
      <c r="AP76" s="891"/>
      <c r="AQ76" s="891"/>
      <c r="AR76" s="889"/>
      <c r="AS76" s="888"/>
      <c r="AT76" s="888"/>
      <c r="AU76" s="890"/>
      <c r="AV76" s="888"/>
      <c r="AW76" s="888"/>
      <c r="AX76" s="888"/>
      <c r="AY76" s="887"/>
      <c r="AZ76" s="888"/>
    </row>
    <row r="77" spans="3:52" ht="18.600000000000001">
      <c r="C77" s="13">
        <f>IF(D77&lt;&gt;"",COUNTA($D$10:D77),"")</f>
        <v>59</v>
      </c>
      <c r="D77" s="14" t="s">
        <v>207</v>
      </c>
      <c r="E77" s="14">
        <v>1.9</v>
      </c>
      <c r="F77" s="14">
        <v>2.4</v>
      </c>
      <c r="G77" s="14">
        <v>2.4</v>
      </c>
      <c r="H77" s="14">
        <v>3</v>
      </c>
      <c r="I77" s="14">
        <v>2</v>
      </c>
      <c r="J77" s="14">
        <v>1.75</v>
      </c>
      <c r="K77" s="14">
        <v>3</v>
      </c>
      <c r="L77" s="15">
        <v>0.1</v>
      </c>
      <c r="M77" s="15">
        <v>0</v>
      </c>
      <c r="N77" s="14">
        <v>24</v>
      </c>
      <c r="O77" s="14">
        <v>50</v>
      </c>
      <c r="P77" s="13">
        <v>45</v>
      </c>
      <c r="Q77" s="13">
        <v>85</v>
      </c>
      <c r="R77" s="13" t="s">
        <v>217</v>
      </c>
      <c r="S77" s="13">
        <v>80</v>
      </c>
      <c r="T77" s="13">
        <v>0</v>
      </c>
      <c r="U77" s="13">
        <v>100</v>
      </c>
      <c r="V77" s="13" t="str">
        <f t="shared" si="33"/>
        <v>10K</v>
      </c>
      <c r="W77" s="13">
        <f t="shared" si="33"/>
        <v>80</v>
      </c>
      <c r="X77" s="16">
        <f t="shared" si="34"/>
        <v>49.065599999999996</v>
      </c>
      <c r="Y77" s="16">
        <f t="shared" si="35"/>
        <v>386.24440319999997</v>
      </c>
      <c r="Z77" s="16">
        <f t="shared" si="36"/>
        <v>514.99253759999988</v>
      </c>
      <c r="AA77" s="16">
        <f t="shared" si="37"/>
        <v>51.499253759999988</v>
      </c>
      <c r="AB77" s="16">
        <f t="shared" si="38"/>
        <v>0</v>
      </c>
      <c r="AC77" s="16">
        <f t="shared" si="39"/>
        <v>0</v>
      </c>
      <c r="AD77" s="16" t="e">
        <f t="shared" si="40"/>
        <v>#DIV/0!</v>
      </c>
      <c r="AE77" s="16" t="e">
        <f t="shared" si="41"/>
        <v>#DIV/0!</v>
      </c>
      <c r="AF77" s="16" t="e">
        <f t="shared" si="42"/>
        <v>#DIV/0!</v>
      </c>
      <c r="AG77" s="16" t="e">
        <f t="shared" si="43"/>
        <v>#DIV/0!</v>
      </c>
      <c r="AH77" s="838" t="s">
        <v>85</v>
      </c>
      <c r="AI77" s="17">
        <f t="shared" si="44"/>
        <v>0</v>
      </c>
      <c r="AJ77" s="17" t="e">
        <f t="shared" si="45"/>
        <v>#DIV/0!</v>
      </c>
      <c r="AK77" s="891"/>
      <c r="AL77" s="18"/>
      <c r="AM77" s="889"/>
      <c r="AN77" s="891"/>
      <c r="AO77" s="888"/>
      <c r="AP77" s="891"/>
      <c r="AQ77" s="891"/>
      <c r="AR77" s="889"/>
      <c r="AS77" s="888"/>
      <c r="AT77" s="888"/>
      <c r="AU77" s="890"/>
      <c r="AV77" s="888"/>
      <c r="AW77" s="888"/>
      <c r="AX77" s="888"/>
      <c r="AY77" s="887"/>
      <c r="AZ77" s="888"/>
    </row>
    <row r="78" spans="3:52" ht="18.600000000000001">
      <c r="C78" s="13">
        <f>IF(D78&lt;&gt;"",COUNTA($D$10:D78),"")</f>
        <v>60</v>
      </c>
      <c r="D78" s="14" t="s">
        <v>208</v>
      </c>
      <c r="E78" s="14">
        <v>3</v>
      </c>
      <c r="F78" s="14">
        <v>2.9</v>
      </c>
      <c r="G78" s="14">
        <v>2.4</v>
      </c>
      <c r="H78" s="14">
        <v>2</v>
      </c>
      <c r="I78" s="14">
        <v>1</v>
      </c>
      <c r="J78" s="14">
        <v>1.75</v>
      </c>
      <c r="K78" s="14">
        <v>3</v>
      </c>
      <c r="L78" s="15">
        <v>0.1</v>
      </c>
      <c r="M78" s="15">
        <v>0</v>
      </c>
      <c r="N78" s="14">
        <v>24</v>
      </c>
      <c r="O78" s="14">
        <v>50</v>
      </c>
      <c r="P78" s="13">
        <v>45</v>
      </c>
      <c r="Q78" s="13">
        <v>85</v>
      </c>
      <c r="R78" s="13" t="s">
        <v>217</v>
      </c>
      <c r="S78" s="13">
        <v>80</v>
      </c>
      <c r="T78" s="13">
        <v>0</v>
      </c>
      <c r="U78" s="13">
        <v>100</v>
      </c>
      <c r="V78" s="13" t="str">
        <f t="shared" si="33"/>
        <v>10K</v>
      </c>
      <c r="W78" s="13">
        <f t="shared" si="33"/>
        <v>80</v>
      </c>
      <c r="X78" s="16">
        <f t="shared" si="34"/>
        <v>93.611999999999995</v>
      </c>
      <c r="Y78" s="16">
        <f t="shared" si="35"/>
        <v>736.91366399999993</v>
      </c>
      <c r="Z78" s="16">
        <f t="shared" si="36"/>
        <v>982.55155199999979</v>
      </c>
      <c r="AA78" s="16">
        <f t="shared" si="37"/>
        <v>98.25515519999999</v>
      </c>
      <c r="AB78" s="16">
        <f t="shared" si="38"/>
        <v>0</v>
      </c>
      <c r="AC78" s="16">
        <f t="shared" si="39"/>
        <v>0</v>
      </c>
      <c r="AD78" s="16" t="e">
        <f>IF(ISNUMBER(N78), CEILING(CF78/(0.68*BP78),25), "Ambient")</f>
        <v>#DIV/0!</v>
      </c>
      <c r="AE78" s="16" t="e">
        <f t="shared" si="41"/>
        <v>#DIV/0!</v>
      </c>
      <c r="AF78" s="16" t="e">
        <f t="shared" si="42"/>
        <v>#DIV/0!</v>
      </c>
      <c r="AG78" s="16" t="e">
        <f t="shared" si="43"/>
        <v>#DIV/0!</v>
      </c>
      <c r="AH78" s="838" t="s">
        <v>85</v>
      </c>
      <c r="AI78" s="17">
        <f t="shared" si="44"/>
        <v>0</v>
      </c>
      <c r="AJ78" s="17" t="e">
        <f t="shared" si="45"/>
        <v>#DIV/0!</v>
      </c>
      <c r="AK78" s="891"/>
      <c r="AL78" s="18"/>
      <c r="AM78" s="889"/>
      <c r="AN78" s="891"/>
      <c r="AO78" s="888"/>
      <c r="AP78" s="891"/>
      <c r="AQ78" s="891"/>
      <c r="AR78" s="889"/>
      <c r="AS78" s="888"/>
      <c r="AT78" s="888"/>
      <c r="AU78" s="890"/>
      <c r="AV78" s="888"/>
      <c r="AW78" s="888"/>
      <c r="AX78" s="888"/>
      <c r="AY78" s="887"/>
      <c r="AZ78" s="888"/>
    </row>
    <row r="79" spans="3:52" ht="18.600000000000001">
      <c r="C79" s="13">
        <f>IF(D79&lt;&gt;"",COUNTA($D$10:D79),"")</f>
        <v>61</v>
      </c>
      <c r="D79" s="14" t="s">
        <v>209</v>
      </c>
      <c r="E79" s="14">
        <v>2.4</v>
      </c>
      <c r="F79" s="14">
        <v>2</v>
      </c>
      <c r="G79" s="14">
        <v>2.4</v>
      </c>
      <c r="H79" s="14">
        <v>2</v>
      </c>
      <c r="I79" s="14">
        <v>1</v>
      </c>
      <c r="J79" s="14">
        <v>1.75</v>
      </c>
      <c r="K79" s="14">
        <v>3</v>
      </c>
      <c r="L79" s="15">
        <v>0.1</v>
      </c>
      <c r="M79" s="15">
        <v>0</v>
      </c>
      <c r="N79" s="14">
        <v>24</v>
      </c>
      <c r="O79" s="14">
        <v>50</v>
      </c>
      <c r="P79" s="13">
        <v>45</v>
      </c>
      <c r="Q79" s="13">
        <v>85</v>
      </c>
      <c r="R79" s="13" t="s">
        <v>217</v>
      </c>
      <c r="S79" s="13">
        <v>80</v>
      </c>
      <c r="T79" s="13">
        <v>0</v>
      </c>
      <c r="U79" s="13">
        <v>100</v>
      </c>
      <c r="V79" s="13" t="str">
        <f t="shared" si="33"/>
        <v>10K</v>
      </c>
      <c r="W79" s="13">
        <f t="shared" si="33"/>
        <v>80</v>
      </c>
      <c r="X79" s="16">
        <f t="shared" si="34"/>
        <v>51.647999999999996</v>
      </c>
      <c r="Y79" s="16">
        <f t="shared" si="35"/>
        <v>406.57305599999995</v>
      </c>
      <c r="Z79" s="16">
        <f t="shared" si="36"/>
        <v>542.09740799999997</v>
      </c>
      <c r="AA79" s="16">
        <f t="shared" si="37"/>
        <v>54.209740799999999</v>
      </c>
      <c r="AB79" s="16">
        <f t="shared" si="38"/>
        <v>0</v>
      </c>
      <c r="AC79" s="16">
        <f t="shared" si="39"/>
        <v>0</v>
      </c>
      <c r="AD79" s="16" t="e">
        <f t="shared" ref="AD79:AD85" si="46">IF(ISNUMBER(N79), CEILING(CF79/(0.68*BP79),25), "Ambient")</f>
        <v>#DIV/0!</v>
      </c>
      <c r="AE79" s="16" t="e">
        <f t="shared" si="41"/>
        <v>#DIV/0!</v>
      </c>
      <c r="AF79" s="16" t="e">
        <f t="shared" si="42"/>
        <v>#DIV/0!</v>
      </c>
      <c r="AG79" s="16" t="e">
        <f t="shared" si="43"/>
        <v>#DIV/0!</v>
      </c>
      <c r="AH79" s="838" t="s">
        <v>85</v>
      </c>
      <c r="AI79" s="17">
        <f t="shared" si="44"/>
        <v>0</v>
      </c>
      <c r="AJ79" s="17" t="e">
        <f t="shared" si="45"/>
        <v>#DIV/0!</v>
      </c>
      <c r="AK79" s="891"/>
      <c r="AL79" s="174" t="e">
        <f>IF(AN70&lt;=315,1600,(IF(AN70=355,1650,(IF(AN70=400,1650,(IF(AN70=450,1700,(IF(AN70=500,1700,(IF(AN70=560,1800,(IF(AN70=630,2000,(IF(AN70=710,2200,2500)))))))))))))))+IF(AR70=2,1800,(IF(AR70=3,2300,(IF(AR70=4,3300,0)))))+IF(AP70&lt;=4,600,(IF(AP70&lt;=6,800,(IF(AP70&lt;=8,1000,1200)))))</f>
        <v>#DIV/0!</v>
      </c>
      <c r="AM79" s="889"/>
      <c r="AN79" s="891"/>
      <c r="AO79" s="888"/>
      <c r="AP79" s="891"/>
      <c r="AQ79" s="891"/>
      <c r="AR79" s="889"/>
      <c r="AS79" s="888"/>
      <c r="AT79" s="888"/>
      <c r="AU79" s="890"/>
      <c r="AV79" s="888"/>
      <c r="AW79" s="888"/>
      <c r="AX79" s="888"/>
      <c r="AY79" s="887"/>
      <c r="AZ79" s="888"/>
    </row>
    <row r="80" spans="3:52" ht="18.600000000000001">
      <c r="C80" s="13">
        <f>IF(D80&lt;&gt;"",COUNTA($D$10:D80),"")</f>
        <v>62</v>
      </c>
      <c r="D80" s="14" t="s">
        <v>210</v>
      </c>
      <c r="E80" s="14">
        <v>2.1</v>
      </c>
      <c r="F80" s="14">
        <v>1.8</v>
      </c>
      <c r="G80" s="14">
        <v>2.4</v>
      </c>
      <c r="H80" s="14">
        <v>2</v>
      </c>
      <c r="I80" s="14">
        <v>1</v>
      </c>
      <c r="J80" s="14">
        <v>1.75</v>
      </c>
      <c r="K80" s="14">
        <v>3</v>
      </c>
      <c r="L80" s="15">
        <v>0.1</v>
      </c>
      <c r="M80" s="15">
        <v>0</v>
      </c>
      <c r="N80" s="14">
        <v>24</v>
      </c>
      <c r="O80" s="14">
        <v>50</v>
      </c>
      <c r="P80" s="13">
        <v>45</v>
      </c>
      <c r="Q80" s="13">
        <v>85</v>
      </c>
      <c r="R80" s="13" t="s">
        <v>217</v>
      </c>
      <c r="S80" s="13">
        <v>80</v>
      </c>
      <c r="T80" s="13">
        <v>0</v>
      </c>
      <c r="U80" s="13">
        <v>100</v>
      </c>
      <c r="V80" s="13" t="str">
        <f t="shared" si="33"/>
        <v>10K</v>
      </c>
      <c r="W80" s="13">
        <f t="shared" si="33"/>
        <v>80</v>
      </c>
      <c r="X80" s="16">
        <f t="shared" si="34"/>
        <v>40.672800000000002</v>
      </c>
      <c r="Y80" s="16">
        <f t="shared" si="35"/>
        <v>320.17628159999998</v>
      </c>
      <c r="Z80" s="16">
        <f t="shared" si="36"/>
        <v>426.90170879999999</v>
      </c>
      <c r="AA80" s="16">
        <f t="shared" si="37"/>
        <v>42.690170880000004</v>
      </c>
      <c r="AB80" s="16">
        <f t="shared" si="38"/>
        <v>0</v>
      </c>
      <c r="AC80" s="16">
        <f t="shared" si="39"/>
        <v>0</v>
      </c>
      <c r="AD80" s="16" t="e">
        <f t="shared" si="46"/>
        <v>#DIV/0!</v>
      </c>
      <c r="AE80" s="16" t="e">
        <f t="shared" si="41"/>
        <v>#DIV/0!</v>
      </c>
      <c r="AF80" s="16" t="e">
        <f t="shared" si="42"/>
        <v>#DIV/0!</v>
      </c>
      <c r="AG80" s="16" t="e">
        <f t="shared" si="43"/>
        <v>#DIV/0!</v>
      </c>
      <c r="AH80" s="838" t="s">
        <v>85</v>
      </c>
      <c r="AI80" s="17">
        <f t="shared" si="44"/>
        <v>0</v>
      </c>
      <c r="AJ80" s="17" t="e">
        <f t="shared" si="45"/>
        <v>#DIV/0!</v>
      </c>
      <c r="AK80" s="891"/>
      <c r="AL80" s="18"/>
      <c r="AM80" s="889"/>
      <c r="AN80" s="891"/>
      <c r="AO80" s="888"/>
      <c r="AP80" s="891"/>
      <c r="AQ80" s="891"/>
      <c r="AR80" s="889"/>
      <c r="AS80" s="888"/>
      <c r="AT80" s="888"/>
      <c r="AU80" s="890"/>
      <c r="AV80" s="888"/>
      <c r="AW80" s="888"/>
      <c r="AX80" s="888"/>
      <c r="AY80" s="887"/>
      <c r="AZ80" s="888"/>
    </row>
    <row r="81" spans="3:52" ht="18.600000000000001">
      <c r="C81" s="13">
        <f>IF(D81&lt;&gt;"",COUNTA($D$10:D81),"")</f>
        <v>63</v>
      </c>
      <c r="D81" s="14" t="s">
        <v>211</v>
      </c>
      <c r="E81" s="14">
        <v>1.8</v>
      </c>
      <c r="F81" s="14">
        <v>1.9</v>
      </c>
      <c r="G81" s="14">
        <v>2.4</v>
      </c>
      <c r="H81" s="14">
        <v>2</v>
      </c>
      <c r="I81" s="14">
        <v>1</v>
      </c>
      <c r="J81" s="14">
        <v>1.75</v>
      </c>
      <c r="K81" s="14">
        <v>3</v>
      </c>
      <c r="L81" s="15">
        <v>0.1</v>
      </c>
      <c r="M81" s="15">
        <v>0</v>
      </c>
      <c r="N81" s="14">
        <v>24</v>
      </c>
      <c r="O81" s="14">
        <v>50</v>
      </c>
      <c r="P81" s="13">
        <v>45</v>
      </c>
      <c r="Q81" s="13">
        <v>85</v>
      </c>
      <c r="R81" s="13" t="s">
        <v>217</v>
      </c>
      <c r="S81" s="13">
        <v>80</v>
      </c>
      <c r="T81" s="13">
        <v>0</v>
      </c>
      <c r="U81" s="13">
        <v>100</v>
      </c>
      <c r="V81" s="13" t="str">
        <f t="shared" si="33"/>
        <v>10K</v>
      </c>
      <c r="W81" s="13">
        <f t="shared" si="33"/>
        <v>80</v>
      </c>
      <c r="X81" s="16">
        <f t="shared" si="34"/>
        <v>36.799199999999999</v>
      </c>
      <c r="Y81" s="16">
        <f t="shared" si="35"/>
        <v>289.68330239999995</v>
      </c>
      <c r="Z81" s="16">
        <f t="shared" si="36"/>
        <v>386.24440319999997</v>
      </c>
      <c r="AA81" s="16">
        <f t="shared" si="37"/>
        <v>38.624440319999998</v>
      </c>
      <c r="AB81" s="16">
        <f t="shared" si="38"/>
        <v>0</v>
      </c>
      <c r="AC81" s="16">
        <f t="shared" si="39"/>
        <v>0</v>
      </c>
      <c r="AD81" s="16" t="e">
        <f t="shared" si="46"/>
        <v>#DIV/0!</v>
      </c>
      <c r="AE81" s="16" t="e">
        <f t="shared" si="41"/>
        <v>#DIV/0!</v>
      </c>
      <c r="AF81" s="16" t="e">
        <f t="shared" si="42"/>
        <v>#DIV/0!</v>
      </c>
      <c r="AG81" s="16" t="e">
        <f t="shared" si="43"/>
        <v>#DIV/0!</v>
      </c>
      <c r="AH81" s="838" t="s">
        <v>85</v>
      </c>
      <c r="AI81" s="17">
        <f t="shared" si="44"/>
        <v>0</v>
      </c>
      <c r="AJ81" s="17" t="e">
        <f t="shared" si="45"/>
        <v>#DIV/0!</v>
      </c>
      <c r="AK81" s="891"/>
      <c r="AL81" s="18"/>
      <c r="AM81" s="889"/>
      <c r="AN81" s="891"/>
      <c r="AO81" s="888"/>
      <c r="AP81" s="891"/>
      <c r="AQ81" s="891"/>
      <c r="AR81" s="889"/>
      <c r="AS81" s="888"/>
      <c r="AT81" s="888"/>
      <c r="AU81" s="890"/>
      <c r="AV81" s="888"/>
      <c r="AW81" s="888"/>
      <c r="AX81" s="888"/>
      <c r="AY81" s="887"/>
      <c r="AZ81" s="888"/>
    </row>
    <row r="82" spans="3:52" ht="18.600000000000001">
      <c r="C82" s="13">
        <f>IF(D82&lt;&gt;"",COUNTA($D$10:D82),"")</f>
        <v>64</v>
      </c>
      <c r="D82" s="14" t="s">
        <v>212</v>
      </c>
      <c r="E82" s="14">
        <v>1.9</v>
      </c>
      <c r="F82" s="14">
        <v>2</v>
      </c>
      <c r="G82" s="14">
        <v>2.4</v>
      </c>
      <c r="H82" s="14">
        <v>2</v>
      </c>
      <c r="I82" s="14">
        <v>1</v>
      </c>
      <c r="J82" s="14">
        <v>1.75</v>
      </c>
      <c r="K82" s="14">
        <v>3</v>
      </c>
      <c r="L82" s="15">
        <v>0.1</v>
      </c>
      <c r="M82" s="15">
        <v>0</v>
      </c>
      <c r="N82" s="14">
        <v>24</v>
      </c>
      <c r="O82" s="14">
        <v>50</v>
      </c>
      <c r="P82" s="13">
        <v>45</v>
      </c>
      <c r="Q82" s="13">
        <v>85</v>
      </c>
      <c r="R82" s="13" t="s">
        <v>217</v>
      </c>
      <c r="S82" s="13">
        <v>80</v>
      </c>
      <c r="T82" s="13">
        <v>0</v>
      </c>
      <c r="U82" s="13">
        <v>100</v>
      </c>
      <c r="V82" s="13" t="str">
        <f t="shared" si="33"/>
        <v>10K</v>
      </c>
      <c r="W82" s="13">
        <f t="shared" si="33"/>
        <v>80</v>
      </c>
      <c r="X82" s="16">
        <f t="shared" si="34"/>
        <v>40.887999999999998</v>
      </c>
      <c r="Y82" s="16">
        <f t="shared" si="35"/>
        <v>321.87033599999995</v>
      </c>
      <c r="Z82" s="16">
        <f t="shared" si="36"/>
        <v>429.16044799999992</v>
      </c>
      <c r="AA82" s="16">
        <f t="shared" si="37"/>
        <v>42.916044799999995</v>
      </c>
      <c r="AB82" s="16">
        <f t="shared" si="38"/>
        <v>0</v>
      </c>
      <c r="AC82" s="16">
        <f t="shared" si="39"/>
        <v>0</v>
      </c>
      <c r="AD82" s="16" t="e">
        <f t="shared" si="46"/>
        <v>#DIV/0!</v>
      </c>
      <c r="AE82" s="16" t="e">
        <f t="shared" si="41"/>
        <v>#DIV/0!</v>
      </c>
      <c r="AF82" s="16" t="e">
        <f t="shared" si="42"/>
        <v>#DIV/0!</v>
      </c>
      <c r="AG82" s="16" t="e">
        <f t="shared" si="43"/>
        <v>#DIV/0!</v>
      </c>
      <c r="AH82" s="838" t="s">
        <v>85</v>
      </c>
      <c r="AI82" s="17">
        <f t="shared" si="44"/>
        <v>0</v>
      </c>
      <c r="AJ82" s="17" t="e">
        <f t="shared" si="45"/>
        <v>#DIV/0!</v>
      </c>
      <c r="AK82" s="891"/>
      <c r="AL82" s="18"/>
      <c r="AM82" s="889"/>
      <c r="AN82" s="891"/>
      <c r="AO82" s="888"/>
      <c r="AP82" s="891"/>
      <c r="AQ82" s="891"/>
      <c r="AR82" s="889"/>
      <c r="AS82" s="888"/>
      <c r="AT82" s="888"/>
      <c r="AU82" s="890"/>
      <c r="AV82" s="888"/>
      <c r="AW82" s="888"/>
      <c r="AX82" s="888"/>
      <c r="AY82" s="887"/>
      <c r="AZ82" s="888"/>
    </row>
    <row r="83" spans="3:52" ht="18.600000000000001">
      <c r="C83" s="13">
        <f>IF(D83&lt;&gt;"",COUNTA($D$10:D83),"")</f>
        <v>65</v>
      </c>
      <c r="D83" s="14" t="s">
        <v>213</v>
      </c>
      <c r="E83" s="14">
        <v>2.2999999999999998</v>
      </c>
      <c r="F83" s="14">
        <v>2.2000000000000002</v>
      </c>
      <c r="G83" s="14">
        <v>2.4</v>
      </c>
      <c r="H83" s="14">
        <v>2</v>
      </c>
      <c r="I83" s="14">
        <v>1</v>
      </c>
      <c r="J83" s="14">
        <v>1.75</v>
      </c>
      <c r="K83" s="14">
        <v>3</v>
      </c>
      <c r="L83" s="15">
        <v>0.1</v>
      </c>
      <c r="M83" s="15">
        <v>0</v>
      </c>
      <c r="N83" s="14">
        <v>24</v>
      </c>
      <c r="O83" s="14">
        <v>50</v>
      </c>
      <c r="P83" s="13">
        <v>45</v>
      </c>
      <c r="Q83" s="13">
        <v>85</v>
      </c>
      <c r="R83" s="13" t="s">
        <v>217</v>
      </c>
      <c r="S83" s="13">
        <v>80</v>
      </c>
      <c r="T83" s="13">
        <v>0</v>
      </c>
      <c r="U83" s="13">
        <v>100</v>
      </c>
      <c r="V83" s="13" t="str">
        <f t="shared" si="33"/>
        <v>10K</v>
      </c>
      <c r="W83" s="13">
        <f t="shared" si="33"/>
        <v>80</v>
      </c>
      <c r="X83" s="16">
        <f t="shared" si="34"/>
        <v>54.445599999999992</v>
      </c>
      <c r="Y83" s="16">
        <f t="shared" si="35"/>
        <v>428.59576319999991</v>
      </c>
      <c r="Z83" s="16">
        <f t="shared" si="36"/>
        <v>571.46101759999988</v>
      </c>
      <c r="AA83" s="16">
        <f t="shared" si="37"/>
        <v>57.146101759999993</v>
      </c>
      <c r="AB83" s="16">
        <f t="shared" si="38"/>
        <v>0</v>
      </c>
      <c r="AC83" s="16">
        <f t="shared" si="39"/>
        <v>0</v>
      </c>
      <c r="AD83" s="16" t="e">
        <f t="shared" si="46"/>
        <v>#DIV/0!</v>
      </c>
      <c r="AE83" s="16" t="e">
        <f t="shared" si="41"/>
        <v>#DIV/0!</v>
      </c>
      <c r="AF83" s="16" t="e">
        <f t="shared" si="42"/>
        <v>#DIV/0!</v>
      </c>
      <c r="AG83" s="16" t="e">
        <f t="shared" si="43"/>
        <v>#DIV/0!</v>
      </c>
      <c r="AH83" s="838" t="s">
        <v>85</v>
      </c>
      <c r="AI83" s="17">
        <f t="shared" si="44"/>
        <v>0</v>
      </c>
      <c r="AJ83" s="17" t="e">
        <f t="shared" si="45"/>
        <v>#DIV/0!</v>
      </c>
      <c r="AK83" s="891"/>
      <c r="AL83" s="18"/>
      <c r="AM83" s="889"/>
      <c r="AN83" s="891"/>
      <c r="AO83" s="888"/>
      <c r="AP83" s="891"/>
      <c r="AQ83" s="891"/>
      <c r="AR83" s="889"/>
      <c r="AS83" s="888"/>
      <c r="AT83" s="888"/>
      <c r="AU83" s="890"/>
      <c r="AV83" s="888"/>
      <c r="AW83" s="888"/>
      <c r="AX83" s="888"/>
      <c r="AY83" s="887"/>
      <c r="AZ83" s="888"/>
    </row>
    <row r="84" spans="3:52" ht="18.600000000000001">
      <c r="C84" s="13">
        <f>IF(D84&lt;&gt;"",COUNTA($D$10:D84),"")</f>
        <v>66</v>
      </c>
      <c r="D84" s="14" t="s">
        <v>214</v>
      </c>
      <c r="E84" s="14">
        <v>2.2000000000000002</v>
      </c>
      <c r="F84" s="14">
        <v>2.8</v>
      </c>
      <c r="G84" s="14">
        <v>2.4</v>
      </c>
      <c r="H84" s="14">
        <v>2</v>
      </c>
      <c r="I84" s="14">
        <v>1</v>
      </c>
      <c r="J84" s="14">
        <v>1.75</v>
      </c>
      <c r="K84" s="14">
        <v>3</v>
      </c>
      <c r="L84" s="15">
        <v>0.1</v>
      </c>
      <c r="M84" s="15">
        <v>0</v>
      </c>
      <c r="N84" s="14">
        <v>24</v>
      </c>
      <c r="O84" s="14">
        <v>50</v>
      </c>
      <c r="P84" s="13">
        <v>45</v>
      </c>
      <c r="Q84" s="13">
        <v>85</v>
      </c>
      <c r="R84" s="13" t="s">
        <v>217</v>
      </c>
      <c r="S84" s="13">
        <v>80</v>
      </c>
      <c r="T84" s="13">
        <v>0</v>
      </c>
      <c r="U84" s="13">
        <v>100</v>
      </c>
      <c r="V84" s="13" t="str">
        <f t="shared" si="33"/>
        <v>10K</v>
      </c>
      <c r="W84" s="13">
        <f t="shared" si="33"/>
        <v>80</v>
      </c>
      <c r="X84" s="16">
        <f t="shared" si="34"/>
        <v>66.281599999999997</v>
      </c>
      <c r="Y84" s="16">
        <f t="shared" si="35"/>
        <v>521.76875519999999</v>
      </c>
      <c r="Z84" s="16">
        <f t="shared" si="36"/>
        <v>695.69167359999994</v>
      </c>
      <c r="AA84" s="16">
        <f t="shared" si="37"/>
        <v>69.569167359999994</v>
      </c>
      <c r="AB84" s="16">
        <f t="shared" si="38"/>
        <v>0</v>
      </c>
      <c r="AC84" s="16">
        <f t="shared" si="39"/>
        <v>0</v>
      </c>
      <c r="AD84" s="16" t="e">
        <f t="shared" si="46"/>
        <v>#DIV/0!</v>
      </c>
      <c r="AE84" s="16" t="e">
        <f t="shared" si="41"/>
        <v>#DIV/0!</v>
      </c>
      <c r="AF84" s="16" t="e">
        <f t="shared" si="42"/>
        <v>#DIV/0!</v>
      </c>
      <c r="AG84" s="16" t="e">
        <f t="shared" si="43"/>
        <v>#DIV/0!</v>
      </c>
      <c r="AH84" s="838" t="s">
        <v>85</v>
      </c>
      <c r="AI84" s="17">
        <f t="shared" si="44"/>
        <v>0</v>
      </c>
      <c r="AJ84" s="17" t="e">
        <f t="shared" si="45"/>
        <v>#DIV/0!</v>
      </c>
      <c r="AK84" s="891"/>
      <c r="AL84" s="18"/>
      <c r="AM84" s="889"/>
      <c r="AN84" s="891"/>
      <c r="AO84" s="888"/>
      <c r="AP84" s="891"/>
      <c r="AQ84" s="891"/>
      <c r="AR84" s="889"/>
      <c r="AS84" s="888"/>
      <c r="AT84" s="888"/>
      <c r="AU84" s="890"/>
      <c r="AV84" s="888"/>
      <c r="AW84" s="888"/>
      <c r="AX84" s="888"/>
      <c r="AY84" s="887"/>
      <c r="AZ84" s="888"/>
    </row>
    <row r="85" spans="3:52" ht="18.600000000000001">
      <c r="C85" s="13">
        <f>IF(D85&lt;&gt;"",COUNTA($D$10:D85),"")</f>
        <v>67</v>
      </c>
      <c r="D85" s="14" t="s">
        <v>215</v>
      </c>
      <c r="E85" s="14">
        <v>2.8</v>
      </c>
      <c r="F85" s="14">
        <v>2.4</v>
      </c>
      <c r="G85" s="14">
        <v>2.4</v>
      </c>
      <c r="H85" s="14">
        <v>2</v>
      </c>
      <c r="I85" s="14">
        <v>1</v>
      </c>
      <c r="J85" s="14">
        <v>1.75</v>
      </c>
      <c r="K85" s="14">
        <v>3</v>
      </c>
      <c r="L85" s="15">
        <v>0.1</v>
      </c>
      <c r="M85" s="15">
        <v>0</v>
      </c>
      <c r="N85" s="14">
        <v>24</v>
      </c>
      <c r="O85" s="14">
        <v>50</v>
      </c>
      <c r="P85" s="13">
        <v>45</v>
      </c>
      <c r="Q85" s="13">
        <v>85</v>
      </c>
      <c r="R85" s="13" t="s">
        <v>217</v>
      </c>
      <c r="S85" s="13">
        <v>80</v>
      </c>
      <c r="T85" s="13">
        <v>0</v>
      </c>
      <c r="U85" s="13">
        <v>100</v>
      </c>
      <c r="V85" s="13" t="str">
        <f t="shared" si="33"/>
        <v>10K</v>
      </c>
      <c r="W85" s="13">
        <f t="shared" si="33"/>
        <v>80</v>
      </c>
      <c r="X85" s="16">
        <f t="shared" si="34"/>
        <v>72.307199999999995</v>
      </c>
      <c r="Y85" s="16">
        <f t="shared" si="35"/>
        <v>569.20227839999995</v>
      </c>
      <c r="Z85" s="16">
        <f t="shared" si="36"/>
        <v>758.93637119999994</v>
      </c>
      <c r="AA85" s="16">
        <f t="shared" si="37"/>
        <v>75.893637119999994</v>
      </c>
      <c r="AB85" s="16">
        <f t="shared" si="38"/>
        <v>0</v>
      </c>
      <c r="AC85" s="16">
        <f t="shared" si="39"/>
        <v>0</v>
      </c>
      <c r="AD85" s="16" t="e">
        <f t="shared" si="46"/>
        <v>#DIV/0!</v>
      </c>
      <c r="AE85" s="16" t="e">
        <f t="shared" si="41"/>
        <v>#DIV/0!</v>
      </c>
      <c r="AF85" s="16" t="e">
        <f t="shared" si="42"/>
        <v>#DIV/0!</v>
      </c>
      <c r="AG85" s="16" t="e">
        <f t="shared" si="43"/>
        <v>#DIV/0!</v>
      </c>
      <c r="AH85" s="838" t="s">
        <v>85</v>
      </c>
      <c r="AI85" s="17">
        <f t="shared" si="44"/>
        <v>0</v>
      </c>
      <c r="AJ85" s="17" t="e">
        <f t="shared" si="45"/>
        <v>#DIV/0!</v>
      </c>
      <c r="AK85" s="891"/>
      <c r="AL85" s="18"/>
      <c r="AM85" s="889"/>
      <c r="AN85" s="891"/>
      <c r="AO85" s="888"/>
      <c r="AP85" s="891"/>
      <c r="AQ85" s="891"/>
      <c r="AR85" s="889"/>
      <c r="AS85" s="888"/>
      <c r="AT85" s="888"/>
      <c r="AU85" s="890"/>
      <c r="AV85" s="888"/>
      <c r="AW85" s="888"/>
      <c r="AX85" s="888"/>
      <c r="AY85" s="887"/>
      <c r="AZ85" s="888"/>
    </row>
    <row r="86" spans="3:52">
      <c r="C86" s="13" t="str">
        <f>IF(D86&lt;&gt;"",COUNTA($D$10:D86),"")</f>
        <v/>
      </c>
      <c r="D86" s="19"/>
      <c r="E86" s="19"/>
      <c r="F86" s="19"/>
      <c r="G86" s="19"/>
      <c r="H86" s="19"/>
      <c r="I86" s="19"/>
      <c r="J86" s="19"/>
      <c r="K86" s="19"/>
      <c r="L86" s="19"/>
      <c r="M86" s="19"/>
      <c r="N86" s="19"/>
      <c r="O86" s="19"/>
      <c r="P86" s="19"/>
      <c r="Q86" s="19"/>
      <c r="R86" s="19"/>
      <c r="S86" s="19"/>
      <c r="T86" s="19"/>
      <c r="U86" s="19"/>
      <c r="V86" s="19"/>
      <c r="W86" s="19"/>
      <c r="X86" s="20">
        <f>SUM(X70:X85)</f>
        <v>1144.1108000000002</v>
      </c>
      <c r="Y86" s="20">
        <f t="shared" ref="Y86:AG86" si="47">SUM(Y70:Y85)</f>
        <v>9006.4402175999985</v>
      </c>
      <c r="Z86" s="20">
        <f t="shared" si="47"/>
        <v>12008.5869568</v>
      </c>
      <c r="AA86" s="20">
        <f t="shared" si="47"/>
        <v>1200.8586956799998</v>
      </c>
      <c r="AB86" s="20">
        <f t="shared" si="47"/>
        <v>0</v>
      </c>
      <c r="AC86" s="20">
        <f t="shared" si="47"/>
        <v>0</v>
      </c>
      <c r="AD86" s="20" t="e">
        <f t="shared" si="47"/>
        <v>#DIV/0!</v>
      </c>
      <c r="AE86" s="20" t="e">
        <f t="shared" si="47"/>
        <v>#DIV/0!</v>
      </c>
      <c r="AF86" s="20" t="e">
        <f t="shared" si="47"/>
        <v>#DIV/0!</v>
      </c>
      <c r="AG86" s="20" t="e">
        <f t="shared" si="47"/>
        <v>#DIV/0!</v>
      </c>
      <c r="AH86" s="841"/>
      <c r="AI86" s="20">
        <f t="shared" ref="AI86:AJ86" si="48">SUM(AI70:AI85)</f>
        <v>0</v>
      </c>
      <c r="AJ86" s="20" t="e">
        <f t="shared" si="48"/>
        <v>#DIV/0!</v>
      </c>
      <c r="AK86" s="21"/>
      <c r="AL86" s="21"/>
      <c r="AM86" s="21"/>
      <c r="AN86" s="21"/>
      <c r="AO86" s="21"/>
      <c r="AP86" s="21"/>
      <c r="AQ86" s="21"/>
      <c r="AR86" s="21"/>
      <c r="AS86" s="21"/>
      <c r="AT86" s="21"/>
      <c r="AU86" s="21"/>
      <c r="AV86" s="21"/>
      <c r="AW86" s="21"/>
      <c r="AX86" s="21"/>
      <c r="AY86" s="21"/>
      <c r="AZ86" s="21"/>
    </row>
    <row r="87" spans="3:52">
      <c r="C87" s="13" t="str">
        <f>IF(D87&lt;&gt;"",COUNTA($D$10:D87),"")</f>
        <v/>
      </c>
      <c r="AH87" s="840"/>
    </row>
    <row r="88" spans="3:52" ht="26.1">
      <c r="C88" s="8" t="e">
        <f>"Zoning Area  AHU - " &amp; INT((ROW()-8)/20)+1 &amp; "  " &amp;IF(AQ90&gt;0,"Air-Conditioning System " &amp; IF(AH90="D","(DX)",IF(AH90="C","(Chilled Water)","")),IF(AND(N90="Amb",AQ90=0),"Ventilation System","Refer"))</f>
        <v>#DIV/0!</v>
      </c>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39"/>
      <c r="AI88" s="8"/>
      <c r="AJ88" s="8"/>
      <c r="AK88" s="8"/>
      <c r="AL88" s="8"/>
      <c r="AM88" s="8"/>
      <c r="AN88" s="8"/>
      <c r="AO88" s="8"/>
      <c r="AP88" s="8"/>
      <c r="AQ88" s="8"/>
      <c r="AR88" s="8"/>
      <c r="AS88" s="9" t="s">
        <v>221</v>
      </c>
      <c r="AT88" s="10"/>
      <c r="AU88" s="10"/>
      <c r="AV88" s="11"/>
      <c r="AW88" s="9" t="s">
        <v>222</v>
      </c>
      <c r="AX88" s="10"/>
      <c r="AY88" s="10"/>
      <c r="AZ88" s="11"/>
    </row>
    <row r="89" spans="3:52">
      <c r="C89" s="13">
        <f>IF(D89&lt;&gt;"",COUNTA($D$10:D89),"")</f>
        <v>68</v>
      </c>
      <c r="D89" s="5" t="s">
        <v>165</v>
      </c>
      <c r="E89" s="5" t="s">
        <v>166</v>
      </c>
      <c r="F89" s="5" t="s">
        <v>167</v>
      </c>
      <c r="G89" s="5" t="s">
        <v>168</v>
      </c>
      <c r="H89" s="5" t="s">
        <v>169</v>
      </c>
      <c r="I89" s="5" t="s">
        <v>170</v>
      </c>
      <c r="J89" s="5" t="s">
        <v>171</v>
      </c>
      <c r="K89" s="5" t="s">
        <v>172</v>
      </c>
      <c r="L89" s="5" t="s">
        <v>173</v>
      </c>
      <c r="M89" s="5" t="s">
        <v>174</v>
      </c>
      <c r="N89" s="5" t="s">
        <v>175</v>
      </c>
      <c r="O89" s="5" t="s">
        <v>176</v>
      </c>
      <c r="P89" s="5" t="s">
        <v>177</v>
      </c>
      <c r="Q89" s="5" t="s">
        <v>178</v>
      </c>
      <c r="R89" s="5" t="s">
        <v>199</v>
      </c>
      <c r="S89" s="5" t="s">
        <v>180</v>
      </c>
      <c r="T89" s="5" t="s">
        <v>223</v>
      </c>
      <c r="U89" s="5" t="s">
        <v>224</v>
      </c>
      <c r="V89" s="5" t="s">
        <v>199</v>
      </c>
      <c r="W89" s="5" t="s">
        <v>180</v>
      </c>
      <c r="X89" s="5" t="s">
        <v>225</v>
      </c>
      <c r="Y89" s="5" t="s">
        <v>226</v>
      </c>
      <c r="Z89" s="5" t="s">
        <v>227</v>
      </c>
      <c r="AA89" s="5" t="s">
        <v>228</v>
      </c>
      <c r="AB89" s="5" t="s">
        <v>229</v>
      </c>
      <c r="AC89" s="5" t="s">
        <v>230</v>
      </c>
      <c r="AD89" s="5" t="s">
        <v>231</v>
      </c>
      <c r="AE89" s="5" t="s">
        <v>232</v>
      </c>
      <c r="AF89" s="6" t="s">
        <v>233</v>
      </c>
      <c r="AG89" s="6" t="s">
        <v>234</v>
      </c>
      <c r="AH89" s="6" t="s">
        <v>235</v>
      </c>
      <c r="AI89" s="5" t="s">
        <v>236</v>
      </c>
      <c r="AJ89" s="5" t="s">
        <v>237</v>
      </c>
      <c r="AK89" s="5" t="s">
        <v>238</v>
      </c>
      <c r="AL89" s="5" t="s">
        <v>239</v>
      </c>
      <c r="AM89" s="5" t="s">
        <v>240</v>
      </c>
      <c r="AN89" s="5" t="s">
        <v>241</v>
      </c>
      <c r="AO89" s="5" t="s">
        <v>242</v>
      </c>
      <c r="AP89" s="5" t="s">
        <v>243</v>
      </c>
      <c r="AQ89" s="5" t="s">
        <v>244</v>
      </c>
      <c r="AR89" s="5" t="s">
        <v>245</v>
      </c>
      <c r="AS89" s="5" t="s">
        <v>246</v>
      </c>
      <c r="AT89" s="5" t="s">
        <v>247</v>
      </c>
      <c r="AU89" s="5" t="s">
        <v>248</v>
      </c>
      <c r="AV89" s="5" t="s">
        <v>249</v>
      </c>
      <c r="AW89" s="5" t="s">
        <v>250</v>
      </c>
      <c r="AX89" s="5" t="s">
        <v>251</v>
      </c>
      <c r="AY89" s="5" t="s">
        <v>252</v>
      </c>
      <c r="AZ89" s="5" t="s">
        <v>253</v>
      </c>
    </row>
    <row r="90" spans="3:52" ht="18.600000000000001">
      <c r="C90" s="13">
        <f>IF(D90&lt;&gt;"",COUNTA($D$10:D90),"")</f>
        <v>69</v>
      </c>
      <c r="D90" s="14" t="s">
        <v>200</v>
      </c>
      <c r="E90" s="14">
        <v>3</v>
      </c>
      <c r="F90" s="14">
        <v>3</v>
      </c>
      <c r="G90" s="14">
        <v>2.4</v>
      </c>
      <c r="H90" s="14">
        <v>1</v>
      </c>
      <c r="I90" s="14">
        <v>2</v>
      </c>
      <c r="J90" s="14">
        <v>1.75</v>
      </c>
      <c r="K90" s="14">
        <v>3</v>
      </c>
      <c r="L90" s="15">
        <v>0.1</v>
      </c>
      <c r="M90" s="15">
        <v>0</v>
      </c>
      <c r="N90" s="14">
        <v>24</v>
      </c>
      <c r="O90" s="14">
        <v>50</v>
      </c>
      <c r="P90" s="13">
        <v>45</v>
      </c>
      <c r="Q90" s="13">
        <v>85</v>
      </c>
      <c r="R90" s="13" t="s">
        <v>218</v>
      </c>
      <c r="S90" s="13">
        <v>20</v>
      </c>
      <c r="T90" s="13">
        <v>0</v>
      </c>
      <c r="U90" s="13">
        <v>100</v>
      </c>
      <c r="V90" s="13" t="str">
        <f>R90</f>
        <v>NC</v>
      </c>
      <c r="W90" s="13">
        <f>S90</f>
        <v>20</v>
      </c>
      <c r="X90" s="16">
        <f>E90*F90*10.76</f>
        <v>96.84</v>
      </c>
      <c r="Y90" s="16">
        <f>X90*G90*3.28</f>
        <v>762.32447999999999</v>
      </c>
      <c r="Z90" s="16">
        <f>Y90*S90/60</f>
        <v>254.10816000000003</v>
      </c>
      <c r="AA90" s="16">
        <f>Z90*L90</f>
        <v>25.410816000000004</v>
      </c>
      <c r="AB90" s="16">
        <f>IF(N90="Amb",Z90,Z90*M90)</f>
        <v>0</v>
      </c>
      <c r="AC90" s="16">
        <f>IF(ISNUMBER(N90), (AA90*0.075*60/2.20462)*BP90/7000, "Ambient")</f>
        <v>0</v>
      </c>
      <c r="AD90" s="16" t="e">
        <f>IF(ISNUMBER(N90), CEILING(CF90/(0.68*BP90),25), "Ambient")</f>
        <v>#DIV/0!</v>
      </c>
      <c r="AE90" s="16" t="e">
        <f>CEILING(MAX((Z90+AA90),AD90),25)</f>
        <v>#DIV/0!</v>
      </c>
      <c r="AF90" s="16" t="e">
        <f>CEILING(IF(OR($R90="ISO 6",$R90="GRADE B",$R90="1K",$R90=1000),AE90*1/175,IF(OR($R90="ISO 5",$R90="GRADE A",$R90=100),AE90*1/100,IF(OR($R90="ISO 7",$R90="GRADE C",$R90="10K",$R90=10000),$AE90*1/250,IF(OR($R90="ISO 8",$R90="GRADE D",$R90="100K",$R90=100000),$AE90*1/250,IF(OR($R90="NC",$R90="20 Micron",$R90="5 Micron",$R90="N C"),$AE90*1/350,0))))),2)</f>
        <v>#DIV/0!</v>
      </c>
      <c r="AG90" s="16" t="e">
        <f>IF(ISNUMBER(N90), CEILING(MAX(AI90,AJ90),0.5), "Ambient")</f>
        <v>#DIV/0!</v>
      </c>
      <c r="AH90" s="838" t="s">
        <v>85</v>
      </c>
      <c r="AI90" s="17">
        <f>IF(ISNUMBER(N90), CEILING(CE90/12000,0.5), "Ambient")</f>
        <v>0</v>
      </c>
      <c r="AJ90" s="17" t="e">
        <f>IF(ISNUMBER(N90),CEILING(AE90/(IF(AH90="C",400,300)),0.5), "Ambient")</f>
        <v>#DIV/0!</v>
      </c>
      <c r="AK90" s="891" t="e">
        <f>CEILING(SUM(AE90:AE105),250)</f>
        <v>#DIV/0!</v>
      </c>
      <c r="AL90" s="18" t="s">
        <v>254</v>
      </c>
      <c r="AM90" s="889">
        <v>150</v>
      </c>
      <c r="AN90" s="891" t="e">
        <f>IF(AK90&lt;=1300,200,IF(AK90&lt;=1600,225,IF(AK90&lt;=2100,250,IF(AK90&lt;=2700,280,IF(AK90&lt;=3450,315,IF(AK90&lt;=4250,355,IF(AK90&lt;=5250,400,IF(AK90&lt;=6750,450,IF(AK90&lt;=8500,500,IF(AK90&lt;=10750,560,IF(AK90&lt;=13500,630,IF(AK90&lt;=17000,710,IF(AK90&lt;=21500,800,IF(AK90&lt;=27000,900,IF(AK90&lt;=34000,1000,IF(AK90&lt;=43000,1120,IF(AK90&lt;=49000,1200,IF(AK90&lt;=68000,1450,"Refer"))))))))))))))))))</f>
        <v>#DIV/0!</v>
      </c>
      <c r="AO90" s="888" t="e">
        <f>IF(AK90*AM90/(6356*0.7*0.9*1.1*25.4)&lt;=1,1,IF(AK90*AM90/(6356*0.7*0.9*1.1*25.4)&lt;=1.5,1.5,IF(AK90*AM90/(6356*0.7*0.9*1.1*25.4)&lt;=2,2,IF(AK90*AM90/(6356*0.7*0.9*1.1*25.4)&lt;=3,3,IF(AK90*AM90/(6356*0.7*0.9*1.1*25.4)&lt;=5,5,IF(AK90*AM90/(6356*0.7*0.9*1.1*25.4)&lt;=7.5,7.5,IF(AK90*AM90/(6356*0.7*0.9*1.1*25.4)&lt;=10,10,IF(AK90*AM90/(6356*0.7*0.9*1.1*25.4)&lt;=12.5,12.5,IF(AK90*AM90/(6356*0.7*0.9*1.1*25.4)&lt;=15,15,IF(AK90*AM90/(6356*0.7*0.9*1.1*25.4)&lt;=20,20,IF(AK90*AM90/(6356*0.7*0.9*1.1*25.4)&lt;=25,25,IF(AK90*AM90/(6356*0.7*0.9*1.1*25.4)&lt;=30,30,IF(AK90*AM90/(6356*0.7*0.9*1.1*25.4)&lt;=40,40,IF(AK90*AM90/(6356*0.7*0.9*1.1*25.4)&lt;=50,50,IF(AK90*AM90/(6356*0.7*0.9*1.1*25.4)&lt;=60,60,IF(AK90*AM90/(6356*0.7*0.9*1.1*25.4)&lt;=75,75,"Refer"))))))))))))))))</f>
        <v>#DIV/0!</v>
      </c>
      <c r="AP90" s="891" t="e">
        <f>IF(AND(AQ90=0, N90="Amb"), "Amb",IF((AL91-250)*(AL93-150)*10.76/(1000*1000) &gt;= MAX(AI106,AJ106), 4,IF((AL91-250)*(AL93-150)*10.76*1.5/(1000*1000) &gt;= MAX(AI106,AJ106), 6,IF((AL91-250)*(AL93-150)*10.76*2/(1000*1000) &gt;= MAX(AI106,AJ106), 8, 0))
 )
)</f>
        <v>#DIV/0!</v>
      </c>
      <c r="AQ90" s="891" t="e">
        <f>AG106</f>
        <v>#DIV/0!</v>
      </c>
      <c r="AR90" s="889">
        <f>_xlfn.SWITCH(TRIM(UPPER(R90)),"ISO 9", 3,"ISO 8", 4,"Grade D", 4,"Class 100,000", 4,"Class 100K", 4,"ISO 7", 3,"Grade C", 3,"Class 10,000", 3,"Class 10K", 3,"ISO 6", 3,"Class 1,000", 3,"Class 1K", 3,"ISO 5", 4,"Grade A", 4,"Grade B", 4,"Class 100", 4,"ISO 4", 3,"ISO 3", 4,"ISO 2", 4,"ISO 1", 4,"NCV20",1,"NCV-10",2,"NCV-5",3,"NCAC-10",1,"NCAC-5",2,"NCAC-1",3,3)</f>
        <v>3</v>
      </c>
      <c r="AS90" s="888" t="e">
        <f>MAX(AI106,AJ106)*24/6</f>
        <v>#DIV/0!</v>
      </c>
      <c r="AT90" s="888" t="e">
        <f>AS90*0.06309</f>
        <v>#DIV/0!</v>
      </c>
      <c r="AU90" s="890">
        <v>2</v>
      </c>
      <c r="AV90" s="888" t="e">
        <f>SQRT((4*AS90*0.00006309)/(3.14*AU90))*1000</f>
        <v>#DIV/0!</v>
      </c>
      <c r="AW90" s="888"/>
      <c r="AX90" s="888"/>
      <c r="AY90" s="887"/>
      <c r="AZ90" s="888"/>
    </row>
    <row r="91" spans="3:52" ht="18.600000000000001">
      <c r="C91" s="13">
        <f>IF(D91&lt;&gt;"",COUNTA($D$10:D91),"")</f>
        <v>70</v>
      </c>
      <c r="D91" s="14" t="s">
        <v>201</v>
      </c>
      <c r="E91" s="14">
        <v>1.8</v>
      </c>
      <c r="F91" s="14">
        <v>2.2000000000000002</v>
      </c>
      <c r="G91" s="14">
        <v>2.4</v>
      </c>
      <c r="H91" s="14">
        <v>2</v>
      </c>
      <c r="I91" s="14">
        <v>1</v>
      </c>
      <c r="J91" s="14">
        <v>1.75</v>
      </c>
      <c r="K91" s="14">
        <v>3</v>
      </c>
      <c r="L91" s="15">
        <v>0.1</v>
      </c>
      <c r="M91" s="15">
        <v>0</v>
      </c>
      <c r="N91" s="14">
        <v>24</v>
      </c>
      <c r="O91" s="14">
        <v>50</v>
      </c>
      <c r="P91" s="13">
        <v>45</v>
      </c>
      <c r="Q91" s="13">
        <v>85</v>
      </c>
      <c r="R91" s="13" t="s">
        <v>218</v>
      </c>
      <c r="S91" s="13">
        <v>20</v>
      </c>
      <c r="T91" s="13">
        <v>0</v>
      </c>
      <c r="U91" s="13">
        <v>100</v>
      </c>
      <c r="V91" s="13" t="str">
        <f t="shared" ref="V91:W105" si="49">R91</f>
        <v>NC</v>
      </c>
      <c r="W91" s="13">
        <f t="shared" si="49"/>
        <v>20</v>
      </c>
      <c r="X91" s="16">
        <f t="shared" ref="X91:X105" si="50">E91*F91*10.76</f>
        <v>42.6096</v>
      </c>
      <c r="Y91" s="16">
        <f t="shared" ref="Y91:Y105" si="51">X91*G91*3.28</f>
        <v>335.4227712</v>
      </c>
      <c r="Z91" s="16">
        <f t="shared" ref="Z91:Z105" si="52">Y91*S91/60</f>
        <v>111.8075904</v>
      </c>
      <c r="AA91" s="16">
        <f t="shared" ref="AA91:AA105" si="53">Z91*L91</f>
        <v>11.18075904</v>
      </c>
      <c r="AB91" s="16">
        <f t="shared" ref="AB91:AB105" si="54">IF(N91="Amb",Z91,Z91*M91)</f>
        <v>0</v>
      </c>
      <c r="AC91" s="16">
        <f t="shared" ref="AC91:AC105" si="55">IF(ISNUMBER(N91), (AA91*0.075*60/2.20462)*BP91/7000, "Ambient")</f>
        <v>0</v>
      </c>
      <c r="AD91" s="16" t="e">
        <f t="shared" ref="AD91:AD97" si="56">IF(ISNUMBER(N91), CEILING(CF91/(0.68*BP91),25), "Ambient")</f>
        <v>#DIV/0!</v>
      </c>
      <c r="AE91" s="16" t="e">
        <f t="shared" ref="AE91:AE105" si="57">CEILING(MAX((Z91+AA91),AD91),25)</f>
        <v>#DIV/0!</v>
      </c>
      <c r="AF91" s="16" t="e">
        <f t="shared" ref="AF91:AF105" si="58">CEILING(IF(OR($R91="ISO 6",$R91="GRADE B",$R91="1K",$R91=1000),AE91*1/175,IF(OR($R91="ISO 5",$R91="GRADE A",$R91=100),AE91*1/100,IF(OR($R91="ISO 7",$R91="GRADE C",$R91="10K",$R91=10000),$AE91*1/250,IF(OR($R91="ISO 8",$R91="GRADE D",$R91="100K",$R91=100000),$AE91*1/250,IF(OR($R91="NC",$R91="20 Micron",$R91="5 Micron",$R91="N C"),$AE91*1/350,0))))),2)</f>
        <v>#DIV/0!</v>
      </c>
      <c r="AG91" s="16" t="e">
        <f t="shared" ref="AG91:AG105" si="59">IF(ISNUMBER(N91), CEILING(MAX(AI91,AJ91),0.5), "Ambient")</f>
        <v>#DIV/0!</v>
      </c>
      <c r="AH91" s="838" t="s">
        <v>85</v>
      </c>
      <c r="AI91" s="17">
        <f t="shared" ref="AI91:AI105" si="60">IF(ISNUMBER(N91), CEILING(CE91/12000,0.5), "Ambient")</f>
        <v>0</v>
      </c>
      <c r="AJ91" s="17" t="e">
        <f t="shared" ref="AJ91:AJ105" si="61">IF(ISNUMBER(N91),CEILING(AE91/(IF(AH91="C",400,300)),0.5), "Ambient")</f>
        <v>#DIV/0!</v>
      </c>
      <c r="AK91" s="891"/>
      <c r="AL91" s="18" t="e">
        <f>IF(AK90&lt;=2000,950,(IF(AK90&lt;=3000,1150,(IF(AK90&lt;=8000,1550,(IF(AK90&lt;=10000,1750,(IF(AK90&lt;=18000,2050,(IF(AK90&lt;=32000,2900,(IF(AK90&lt;=40000,3600,4000)))))))))))))</f>
        <v>#DIV/0!</v>
      </c>
      <c r="AM91" s="889"/>
      <c r="AN91" s="891"/>
      <c r="AO91" s="888"/>
      <c r="AP91" s="891"/>
      <c r="AQ91" s="891"/>
      <c r="AR91" s="889"/>
      <c r="AS91" s="888"/>
      <c r="AT91" s="888"/>
      <c r="AU91" s="890"/>
      <c r="AV91" s="888"/>
      <c r="AW91" s="888"/>
      <c r="AX91" s="888"/>
      <c r="AY91" s="887"/>
      <c r="AZ91" s="888"/>
    </row>
    <row r="92" spans="3:52" ht="18.600000000000001">
      <c r="C92" s="13">
        <f>IF(D92&lt;&gt;"",COUNTA($D$10:D92),"")</f>
        <v>71</v>
      </c>
      <c r="D92" s="14" t="s">
        <v>202</v>
      </c>
      <c r="E92" s="14">
        <v>1.5</v>
      </c>
      <c r="F92" s="14">
        <v>2.8</v>
      </c>
      <c r="G92" s="14">
        <v>2.4</v>
      </c>
      <c r="H92" s="14">
        <v>2</v>
      </c>
      <c r="I92" s="14">
        <v>3</v>
      </c>
      <c r="J92" s="14">
        <v>1.75</v>
      </c>
      <c r="K92" s="14">
        <v>3</v>
      </c>
      <c r="L92" s="15">
        <v>0.1</v>
      </c>
      <c r="M92" s="15">
        <v>0</v>
      </c>
      <c r="N92" s="14">
        <v>24</v>
      </c>
      <c r="O92" s="14">
        <v>50</v>
      </c>
      <c r="P92" s="13">
        <v>45</v>
      </c>
      <c r="Q92" s="13">
        <v>85</v>
      </c>
      <c r="R92" s="13" t="s">
        <v>218</v>
      </c>
      <c r="S92" s="13">
        <v>20</v>
      </c>
      <c r="T92" s="13">
        <v>0</v>
      </c>
      <c r="U92" s="13">
        <v>100</v>
      </c>
      <c r="V92" s="13" t="str">
        <f t="shared" si="49"/>
        <v>NC</v>
      </c>
      <c r="W92" s="13">
        <f t="shared" si="49"/>
        <v>20</v>
      </c>
      <c r="X92" s="16">
        <f t="shared" si="50"/>
        <v>45.191999999999993</v>
      </c>
      <c r="Y92" s="16">
        <f t="shared" si="51"/>
        <v>355.75142399999993</v>
      </c>
      <c r="Z92" s="16">
        <f t="shared" si="52"/>
        <v>118.58380799999999</v>
      </c>
      <c r="AA92" s="16">
        <f t="shared" si="53"/>
        <v>11.858380799999999</v>
      </c>
      <c r="AB92" s="16">
        <f t="shared" si="54"/>
        <v>0</v>
      </c>
      <c r="AC92" s="16">
        <f t="shared" si="55"/>
        <v>0</v>
      </c>
      <c r="AD92" s="16" t="e">
        <f t="shared" si="56"/>
        <v>#DIV/0!</v>
      </c>
      <c r="AE92" s="16" t="e">
        <f t="shared" si="57"/>
        <v>#DIV/0!</v>
      </c>
      <c r="AF92" s="16" t="e">
        <f t="shared" si="58"/>
        <v>#DIV/0!</v>
      </c>
      <c r="AG92" s="16" t="e">
        <f t="shared" si="59"/>
        <v>#DIV/0!</v>
      </c>
      <c r="AH92" s="838" t="s">
        <v>85</v>
      </c>
      <c r="AI92" s="17">
        <f t="shared" si="60"/>
        <v>0</v>
      </c>
      <c r="AJ92" s="17" t="e">
        <f t="shared" si="61"/>
        <v>#DIV/0!</v>
      </c>
      <c r="AK92" s="891"/>
      <c r="AL92" s="18" t="s">
        <v>255</v>
      </c>
      <c r="AM92" s="889"/>
      <c r="AN92" s="891"/>
      <c r="AO92" s="888"/>
      <c r="AP92" s="891"/>
      <c r="AQ92" s="891"/>
      <c r="AR92" s="889"/>
      <c r="AS92" s="888"/>
      <c r="AT92" s="888"/>
      <c r="AU92" s="890"/>
      <c r="AV92" s="888"/>
      <c r="AW92" s="888"/>
      <c r="AX92" s="888"/>
      <c r="AY92" s="887"/>
      <c r="AZ92" s="888"/>
    </row>
    <row r="93" spans="3:52" ht="18.600000000000001">
      <c r="C93" s="13">
        <f>IF(D93&lt;&gt;"",COUNTA($D$10:D93),"")</f>
        <v>72</v>
      </c>
      <c r="D93" s="14" t="s">
        <v>203</v>
      </c>
      <c r="E93" s="14">
        <v>2.1</v>
      </c>
      <c r="F93" s="14">
        <v>3.5</v>
      </c>
      <c r="G93" s="14">
        <v>2.4</v>
      </c>
      <c r="H93" s="14">
        <v>0</v>
      </c>
      <c r="I93" s="14">
        <v>1</v>
      </c>
      <c r="J93" s="14">
        <v>1.75</v>
      </c>
      <c r="K93" s="14">
        <v>3</v>
      </c>
      <c r="L93" s="15">
        <v>0.1</v>
      </c>
      <c r="M93" s="15">
        <v>0</v>
      </c>
      <c r="N93" s="14">
        <v>24</v>
      </c>
      <c r="O93" s="14">
        <v>50</v>
      </c>
      <c r="P93" s="13">
        <v>45</v>
      </c>
      <c r="Q93" s="13">
        <v>85</v>
      </c>
      <c r="R93" s="13" t="s">
        <v>218</v>
      </c>
      <c r="S93" s="13">
        <v>20</v>
      </c>
      <c r="T93" s="13">
        <v>0</v>
      </c>
      <c r="U93" s="13">
        <v>100</v>
      </c>
      <c r="V93" s="13" t="str">
        <f t="shared" si="49"/>
        <v>NC</v>
      </c>
      <c r="W93" s="13">
        <f t="shared" si="49"/>
        <v>20</v>
      </c>
      <c r="X93" s="16">
        <f t="shared" si="50"/>
        <v>79.085999999999999</v>
      </c>
      <c r="Y93" s="16">
        <f t="shared" si="51"/>
        <v>622.56499199999996</v>
      </c>
      <c r="Z93" s="16">
        <f t="shared" si="52"/>
        <v>207.52166399999999</v>
      </c>
      <c r="AA93" s="16">
        <f t="shared" si="53"/>
        <v>20.7521664</v>
      </c>
      <c r="AB93" s="16">
        <f t="shared" si="54"/>
        <v>0</v>
      </c>
      <c r="AC93" s="16">
        <f t="shared" si="55"/>
        <v>0</v>
      </c>
      <c r="AD93" s="16" t="e">
        <f t="shared" si="56"/>
        <v>#DIV/0!</v>
      </c>
      <c r="AE93" s="16" t="e">
        <f t="shared" si="57"/>
        <v>#DIV/0!</v>
      </c>
      <c r="AF93" s="16" t="e">
        <f t="shared" si="58"/>
        <v>#DIV/0!</v>
      </c>
      <c r="AG93" s="16" t="e">
        <f t="shared" si="59"/>
        <v>#DIV/0!</v>
      </c>
      <c r="AH93" s="838" t="s">
        <v>85</v>
      </c>
      <c r="AI93" s="17">
        <f t="shared" si="60"/>
        <v>0</v>
      </c>
      <c r="AJ93" s="17" t="e">
        <f t="shared" si="61"/>
        <v>#DIV/0!</v>
      </c>
      <c r="AK93" s="891"/>
      <c r="AL93" s="18" t="e">
        <f>IF(AK90&lt;=2000,950,(IF(AK90&lt;=4000,1100,(IF(AK90&lt;=6000,1250,(IF(AK90&lt;=10000,1550,(IF(AK90&lt;=15000,1750,(IF(AK90&lt;=24000,2050,(IF(AK90&lt;=40000,2900,3600)))))))))))))</f>
        <v>#DIV/0!</v>
      </c>
      <c r="AM93" s="889"/>
      <c r="AN93" s="891"/>
      <c r="AO93" s="888"/>
      <c r="AP93" s="891"/>
      <c r="AQ93" s="891"/>
      <c r="AR93" s="889"/>
      <c r="AS93" s="888"/>
      <c r="AT93" s="888"/>
      <c r="AU93" s="890"/>
      <c r="AV93" s="888"/>
      <c r="AW93" s="888"/>
      <c r="AX93" s="888"/>
      <c r="AY93" s="887"/>
      <c r="AZ93" s="888"/>
    </row>
    <row r="94" spans="3:52" ht="18.600000000000001">
      <c r="C94" s="13">
        <f>IF(D94&lt;&gt;"",COUNTA($D$10:D94),"")</f>
        <v>73</v>
      </c>
      <c r="D94" s="14" t="s">
        <v>204</v>
      </c>
      <c r="E94" s="14">
        <v>2.7</v>
      </c>
      <c r="F94" s="14">
        <v>4</v>
      </c>
      <c r="G94" s="14">
        <v>2.4</v>
      </c>
      <c r="H94" s="14">
        <v>2</v>
      </c>
      <c r="I94" s="14">
        <v>1</v>
      </c>
      <c r="J94" s="14">
        <v>1.75</v>
      </c>
      <c r="K94" s="14">
        <v>3</v>
      </c>
      <c r="L94" s="15">
        <v>0.1</v>
      </c>
      <c r="M94" s="15">
        <v>0</v>
      </c>
      <c r="N94" s="14">
        <v>24</v>
      </c>
      <c r="O94" s="14">
        <v>50</v>
      </c>
      <c r="P94" s="13">
        <v>45</v>
      </c>
      <c r="Q94" s="13">
        <v>85</v>
      </c>
      <c r="R94" s="13" t="s">
        <v>218</v>
      </c>
      <c r="S94" s="13">
        <v>20</v>
      </c>
      <c r="T94" s="13">
        <v>0</v>
      </c>
      <c r="U94" s="13">
        <v>100</v>
      </c>
      <c r="V94" s="13" t="str">
        <f t="shared" si="49"/>
        <v>NC</v>
      </c>
      <c r="W94" s="13">
        <f t="shared" si="49"/>
        <v>20</v>
      </c>
      <c r="X94" s="16">
        <f t="shared" si="50"/>
        <v>116.208</v>
      </c>
      <c r="Y94" s="16">
        <f t="shared" si="51"/>
        <v>914.78937599999995</v>
      </c>
      <c r="Z94" s="16">
        <f t="shared" si="52"/>
        <v>304.92979199999996</v>
      </c>
      <c r="AA94" s="16">
        <f t="shared" si="53"/>
        <v>30.492979199999997</v>
      </c>
      <c r="AB94" s="16">
        <f t="shared" si="54"/>
        <v>0</v>
      </c>
      <c r="AC94" s="16">
        <f t="shared" si="55"/>
        <v>0</v>
      </c>
      <c r="AD94" s="16" t="e">
        <f t="shared" si="56"/>
        <v>#DIV/0!</v>
      </c>
      <c r="AE94" s="16" t="e">
        <f t="shared" si="57"/>
        <v>#DIV/0!</v>
      </c>
      <c r="AF94" s="16" t="e">
        <f t="shared" si="58"/>
        <v>#DIV/0!</v>
      </c>
      <c r="AG94" s="16" t="e">
        <f t="shared" si="59"/>
        <v>#DIV/0!</v>
      </c>
      <c r="AH94" s="838" t="s">
        <v>85</v>
      </c>
      <c r="AI94" s="17">
        <f t="shared" si="60"/>
        <v>0</v>
      </c>
      <c r="AJ94" s="17" t="e">
        <f t="shared" si="61"/>
        <v>#DIV/0!</v>
      </c>
      <c r="AK94" s="891"/>
      <c r="AL94" s="18" t="s">
        <v>256</v>
      </c>
      <c r="AM94" s="889"/>
      <c r="AN94" s="891"/>
      <c r="AO94" s="888"/>
      <c r="AP94" s="891"/>
      <c r="AQ94" s="891"/>
      <c r="AR94" s="889"/>
      <c r="AS94" s="888"/>
      <c r="AT94" s="888"/>
      <c r="AU94" s="890"/>
      <c r="AV94" s="888"/>
      <c r="AW94" s="888"/>
      <c r="AX94" s="888"/>
      <c r="AY94" s="887"/>
      <c r="AZ94" s="888"/>
    </row>
    <row r="95" spans="3:52" ht="18.600000000000001">
      <c r="C95" s="13">
        <f>IF(D95&lt;&gt;"",COUNTA($D$10:D95),"")</f>
        <v>74</v>
      </c>
      <c r="D95" s="14" t="s">
        <v>205</v>
      </c>
      <c r="E95" s="14">
        <v>3.8</v>
      </c>
      <c r="F95" s="14">
        <v>4.2</v>
      </c>
      <c r="G95" s="14">
        <v>2.4</v>
      </c>
      <c r="H95" s="14">
        <v>3</v>
      </c>
      <c r="I95" s="14">
        <v>3</v>
      </c>
      <c r="J95" s="14">
        <v>1.75</v>
      </c>
      <c r="K95" s="14">
        <v>3</v>
      </c>
      <c r="L95" s="15">
        <v>0.1</v>
      </c>
      <c r="M95" s="15">
        <v>0</v>
      </c>
      <c r="N95" s="14">
        <v>24</v>
      </c>
      <c r="O95" s="14">
        <v>50</v>
      </c>
      <c r="P95" s="13">
        <v>45</v>
      </c>
      <c r="Q95" s="13">
        <v>85</v>
      </c>
      <c r="R95" s="13" t="s">
        <v>218</v>
      </c>
      <c r="S95" s="13">
        <v>20</v>
      </c>
      <c r="T95" s="13">
        <v>0</v>
      </c>
      <c r="U95" s="13">
        <v>100</v>
      </c>
      <c r="V95" s="13" t="str">
        <f t="shared" si="49"/>
        <v>NC</v>
      </c>
      <c r="W95" s="13">
        <f t="shared" si="49"/>
        <v>20</v>
      </c>
      <c r="X95" s="16">
        <f t="shared" si="50"/>
        <v>171.72959999999998</v>
      </c>
      <c r="Y95" s="16">
        <f t="shared" si="51"/>
        <v>1351.8554111999997</v>
      </c>
      <c r="Z95" s="16">
        <f t="shared" si="52"/>
        <v>450.61847039999992</v>
      </c>
      <c r="AA95" s="16">
        <f t="shared" si="53"/>
        <v>45.061847039999996</v>
      </c>
      <c r="AB95" s="16">
        <f t="shared" si="54"/>
        <v>0</v>
      </c>
      <c r="AC95" s="16">
        <f t="shared" si="55"/>
        <v>0</v>
      </c>
      <c r="AD95" s="16" t="e">
        <f t="shared" si="56"/>
        <v>#DIV/0!</v>
      </c>
      <c r="AE95" s="16" t="e">
        <f t="shared" si="57"/>
        <v>#DIV/0!</v>
      </c>
      <c r="AF95" s="16" t="e">
        <f t="shared" si="58"/>
        <v>#DIV/0!</v>
      </c>
      <c r="AG95" s="16" t="e">
        <f t="shared" si="59"/>
        <v>#DIV/0!</v>
      </c>
      <c r="AH95" s="838" t="s">
        <v>85</v>
      </c>
      <c r="AI95" s="17">
        <f t="shared" si="60"/>
        <v>0</v>
      </c>
      <c r="AJ95" s="17" t="e">
        <f t="shared" si="61"/>
        <v>#DIV/0!</v>
      </c>
      <c r="AK95" s="891"/>
      <c r="AL95" s="18" t="e">
        <f>IF(AL99&lt;4000,AL99,AL99+400)</f>
        <v>#DIV/0!</v>
      </c>
      <c r="AM95" s="889"/>
      <c r="AN95" s="891"/>
      <c r="AO95" s="888"/>
      <c r="AP95" s="891"/>
      <c r="AQ95" s="891"/>
      <c r="AR95" s="889"/>
      <c r="AS95" s="888"/>
      <c r="AT95" s="888"/>
      <c r="AU95" s="890"/>
      <c r="AV95" s="888"/>
      <c r="AW95" s="888"/>
      <c r="AX95" s="888"/>
      <c r="AY95" s="887"/>
      <c r="AZ95" s="888"/>
    </row>
    <row r="96" spans="3:52" ht="18.600000000000001">
      <c r="C96" s="13">
        <f>IF(D96&lt;&gt;"",COUNTA($D$10:D96),"")</f>
        <v>75</v>
      </c>
      <c r="D96" s="14" t="s">
        <v>206</v>
      </c>
      <c r="E96" s="14">
        <v>3.1</v>
      </c>
      <c r="F96" s="14">
        <v>2.6</v>
      </c>
      <c r="G96" s="14">
        <v>2.4</v>
      </c>
      <c r="H96" s="14">
        <v>2</v>
      </c>
      <c r="I96" s="14">
        <v>1</v>
      </c>
      <c r="J96" s="14">
        <v>1.75</v>
      </c>
      <c r="K96" s="14">
        <v>3</v>
      </c>
      <c r="L96" s="15">
        <v>0.1</v>
      </c>
      <c r="M96" s="15">
        <v>0</v>
      </c>
      <c r="N96" s="14">
        <v>24</v>
      </c>
      <c r="O96" s="14">
        <v>50</v>
      </c>
      <c r="P96" s="13">
        <v>45</v>
      </c>
      <c r="Q96" s="13">
        <v>85</v>
      </c>
      <c r="R96" s="13" t="s">
        <v>218</v>
      </c>
      <c r="S96" s="13">
        <v>20</v>
      </c>
      <c r="T96" s="13">
        <v>0</v>
      </c>
      <c r="U96" s="13">
        <v>100</v>
      </c>
      <c r="V96" s="13" t="str">
        <f t="shared" si="49"/>
        <v>NC</v>
      </c>
      <c r="W96" s="13">
        <f t="shared" si="49"/>
        <v>20</v>
      </c>
      <c r="X96" s="16">
        <f t="shared" si="50"/>
        <v>86.7256</v>
      </c>
      <c r="Y96" s="16">
        <f t="shared" si="51"/>
        <v>682.70392319999996</v>
      </c>
      <c r="Z96" s="16">
        <f t="shared" si="52"/>
        <v>227.56797439999997</v>
      </c>
      <c r="AA96" s="16">
        <f t="shared" si="53"/>
        <v>22.75679744</v>
      </c>
      <c r="AB96" s="16">
        <f t="shared" si="54"/>
        <v>0</v>
      </c>
      <c r="AC96" s="16">
        <f t="shared" si="55"/>
        <v>0</v>
      </c>
      <c r="AD96" s="16" t="e">
        <f t="shared" si="56"/>
        <v>#DIV/0!</v>
      </c>
      <c r="AE96" s="16" t="e">
        <f t="shared" si="57"/>
        <v>#DIV/0!</v>
      </c>
      <c r="AF96" s="16" t="e">
        <f t="shared" si="58"/>
        <v>#DIV/0!</v>
      </c>
      <c r="AG96" s="16" t="e">
        <f t="shared" si="59"/>
        <v>#DIV/0!</v>
      </c>
      <c r="AH96" s="838" t="s">
        <v>85</v>
      </c>
      <c r="AI96" s="17">
        <f t="shared" si="60"/>
        <v>0</v>
      </c>
      <c r="AJ96" s="17" t="e">
        <f t="shared" si="61"/>
        <v>#DIV/0!</v>
      </c>
      <c r="AK96" s="891"/>
      <c r="AL96" s="18"/>
      <c r="AM96" s="889"/>
      <c r="AN96" s="891"/>
      <c r="AO96" s="888"/>
      <c r="AP96" s="891"/>
      <c r="AQ96" s="891"/>
      <c r="AR96" s="889"/>
      <c r="AS96" s="888"/>
      <c r="AT96" s="888"/>
      <c r="AU96" s="890"/>
      <c r="AV96" s="888"/>
      <c r="AW96" s="888"/>
      <c r="AX96" s="888"/>
      <c r="AY96" s="887"/>
      <c r="AZ96" s="888"/>
    </row>
    <row r="97" spans="3:52" ht="18.600000000000001">
      <c r="C97" s="13">
        <f>IF(D97&lt;&gt;"",COUNTA($D$10:D97),"")</f>
        <v>76</v>
      </c>
      <c r="D97" s="14" t="s">
        <v>207</v>
      </c>
      <c r="E97" s="14">
        <v>1.9</v>
      </c>
      <c r="F97" s="14">
        <v>2.4</v>
      </c>
      <c r="G97" s="14">
        <v>2.4</v>
      </c>
      <c r="H97" s="14">
        <v>3</v>
      </c>
      <c r="I97" s="14">
        <v>2</v>
      </c>
      <c r="J97" s="14">
        <v>1.75</v>
      </c>
      <c r="K97" s="14">
        <v>3</v>
      </c>
      <c r="L97" s="15">
        <v>0.1</v>
      </c>
      <c r="M97" s="15">
        <v>0</v>
      </c>
      <c r="N97" s="14">
        <v>24</v>
      </c>
      <c r="O97" s="14">
        <v>50</v>
      </c>
      <c r="P97" s="13">
        <v>45</v>
      </c>
      <c r="Q97" s="13">
        <v>85</v>
      </c>
      <c r="R97" s="13" t="s">
        <v>218</v>
      </c>
      <c r="S97" s="13">
        <v>20</v>
      </c>
      <c r="T97" s="13">
        <v>0</v>
      </c>
      <c r="U97" s="13">
        <v>100</v>
      </c>
      <c r="V97" s="13" t="str">
        <f t="shared" si="49"/>
        <v>NC</v>
      </c>
      <c r="W97" s="13">
        <f t="shared" si="49"/>
        <v>20</v>
      </c>
      <c r="X97" s="16">
        <f t="shared" si="50"/>
        <v>49.065599999999996</v>
      </c>
      <c r="Y97" s="16">
        <f t="shared" si="51"/>
        <v>386.24440319999997</v>
      </c>
      <c r="Z97" s="16">
        <f t="shared" si="52"/>
        <v>128.74813439999997</v>
      </c>
      <c r="AA97" s="16">
        <f t="shared" si="53"/>
        <v>12.874813439999997</v>
      </c>
      <c r="AB97" s="16">
        <f t="shared" si="54"/>
        <v>0</v>
      </c>
      <c r="AC97" s="16">
        <f t="shared" si="55"/>
        <v>0</v>
      </c>
      <c r="AD97" s="16" t="e">
        <f t="shared" si="56"/>
        <v>#DIV/0!</v>
      </c>
      <c r="AE97" s="16" t="e">
        <f t="shared" si="57"/>
        <v>#DIV/0!</v>
      </c>
      <c r="AF97" s="16" t="e">
        <f t="shared" si="58"/>
        <v>#DIV/0!</v>
      </c>
      <c r="AG97" s="16" t="e">
        <f t="shared" si="59"/>
        <v>#DIV/0!</v>
      </c>
      <c r="AH97" s="838" t="s">
        <v>85</v>
      </c>
      <c r="AI97" s="17">
        <f t="shared" si="60"/>
        <v>0</v>
      </c>
      <c r="AJ97" s="17" t="e">
        <f t="shared" si="61"/>
        <v>#DIV/0!</v>
      </c>
      <c r="AK97" s="891"/>
      <c r="AL97" s="18"/>
      <c r="AM97" s="889"/>
      <c r="AN97" s="891"/>
      <c r="AO97" s="888"/>
      <c r="AP97" s="891"/>
      <c r="AQ97" s="891"/>
      <c r="AR97" s="889"/>
      <c r="AS97" s="888"/>
      <c r="AT97" s="888"/>
      <c r="AU97" s="890"/>
      <c r="AV97" s="888"/>
      <c r="AW97" s="888"/>
      <c r="AX97" s="888"/>
      <c r="AY97" s="887"/>
      <c r="AZ97" s="888"/>
    </row>
    <row r="98" spans="3:52" ht="18.600000000000001">
      <c r="C98" s="13">
        <f>IF(D98&lt;&gt;"",COUNTA($D$10:D98),"")</f>
        <v>77</v>
      </c>
      <c r="D98" s="14" t="s">
        <v>208</v>
      </c>
      <c r="E98" s="14">
        <v>3</v>
      </c>
      <c r="F98" s="14">
        <v>2.9</v>
      </c>
      <c r="G98" s="14">
        <v>2.4</v>
      </c>
      <c r="H98" s="14">
        <v>2</v>
      </c>
      <c r="I98" s="14">
        <v>1</v>
      </c>
      <c r="J98" s="14">
        <v>1.75</v>
      </c>
      <c r="K98" s="14">
        <v>3</v>
      </c>
      <c r="L98" s="15">
        <v>0.1</v>
      </c>
      <c r="M98" s="15">
        <v>0</v>
      </c>
      <c r="N98" s="14">
        <v>24</v>
      </c>
      <c r="O98" s="14">
        <v>50</v>
      </c>
      <c r="P98" s="13">
        <v>45</v>
      </c>
      <c r="Q98" s="13">
        <v>85</v>
      </c>
      <c r="R98" s="13" t="s">
        <v>218</v>
      </c>
      <c r="S98" s="13">
        <v>20</v>
      </c>
      <c r="T98" s="13">
        <v>0</v>
      </c>
      <c r="U98" s="13">
        <v>100</v>
      </c>
      <c r="V98" s="13" t="str">
        <f t="shared" si="49"/>
        <v>NC</v>
      </c>
      <c r="W98" s="13">
        <f t="shared" si="49"/>
        <v>20</v>
      </c>
      <c r="X98" s="16">
        <f t="shared" si="50"/>
        <v>93.611999999999995</v>
      </c>
      <c r="Y98" s="16">
        <f t="shared" si="51"/>
        <v>736.91366399999993</v>
      </c>
      <c r="Z98" s="16">
        <f t="shared" si="52"/>
        <v>245.63788799999995</v>
      </c>
      <c r="AA98" s="16">
        <f t="shared" si="53"/>
        <v>24.563788799999998</v>
      </c>
      <c r="AB98" s="16">
        <f t="shared" si="54"/>
        <v>0</v>
      </c>
      <c r="AC98" s="16">
        <f t="shared" si="55"/>
        <v>0</v>
      </c>
      <c r="AD98" s="16" t="e">
        <f>IF(ISNUMBER(N98), CEILING(CF98/(0.68*BP98),25), "Ambient")</f>
        <v>#DIV/0!</v>
      </c>
      <c r="AE98" s="16" t="e">
        <f t="shared" si="57"/>
        <v>#DIV/0!</v>
      </c>
      <c r="AF98" s="16" t="e">
        <f t="shared" si="58"/>
        <v>#DIV/0!</v>
      </c>
      <c r="AG98" s="16" t="e">
        <f t="shared" si="59"/>
        <v>#DIV/0!</v>
      </c>
      <c r="AH98" s="838" t="s">
        <v>85</v>
      </c>
      <c r="AI98" s="17">
        <f t="shared" si="60"/>
        <v>0</v>
      </c>
      <c r="AJ98" s="17" t="e">
        <f t="shared" si="61"/>
        <v>#DIV/0!</v>
      </c>
      <c r="AK98" s="891"/>
      <c r="AL98" s="18"/>
      <c r="AM98" s="889"/>
      <c r="AN98" s="891"/>
      <c r="AO98" s="888"/>
      <c r="AP98" s="891"/>
      <c r="AQ98" s="891"/>
      <c r="AR98" s="889"/>
      <c r="AS98" s="888"/>
      <c r="AT98" s="888"/>
      <c r="AU98" s="890"/>
      <c r="AV98" s="888"/>
      <c r="AW98" s="888"/>
      <c r="AX98" s="888"/>
      <c r="AY98" s="887"/>
      <c r="AZ98" s="888"/>
    </row>
    <row r="99" spans="3:52" ht="18.600000000000001">
      <c r="C99" s="13">
        <f>IF(D99&lt;&gt;"",COUNTA($D$10:D99),"")</f>
        <v>78</v>
      </c>
      <c r="D99" s="14" t="s">
        <v>209</v>
      </c>
      <c r="E99" s="14">
        <v>2.4</v>
      </c>
      <c r="F99" s="14">
        <v>2</v>
      </c>
      <c r="G99" s="14">
        <v>2.4</v>
      </c>
      <c r="H99" s="14">
        <v>2</v>
      </c>
      <c r="I99" s="14">
        <v>1</v>
      </c>
      <c r="J99" s="14">
        <v>1.75</v>
      </c>
      <c r="K99" s="14">
        <v>3</v>
      </c>
      <c r="L99" s="15">
        <v>0.1</v>
      </c>
      <c r="M99" s="15">
        <v>0</v>
      </c>
      <c r="N99" s="14">
        <v>24</v>
      </c>
      <c r="O99" s="14">
        <v>50</v>
      </c>
      <c r="P99" s="13">
        <v>45</v>
      </c>
      <c r="Q99" s="13">
        <v>85</v>
      </c>
      <c r="R99" s="13" t="s">
        <v>218</v>
      </c>
      <c r="S99" s="13">
        <v>20</v>
      </c>
      <c r="T99" s="13">
        <v>0</v>
      </c>
      <c r="U99" s="13">
        <v>100</v>
      </c>
      <c r="V99" s="13" t="str">
        <f t="shared" si="49"/>
        <v>NC</v>
      </c>
      <c r="W99" s="13">
        <f t="shared" si="49"/>
        <v>20</v>
      </c>
      <c r="X99" s="16">
        <f t="shared" si="50"/>
        <v>51.647999999999996</v>
      </c>
      <c r="Y99" s="16">
        <f t="shared" si="51"/>
        <v>406.57305599999995</v>
      </c>
      <c r="Z99" s="16">
        <f t="shared" si="52"/>
        <v>135.52435199999999</v>
      </c>
      <c r="AA99" s="16">
        <f t="shared" si="53"/>
        <v>13.5524352</v>
      </c>
      <c r="AB99" s="16">
        <f t="shared" si="54"/>
        <v>0</v>
      </c>
      <c r="AC99" s="16">
        <f t="shared" si="55"/>
        <v>0</v>
      </c>
      <c r="AD99" s="16" t="e">
        <f t="shared" ref="AD99:AD105" si="62">IF(ISNUMBER(N99), CEILING(CF99/(0.68*BP99),25), "Ambient")</f>
        <v>#DIV/0!</v>
      </c>
      <c r="AE99" s="16" t="e">
        <f t="shared" si="57"/>
        <v>#DIV/0!</v>
      </c>
      <c r="AF99" s="16" t="e">
        <f t="shared" si="58"/>
        <v>#DIV/0!</v>
      </c>
      <c r="AG99" s="16" t="e">
        <f t="shared" si="59"/>
        <v>#DIV/0!</v>
      </c>
      <c r="AH99" s="838" t="s">
        <v>85</v>
      </c>
      <c r="AI99" s="17">
        <f t="shared" si="60"/>
        <v>0</v>
      </c>
      <c r="AJ99" s="17" t="e">
        <f t="shared" si="61"/>
        <v>#DIV/0!</v>
      </c>
      <c r="AK99" s="891"/>
      <c r="AL99" s="174" t="e">
        <f>IF(AN90&lt;=315,1600,(IF(AN90=355,1650,(IF(AN90=400,1650,(IF(AN90=450,1700,(IF(AN90=500,1700,(IF(AN90=560,1800,(IF(AN90=630,2000,(IF(AN90=710,2200,2500)))))))))))))))+IF(AR90=2,1800,(IF(AR90=3,2300,(IF(AR90=4,3300,0)))))+IF(AP90&lt;=4,600,(IF(AP90&lt;=6,800,(IF(AP90&lt;=8,1000,1200)))))</f>
        <v>#DIV/0!</v>
      </c>
      <c r="AM99" s="889"/>
      <c r="AN99" s="891"/>
      <c r="AO99" s="888"/>
      <c r="AP99" s="891"/>
      <c r="AQ99" s="891"/>
      <c r="AR99" s="889"/>
      <c r="AS99" s="888"/>
      <c r="AT99" s="888"/>
      <c r="AU99" s="890"/>
      <c r="AV99" s="888"/>
      <c r="AW99" s="888"/>
      <c r="AX99" s="888"/>
      <c r="AY99" s="887"/>
      <c r="AZ99" s="888"/>
    </row>
    <row r="100" spans="3:52" ht="18.600000000000001">
      <c r="C100" s="13">
        <f>IF(D100&lt;&gt;"",COUNTA($D$10:D100),"")</f>
        <v>79</v>
      </c>
      <c r="D100" s="14" t="s">
        <v>210</v>
      </c>
      <c r="E100" s="14">
        <v>2.1</v>
      </c>
      <c r="F100" s="14">
        <v>1.8</v>
      </c>
      <c r="G100" s="14">
        <v>2.4</v>
      </c>
      <c r="H100" s="14">
        <v>2</v>
      </c>
      <c r="I100" s="14">
        <v>1</v>
      </c>
      <c r="J100" s="14">
        <v>1.75</v>
      </c>
      <c r="K100" s="14">
        <v>3</v>
      </c>
      <c r="L100" s="15">
        <v>0.1</v>
      </c>
      <c r="M100" s="15">
        <v>0</v>
      </c>
      <c r="N100" s="14">
        <v>24</v>
      </c>
      <c r="O100" s="14">
        <v>50</v>
      </c>
      <c r="P100" s="13">
        <v>45</v>
      </c>
      <c r="Q100" s="13">
        <v>85</v>
      </c>
      <c r="R100" s="13" t="s">
        <v>218</v>
      </c>
      <c r="S100" s="13">
        <v>20</v>
      </c>
      <c r="T100" s="13">
        <v>0</v>
      </c>
      <c r="U100" s="13">
        <v>100</v>
      </c>
      <c r="V100" s="13" t="str">
        <f t="shared" si="49"/>
        <v>NC</v>
      </c>
      <c r="W100" s="13">
        <f t="shared" si="49"/>
        <v>20</v>
      </c>
      <c r="X100" s="16">
        <f t="shared" si="50"/>
        <v>40.672800000000002</v>
      </c>
      <c r="Y100" s="16">
        <f t="shared" si="51"/>
        <v>320.17628159999998</v>
      </c>
      <c r="Z100" s="16">
        <f t="shared" si="52"/>
        <v>106.7254272</v>
      </c>
      <c r="AA100" s="16">
        <f t="shared" si="53"/>
        <v>10.672542720000001</v>
      </c>
      <c r="AB100" s="16">
        <f t="shared" si="54"/>
        <v>0</v>
      </c>
      <c r="AC100" s="16">
        <f t="shared" si="55"/>
        <v>0</v>
      </c>
      <c r="AD100" s="16" t="e">
        <f t="shared" si="62"/>
        <v>#DIV/0!</v>
      </c>
      <c r="AE100" s="16" t="e">
        <f t="shared" si="57"/>
        <v>#DIV/0!</v>
      </c>
      <c r="AF100" s="16" t="e">
        <f t="shared" si="58"/>
        <v>#DIV/0!</v>
      </c>
      <c r="AG100" s="16" t="e">
        <f t="shared" si="59"/>
        <v>#DIV/0!</v>
      </c>
      <c r="AH100" s="838" t="s">
        <v>85</v>
      </c>
      <c r="AI100" s="17">
        <f t="shared" si="60"/>
        <v>0</v>
      </c>
      <c r="AJ100" s="17" t="e">
        <f t="shared" si="61"/>
        <v>#DIV/0!</v>
      </c>
      <c r="AK100" s="891"/>
      <c r="AL100" s="18"/>
      <c r="AM100" s="889"/>
      <c r="AN100" s="891"/>
      <c r="AO100" s="888"/>
      <c r="AP100" s="891"/>
      <c r="AQ100" s="891"/>
      <c r="AR100" s="889"/>
      <c r="AS100" s="888"/>
      <c r="AT100" s="888"/>
      <c r="AU100" s="890"/>
      <c r="AV100" s="888"/>
      <c r="AW100" s="888"/>
      <c r="AX100" s="888"/>
      <c r="AY100" s="887"/>
      <c r="AZ100" s="888"/>
    </row>
    <row r="101" spans="3:52" ht="18.600000000000001">
      <c r="C101" s="13">
        <f>IF(D101&lt;&gt;"",COUNTA($D$10:D101),"")</f>
        <v>80</v>
      </c>
      <c r="D101" s="14" t="s">
        <v>211</v>
      </c>
      <c r="E101" s="14">
        <v>1.8</v>
      </c>
      <c r="F101" s="14">
        <v>1.9</v>
      </c>
      <c r="G101" s="14">
        <v>2.4</v>
      </c>
      <c r="H101" s="14">
        <v>2</v>
      </c>
      <c r="I101" s="14">
        <v>1</v>
      </c>
      <c r="J101" s="14">
        <v>1.75</v>
      </c>
      <c r="K101" s="14">
        <v>3</v>
      </c>
      <c r="L101" s="15">
        <v>0.1</v>
      </c>
      <c r="M101" s="15">
        <v>0</v>
      </c>
      <c r="N101" s="14">
        <v>24</v>
      </c>
      <c r="O101" s="14">
        <v>50</v>
      </c>
      <c r="P101" s="13">
        <v>45</v>
      </c>
      <c r="Q101" s="13">
        <v>85</v>
      </c>
      <c r="R101" s="13" t="s">
        <v>218</v>
      </c>
      <c r="S101" s="13">
        <v>20</v>
      </c>
      <c r="T101" s="13">
        <v>0</v>
      </c>
      <c r="U101" s="13">
        <v>100</v>
      </c>
      <c r="V101" s="13" t="str">
        <f t="shared" si="49"/>
        <v>NC</v>
      </c>
      <c r="W101" s="13">
        <f t="shared" si="49"/>
        <v>20</v>
      </c>
      <c r="X101" s="16">
        <f t="shared" si="50"/>
        <v>36.799199999999999</v>
      </c>
      <c r="Y101" s="16">
        <f t="shared" si="51"/>
        <v>289.68330239999995</v>
      </c>
      <c r="Z101" s="16">
        <f t="shared" si="52"/>
        <v>96.561100799999991</v>
      </c>
      <c r="AA101" s="16">
        <f t="shared" si="53"/>
        <v>9.6561100799999995</v>
      </c>
      <c r="AB101" s="16">
        <f t="shared" si="54"/>
        <v>0</v>
      </c>
      <c r="AC101" s="16">
        <f t="shared" si="55"/>
        <v>0</v>
      </c>
      <c r="AD101" s="16" t="e">
        <f t="shared" si="62"/>
        <v>#DIV/0!</v>
      </c>
      <c r="AE101" s="16" t="e">
        <f t="shared" si="57"/>
        <v>#DIV/0!</v>
      </c>
      <c r="AF101" s="16" t="e">
        <f t="shared" si="58"/>
        <v>#DIV/0!</v>
      </c>
      <c r="AG101" s="16" t="e">
        <f t="shared" si="59"/>
        <v>#DIV/0!</v>
      </c>
      <c r="AH101" s="838" t="s">
        <v>85</v>
      </c>
      <c r="AI101" s="17">
        <f t="shared" si="60"/>
        <v>0</v>
      </c>
      <c r="AJ101" s="17" t="e">
        <f t="shared" si="61"/>
        <v>#DIV/0!</v>
      </c>
      <c r="AK101" s="891"/>
      <c r="AL101" s="18"/>
      <c r="AM101" s="889"/>
      <c r="AN101" s="891"/>
      <c r="AO101" s="888"/>
      <c r="AP101" s="891"/>
      <c r="AQ101" s="891"/>
      <c r="AR101" s="889"/>
      <c r="AS101" s="888"/>
      <c r="AT101" s="888"/>
      <c r="AU101" s="890"/>
      <c r="AV101" s="888"/>
      <c r="AW101" s="888"/>
      <c r="AX101" s="888"/>
      <c r="AY101" s="887"/>
      <c r="AZ101" s="888"/>
    </row>
    <row r="102" spans="3:52" ht="18.600000000000001">
      <c r="C102" s="13">
        <f>IF(D102&lt;&gt;"",COUNTA($D$10:D102),"")</f>
        <v>81</v>
      </c>
      <c r="D102" s="14" t="s">
        <v>212</v>
      </c>
      <c r="E102" s="14">
        <v>1.9</v>
      </c>
      <c r="F102" s="14">
        <v>2</v>
      </c>
      <c r="G102" s="14">
        <v>2.4</v>
      </c>
      <c r="H102" s="14">
        <v>2</v>
      </c>
      <c r="I102" s="14">
        <v>1</v>
      </c>
      <c r="J102" s="14">
        <v>1.75</v>
      </c>
      <c r="K102" s="14">
        <v>3</v>
      </c>
      <c r="L102" s="15">
        <v>0.1</v>
      </c>
      <c r="M102" s="15">
        <v>0</v>
      </c>
      <c r="N102" s="14">
        <v>24</v>
      </c>
      <c r="O102" s="14">
        <v>50</v>
      </c>
      <c r="P102" s="13">
        <v>45</v>
      </c>
      <c r="Q102" s="13">
        <v>85</v>
      </c>
      <c r="R102" s="13" t="s">
        <v>218</v>
      </c>
      <c r="S102" s="13">
        <v>20</v>
      </c>
      <c r="T102" s="13">
        <v>0</v>
      </c>
      <c r="U102" s="13">
        <v>100</v>
      </c>
      <c r="V102" s="13" t="str">
        <f t="shared" si="49"/>
        <v>NC</v>
      </c>
      <c r="W102" s="13">
        <f t="shared" si="49"/>
        <v>20</v>
      </c>
      <c r="X102" s="16">
        <f t="shared" si="50"/>
        <v>40.887999999999998</v>
      </c>
      <c r="Y102" s="16">
        <f t="shared" si="51"/>
        <v>321.87033599999995</v>
      </c>
      <c r="Z102" s="16">
        <f t="shared" si="52"/>
        <v>107.29011199999998</v>
      </c>
      <c r="AA102" s="16">
        <f t="shared" si="53"/>
        <v>10.729011199999999</v>
      </c>
      <c r="AB102" s="16">
        <f t="shared" si="54"/>
        <v>0</v>
      </c>
      <c r="AC102" s="16">
        <f t="shared" si="55"/>
        <v>0</v>
      </c>
      <c r="AD102" s="16" t="e">
        <f t="shared" si="62"/>
        <v>#DIV/0!</v>
      </c>
      <c r="AE102" s="16" t="e">
        <f t="shared" si="57"/>
        <v>#DIV/0!</v>
      </c>
      <c r="AF102" s="16" t="e">
        <f t="shared" si="58"/>
        <v>#DIV/0!</v>
      </c>
      <c r="AG102" s="16" t="e">
        <f t="shared" si="59"/>
        <v>#DIV/0!</v>
      </c>
      <c r="AH102" s="838" t="s">
        <v>85</v>
      </c>
      <c r="AI102" s="17">
        <f t="shared" si="60"/>
        <v>0</v>
      </c>
      <c r="AJ102" s="17" t="e">
        <f t="shared" si="61"/>
        <v>#DIV/0!</v>
      </c>
      <c r="AK102" s="891"/>
      <c r="AL102" s="18"/>
      <c r="AM102" s="889"/>
      <c r="AN102" s="891"/>
      <c r="AO102" s="888"/>
      <c r="AP102" s="891"/>
      <c r="AQ102" s="891"/>
      <c r="AR102" s="889"/>
      <c r="AS102" s="888"/>
      <c r="AT102" s="888"/>
      <c r="AU102" s="890"/>
      <c r="AV102" s="888"/>
      <c r="AW102" s="888"/>
      <c r="AX102" s="888"/>
      <c r="AY102" s="887"/>
      <c r="AZ102" s="888"/>
    </row>
    <row r="103" spans="3:52" ht="18.600000000000001">
      <c r="C103" s="13">
        <f>IF(D103&lt;&gt;"",COUNTA($D$10:D103),"")</f>
        <v>82</v>
      </c>
      <c r="D103" s="14" t="s">
        <v>213</v>
      </c>
      <c r="E103" s="14">
        <v>2.2999999999999998</v>
      </c>
      <c r="F103" s="14">
        <v>2.2000000000000002</v>
      </c>
      <c r="G103" s="14">
        <v>2.4</v>
      </c>
      <c r="H103" s="14">
        <v>2</v>
      </c>
      <c r="I103" s="14">
        <v>1</v>
      </c>
      <c r="J103" s="14">
        <v>1.75</v>
      </c>
      <c r="K103" s="14">
        <v>3</v>
      </c>
      <c r="L103" s="15">
        <v>0.1</v>
      </c>
      <c r="M103" s="15">
        <v>0</v>
      </c>
      <c r="N103" s="14">
        <v>24</v>
      </c>
      <c r="O103" s="14">
        <v>50</v>
      </c>
      <c r="P103" s="13">
        <v>45</v>
      </c>
      <c r="Q103" s="13">
        <v>85</v>
      </c>
      <c r="R103" s="13" t="s">
        <v>218</v>
      </c>
      <c r="S103" s="13">
        <v>20</v>
      </c>
      <c r="T103" s="13">
        <v>0</v>
      </c>
      <c r="U103" s="13">
        <v>100</v>
      </c>
      <c r="V103" s="13" t="str">
        <f t="shared" si="49"/>
        <v>NC</v>
      </c>
      <c r="W103" s="13">
        <f t="shared" si="49"/>
        <v>20</v>
      </c>
      <c r="X103" s="16">
        <f t="shared" si="50"/>
        <v>54.445599999999992</v>
      </c>
      <c r="Y103" s="16">
        <f t="shared" si="51"/>
        <v>428.59576319999991</v>
      </c>
      <c r="Z103" s="16">
        <f t="shared" si="52"/>
        <v>142.86525439999997</v>
      </c>
      <c r="AA103" s="16">
        <f t="shared" si="53"/>
        <v>14.286525439999998</v>
      </c>
      <c r="AB103" s="16">
        <f t="shared" si="54"/>
        <v>0</v>
      </c>
      <c r="AC103" s="16">
        <f t="shared" si="55"/>
        <v>0</v>
      </c>
      <c r="AD103" s="16" t="e">
        <f t="shared" si="62"/>
        <v>#DIV/0!</v>
      </c>
      <c r="AE103" s="16" t="e">
        <f t="shared" si="57"/>
        <v>#DIV/0!</v>
      </c>
      <c r="AF103" s="16" t="e">
        <f t="shared" si="58"/>
        <v>#DIV/0!</v>
      </c>
      <c r="AG103" s="16" t="e">
        <f t="shared" si="59"/>
        <v>#DIV/0!</v>
      </c>
      <c r="AH103" s="838" t="s">
        <v>85</v>
      </c>
      <c r="AI103" s="17">
        <f t="shared" si="60"/>
        <v>0</v>
      </c>
      <c r="AJ103" s="17" t="e">
        <f t="shared" si="61"/>
        <v>#DIV/0!</v>
      </c>
      <c r="AK103" s="891"/>
      <c r="AL103" s="18"/>
      <c r="AM103" s="889"/>
      <c r="AN103" s="891"/>
      <c r="AO103" s="888"/>
      <c r="AP103" s="891"/>
      <c r="AQ103" s="891"/>
      <c r="AR103" s="889"/>
      <c r="AS103" s="888"/>
      <c r="AT103" s="888"/>
      <c r="AU103" s="890"/>
      <c r="AV103" s="888"/>
      <c r="AW103" s="888"/>
      <c r="AX103" s="888"/>
      <c r="AY103" s="887"/>
      <c r="AZ103" s="888"/>
    </row>
    <row r="104" spans="3:52" ht="18.600000000000001">
      <c r="C104" s="13">
        <f>IF(D104&lt;&gt;"",COUNTA($D$10:D104),"")</f>
        <v>83</v>
      </c>
      <c r="D104" s="14" t="s">
        <v>214</v>
      </c>
      <c r="E104" s="14">
        <v>2.2000000000000002</v>
      </c>
      <c r="F104" s="14">
        <v>2.8</v>
      </c>
      <c r="G104" s="14">
        <v>2.4</v>
      </c>
      <c r="H104" s="14">
        <v>2</v>
      </c>
      <c r="I104" s="14">
        <v>1</v>
      </c>
      <c r="J104" s="14">
        <v>1.75</v>
      </c>
      <c r="K104" s="14">
        <v>3</v>
      </c>
      <c r="L104" s="15">
        <v>0.1</v>
      </c>
      <c r="M104" s="15">
        <v>0</v>
      </c>
      <c r="N104" s="14">
        <v>24</v>
      </c>
      <c r="O104" s="14">
        <v>50</v>
      </c>
      <c r="P104" s="13">
        <v>45</v>
      </c>
      <c r="Q104" s="13">
        <v>85</v>
      </c>
      <c r="R104" s="13" t="s">
        <v>218</v>
      </c>
      <c r="S104" s="13">
        <v>20</v>
      </c>
      <c r="T104" s="13">
        <v>0</v>
      </c>
      <c r="U104" s="13">
        <v>100</v>
      </c>
      <c r="V104" s="13" t="str">
        <f t="shared" si="49"/>
        <v>NC</v>
      </c>
      <c r="W104" s="13">
        <f t="shared" si="49"/>
        <v>20</v>
      </c>
      <c r="X104" s="16">
        <f t="shared" si="50"/>
        <v>66.281599999999997</v>
      </c>
      <c r="Y104" s="16">
        <f t="shared" si="51"/>
        <v>521.76875519999999</v>
      </c>
      <c r="Z104" s="16">
        <f t="shared" si="52"/>
        <v>173.92291839999999</v>
      </c>
      <c r="AA104" s="16">
        <f t="shared" si="53"/>
        <v>17.392291839999999</v>
      </c>
      <c r="AB104" s="16">
        <f t="shared" si="54"/>
        <v>0</v>
      </c>
      <c r="AC104" s="16">
        <f t="shared" si="55"/>
        <v>0</v>
      </c>
      <c r="AD104" s="16" t="e">
        <f t="shared" si="62"/>
        <v>#DIV/0!</v>
      </c>
      <c r="AE104" s="16" t="e">
        <f t="shared" si="57"/>
        <v>#DIV/0!</v>
      </c>
      <c r="AF104" s="16" t="e">
        <f t="shared" si="58"/>
        <v>#DIV/0!</v>
      </c>
      <c r="AG104" s="16" t="e">
        <f t="shared" si="59"/>
        <v>#DIV/0!</v>
      </c>
      <c r="AH104" s="838" t="s">
        <v>85</v>
      </c>
      <c r="AI104" s="17">
        <f t="shared" si="60"/>
        <v>0</v>
      </c>
      <c r="AJ104" s="17" t="e">
        <f t="shared" si="61"/>
        <v>#DIV/0!</v>
      </c>
      <c r="AK104" s="891"/>
      <c r="AL104" s="18"/>
      <c r="AM104" s="889"/>
      <c r="AN104" s="891"/>
      <c r="AO104" s="888"/>
      <c r="AP104" s="891"/>
      <c r="AQ104" s="891"/>
      <c r="AR104" s="889"/>
      <c r="AS104" s="888"/>
      <c r="AT104" s="888"/>
      <c r="AU104" s="890"/>
      <c r="AV104" s="888"/>
      <c r="AW104" s="888"/>
      <c r="AX104" s="888"/>
      <c r="AY104" s="887"/>
      <c r="AZ104" s="888"/>
    </row>
    <row r="105" spans="3:52" ht="18.600000000000001">
      <c r="C105" s="13">
        <f>IF(D105&lt;&gt;"",COUNTA($D$10:D105),"")</f>
        <v>84</v>
      </c>
      <c r="D105" s="14" t="s">
        <v>215</v>
      </c>
      <c r="E105" s="14">
        <v>2.8</v>
      </c>
      <c r="F105" s="14">
        <v>2.4</v>
      </c>
      <c r="G105" s="14">
        <v>2.4</v>
      </c>
      <c r="H105" s="14">
        <v>2</v>
      </c>
      <c r="I105" s="14">
        <v>1</v>
      </c>
      <c r="J105" s="14">
        <v>1.75</v>
      </c>
      <c r="K105" s="14">
        <v>3</v>
      </c>
      <c r="L105" s="15">
        <v>0.1</v>
      </c>
      <c r="M105" s="15">
        <v>0</v>
      </c>
      <c r="N105" s="14">
        <v>24</v>
      </c>
      <c r="O105" s="14">
        <v>50</v>
      </c>
      <c r="P105" s="13">
        <v>45</v>
      </c>
      <c r="Q105" s="13">
        <v>85</v>
      </c>
      <c r="R105" s="13" t="s">
        <v>218</v>
      </c>
      <c r="S105" s="13">
        <v>20</v>
      </c>
      <c r="T105" s="13">
        <v>0</v>
      </c>
      <c r="U105" s="13">
        <v>100</v>
      </c>
      <c r="V105" s="13" t="str">
        <f t="shared" si="49"/>
        <v>NC</v>
      </c>
      <c r="W105" s="13">
        <f t="shared" si="49"/>
        <v>20</v>
      </c>
      <c r="X105" s="16">
        <f t="shared" si="50"/>
        <v>72.307199999999995</v>
      </c>
      <c r="Y105" s="16">
        <f t="shared" si="51"/>
        <v>569.20227839999995</v>
      </c>
      <c r="Z105" s="16">
        <f t="shared" si="52"/>
        <v>189.73409279999998</v>
      </c>
      <c r="AA105" s="16">
        <f t="shared" si="53"/>
        <v>18.973409279999998</v>
      </c>
      <c r="AB105" s="16">
        <f t="shared" si="54"/>
        <v>0</v>
      </c>
      <c r="AC105" s="16">
        <f t="shared" si="55"/>
        <v>0</v>
      </c>
      <c r="AD105" s="16" t="e">
        <f t="shared" si="62"/>
        <v>#DIV/0!</v>
      </c>
      <c r="AE105" s="16" t="e">
        <f t="shared" si="57"/>
        <v>#DIV/0!</v>
      </c>
      <c r="AF105" s="16" t="e">
        <f t="shared" si="58"/>
        <v>#DIV/0!</v>
      </c>
      <c r="AG105" s="16" t="e">
        <f t="shared" si="59"/>
        <v>#DIV/0!</v>
      </c>
      <c r="AH105" s="838" t="s">
        <v>85</v>
      </c>
      <c r="AI105" s="17">
        <f t="shared" si="60"/>
        <v>0</v>
      </c>
      <c r="AJ105" s="17" t="e">
        <f t="shared" si="61"/>
        <v>#DIV/0!</v>
      </c>
      <c r="AK105" s="891"/>
      <c r="AL105" s="18"/>
      <c r="AM105" s="889"/>
      <c r="AN105" s="891"/>
      <c r="AO105" s="888"/>
      <c r="AP105" s="891"/>
      <c r="AQ105" s="891"/>
      <c r="AR105" s="889"/>
      <c r="AS105" s="888"/>
      <c r="AT105" s="888"/>
      <c r="AU105" s="890"/>
      <c r="AV105" s="888"/>
      <c r="AW105" s="888"/>
      <c r="AX105" s="888"/>
      <c r="AY105" s="887"/>
      <c r="AZ105" s="888"/>
    </row>
    <row r="106" spans="3:52">
      <c r="C106" s="13" t="str">
        <f>IF(D106&lt;&gt;"",COUNTA($D$10:D106),"")</f>
        <v/>
      </c>
      <c r="D106" s="19"/>
      <c r="E106" s="19"/>
      <c r="F106" s="19"/>
      <c r="G106" s="19"/>
      <c r="H106" s="19"/>
      <c r="I106" s="19"/>
      <c r="J106" s="19"/>
      <c r="K106" s="19"/>
      <c r="L106" s="19"/>
      <c r="M106" s="19"/>
      <c r="N106" s="19"/>
      <c r="O106" s="19"/>
      <c r="P106" s="19"/>
      <c r="Q106" s="19"/>
      <c r="R106" s="19"/>
      <c r="S106" s="19"/>
      <c r="T106" s="19"/>
      <c r="U106" s="19"/>
      <c r="V106" s="19"/>
      <c r="W106" s="19"/>
      <c r="X106" s="20">
        <f>SUM(X90:X105)</f>
        <v>1144.1108000000002</v>
      </c>
      <c r="Y106" s="20">
        <f t="shared" ref="Y106:AG106" si="63">SUM(Y90:Y105)</f>
        <v>9006.4402175999985</v>
      </c>
      <c r="Z106" s="20">
        <f t="shared" si="63"/>
        <v>3002.1467392</v>
      </c>
      <c r="AA106" s="20">
        <f t="shared" si="63"/>
        <v>300.21467391999994</v>
      </c>
      <c r="AB106" s="20">
        <f t="shared" si="63"/>
        <v>0</v>
      </c>
      <c r="AC106" s="20">
        <f t="shared" si="63"/>
        <v>0</v>
      </c>
      <c r="AD106" s="20" t="e">
        <f t="shared" si="63"/>
        <v>#DIV/0!</v>
      </c>
      <c r="AE106" s="20" t="e">
        <f t="shared" si="63"/>
        <v>#DIV/0!</v>
      </c>
      <c r="AF106" s="20" t="e">
        <f t="shared" si="63"/>
        <v>#DIV/0!</v>
      </c>
      <c r="AG106" s="20" t="e">
        <f t="shared" si="63"/>
        <v>#DIV/0!</v>
      </c>
      <c r="AH106" s="841"/>
      <c r="AI106" s="20">
        <f t="shared" ref="AI106:AJ106" si="64">SUM(AI90:AI105)</f>
        <v>0</v>
      </c>
      <c r="AJ106" s="20" t="e">
        <f t="shared" si="64"/>
        <v>#DIV/0!</v>
      </c>
      <c r="AK106" s="21"/>
      <c r="AL106" s="21"/>
      <c r="AM106" s="21"/>
      <c r="AN106" s="21"/>
      <c r="AO106" s="21"/>
      <c r="AP106" s="21"/>
      <c r="AQ106" s="21"/>
      <c r="AR106" s="21"/>
      <c r="AS106" s="21"/>
      <c r="AT106" s="21"/>
      <c r="AU106" s="21"/>
      <c r="AV106" s="21"/>
      <c r="AW106" s="21"/>
      <c r="AX106" s="21"/>
      <c r="AY106" s="21"/>
      <c r="AZ106" s="21"/>
    </row>
    <row r="107" spans="3:52">
      <c r="C107" s="13" t="str">
        <f>IF(D107&lt;&gt;"",COUNTA($D$10:D107),"")</f>
        <v/>
      </c>
      <c r="AH107" s="840"/>
    </row>
    <row r="108" spans="3:52" ht="26.1">
      <c r="C108" s="8" t="e">
        <f>"Zoning Area  AHU - " &amp; INT((ROW()-8)/20)+1 &amp; "  " &amp;IF(AQ110&gt;0,"Air-Conditioning System " &amp; IF(AH110="D","(DX)",IF(AH110="C","(Chilled Water)","")),IF(AND(N110="Amb",AQ110=0),"Ventilation System","Refer"))</f>
        <v>#DIV/0!</v>
      </c>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39"/>
      <c r="AI108" s="8"/>
      <c r="AJ108" s="8"/>
      <c r="AK108" s="8"/>
      <c r="AL108" s="8"/>
      <c r="AM108" s="8"/>
      <c r="AN108" s="8"/>
      <c r="AO108" s="8"/>
      <c r="AP108" s="8"/>
      <c r="AQ108" s="8"/>
      <c r="AR108" s="8"/>
      <c r="AS108" s="9" t="s">
        <v>221</v>
      </c>
      <c r="AT108" s="10"/>
      <c r="AU108" s="10"/>
      <c r="AV108" s="11"/>
      <c r="AW108" s="9" t="s">
        <v>222</v>
      </c>
      <c r="AX108" s="10"/>
      <c r="AY108" s="10"/>
      <c r="AZ108" s="11"/>
    </row>
    <row r="109" spans="3:52">
      <c r="C109" s="13">
        <f>IF(D109&lt;&gt;"",COUNTA($D$10:D109),"")</f>
        <v>85</v>
      </c>
      <c r="D109" s="5" t="s">
        <v>165</v>
      </c>
      <c r="E109" s="5" t="s">
        <v>166</v>
      </c>
      <c r="F109" s="5" t="s">
        <v>167</v>
      </c>
      <c r="G109" s="5" t="s">
        <v>168</v>
      </c>
      <c r="H109" s="5" t="s">
        <v>169</v>
      </c>
      <c r="I109" s="5" t="s">
        <v>170</v>
      </c>
      <c r="J109" s="5" t="s">
        <v>171</v>
      </c>
      <c r="K109" s="5" t="s">
        <v>172</v>
      </c>
      <c r="L109" s="5" t="s">
        <v>173</v>
      </c>
      <c r="M109" s="5" t="s">
        <v>174</v>
      </c>
      <c r="N109" s="5" t="s">
        <v>175</v>
      </c>
      <c r="O109" s="5" t="s">
        <v>176</v>
      </c>
      <c r="P109" s="5" t="s">
        <v>177</v>
      </c>
      <c r="Q109" s="5" t="s">
        <v>178</v>
      </c>
      <c r="R109" s="5" t="s">
        <v>199</v>
      </c>
      <c r="S109" s="5" t="s">
        <v>180</v>
      </c>
      <c r="T109" s="5" t="s">
        <v>223</v>
      </c>
      <c r="U109" s="5" t="s">
        <v>224</v>
      </c>
      <c r="V109" s="5" t="s">
        <v>199</v>
      </c>
      <c r="W109" s="5" t="s">
        <v>180</v>
      </c>
      <c r="X109" s="5" t="s">
        <v>225</v>
      </c>
      <c r="Y109" s="5" t="s">
        <v>226</v>
      </c>
      <c r="Z109" s="5" t="s">
        <v>227</v>
      </c>
      <c r="AA109" s="5" t="s">
        <v>228</v>
      </c>
      <c r="AB109" s="5" t="s">
        <v>229</v>
      </c>
      <c r="AC109" s="5" t="s">
        <v>230</v>
      </c>
      <c r="AD109" s="5" t="s">
        <v>231</v>
      </c>
      <c r="AE109" s="5" t="s">
        <v>232</v>
      </c>
      <c r="AF109" s="6" t="s">
        <v>233</v>
      </c>
      <c r="AG109" s="6" t="s">
        <v>234</v>
      </c>
      <c r="AH109" s="6" t="s">
        <v>235</v>
      </c>
      <c r="AI109" s="5" t="s">
        <v>236</v>
      </c>
      <c r="AJ109" s="5" t="s">
        <v>237</v>
      </c>
      <c r="AK109" s="5" t="s">
        <v>238</v>
      </c>
      <c r="AL109" s="5" t="s">
        <v>239</v>
      </c>
      <c r="AM109" s="5" t="s">
        <v>240</v>
      </c>
      <c r="AN109" s="5" t="s">
        <v>241</v>
      </c>
      <c r="AO109" s="5" t="s">
        <v>242</v>
      </c>
      <c r="AP109" s="5" t="s">
        <v>243</v>
      </c>
      <c r="AQ109" s="5" t="s">
        <v>244</v>
      </c>
      <c r="AR109" s="5" t="s">
        <v>245</v>
      </c>
      <c r="AS109" s="5" t="s">
        <v>246</v>
      </c>
      <c r="AT109" s="5" t="s">
        <v>247</v>
      </c>
      <c r="AU109" s="5" t="s">
        <v>248</v>
      </c>
      <c r="AV109" s="5" t="s">
        <v>249</v>
      </c>
      <c r="AW109" s="5" t="s">
        <v>250</v>
      </c>
      <c r="AX109" s="5" t="s">
        <v>251</v>
      </c>
      <c r="AY109" s="5" t="s">
        <v>252</v>
      </c>
      <c r="AZ109" s="5" t="s">
        <v>253</v>
      </c>
    </row>
    <row r="110" spans="3:52" ht="18.600000000000001">
      <c r="C110" s="13">
        <f>IF(D110&lt;&gt;"",COUNTA($D$10:D110),"")</f>
        <v>86</v>
      </c>
      <c r="D110" s="14" t="s">
        <v>200</v>
      </c>
      <c r="E110" s="14">
        <v>3</v>
      </c>
      <c r="F110" s="14">
        <v>3</v>
      </c>
      <c r="G110" s="14">
        <v>2.4</v>
      </c>
      <c r="H110" s="14">
        <v>1</v>
      </c>
      <c r="I110" s="14">
        <v>2</v>
      </c>
      <c r="J110" s="14">
        <v>1.75</v>
      </c>
      <c r="K110" s="14">
        <v>3</v>
      </c>
      <c r="L110" s="15">
        <v>0.1</v>
      </c>
      <c r="M110" s="15">
        <v>0</v>
      </c>
      <c r="N110" s="14">
        <v>24</v>
      </c>
      <c r="O110" s="14">
        <v>50</v>
      </c>
      <c r="P110" s="13">
        <v>45</v>
      </c>
      <c r="Q110" s="13">
        <v>85</v>
      </c>
      <c r="R110" s="13" t="s">
        <v>219</v>
      </c>
      <c r="S110" s="13">
        <v>25</v>
      </c>
      <c r="T110" s="13">
        <v>0</v>
      </c>
      <c r="U110" s="13">
        <v>100</v>
      </c>
      <c r="V110" s="13" t="str">
        <f>R110</f>
        <v>5 Micron</v>
      </c>
      <c r="W110" s="13">
        <f>S110</f>
        <v>25</v>
      </c>
      <c r="X110" s="16">
        <f>E110*F110*10.76</f>
        <v>96.84</v>
      </c>
      <c r="Y110" s="16">
        <f>X110*G110*3.28</f>
        <v>762.32447999999999</v>
      </c>
      <c r="Z110" s="16">
        <f>Y110*S110/60</f>
        <v>317.6352</v>
      </c>
      <c r="AA110" s="16">
        <f>Z110*L110</f>
        <v>31.76352</v>
      </c>
      <c r="AB110" s="16">
        <f>IF(N110="Amb",Z110,Z110*M110)</f>
        <v>0</v>
      </c>
      <c r="AC110" s="16">
        <f>IF(ISNUMBER(N110), (AA110*0.075*60/2.20462)*BP110/7000, "Ambient")</f>
        <v>0</v>
      </c>
      <c r="AD110" s="16" t="e">
        <f>IF(ISNUMBER(N110), CEILING(CF110/(0.68*BP110),25), "Ambient")</f>
        <v>#DIV/0!</v>
      </c>
      <c r="AE110" s="16" t="e">
        <f>CEILING(MAX((Z110+AA110),AD110),25)</f>
        <v>#DIV/0!</v>
      </c>
      <c r="AF110" s="16" t="e">
        <f>CEILING(IF(OR($R110="ISO 6",$R110="GRADE B",$R110="1K",$R110=1000),AE110*1/175,IF(OR($R110="ISO 5",$R110="GRADE A",$R110=100),AE110*1/100,IF(OR($R110="ISO 7",$R110="GRADE C",$R110="10K",$R110=10000),$AE110*1/250,IF(OR($R110="ISO 8",$R110="GRADE D",$R110="100K",$R110=100000),$AE110*1/250,IF(OR($R110="NC",$R110="20 Micron",$R110="5 Micron",$R110="N C"),$AE110*1/350,0))))),2)</f>
        <v>#DIV/0!</v>
      </c>
      <c r="AG110" s="16" t="e">
        <f>IF(ISNUMBER(N110), CEILING(MAX(AI110,AJ110),0.5), "Ambient")</f>
        <v>#DIV/0!</v>
      </c>
      <c r="AH110" s="838" t="s">
        <v>84</v>
      </c>
      <c r="AI110" s="17">
        <f>IF(ISNUMBER(N110), CEILING(CE110/12000,0.5), "Ambient")</f>
        <v>0</v>
      </c>
      <c r="AJ110" s="17" t="e">
        <f>IF(ISNUMBER(N110),CEILING(AE110/(IF(AH110="C",400,300)),0.5), "Ambient")</f>
        <v>#DIV/0!</v>
      </c>
      <c r="AK110" s="891" t="e">
        <f>CEILING(SUM(AE110:AE125),250)</f>
        <v>#DIV/0!</v>
      </c>
      <c r="AL110" s="18" t="s">
        <v>254</v>
      </c>
      <c r="AM110" s="889">
        <v>150</v>
      </c>
      <c r="AN110" s="891" t="e">
        <f>IF(AK110&lt;=1300,200,IF(AK110&lt;=1600,225,IF(AK110&lt;=2100,250,IF(AK110&lt;=2700,280,IF(AK110&lt;=3450,315,IF(AK110&lt;=4250,355,IF(AK110&lt;=5250,400,IF(AK110&lt;=6750,450,IF(AK110&lt;=8500,500,IF(AK110&lt;=10750,560,IF(AK110&lt;=13500,630,IF(AK110&lt;=17000,710,IF(AK110&lt;=21500,800,IF(AK110&lt;=27000,900,IF(AK110&lt;=34000,1000,IF(AK110&lt;=43000,1120,IF(AK110&lt;=49000,1200,IF(AK110&lt;=68000,1450,"Refer"))))))))))))))))))</f>
        <v>#DIV/0!</v>
      </c>
      <c r="AO110" s="888" t="e">
        <f>IF(AK110*AM110/(6356*0.7*0.9*1.1*25.4)&lt;=1,1,IF(AK110*AM110/(6356*0.7*0.9*1.1*25.4)&lt;=1.5,1.5,IF(AK110*AM110/(6356*0.7*0.9*1.1*25.4)&lt;=2,2,IF(AK110*AM110/(6356*0.7*0.9*1.1*25.4)&lt;=3,3,IF(AK110*AM110/(6356*0.7*0.9*1.1*25.4)&lt;=5,5,IF(AK110*AM110/(6356*0.7*0.9*1.1*25.4)&lt;=7.5,7.5,IF(AK110*AM110/(6356*0.7*0.9*1.1*25.4)&lt;=10,10,IF(AK110*AM110/(6356*0.7*0.9*1.1*25.4)&lt;=12.5,12.5,IF(AK110*AM110/(6356*0.7*0.9*1.1*25.4)&lt;=15,15,IF(AK110*AM110/(6356*0.7*0.9*1.1*25.4)&lt;=20,20,IF(AK110*AM110/(6356*0.7*0.9*1.1*25.4)&lt;=25,25,IF(AK110*AM110/(6356*0.7*0.9*1.1*25.4)&lt;=30,30,IF(AK110*AM110/(6356*0.7*0.9*1.1*25.4)&lt;=40,40,IF(AK110*AM110/(6356*0.7*0.9*1.1*25.4)&lt;=50,50,IF(AK110*AM110/(6356*0.7*0.9*1.1*25.4)&lt;=60,60,IF(AK110*AM110/(6356*0.7*0.9*1.1*25.4)&lt;=75,75,"Refer"))))))))))))))))</f>
        <v>#DIV/0!</v>
      </c>
      <c r="AP110" s="891" t="e">
        <f>IF(AND(AQ110=0, N110="Amb"), "Amb",IF((AL111-250)*(AL113-150)*10.76/(1000*1000) &gt;= MAX(AI126,AJ126), 4,IF((AL111-250)*(AL113-150)*10.76*1.5/(1000*1000) &gt;= MAX(AI126,AJ126), 6,IF((AL111-250)*(AL113-150)*10.76*2/(1000*1000) &gt;= MAX(AI126,AJ126), 8, 0))
 )
)</f>
        <v>#DIV/0!</v>
      </c>
      <c r="AQ110" s="891" t="e">
        <f>AG126</f>
        <v>#DIV/0!</v>
      </c>
      <c r="AR110" s="889">
        <f>_xlfn.SWITCH(TRIM(UPPER(R110)),"ISO 9", 3,"ISO 8", 4,"Grade D", 4,"Class 100,000", 4,"Class 100K", 4,"ISO 7", 3,"Grade C", 3,"Class 10,000", 3,"Class 10K", 3,"ISO 6", 3,"Class 1,000", 3,"Class 1K", 3,"ISO 5", 4,"Grade A", 4,"Grade B", 4,"Class 100", 4,"ISO 4", 3,"ISO 3", 4,"ISO 2", 4,"ISO 1", 4,"NCV20",1,"NCV-10",2,"NCV-5",3,"NCAC-10",1,"NCAC-5",2,"NCAC-1",3,3)</f>
        <v>3</v>
      </c>
      <c r="AS110" s="888" t="e">
        <f>MAX(AI126,AJ126)*24/6</f>
        <v>#DIV/0!</v>
      </c>
      <c r="AT110" s="888" t="e">
        <f>AS110*0.06309</f>
        <v>#DIV/0!</v>
      </c>
      <c r="AU110" s="890">
        <v>2</v>
      </c>
      <c r="AV110" s="888" t="e">
        <f>SQRT((4*AS110*0.00006309)/(3.14*AU110))*1000</f>
        <v>#DIV/0!</v>
      </c>
      <c r="AW110" s="888"/>
      <c r="AX110" s="888"/>
      <c r="AY110" s="887"/>
      <c r="AZ110" s="888"/>
    </row>
    <row r="111" spans="3:52" ht="18.600000000000001">
      <c r="C111" s="13">
        <f>IF(D111&lt;&gt;"",COUNTA($D$10:D111),"")</f>
        <v>87</v>
      </c>
      <c r="D111" s="14" t="s">
        <v>201</v>
      </c>
      <c r="E111" s="14">
        <v>1.8</v>
      </c>
      <c r="F111" s="14">
        <v>2.2000000000000002</v>
      </c>
      <c r="G111" s="14">
        <v>2.4</v>
      </c>
      <c r="H111" s="14">
        <v>2</v>
      </c>
      <c r="I111" s="14">
        <v>1</v>
      </c>
      <c r="J111" s="14">
        <v>1.75</v>
      </c>
      <c r="K111" s="14">
        <v>3</v>
      </c>
      <c r="L111" s="15">
        <v>0.1</v>
      </c>
      <c r="M111" s="15">
        <v>0</v>
      </c>
      <c r="N111" s="14">
        <v>24</v>
      </c>
      <c r="O111" s="14">
        <v>50</v>
      </c>
      <c r="P111" s="13">
        <v>45</v>
      </c>
      <c r="Q111" s="13">
        <v>85</v>
      </c>
      <c r="R111" s="13" t="s">
        <v>219</v>
      </c>
      <c r="S111" s="13">
        <v>25</v>
      </c>
      <c r="T111" s="13">
        <v>0</v>
      </c>
      <c r="U111" s="13">
        <v>100</v>
      </c>
      <c r="V111" s="13" t="str">
        <f t="shared" ref="V111:W125" si="65">R111</f>
        <v>5 Micron</v>
      </c>
      <c r="W111" s="13">
        <f t="shared" si="65"/>
        <v>25</v>
      </c>
      <c r="X111" s="16">
        <f t="shared" ref="X111:X125" si="66">E111*F111*10.76</f>
        <v>42.6096</v>
      </c>
      <c r="Y111" s="16">
        <f t="shared" ref="Y111:Y125" si="67">X111*G111*3.28</f>
        <v>335.4227712</v>
      </c>
      <c r="Z111" s="16">
        <f t="shared" ref="Z111:Z125" si="68">Y111*S111/60</f>
        <v>139.759488</v>
      </c>
      <c r="AA111" s="16">
        <f t="shared" ref="AA111:AA125" si="69">Z111*L111</f>
        <v>13.975948800000001</v>
      </c>
      <c r="AB111" s="16">
        <f t="shared" ref="AB111:AB125" si="70">IF(N111="Amb",Z111,Z111*M111)</f>
        <v>0</v>
      </c>
      <c r="AC111" s="16">
        <f t="shared" ref="AC111:AC125" si="71">IF(ISNUMBER(N111), (AA111*0.075*60/2.20462)*BP111/7000, "Ambient")</f>
        <v>0</v>
      </c>
      <c r="AD111" s="16" t="e">
        <f t="shared" ref="AD111:AD117" si="72">IF(ISNUMBER(N111), CEILING(CF111/(0.68*BP111),25), "Ambient")</f>
        <v>#DIV/0!</v>
      </c>
      <c r="AE111" s="16" t="e">
        <f t="shared" ref="AE111:AE125" si="73">CEILING(MAX((Z111+AA111),AD111),25)</f>
        <v>#DIV/0!</v>
      </c>
      <c r="AF111" s="16" t="e">
        <f t="shared" ref="AF111:AF125" si="74">CEILING(IF(OR($R111="ISO 6",$R111="GRADE B",$R111="1K",$R111=1000),AE111*1/175,IF(OR($R111="ISO 5",$R111="GRADE A",$R111=100),AE111*1/100,IF(OR($R111="ISO 7",$R111="GRADE C",$R111="10K",$R111=10000),$AE111*1/250,IF(OR($R111="ISO 8",$R111="GRADE D",$R111="100K",$R111=100000),$AE111*1/250,IF(OR($R111="NC",$R111="20 Micron",$R111="5 Micron",$R111="N C"),$AE111*1/350,0))))),2)</f>
        <v>#DIV/0!</v>
      </c>
      <c r="AG111" s="16" t="e">
        <f t="shared" ref="AG111:AG125" si="75">IF(ISNUMBER(N111), CEILING(MAX(AI111,AJ111),0.5), "Ambient")</f>
        <v>#DIV/0!</v>
      </c>
      <c r="AH111" s="838" t="s">
        <v>84</v>
      </c>
      <c r="AI111" s="17">
        <f t="shared" ref="AI111:AI125" si="76">IF(ISNUMBER(N111), CEILING(CE111/12000,0.5), "Ambient")</f>
        <v>0</v>
      </c>
      <c r="AJ111" s="17" t="e">
        <f t="shared" ref="AJ111:AJ125" si="77">IF(ISNUMBER(N111),CEILING(AE111/(IF(AH111="C",400,300)),0.5), "Ambient")</f>
        <v>#DIV/0!</v>
      </c>
      <c r="AK111" s="891"/>
      <c r="AL111" s="18" t="e">
        <f>IF(AK110&lt;=2000,950,(IF(AK110&lt;=3000,1150,(IF(AK110&lt;=8000,1550,(IF(AK110&lt;=10000,1750,(IF(AK110&lt;=18000,2050,(IF(AK110&lt;=32000,2900,(IF(AK110&lt;=40000,3600,4000)))))))))))))</f>
        <v>#DIV/0!</v>
      </c>
      <c r="AM111" s="889"/>
      <c r="AN111" s="891"/>
      <c r="AO111" s="888"/>
      <c r="AP111" s="891"/>
      <c r="AQ111" s="891"/>
      <c r="AR111" s="889"/>
      <c r="AS111" s="888"/>
      <c r="AT111" s="888"/>
      <c r="AU111" s="890"/>
      <c r="AV111" s="888"/>
      <c r="AW111" s="888"/>
      <c r="AX111" s="888"/>
      <c r="AY111" s="887"/>
      <c r="AZ111" s="888"/>
    </row>
    <row r="112" spans="3:52" ht="18.600000000000001">
      <c r="C112" s="13">
        <f>IF(D112&lt;&gt;"",COUNTA($D$10:D112),"")</f>
        <v>88</v>
      </c>
      <c r="D112" s="14" t="s">
        <v>202</v>
      </c>
      <c r="E112" s="14">
        <v>1.5</v>
      </c>
      <c r="F112" s="14">
        <v>2.8</v>
      </c>
      <c r="G112" s="14">
        <v>2.4</v>
      </c>
      <c r="H112" s="14">
        <v>2</v>
      </c>
      <c r="I112" s="14">
        <v>3</v>
      </c>
      <c r="J112" s="14">
        <v>1.75</v>
      </c>
      <c r="K112" s="14">
        <v>3</v>
      </c>
      <c r="L112" s="15">
        <v>0.1</v>
      </c>
      <c r="M112" s="15">
        <v>0</v>
      </c>
      <c r="N112" s="14">
        <v>24</v>
      </c>
      <c r="O112" s="14">
        <v>50</v>
      </c>
      <c r="P112" s="13">
        <v>45</v>
      </c>
      <c r="Q112" s="13">
        <v>85</v>
      </c>
      <c r="R112" s="13" t="s">
        <v>219</v>
      </c>
      <c r="S112" s="13">
        <v>25</v>
      </c>
      <c r="T112" s="13">
        <v>0</v>
      </c>
      <c r="U112" s="13">
        <v>100</v>
      </c>
      <c r="V112" s="13" t="str">
        <f t="shared" si="65"/>
        <v>5 Micron</v>
      </c>
      <c r="W112" s="13">
        <f t="shared" si="65"/>
        <v>25</v>
      </c>
      <c r="X112" s="16">
        <f t="shared" si="66"/>
        <v>45.191999999999993</v>
      </c>
      <c r="Y112" s="16">
        <f t="shared" si="67"/>
        <v>355.75142399999993</v>
      </c>
      <c r="Z112" s="16">
        <f t="shared" si="68"/>
        <v>148.22975999999997</v>
      </c>
      <c r="AA112" s="16">
        <f t="shared" si="69"/>
        <v>14.822975999999997</v>
      </c>
      <c r="AB112" s="16">
        <f t="shared" si="70"/>
        <v>0</v>
      </c>
      <c r="AC112" s="16">
        <f t="shared" si="71"/>
        <v>0</v>
      </c>
      <c r="AD112" s="16" t="e">
        <f t="shared" si="72"/>
        <v>#DIV/0!</v>
      </c>
      <c r="AE112" s="16" t="e">
        <f t="shared" si="73"/>
        <v>#DIV/0!</v>
      </c>
      <c r="AF112" s="16" t="e">
        <f t="shared" si="74"/>
        <v>#DIV/0!</v>
      </c>
      <c r="AG112" s="16" t="e">
        <f t="shared" si="75"/>
        <v>#DIV/0!</v>
      </c>
      <c r="AH112" s="838" t="s">
        <v>84</v>
      </c>
      <c r="AI112" s="17">
        <f t="shared" si="76"/>
        <v>0</v>
      </c>
      <c r="AJ112" s="17" t="e">
        <f t="shared" si="77"/>
        <v>#DIV/0!</v>
      </c>
      <c r="AK112" s="891"/>
      <c r="AL112" s="18" t="s">
        <v>255</v>
      </c>
      <c r="AM112" s="889"/>
      <c r="AN112" s="891"/>
      <c r="AO112" s="888"/>
      <c r="AP112" s="891"/>
      <c r="AQ112" s="891"/>
      <c r="AR112" s="889"/>
      <c r="AS112" s="888"/>
      <c r="AT112" s="888"/>
      <c r="AU112" s="890"/>
      <c r="AV112" s="888"/>
      <c r="AW112" s="888"/>
      <c r="AX112" s="888"/>
      <c r="AY112" s="887"/>
      <c r="AZ112" s="888"/>
    </row>
    <row r="113" spans="3:52" ht="18.600000000000001">
      <c r="C113" s="13">
        <f>IF(D113&lt;&gt;"",COUNTA($D$10:D113),"")</f>
        <v>89</v>
      </c>
      <c r="D113" s="14" t="s">
        <v>203</v>
      </c>
      <c r="E113" s="14">
        <v>2.1</v>
      </c>
      <c r="F113" s="14">
        <v>3.5</v>
      </c>
      <c r="G113" s="14">
        <v>2.4</v>
      </c>
      <c r="H113" s="14">
        <v>0</v>
      </c>
      <c r="I113" s="14">
        <v>1</v>
      </c>
      <c r="J113" s="14">
        <v>1.75</v>
      </c>
      <c r="K113" s="14">
        <v>3</v>
      </c>
      <c r="L113" s="15">
        <v>0.1</v>
      </c>
      <c r="M113" s="15">
        <v>0</v>
      </c>
      <c r="N113" s="14">
        <v>24</v>
      </c>
      <c r="O113" s="14">
        <v>50</v>
      </c>
      <c r="P113" s="13">
        <v>45</v>
      </c>
      <c r="Q113" s="13">
        <v>85</v>
      </c>
      <c r="R113" s="13" t="s">
        <v>219</v>
      </c>
      <c r="S113" s="13">
        <v>25</v>
      </c>
      <c r="T113" s="13">
        <v>0</v>
      </c>
      <c r="U113" s="13">
        <v>100</v>
      </c>
      <c r="V113" s="13" t="str">
        <f t="shared" si="65"/>
        <v>5 Micron</v>
      </c>
      <c r="W113" s="13">
        <f t="shared" si="65"/>
        <v>25</v>
      </c>
      <c r="X113" s="16">
        <f t="shared" si="66"/>
        <v>79.085999999999999</v>
      </c>
      <c r="Y113" s="16">
        <f t="shared" si="67"/>
        <v>622.56499199999996</v>
      </c>
      <c r="Z113" s="16">
        <f t="shared" si="68"/>
        <v>259.40208000000001</v>
      </c>
      <c r="AA113" s="16">
        <f t="shared" si="69"/>
        <v>25.940208000000002</v>
      </c>
      <c r="AB113" s="16">
        <f t="shared" si="70"/>
        <v>0</v>
      </c>
      <c r="AC113" s="16">
        <f t="shared" si="71"/>
        <v>0</v>
      </c>
      <c r="AD113" s="16" t="e">
        <f t="shared" si="72"/>
        <v>#DIV/0!</v>
      </c>
      <c r="AE113" s="16" t="e">
        <f t="shared" si="73"/>
        <v>#DIV/0!</v>
      </c>
      <c r="AF113" s="16" t="e">
        <f t="shared" si="74"/>
        <v>#DIV/0!</v>
      </c>
      <c r="AG113" s="16" t="e">
        <f t="shared" si="75"/>
        <v>#DIV/0!</v>
      </c>
      <c r="AH113" s="838" t="s">
        <v>84</v>
      </c>
      <c r="AI113" s="17">
        <f t="shared" si="76"/>
        <v>0</v>
      </c>
      <c r="AJ113" s="17" t="e">
        <f t="shared" si="77"/>
        <v>#DIV/0!</v>
      </c>
      <c r="AK113" s="891"/>
      <c r="AL113" s="18" t="e">
        <f>IF(AK110&lt;=2000,950,(IF(AK110&lt;=4000,1100,(IF(AK110&lt;=6000,1250,(IF(AK110&lt;=10000,1550,(IF(AK110&lt;=15000,1750,(IF(AK110&lt;=24000,2050,(IF(AK110&lt;=40000,2900,3600)))))))))))))</f>
        <v>#DIV/0!</v>
      </c>
      <c r="AM113" s="889"/>
      <c r="AN113" s="891"/>
      <c r="AO113" s="888"/>
      <c r="AP113" s="891"/>
      <c r="AQ113" s="891"/>
      <c r="AR113" s="889"/>
      <c r="AS113" s="888"/>
      <c r="AT113" s="888"/>
      <c r="AU113" s="890"/>
      <c r="AV113" s="888"/>
      <c r="AW113" s="888"/>
      <c r="AX113" s="888"/>
      <c r="AY113" s="887"/>
      <c r="AZ113" s="888"/>
    </row>
    <row r="114" spans="3:52" ht="18.600000000000001">
      <c r="C114" s="13">
        <f>IF(D114&lt;&gt;"",COUNTA($D$10:D114),"")</f>
        <v>90</v>
      </c>
      <c r="D114" s="14" t="s">
        <v>204</v>
      </c>
      <c r="E114" s="14">
        <v>2.7</v>
      </c>
      <c r="F114" s="14">
        <v>4</v>
      </c>
      <c r="G114" s="14">
        <v>2.4</v>
      </c>
      <c r="H114" s="14">
        <v>2</v>
      </c>
      <c r="I114" s="14">
        <v>1</v>
      </c>
      <c r="J114" s="14">
        <v>1.75</v>
      </c>
      <c r="K114" s="14">
        <v>3</v>
      </c>
      <c r="L114" s="15">
        <v>0.1</v>
      </c>
      <c r="M114" s="15">
        <v>0</v>
      </c>
      <c r="N114" s="14">
        <v>24</v>
      </c>
      <c r="O114" s="14">
        <v>50</v>
      </c>
      <c r="P114" s="13">
        <v>45</v>
      </c>
      <c r="Q114" s="13">
        <v>85</v>
      </c>
      <c r="R114" s="13" t="s">
        <v>219</v>
      </c>
      <c r="S114" s="13">
        <v>25</v>
      </c>
      <c r="T114" s="13">
        <v>0</v>
      </c>
      <c r="U114" s="13">
        <v>100</v>
      </c>
      <c r="V114" s="13" t="str">
        <f t="shared" si="65"/>
        <v>5 Micron</v>
      </c>
      <c r="W114" s="13">
        <f t="shared" si="65"/>
        <v>25</v>
      </c>
      <c r="X114" s="16">
        <f t="shared" si="66"/>
        <v>116.208</v>
      </c>
      <c r="Y114" s="16">
        <f t="shared" si="67"/>
        <v>914.78937599999995</v>
      </c>
      <c r="Z114" s="16">
        <f t="shared" si="68"/>
        <v>381.16223999999994</v>
      </c>
      <c r="AA114" s="16">
        <f t="shared" si="69"/>
        <v>38.116223999999995</v>
      </c>
      <c r="AB114" s="16">
        <f t="shared" si="70"/>
        <v>0</v>
      </c>
      <c r="AC114" s="16">
        <f t="shared" si="71"/>
        <v>0</v>
      </c>
      <c r="AD114" s="16" t="e">
        <f t="shared" si="72"/>
        <v>#DIV/0!</v>
      </c>
      <c r="AE114" s="16" t="e">
        <f t="shared" si="73"/>
        <v>#DIV/0!</v>
      </c>
      <c r="AF114" s="16" t="e">
        <f t="shared" si="74"/>
        <v>#DIV/0!</v>
      </c>
      <c r="AG114" s="16" t="e">
        <f t="shared" si="75"/>
        <v>#DIV/0!</v>
      </c>
      <c r="AH114" s="838" t="s">
        <v>84</v>
      </c>
      <c r="AI114" s="17">
        <f t="shared" si="76"/>
        <v>0</v>
      </c>
      <c r="AJ114" s="17" t="e">
        <f t="shared" si="77"/>
        <v>#DIV/0!</v>
      </c>
      <c r="AK114" s="891"/>
      <c r="AL114" s="18" t="s">
        <v>256</v>
      </c>
      <c r="AM114" s="889"/>
      <c r="AN114" s="891"/>
      <c r="AO114" s="888"/>
      <c r="AP114" s="891"/>
      <c r="AQ114" s="891"/>
      <c r="AR114" s="889"/>
      <c r="AS114" s="888"/>
      <c r="AT114" s="888"/>
      <c r="AU114" s="890"/>
      <c r="AV114" s="888"/>
      <c r="AW114" s="888"/>
      <c r="AX114" s="888"/>
      <c r="AY114" s="887"/>
      <c r="AZ114" s="888"/>
    </row>
    <row r="115" spans="3:52" ht="18.600000000000001">
      <c r="C115" s="13">
        <f>IF(D115&lt;&gt;"",COUNTA($D$10:D115),"")</f>
        <v>91</v>
      </c>
      <c r="D115" s="14" t="s">
        <v>205</v>
      </c>
      <c r="E115" s="14">
        <v>3.8</v>
      </c>
      <c r="F115" s="14">
        <v>4.2</v>
      </c>
      <c r="G115" s="14">
        <v>2.4</v>
      </c>
      <c r="H115" s="14">
        <v>3</v>
      </c>
      <c r="I115" s="14">
        <v>3</v>
      </c>
      <c r="J115" s="14">
        <v>1.75</v>
      </c>
      <c r="K115" s="14">
        <v>3</v>
      </c>
      <c r="L115" s="15">
        <v>0.1</v>
      </c>
      <c r="M115" s="15">
        <v>0</v>
      </c>
      <c r="N115" s="14">
        <v>24</v>
      </c>
      <c r="O115" s="14">
        <v>50</v>
      </c>
      <c r="P115" s="13">
        <v>45</v>
      </c>
      <c r="Q115" s="13">
        <v>85</v>
      </c>
      <c r="R115" s="13" t="s">
        <v>219</v>
      </c>
      <c r="S115" s="13">
        <v>25</v>
      </c>
      <c r="T115" s="13">
        <v>0</v>
      </c>
      <c r="U115" s="13">
        <v>100</v>
      </c>
      <c r="V115" s="13" t="str">
        <f t="shared" si="65"/>
        <v>5 Micron</v>
      </c>
      <c r="W115" s="13">
        <f t="shared" si="65"/>
        <v>25</v>
      </c>
      <c r="X115" s="16">
        <f t="shared" si="66"/>
        <v>171.72959999999998</v>
      </c>
      <c r="Y115" s="16">
        <f t="shared" si="67"/>
        <v>1351.8554111999997</v>
      </c>
      <c r="Z115" s="16">
        <f t="shared" si="68"/>
        <v>563.27308799999992</v>
      </c>
      <c r="AA115" s="16">
        <f t="shared" si="69"/>
        <v>56.327308799999997</v>
      </c>
      <c r="AB115" s="16">
        <f t="shared" si="70"/>
        <v>0</v>
      </c>
      <c r="AC115" s="16">
        <f t="shared" si="71"/>
        <v>0</v>
      </c>
      <c r="AD115" s="16" t="e">
        <f t="shared" si="72"/>
        <v>#DIV/0!</v>
      </c>
      <c r="AE115" s="16" t="e">
        <f t="shared" si="73"/>
        <v>#DIV/0!</v>
      </c>
      <c r="AF115" s="16" t="e">
        <f t="shared" si="74"/>
        <v>#DIV/0!</v>
      </c>
      <c r="AG115" s="16" t="e">
        <f t="shared" si="75"/>
        <v>#DIV/0!</v>
      </c>
      <c r="AH115" s="838" t="s">
        <v>84</v>
      </c>
      <c r="AI115" s="17">
        <f t="shared" si="76"/>
        <v>0</v>
      </c>
      <c r="AJ115" s="17" t="e">
        <f t="shared" si="77"/>
        <v>#DIV/0!</v>
      </c>
      <c r="AK115" s="891"/>
      <c r="AL115" s="18" t="e">
        <f>IF(AL119&lt;4000,AL119,AL119+400)</f>
        <v>#DIV/0!</v>
      </c>
      <c r="AM115" s="889"/>
      <c r="AN115" s="891"/>
      <c r="AO115" s="888"/>
      <c r="AP115" s="891"/>
      <c r="AQ115" s="891"/>
      <c r="AR115" s="889"/>
      <c r="AS115" s="888"/>
      <c r="AT115" s="888"/>
      <c r="AU115" s="890"/>
      <c r="AV115" s="888"/>
      <c r="AW115" s="888"/>
      <c r="AX115" s="888"/>
      <c r="AY115" s="887"/>
      <c r="AZ115" s="888"/>
    </row>
    <row r="116" spans="3:52" ht="18.600000000000001">
      <c r="C116" s="13">
        <f>IF(D116&lt;&gt;"",COUNTA($D$10:D116),"")</f>
        <v>92</v>
      </c>
      <c r="D116" s="14" t="s">
        <v>206</v>
      </c>
      <c r="E116" s="14">
        <v>3.1</v>
      </c>
      <c r="F116" s="14">
        <v>2.6</v>
      </c>
      <c r="G116" s="14">
        <v>2.4</v>
      </c>
      <c r="H116" s="14">
        <v>2</v>
      </c>
      <c r="I116" s="14">
        <v>1</v>
      </c>
      <c r="J116" s="14">
        <v>1.75</v>
      </c>
      <c r="K116" s="14">
        <v>3</v>
      </c>
      <c r="L116" s="15">
        <v>0.1</v>
      </c>
      <c r="M116" s="15">
        <v>0</v>
      </c>
      <c r="N116" s="14">
        <v>24</v>
      </c>
      <c r="O116" s="14">
        <v>50</v>
      </c>
      <c r="P116" s="13">
        <v>45</v>
      </c>
      <c r="Q116" s="13">
        <v>85</v>
      </c>
      <c r="R116" s="13" t="s">
        <v>219</v>
      </c>
      <c r="S116" s="13">
        <v>25</v>
      </c>
      <c r="T116" s="13">
        <v>0</v>
      </c>
      <c r="U116" s="13">
        <v>100</v>
      </c>
      <c r="V116" s="13" t="str">
        <f t="shared" si="65"/>
        <v>5 Micron</v>
      </c>
      <c r="W116" s="13">
        <f t="shared" si="65"/>
        <v>25</v>
      </c>
      <c r="X116" s="16">
        <f t="shared" si="66"/>
        <v>86.7256</v>
      </c>
      <c r="Y116" s="16">
        <f t="shared" si="67"/>
        <v>682.70392319999996</v>
      </c>
      <c r="Z116" s="16">
        <f t="shared" si="68"/>
        <v>284.459968</v>
      </c>
      <c r="AA116" s="16">
        <f t="shared" si="69"/>
        <v>28.445996800000003</v>
      </c>
      <c r="AB116" s="16">
        <f t="shared" si="70"/>
        <v>0</v>
      </c>
      <c r="AC116" s="16">
        <f t="shared" si="71"/>
        <v>0</v>
      </c>
      <c r="AD116" s="16" t="e">
        <f t="shared" si="72"/>
        <v>#DIV/0!</v>
      </c>
      <c r="AE116" s="16" t="e">
        <f t="shared" si="73"/>
        <v>#DIV/0!</v>
      </c>
      <c r="AF116" s="16" t="e">
        <f t="shared" si="74"/>
        <v>#DIV/0!</v>
      </c>
      <c r="AG116" s="16" t="e">
        <f t="shared" si="75"/>
        <v>#DIV/0!</v>
      </c>
      <c r="AH116" s="838" t="s">
        <v>84</v>
      </c>
      <c r="AI116" s="17">
        <f t="shared" si="76"/>
        <v>0</v>
      </c>
      <c r="AJ116" s="17" t="e">
        <f t="shared" si="77"/>
        <v>#DIV/0!</v>
      </c>
      <c r="AK116" s="891"/>
      <c r="AL116" s="18"/>
      <c r="AM116" s="889"/>
      <c r="AN116" s="891"/>
      <c r="AO116" s="888"/>
      <c r="AP116" s="891"/>
      <c r="AQ116" s="891"/>
      <c r="AR116" s="889"/>
      <c r="AS116" s="888"/>
      <c r="AT116" s="888"/>
      <c r="AU116" s="890"/>
      <c r="AV116" s="888"/>
      <c r="AW116" s="888"/>
      <c r="AX116" s="888"/>
      <c r="AY116" s="887"/>
      <c r="AZ116" s="888"/>
    </row>
    <row r="117" spans="3:52" ht="18.600000000000001">
      <c r="C117" s="13">
        <f>IF(D117&lt;&gt;"",COUNTA($D$10:D117),"")</f>
        <v>93</v>
      </c>
      <c r="D117" s="14" t="s">
        <v>207</v>
      </c>
      <c r="E117" s="14">
        <v>1.9</v>
      </c>
      <c r="F117" s="14">
        <v>2.4</v>
      </c>
      <c r="G117" s="14">
        <v>2.4</v>
      </c>
      <c r="H117" s="14">
        <v>3</v>
      </c>
      <c r="I117" s="14">
        <v>2</v>
      </c>
      <c r="J117" s="14">
        <v>1.75</v>
      </c>
      <c r="K117" s="14">
        <v>3</v>
      </c>
      <c r="L117" s="15">
        <v>0.1</v>
      </c>
      <c r="M117" s="15">
        <v>0</v>
      </c>
      <c r="N117" s="14">
        <v>24</v>
      </c>
      <c r="O117" s="14">
        <v>50</v>
      </c>
      <c r="P117" s="13">
        <v>45</v>
      </c>
      <c r="Q117" s="13">
        <v>85</v>
      </c>
      <c r="R117" s="13" t="s">
        <v>219</v>
      </c>
      <c r="S117" s="13">
        <v>25</v>
      </c>
      <c r="T117" s="13">
        <v>0</v>
      </c>
      <c r="U117" s="13">
        <v>100</v>
      </c>
      <c r="V117" s="13" t="str">
        <f t="shared" si="65"/>
        <v>5 Micron</v>
      </c>
      <c r="W117" s="13">
        <f t="shared" si="65"/>
        <v>25</v>
      </c>
      <c r="X117" s="16">
        <f t="shared" si="66"/>
        <v>49.065599999999996</v>
      </c>
      <c r="Y117" s="16">
        <f t="shared" si="67"/>
        <v>386.24440319999997</v>
      </c>
      <c r="Z117" s="16">
        <f t="shared" si="68"/>
        <v>160.93516799999998</v>
      </c>
      <c r="AA117" s="16">
        <f t="shared" si="69"/>
        <v>16.0935168</v>
      </c>
      <c r="AB117" s="16">
        <f t="shared" si="70"/>
        <v>0</v>
      </c>
      <c r="AC117" s="16">
        <f t="shared" si="71"/>
        <v>0</v>
      </c>
      <c r="AD117" s="16" t="e">
        <f t="shared" si="72"/>
        <v>#DIV/0!</v>
      </c>
      <c r="AE117" s="16" t="e">
        <f t="shared" si="73"/>
        <v>#DIV/0!</v>
      </c>
      <c r="AF117" s="16" t="e">
        <f t="shared" si="74"/>
        <v>#DIV/0!</v>
      </c>
      <c r="AG117" s="16" t="e">
        <f t="shared" si="75"/>
        <v>#DIV/0!</v>
      </c>
      <c r="AH117" s="838" t="s">
        <v>84</v>
      </c>
      <c r="AI117" s="17">
        <f t="shared" si="76"/>
        <v>0</v>
      </c>
      <c r="AJ117" s="17" t="e">
        <f t="shared" si="77"/>
        <v>#DIV/0!</v>
      </c>
      <c r="AK117" s="891"/>
      <c r="AL117" s="18"/>
      <c r="AM117" s="889"/>
      <c r="AN117" s="891"/>
      <c r="AO117" s="888"/>
      <c r="AP117" s="891"/>
      <c r="AQ117" s="891"/>
      <c r="AR117" s="889"/>
      <c r="AS117" s="888"/>
      <c r="AT117" s="888"/>
      <c r="AU117" s="890"/>
      <c r="AV117" s="888"/>
      <c r="AW117" s="888"/>
      <c r="AX117" s="888"/>
      <c r="AY117" s="887"/>
      <c r="AZ117" s="888"/>
    </row>
    <row r="118" spans="3:52" ht="18.600000000000001">
      <c r="C118" s="13">
        <f>IF(D118&lt;&gt;"",COUNTA($D$10:D118),"")</f>
        <v>94</v>
      </c>
      <c r="D118" s="14" t="s">
        <v>208</v>
      </c>
      <c r="E118" s="14">
        <v>3</v>
      </c>
      <c r="F118" s="14">
        <v>2.9</v>
      </c>
      <c r="G118" s="14">
        <v>2.4</v>
      </c>
      <c r="H118" s="14">
        <v>2</v>
      </c>
      <c r="I118" s="14">
        <v>1</v>
      </c>
      <c r="J118" s="14">
        <v>1.75</v>
      </c>
      <c r="K118" s="14">
        <v>3</v>
      </c>
      <c r="L118" s="15">
        <v>0.1</v>
      </c>
      <c r="M118" s="15">
        <v>0</v>
      </c>
      <c r="N118" s="14">
        <v>24</v>
      </c>
      <c r="O118" s="14">
        <v>50</v>
      </c>
      <c r="P118" s="13">
        <v>45</v>
      </c>
      <c r="Q118" s="13">
        <v>85</v>
      </c>
      <c r="R118" s="13" t="s">
        <v>219</v>
      </c>
      <c r="S118" s="13">
        <v>25</v>
      </c>
      <c r="T118" s="13">
        <v>0</v>
      </c>
      <c r="U118" s="13">
        <v>100</v>
      </c>
      <c r="V118" s="13" t="str">
        <f t="shared" si="65"/>
        <v>5 Micron</v>
      </c>
      <c r="W118" s="13">
        <f t="shared" si="65"/>
        <v>25</v>
      </c>
      <c r="X118" s="16">
        <f t="shared" si="66"/>
        <v>93.611999999999995</v>
      </c>
      <c r="Y118" s="16">
        <f t="shared" si="67"/>
        <v>736.91366399999993</v>
      </c>
      <c r="Z118" s="16">
        <f t="shared" si="68"/>
        <v>307.04735999999997</v>
      </c>
      <c r="AA118" s="16">
        <f t="shared" si="69"/>
        <v>30.704735999999997</v>
      </c>
      <c r="AB118" s="16">
        <f t="shared" si="70"/>
        <v>0</v>
      </c>
      <c r="AC118" s="16">
        <f t="shared" si="71"/>
        <v>0</v>
      </c>
      <c r="AD118" s="16" t="e">
        <f>IF(ISNUMBER(N118), CEILING(CF118/(0.68*BP118),25), "Ambient")</f>
        <v>#DIV/0!</v>
      </c>
      <c r="AE118" s="16" t="e">
        <f t="shared" si="73"/>
        <v>#DIV/0!</v>
      </c>
      <c r="AF118" s="16" t="e">
        <f t="shared" si="74"/>
        <v>#DIV/0!</v>
      </c>
      <c r="AG118" s="16" t="e">
        <f t="shared" si="75"/>
        <v>#DIV/0!</v>
      </c>
      <c r="AH118" s="838" t="s">
        <v>84</v>
      </c>
      <c r="AI118" s="17">
        <f t="shared" si="76"/>
        <v>0</v>
      </c>
      <c r="AJ118" s="17" t="e">
        <f t="shared" si="77"/>
        <v>#DIV/0!</v>
      </c>
      <c r="AK118" s="891"/>
      <c r="AL118" s="18"/>
      <c r="AM118" s="889"/>
      <c r="AN118" s="891"/>
      <c r="AO118" s="888"/>
      <c r="AP118" s="891"/>
      <c r="AQ118" s="891"/>
      <c r="AR118" s="889"/>
      <c r="AS118" s="888"/>
      <c r="AT118" s="888"/>
      <c r="AU118" s="890"/>
      <c r="AV118" s="888"/>
      <c r="AW118" s="888"/>
      <c r="AX118" s="888"/>
      <c r="AY118" s="887"/>
      <c r="AZ118" s="888"/>
    </row>
    <row r="119" spans="3:52" ht="18.600000000000001">
      <c r="C119" s="13">
        <f>IF(D119&lt;&gt;"",COUNTA($D$10:D119),"")</f>
        <v>95</v>
      </c>
      <c r="D119" s="14" t="s">
        <v>209</v>
      </c>
      <c r="E119" s="14">
        <v>2.4</v>
      </c>
      <c r="F119" s="14">
        <v>2</v>
      </c>
      <c r="G119" s="14">
        <v>2.4</v>
      </c>
      <c r="H119" s="14">
        <v>2</v>
      </c>
      <c r="I119" s="14">
        <v>1</v>
      </c>
      <c r="J119" s="14">
        <v>1.75</v>
      </c>
      <c r="K119" s="14">
        <v>3</v>
      </c>
      <c r="L119" s="15">
        <v>0.1</v>
      </c>
      <c r="M119" s="15">
        <v>0</v>
      </c>
      <c r="N119" s="14">
        <v>24</v>
      </c>
      <c r="O119" s="14">
        <v>50</v>
      </c>
      <c r="P119" s="13">
        <v>45</v>
      </c>
      <c r="Q119" s="13">
        <v>85</v>
      </c>
      <c r="R119" s="13" t="s">
        <v>219</v>
      </c>
      <c r="S119" s="13">
        <v>25</v>
      </c>
      <c r="T119" s="13">
        <v>0</v>
      </c>
      <c r="U119" s="13">
        <v>100</v>
      </c>
      <c r="V119" s="13" t="str">
        <f t="shared" si="65"/>
        <v>5 Micron</v>
      </c>
      <c r="W119" s="13">
        <f t="shared" si="65"/>
        <v>25</v>
      </c>
      <c r="X119" s="16">
        <f t="shared" si="66"/>
        <v>51.647999999999996</v>
      </c>
      <c r="Y119" s="16">
        <f t="shared" si="67"/>
        <v>406.57305599999995</v>
      </c>
      <c r="Z119" s="16">
        <f t="shared" si="68"/>
        <v>169.40543999999997</v>
      </c>
      <c r="AA119" s="16">
        <f t="shared" si="69"/>
        <v>16.940543999999999</v>
      </c>
      <c r="AB119" s="16">
        <f t="shared" si="70"/>
        <v>0</v>
      </c>
      <c r="AC119" s="16">
        <f t="shared" si="71"/>
        <v>0</v>
      </c>
      <c r="AD119" s="16" t="e">
        <f t="shared" ref="AD119:AD125" si="78">IF(ISNUMBER(N119), CEILING(CF119/(0.68*BP119),25), "Ambient")</f>
        <v>#DIV/0!</v>
      </c>
      <c r="AE119" s="16" t="e">
        <f t="shared" si="73"/>
        <v>#DIV/0!</v>
      </c>
      <c r="AF119" s="16" t="e">
        <f t="shared" si="74"/>
        <v>#DIV/0!</v>
      </c>
      <c r="AG119" s="16" t="e">
        <f t="shared" si="75"/>
        <v>#DIV/0!</v>
      </c>
      <c r="AH119" s="838" t="s">
        <v>84</v>
      </c>
      <c r="AI119" s="17">
        <f t="shared" si="76"/>
        <v>0</v>
      </c>
      <c r="AJ119" s="17" t="e">
        <f t="shared" si="77"/>
        <v>#DIV/0!</v>
      </c>
      <c r="AK119" s="891"/>
      <c r="AL119" s="174" t="e">
        <f>IF(AN110&lt;=315,1600,(IF(AN110=355,1650,(IF(AN110=400,1650,(IF(AN110=450,1700,(IF(AN110=500,1700,(IF(AN110=560,1800,(IF(AN110=630,2000,(IF(AN110=710,2200,2500)))))))))))))))+IF(AR110=2,1800,(IF(AR110=3,2300,(IF(AR110=4,3300,0)))))+IF(AP110&lt;=4,600,(IF(AP110&lt;=6,800,(IF(AP110&lt;=8,1000,1200)))))</f>
        <v>#DIV/0!</v>
      </c>
      <c r="AM119" s="889"/>
      <c r="AN119" s="891"/>
      <c r="AO119" s="888"/>
      <c r="AP119" s="891"/>
      <c r="AQ119" s="891"/>
      <c r="AR119" s="889"/>
      <c r="AS119" s="888"/>
      <c r="AT119" s="888"/>
      <c r="AU119" s="890"/>
      <c r="AV119" s="888"/>
      <c r="AW119" s="888"/>
      <c r="AX119" s="888"/>
      <c r="AY119" s="887"/>
      <c r="AZ119" s="888"/>
    </row>
    <row r="120" spans="3:52" ht="18.600000000000001">
      <c r="C120" s="13">
        <f>IF(D120&lt;&gt;"",COUNTA($D$10:D120),"")</f>
        <v>96</v>
      </c>
      <c r="D120" s="14" t="s">
        <v>210</v>
      </c>
      <c r="E120" s="14">
        <v>2.1</v>
      </c>
      <c r="F120" s="14">
        <v>1.8</v>
      </c>
      <c r="G120" s="14">
        <v>2.4</v>
      </c>
      <c r="H120" s="14">
        <v>2</v>
      </c>
      <c r="I120" s="14">
        <v>1</v>
      </c>
      <c r="J120" s="14">
        <v>1.75</v>
      </c>
      <c r="K120" s="14">
        <v>3</v>
      </c>
      <c r="L120" s="15">
        <v>0.1</v>
      </c>
      <c r="M120" s="15">
        <v>0</v>
      </c>
      <c r="N120" s="14">
        <v>24</v>
      </c>
      <c r="O120" s="14">
        <v>50</v>
      </c>
      <c r="P120" s="13">
        <v>45</v>
      </c>
      <c r="Q120" s="13">
        <v>85</v>
      </c>
      <c r="R120" s="13" t="s">
        <v>219</v>
      </c>
      <c r="S120" s="13">
        <v>25</v>
      </c>
      <c r="T120" s="13">
        <v>0</v>
      </c>
      <c r="U120" s="13">
        <v>100</v>
      </c>
      <c r="V120" s="13" t="str">
        <f t="shared" si="65"/>
        <v>5 Micron</v>
      </c>
      <c r="W120" s="13">
        <f t="shared" si="65"/>
        <v>25</v>
      </c>
      <c r="X120" s="16">
        <f t="shared" si="66"/>
        <v>40.672800000000002</v>
      </c>
      <c r="Y120" s="16">
        <f t="shared" si="67"/>
        <v>320.17628159999998</v>
      </c>
      <c r="Z120" s="16">
        <f t="shared" si="68"/>
        <v>133.40678399999999</v>
      </c>
      <c r="AA120" s="16">
        <f t="shared" si="69"/>
        <v>13.3406784</v>
      </c>
      <c r="AB120" s="16">
        <f t="shared" si="70"/>
        <v>0</v>
      </c>
      <c r="AC120" s="16">
        <f t="shared" si="71"/>
        <v>0</v>
      </c>
      <c r="AD120" s="16" t="e">
        <f t="shared" si="78"/>
        <v>#DIV/0!</v>
      </c>
      <c r="AE120" s="16" t="e">
        <f t="shared" si="73"/>
        <v>#DIV/0!</v>
      </c>
      <c r="AF120" s="16" t="e">
        <f t="shared" si="74"/>
        <v>#DIV/0!</v>
      </c>
      <c r="AG120" s="16" t="e">
        <f t="shared" si="75"/>
        <v>#DIV/0!</v>
      </c>
      <c r="AH120" s="838" t="s">
        <v>84</v>
      </c>
      <c r="AI120" s="17">
        <f t="shared" si="76"/>
        <v>0</v>
      </c>
      <c r="AJ120" s="17" t="e">
        <f t="shared" si="77"/>
        <v>#DIV/0!</v>
      </c>
      <c r="AK120" s="891"/>
      <c r="AL120" s="18"/>
      <c r="AM120" s="889"/>
      <c r="AN120" s="891"/>
      <c r="AO120" s="888"/>
      <c r="AP120" s="891"/>
      <c r="AQ120" s="891"/>
      <c r="AR120" s="889"/>
      <c r="AS120" s="888"/>
      <c r="AT120" s="888"/>
      <c r="AU120" s="890"/>
      <c r="AV120" s="888"/>
      <c r="AW120" s="888"/>
      <c r="AX120" s="888"/>
      <c r="AY120" s="887"/>
      <c r="AZ120" s="888"/>
    </row>
    <row r="121" spans="3:52" ht="18.600000000000001">
      <c r="C121" s="13">
        <f>IF(D121&lt;&gt;"",COUNTA($D$10:D121),"")</f>
        <v>97</v>
      </c>
      <c r="D121" s="14" t="s">
        <v>211</v>
      </c>
      <c r="E121" s="14">
        <v>1.8</v>
      </c>
      <c r="F121" s="14">
        <v>1.9</v>
      </c>
      <c r="G121" s="14">
        <v>2.4</v>
      </c>
      <c r="H121" s="14">
        <v>2</v>
      </c>
      <c r="I121" s="14">
        <v>1</v>
      </c>
      <c r="J121" s="14">
        <v>1.75</v>
      </c>
      <c r="K121" s="14">
        <v>3</v>
      </c>
      <c r="L121" s="15">
        <v>0.1</v>
      </c>
      <c r="M121" s="15">
        <v>0</v>
      </c>
      <c r="N121" s="14">
        <v>24</v>
      </c>
      <c r="O121" s="14">
        <v>50</v>
      </c>
      <c r="P121" s="13">
        <v>45</v>
      </c>
      <c r="Q121" s="13">
        <v>85</v>
      </c>
      <c r="R121" s="13" t="s">
        <v>219</v>
      </c>
      <c r="S121" s="13">
        <v>25</v>
      </c>
      <c r="T121" s="13">
        <v>0</v>
      </c>
      <c r="U121" s="13">
        <v>100</v>
      </c>
      <c r="V121" s="13" t="str">
        <f t="shared" si="65"/>
        <v>5 Micron</v>
      </c>
      <c r="W121" s="13">
        <f t="shared" si="65"/>
        <v>25</v>
      </c>
      <c r="X121" s="16">
        <f t="shared" si="66"/>
        <v>36.799199999999999</v>
      </c>
      <c r="Y121" s="16">
        <f t="shared" si="67"/>
        <v>289.68330239999995</v>
      </c>
      <c r="Z121" s="16">
        <f t="shared" si="68"/>
        <v>120.70137599999998</v>
      </c>
      <c r="AA121" s="16">
        <f t="shared" si="69"/>
        <v>12.070137599999999</v>
      </c>
      <c r="AB121" s="16">
        <f t="shared" si="70"/>
        <v>0</v>
      </c>
      <c r="AC121" s="16">
        <f t="shared" si="71"/>
        <v>0</v>
      </c>
      <c r="AD121" s="16" t="e">
        <f t="shared" si="78"/>
        <v>#DIV/0!</v>
      </c>
      <c r="AE121" s="16" t="e">
        <f t="shared" si="73"/>
        <v>#DIV/0!</v>
      </c>
      <c r="AF121" s="16" t="e">
        <f t="shared" si="74"/>
        <v>#DIV/0!</v>
      </c>
      <c r="AG121" s="16" t="e">
        <f t="shared" si="75"/>
        <v>#DIV/0!</v>
      </c>
      <c r="AH121" s="838" t="s">
        <v>84</v>
      </c>
      <c r="AI121" s="17">
        <f t="shared" si="76"/>
        <v>0</v>
      </c>
      <c r="AJ121" s="17" t="e">
        <f t="shared" si="77"/>
        <v>#DIV/0!</v>
      </c>
      <c r="AK121" s="891"/>
      <c r="AL121" s="18"/>
      <c r="AM121" s="889"/>
      <c r="AN121" s="891"/>
      <c r="AO121" s="888"/>
      <c r="AP121" s="891"/>
      <c r="AQ121" s="891"/>
      <c r="AR121" s="889"/>
      <c r="AS121" s="888"/>
      <c r="AT121" s="888"/>
      <c r="AU121" s="890"/>
      <c r="AV121" s="888"/>
      <c r="AW121" s="888"/>
      <c r="AX121" s="888"/>
      <c r="AY121" s="887"/>
      <c r="AZ121" s="888"/>
    </row>
    <row r="122" spans="3:52" ht="18.600000000000001">
      <c r="C122" s="13">
        <f>IF(D122&lt;&gt;"",COUNTA($D$10:D122),"")</f>
        <v>98</v>
      </c>
      <c r="D122" s="14" t="s">
        <v>212</v>
      </c>
      <c r="E122" s="14">
        <v>1.9</v>
      </c>
      <c r="F122" s="14">
        <v>2</v>
      </c>
      <c r="G122" s="14">
        <v>2.4</v>
      </c>
      <c r="H122" s="14">
        <v>2</v>
      </c>
      <c r="I122" s="14">
        <v>1</v>
      </c>
      <c r="J122" s="14">
        <v>1.75</v>
      </c>
      <c r="K122" s="14">
        <v>3</v>
      </c>
      <c r="L122" s="15">
        <v>0.1</v>
      </c>
      <c r="M122" s="15">
        <v>0</v>
      </c>
      <c r="N122" s="14">
        <v>24</v>
      </c>
      <c r="O122" s="14">
        <v>50</v>
      </c>
      <c r="P122" s="13">
        <v>45</v>
      </c>
      <c r="Q122" s="13">
        <v>85</v>
      </c>
      <c r="R122" s="13" t="s">
        <v>219</v>
      </c>
      <c r="S122" s="13">
        <v>25</v>
      </c>
      <c r="T122" s="13">
        <v>0</v>
      </c>
      <c r="U122" s="13">
        <v>100</v>
      </c>
      <c r="V122" s="13" t="str">
        <f t="shared" si="65"/>
        <v>5 Micron</v>
      </c>
      <c r="W122" s="13">
        <f t="shared" si="65"/>
        <v>25</v>
      </c>
      <c r="X122" s="16">
        <f t="shared" si="66"/>
        <v>40.887999999999998</v>
      </c>
      <c r="Y122" s="16">
        <f t="shared" si="67"/>
        <v>321.87033599999995</v>
      </c>
      <c r="Z122" s="16">
        <f t="shared" si="68"/>
        <v>134.11263999999997</v>
      </c>
      <c r="AA122" s="16">
        <f t="shared" si="69"/>
        <v>13.411263999999997</v>
      </c>
      <c r="AB122" s="16">
        <f t="shared" si="70"/>
        <v>0</v>
      </c>
      <c r="AC122" s="16">
        <f t="shared" si="71"/>
        <v>0</v>
      </c>
      <c r="AD122" s="16" t="e">
        <f t="shared" si="78"/>
        <v>#DIV/0!</v>
      </c>
      <c r="AE122" s="16" t="e">
        <f t="shared" si="73"/>
        <v>#DIV/0!</v>
      </c>
      <c r="AF122" s="16" t="e">
        <f t="shared" si="74"/>
        <v>#DIV/0!</v>
      </c>
      <c r="AG122" s="16" t="e">
        <f t="shared" si="75"/>
        <v>#DIV/0!</v>
      </c>
      <c r="AH122" s="838" t="s">
        <v>84</v>
      </c>
      <c r="AI122" s="17">
        <f t="shared" si="76"/>
        <v>0</v>
      </c>
      <c r="AJ122" s="17" t="e">
        <f t="shared" si="77"/>
        <v>#DIV/0!</v>
      </c>
      <c r="AK122" s="891"/>
      <c r="AL122" s="18"/>
      <c r="AM122" s="889"/>
      <c r="AN122" s="891"/>
      <c r="AO122" s="888"/>
      <c r="AP122" s="891"/>
      <c r="AQ122" s="891"/>
      <c r="AR122" s="889"/>
      <c r="AS122" s="888"/>
      <c r="AT122" s="888"/>
      <c r="AU122" s="890"/>
      <c r="AV122" s="888"/>
      <c r="AW122" s="888"/>
      <c r="AX122" s="888"/>
      <c r="AY122" s="887"/>
      <c r="AZ122" s="888"/>
    </row>
    <row r="123" spans="3:52" ht="18.600000000000001">
      <c r="C123" s="13">
        <f>IF(D123&lt;&gt;"",COUNTA($D$10:D123),"")</f>
        <v>99</v>
      </c>
      <c r="D123" s="14" t="s">
        <v>213</v>
      </c>
      <c r="E123" s="14">
        <v>2.2999999999999998</v>
      </c>
      <c r="F123" s="14">
        <v>2.2000000000000002</v>
      </c>
      <c r="G123" s="14">
        <v>2.4</v>
      </c>
      <c r="H123" s="14">
        <v>2</v>
      </c>
      <c r="I123" s="14">
        <v>1</v>
      </c>
      <c r="J123" s="14">
        <v>1.75</v>
      </c>
      <c r="K123" s="14">
        <v>3</v>
      </c>
      <c r="L123" s="15">
        <v>0.1</v>
      </c>
      <c r="M123" s="15">
        <v>0</v>
      </c>
      <c r="N123" s="14">
        <v>24</v>
      </c>
      <c r="O123" s="14">
        <v>50</v>
      </c>
      <c r="P123" s="13">
        <v>45</v>
      </c>
      <c r="Q123" s="13">
        <v>85</v>
      </c>
      <c r="R123" s="13" t="s">
        <v>219</v>
      </c>
      <c r="S123" s="13">
        <v>25</v>
      </c>
      <c r="T123" s="13">
        <v>0</v>
      </c>
      <c r="U123" s="13">
        <v>100</v>
      </c>
      <c r="V123" s="13" t="str">
        <f t="shared" si="65"/>
        <v>5 Micron</v>
      </c>
      <c r="W123" s="13">
        <f t="shared" si="65"/>
        <v>25</v>
      </c>
      <c r="X123" s="16">
        <f t="shared" si="66"/>
        <v>54.445599999999992</v>
      </c>
      <c r="Y123" s="16">
        <f t="shared" si="67"/>
        <v>428.59576319999991</v>
      </c>
      <c r="Z123" s="16">
        <f t="shared" si="68"/>
        <v>178.58156799999998</v>
      </c>
      <c r="AA123" s="16">
        <f t="shared" si="69"/>
        <v>17.8581568</v>
      </c>
      <c r="AB123" s="16">
        <f t="shared" si="70"/>
        <v>0</v>
      </c>
      <c r="AC123" s="16">
        <f t="shared" si="71"/>
        <v>0</v>
      </c>
      <c r="AD123" s="16" t="e">
        <f t="shared" si="78"/>
        <v>#DIV/0!</v>
      </c>
      <c r="AE123" s="16" t="e">
        <f t="shared" si="73"/>
        <v>#DIV/0!</v>
      </c>
      <c r="AF123" s="16" t="e">
        <f t="shared" si="74"/>
        <v>#DIV/0!</v>
      </c>
      <c r="AG123" s="16" t="e">
        <f t="shared" si="75"/>
        <v>#DIV/0!</v>
      </c>
      <c r="AH123" s="838" t="s">
        <v>84</v>
      </c>
      <c r="AI123" s="17">
        <f t="shared" si="76"/>
        <v>0</v>
      </c>
      <c r="AJ123" s="17" t="e">
        <f t="shared" si="77"/>
        <v>#DIV/0!</v>
      </c>
      <c r="AK123" s="891"/>
      <c r="AL123" s="18"/>
      <c r="AM123" s="889"/>
      <c r="AN123" s="891"/>
      <c r="AO123" s="888"/>
      <c r="AP123" s="891"/>
      <c r="AQ123" s="891"/>
      <c r="AR123" s="889"/>
      <c r="AS123" s="888"/>
      <c r="AT123" s="888"/>
      <c r="AU123" s="890"/>
      <c r="AV123" s="888"/>
      <c r="AW123" s="888"/>
      <c r="AX123" s="888"/>
      <c r="AY123" s="887"/>
      <c r="AZ123" s="888"/>
    </row>
    <row r="124" spans="3:52" ht="18.600000000000001">
      <c r="C124" s="13">
        <f>IF(D124&lt;&gt;"",COUNTA($D$10:D124),"")</f>
        <v>100</v>
      </c>
      <c r="D124" s="14" t="s">
        <v>214</v>
      </c>
      <c r="E124" s="14">
        <v>2.2000000000000002</v>
      </c>
      <c r="F124" s="14">
        <v>2.8</v>
      </c>
      <c r="G124" s="14">
        <v>2.4</v>
      </c>
      <c r="H124" s="14">
        <v>2</v>
      </c>
      <c r="I124" s="14">
        <v>1</v>
      </c>
      <c r="J124" s="14">
        <v>1.75</v>
      </c>
      <c r="K124" s="14">
        <v>3</v>
      </c>
      <c r="L124" s="15">
        <v>0.1</v>
      </c>
      <c r="M124" s="15">
        <v>0</v>
      </c>
      <c r="N124" s="14">
        <v>24</v>
      </c>
      <c r="O124" s="14">
        <v>50</v>
      </c>
      <c r="P124" s="13">
        <v>45</v>
      </c>
      <c r="Q124" s="13">
        <v>85</v>
      </c>
      <c r="R124" s="13" t="s">
        <v>219</v>
      </c>
      <c r="S124" s="13">
        <v>25</v>
      </c>
      <c r="T124" s="13">
        <v>0</v>
      </c>
      <c r="U124" s="13">
        <v>100</v>
      </c>
      <c r="V124" s="13" t="str">
        <f t="shared" si="65"/>
        <v>5 Micron</v>
      </c>
      <c r="W124" s="13">
        <f t="shared" si="65"/>
        <v>25</v>
      </c>
      <c r="X124" s="16">
        <f t="shared" si="66"/>
        <v>66.281599999999997</v>
      </c>
      <c r="Y124" s="16">
        <f t="shared" si="67"/>
        <v>521.76875519999999</v>
      </c>
      <c r="Z124" s="16">
        <f t="shared" si="68"/>
        <v>217.403648</v>
      </c>
      <c r="AA124" s="16">
        <f t="shared" si="69"/>
        <v>21.740364800000002</v>
      </c>
      <c r="AB124" s="16">
        <f t="shared" si="70"/>
        <v>0</v>
      </c>
      <c r="AC124" s="16">
        <f t="shared" si="71"/>
        <v>0</v>
      </c>
      <c r="AD124" s="16" t="e">
        <f t="shared" si="78"/>
        <v>#DIV/0!</v>
      </c>
      <c r="AE124" s="16" t="e">
        <f t="shared" si="73"/>
        <v>#DIV/0!</v>
      </c>
      <c r="AF124" s="16" t="e">
        <f t="shared" si="74"/>
        <v>#DIV/0!</v>
      </c>
      <c r="AG124" s="16" t="e">
        <f t="shared" si="75"/>
        <v>#DIV/0!</v>
      </c>
      <c r="AH124" s="838" t="s">
        <v>84</v>
      </c>
      <c r="AI124" s="17">
        <f t="shared" si="76"/>
        <v>0</v>
      </c>
      <c r="AJ124" s="17" t="e">
        <f t="shared" si="77"/>
        <v>#DIV/0!</v>
      </c>
      <c r="AK124" s="891"/>
      <c r="AL124" s="18"/>
      <c r="AM124" s="889"/>
      <c r="AN124" s="891"/>
      <c r="AO124" s="888"/>
      <c r="AP124" s="891"/>
      <c r="AQ124" s="891"/>
      <c r="AR124" s="889"/>
      <c r="AS124" s="888"/>
      <c r="AT124" s="888"/>
      <c r="AU124" s="890"/>
      <c r="AV124" s="888"/>
      <c r="AW124" s="888"/>
      <c r="AX124" s="888"/>
      <c r="AY124" s="887"/>
      <c r="AZ124" s="888"/>
    </row>
    <row r="125" spans="3:52" ht="18.600000000000001">
      <c r="C125" s="13">
        <f>IF(D125&lt;&gt;"",COUNTA($D$10:D125),"")</f>
        <v>101</v>
      </c>
      <c r="D125" s="14" t="s">
        <v>215</v>
      </c>
      <c r="E125" s="14">
        <v>2.8</v>
      </c>
      <c r="F125" s="14">
        <v>2.4</v>
      </c>
      <c r="G125" s="14">
        <v>2.4</v>
      </c>
      <c r="H125" s="14">
        <v>2</v>
      </c>
      <c r="I125" s="14">
        <v>1</v>
      </c>
      <c r="J125" s="14">
        <v>1.75</v>
      </c>
      <c r="K125" s="14">
        <v>3</v>
      </c>
      <c r="L125" s="15">
        <v>0.1</v>
      </c>
      <c r="M125" s="15">
        <v>0</v>
      </c>
      <c r="N125" s="14">
        <v>24</v>
      </c>
      <c r="O125" s="14">
        <v>50</v>
      </c>
      <c r="P125" s="13">
        <v>45</v>
      </c>
      <c r="Q125" s="13">
        <v>85</v>
      </c>
      <c r="R125" s="13" t="s">
        <v>219</v>
      </c>
      <c r="S125" s="13">
        <v>25</v>
      </c>
      <c r="T125" s="13">
        <v>0</v>
      </c>
      <c r="U125" s="13">
        <v>100</v>
      </c>
      <c r="V125" s="13" t="str">
        <f t="shared" si="65"/>
        <v>5 Micron</v>
      </c>
      <c r="W125" s="13">
        <f t="shared" si="65"/>
        <v>25</v>
      </c>
      <c r="X125" s="16">
        <f t="shared" si="66"/>
        <v>72.307199999999995</v>
      </c>
      <c r="Y125" s="16">
        <f t="shared" si="67"/>
        <v>569.20227839999995</v>
      </c>
      <c r="Z125" s="16">
        <f t="shared" si="68"/>
        <v>237.16761599999998</v>
      </c>
      <c r="AA125" s="16">
        <f t="shared" si="69"/>
        <v>23.716761599999998</v>
      </c>
      <c r="AB125" s="16">
        <f t="shared" si="70"/>
        <v>0</v>
      </c>
      <c r="AC125" s="16">
        <f t="shared" si="71"/>
        <v>0</v>
      </c>
      <c r="AD125" s="16" t="e">
        <f t="shared" si="78"/>
        <v>#DIV/0!</v>
      </c>
      <c r="AE125" s="16" t="e">
        <f t="shared" si="73"/>
        <v>#DIV/0!</v>
      </c>
      <c r="AF125" s="16" t="e">
        <f t="shared" si="74"/>
        <v>#DIV/0!</v>
      </c>
      <c r="AG125" s="16" t="e">
        <f t="shared" si="75"/>
        <v>#DIV/0!</v>
      </c>
      <c r="AH125" s="838" t="s">
        <v>84</v>
      </c>
      <c r="AI125" s="17">
        <f t="shared" si="76"/>
        <v>0</v>
      </c>
      <c r="AJ125" s="17" t="e">
        <f t="shared" si="77"/>
        <v>#DIV/0!</v>
      </c>
      <c r="AK125" s="891"/>
      <c r="AL125" s="18"/>
      <c r="AM125" s="889"/>
      <c r="AN125" s="891"/>
      <c r="AO125" s="888"/>
      <c r="AP125" s="891"/>
      <c r="AQ125" s="891"/>
      <c r="AR125" s="889"/>
      <c r="AS125" s="888"/>
      <c r="AT125" s="888"/>
      <c r="AU125" s="890"/>
      <c r="AV125" s="888"/>
      <c r="AW125" s="888"/>
      <c r="AX125" s="888"/>
      <c r="AY125" s="887"/>
      <c r="AZ125" s="888"/>
    </row>
    <row r="126" spans="3:52">
      <c r="C126" s="13" t="str">
        <f>IF(D126&lt;&gt;"",COUNTA($D$10:D126),"")</f>
        <v/>
      </c>
      <c r="D126" s="19"/>
      <c r="E126" s="19"/>
      <c r="F126" s="19"/>
      <c r="G126" s="19"/>
      <c r="H126" s="19"/>
      <c r="I126" s="19"/>
      <c r="J126" s="19"/>
      <c r="K126" s="19"/>
      <c r="L126" s="19"/>
      <c r="M126" s="19"/>
      <c r="N126" s="19"/>
      <c r="O126" s="19"/>
      <c r="P126" s="19"/>
      <c r="Q126" s="19"/>
      <c r="R126" s="19"/>
      <c r="S126" s="19"/>
      <c r="T126" s="19"/>
      <c r="U126" s="19"/>
      <c r="V126" s="19"/>
      <c r="W126" s="19"/>
      <c r="X126" s="20">
        <f>SUM(X110:X125)</f>
        <v>1144.1108000000002</v>
      </c>
      <c r="Y126" s="20">
        <f t="shared" ref="Y126:AG126" si="79">SUM(Y110:Y125)</f>
        <v>9006.4402175999985</v>
      </c>
      <c r="Z126" s="20">
        <f t="shared" si="79"/>
        <v>3752.6834239999994</v>
      </c>
      <c r="AA126" s="20">
        <f t="shared" si="79"/>
        <v>375.26834239999999</v>
      </c>
      <c r="AB126" s="20">
        <f t="shared" si="79"/>
        <v>0</v>
      </c>
      <c r="AC126" s="20">
        <f t="shared" si="79"/>
        <v>0</v>
      </c>
      <c r="AD126" s="20" t="e">
        <f t="shared" si="79"/>
        <v>#DIV/0!</v>
      </c>
      <c r="AE126" s="20" t="e">
        <f t="shared" si="79"/>
        <v>#DIV/0!</v>
      </c>
      <c r="AF126" s="20" t="e">
        <f t="shared" si="79"/>
        <v>#DIV/0!</v>
      </c>
      <c r="AG126" s="20" t="e">
        <f t="shared" si="79"/>
        <v>#DIV/0!</v>
      </c>
      <c r="AH126" s="841"/>
      <c r="AI126" s="20">
        <f t="shared" ref="AI126:AJ126" si="80">SUM(AI110:AI125)</f>
        <v>0</v>
      </c>
      <c r="AJ126" s="20" t="e">
        <f t="shared" si="80"/>
        <v>#DIV/0!</v>
      </c>
      <c r="AK126" s="21"/>
      <c r="AL126" s="21"/>
      <c r="AM126" s="21"/>
      <c r="AN126" s="21"/>
      <c r="AO126" s="21"/>
      <c r="AP126" s="21"/>
      <c r="AQ126" s="21"/>
      <c r="AR126" s="21"/>
      <c r="AS126" s="21"/>
      <c r="AT126" s="21"/>
      <c r="AU126" s="21"/>
      <c r="AV126" s="21"/>
      <c r="AW126" s="21"/>
      <c r="AX126" s="21"/>
      <c r="AY126" s="21"/>
      <c r="AZ126" s="21"/>
    </row>
    <row r="127" spans="3:52">
      <c r="C127" s="13" t="str">
        <f>IF(D127&lt;&gt;"",COUNTA($D$10:D127),"")</f>
        <v/>
      </c>
      <c r="AH127" s="840"/>
    </row>
    <row r="128" spans="3:52" ht="26.1">
      <c r="C128" s="8" t="e">
        <f>"Zoning Area  AHU - " &amp; INT((ROW()-8)/20)+1 &amp; "  " &amp;IF(AQ130&gt;0,"Air-Conditioning System " &amp; IF(AH130="D","(DX)",IF(AH130="C","(Chilled Water)","")),IF(AND(N130="Amb",AQ130=0),"Ventilation System","Refer"))</f>
        <v>#DIV/0!</v>
      </c>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39"/>
      <c r="AI128" s="8"/>
      <c r="AJ128" s="8"/>
      <c r="AK128" s="8"/>
      <c r="AL128" s="8"/>
      <c r="AM128" s="8"/>
      <c r="AN128" s="8"/>
      <c r="AO128" s="8"/>
      <c r="AP128" s="8"/>
      <c r="AQ128" s="8"/>
      <c r="AR128" s="8"/>
      <c r="AS128" s="9" t="s">
        <v>221</v>
      </c>
      <c r="AT128" s="10"/>
      <c r="AU128" s="10"/>
      <c r="AV128" s="11"/>
      <c r="AW128" s="9" t="s">
        <v>222</v>
      </c>
      <c r="AX128" s="10"/>
      <c r="AY128" s="10"/>
      <c r="AZ128" s="11"/>
    </row>
    <row r="129" spans="3:52">
      <c r="C129" s="13">
        <f>IF(D129&lt;&gt;"",COUNTA($D$10:D129),"")</f>
        <v>102</v>
      </c>
      <c r="D129" s="5" t="s">
        <v>165</v>
      </c>
      <c r="E129" s="5" t="s">
        <v>166</v>
      </c>
      <c r="F129" s="5" t="s">
        <v>167</v>
      </c>
      <c r="G129" s="5" t="s">
        <v>168</v>
      </c>
      <c r="H129" s="5" t="s">
        <v>169</v>
      </c>
      <c r="I129" s="5" t="s">
        <v>170</v>
      </c>
      <c r="J129" s="5" t="s">
        <v>171</v>
      </c>
      <c r="K129" s="5" t="s">
        <v>172</v>
      </c>
      <c r="L129" s="5" t="s">
        <v>173</v>
      </c>
      <c r="M129" s="5" t="s">
        <v>174</v>
      </c>
      <c r="N129" s="5" t="s">
        <v>175</v>
      </c>
      <c r="O129" s="5" t="s">
        <v>176</v>
      </c>
      <c r="P129" s="5" t="s">
        <v>177</v>
      </c>
      <c r="Q129" s="5" t="s">
        <v>178</v>
      </c>
      <c r="R129" s="5" t="s">
        <v>199</v>
      </c>
      <c r="S129" s="5" t="s">
        <v>180</v>
      </c>
      <c r="T129" s="5" t="s">
        <v>223</v>
      </c>
      <c r="U129" s="5" t="s">
        <v>224</v>
      </c>
      <c r="V129" s="5" t="s">
        <v>199</v>
      </c>
      <c r="W129" s="5" t="s">
        <v>180</v>
      </c>
      <c r="X129" s="5" t="s">
        <v>225</v>
      </c>
      <c r="Y129" s="5" t="s">
        <v>226</v>
      </c>
      <c r="Z129" s="5" t="s">
        <v>227</v>
      </c>
      <c r="AA129" s="5" t="s">
        <v>228</v>
      </c>
      <c r="AB129" s="5" t="s">
        <v>229</v>
      </c>
      <c r="AC129" s="5" t="s">
        <v>230</v>
      </c>
      <c r="AD129" s="5" t="s">
        <v>231</v>
      </c>
      <c r="AE129" s="5" t="s">
        <v>232</v>
      </c>
      <c r="AF129" s="6" t="s">
        <v>233</v>
      </c>
      <c r="AG129" s="6" t="s">
        <v>234</v>
      </c>
      <c r="AH129" s="6" t="s">
        <v>235</v>
      </c>
      <c r="AI129" s="5" t="s">
        <v>236</v>
      </c>
      <c r="AJ129" s="5" t="s">
        <v>237</v>
      </c>
      <c r="AK129" s="5" t="s">
        <v>238</v>
      </c>
      <c r="AL129" s="5" t="s">
        <v>239</v>
      </c>
      <c r="AM129" s="5" t="s">
        <v>240</v>
      </c>
      <c r="AN129" s="5" t="s">
        <v>241</v>
      </c>
      <c r="AO129" s="5" t="s">
        <v>242</v>
      </c>
      <c r="AP129" s="5" t="s">
        <v>243</v>
      </c>
      <c r="AQ129" s="5" t="s">
        <v>244</v>
      </c>
      <c r="AR129" s="5" t="s">
        <v>245</v>
      </c>
      <c r="AS129" s="5" t="s">
        <v>246</v>
      </c>
      <c r="AT129" s="5" t="s">
        <v>247</v>
      </c>
      <c r="AU129" s="5" t="s">
        <v>248</v>
      </c>
      <c r="AV129" s="5" t="s">
        <v>249</v>
      </c>
      <c r="AW129" s="5" t="s">
        <v>250</v>
      </c>
      <c r="AX129" s="5" t="s">
        <v>251</v>
      </c>
      <c r="AY129" s="5" t="s">
        <v>252</v>
      </c>
      <c r="AZ129" s="5" t="s">
        <v>253</v>
      </c>
    </row>
    <row r="130" spans="3:52" ht="18.600000000000001">
      <c r="C130" s="13">
        <f>IF(D130&lt;&gt;"",COUNTA($D$10:D130),"")</f>
        <v>103</v>
      </c>
      <c r="D130" s="14" t="s">
        <v>200</v>
      </c>
      <c r="E130" s="14">
        <v>3</v>
      </c>
      <c r="F130" s="14">
        <v>3</v>
      </c>
      <c r="G130" s="14">
        <v>2.4</v>
      </c>
      <c r="H130" s="14">
        <v>1</v>
      </c>
      <c r="I130" s="14">
        <v>2</v>
      </c>
      <c r="J130" s="14">
        <v>1.75</v>
      </c>
      <c r="K130" s="14">
        <v>3</v>
      </c>
      <c r="L130" s="15">
        <v>0.1</v>
      </c>
      <c r="M130" s="15">
        <v>0</v>
      </c>
      <c r="N130" s="14">
        <v>24</v>
      </c>
      <c r="O130" s="14">
        <v>50</v>
      </c>
      <c r="P130" s="13">
        <v>45</v>
      </c>
      <c r="Q130" s="13">
        <v>85</v>
      </c>
      <c r="R130" s="13" t="s">
        <v>17</v>
      </c>
      <c r="S130" s="13">
        <v>120</v>
      </c>
      <c r="T130" s="13">
        <v>0</v>
      </c>
      <c r="U130" s="13">
        <v>100</v>
      </c>
      <c r="V130" s="13" t="str">
        <f>R130</f>
        <v>ISO 6</v>
      </c>
      <c r="W130" s="13">
        <f>S130</f>
        <v>120</v>
      </c>
      <c r="X130" s="16">
        <f>E130*F130*10.76</f>
        <v>96.84</v>
      </c>
      <c r="Y130" s="16">
        <f>X130*G130*3.28</f>
        <v>762.32447999999999</v>
      </c>
      <c r="Z130" s="16">
        <f>Y130*S130/60</f>
        <v>1524.64896</v>
      </c>
      <c r="AA130" s="16">
        <f>Z130*L130</f>
        <v>152.46489600000001</v>
      </c>
      <c r="AB130" s="16">
        <f>IF(N130="Amb",Z130,Z130*M130)</f>
        <v>0</v>
      </c>
      <c r="AC130" s="16">
        <f>IF(ISNUMBER(N130), (AA130*0.075*60/2.20462)*BP130/7000, "Ambient")</f>
        <v>0</v>
      </c>
      <c r="AD130" s="16" t="e">
        <f>IF(ISNUMBER(N130), CEILING(CF130/(0.68*BP130),25), "Ambient")</f>
        <v>#DIV/0!</v>
      </c>
      <c r="AE130" s="16" t="e">
        <f>CEILING(MAX((Z130+AA130),AD130),25)</f>
        <v>#DIV/0!</v>
      </c>
      <c r="AF130" s="16" t="e">
        <f>CEILING(IF(OR($R130="ISO 6",$R130="GRADE B",$R130="1K",$R130=1000),AE130*1/175,IF(OR($R130="ISO 5",$R130="GRADE A",$R130=100),AE130*1/100,IF(OR($R130="ISO 7",$R130="GRADE C",$R130="10K",$R130=10000),$AE130*1/250,IF(OR($R130="ISO 8",$R130="GRADE D",$R130="100K",$R130=100000),$AE130*1/250,IF(OR($R130="NC",$R130="20 Micron",$R130="5 Micron",$R130="N C"),$AE130*1/350,0))))),2)</f>
        <v>#DIV/0!</v>
      </c>
      <c r="AG130" s="16" t="e">
        <f>IF(ISNUMBER(N130), CEILING(MAX(AI130,AJ130),0.5), "Ambient")</f>
        <v>#DIV/0!</v>
      </c>
      <c r="AH130" s="838" t="s">
        <v>85</v>
      </c>
      <c r="AI130" s="17">
        <f>IF(ISNUMBER(N130), CEILING(CE130/12000,0.5), "Ambient")</f>
        <v>0</v>
      </c>
      <c r="AJ130" s="17" t="e">
        <f>IF(ISNUMBER(N130),CEILING(AE130/(IF(AH130="C",400,300)),0.5), "Ambient")</f>
        <v>#DIV/0!</v>
      </c>
      <c r="AK130" s="891" t="e">
        <f>CEILING(SUM(AE130:AE145),250)</f>
        <v>#DIV/0!</v>
      </c>
      <c r="AL130" s="18" t="s">
        <v>254</v>
      </c>
      <c r="AM130" s="889">
        <v>150</v>
      </c>
      <c r="AN130" s="891" t="e">
        <f>IF(AK130&lt;=1300,200,IF(AK130&lt;=1600,225,IF(AK130&lt;=2100,250,IF(AK130&lt;=2700,280,IF(AK130&lt;=3450,315,IF(AK130&lt;=4250,355,IF(AK130&lt;=5250,400,IF(AK130&lt;=6750,450,IF(AK130&lt;=8500,500,IF(AK130&lt;=10750,560,IF(AK130&lt;=13500,630,IF(AK130&lt;=17000,710,IF(AK130&lt;=21500,800,IF(AK130&lt;=27000,900,IF(AK130&lt;=34000,1000,IF(AK130&lt;=43000,1120,IF(AK130&lt;=49000,1200,IF(AK130&lt;=68000,1450,"Refer"))))))))))))))))))</f>
        <v>#DIV/0!</v>
      </c>
      <c r="AO130" s="888" t="e">
        <f>IF(AK130*AM130/(6356*0.7*0.9*1.1*25.4)&lt;=1,1,IF(AK130*AM130/(6356*0.7*0.9*1.1*25.4)&lt;=1.5,1.5,IF(AK130*AM130/(6356*0.7*0.9*1.1*25.4)&lt;=2,2,IF(AK130*AM130/(6356*0.7*0.9*1.1*25.4)&lt;=3,3,IF(AK130*AM130/(6356*0.7*0.9*1.1*25.4)&lt;=5,5,IF(AK130*AM130/(6356*0.7*0.9*1.1*25.4)&lt;=7.5,7.5,IF(AK130*AM130/(6356*0.7*0.9*1.1*25.4)&lt;=10,10,IF(AK130*AM130/(6356*0.7*0.9*1.1*25.4)&lt;=12.5,12.5,IF(AK130*AM130/(6356*0.7*0.9*1.1*25.4)&lt;=15,15,IF(AK130*AM130/(6356*0.7*0.9*1.1*25.4)&lt;=20,20,IF(AK130*AM130/(6356*0.7*0.9*1.1*25.4)&lt;=25,25,IF(AK130*AM130/(6356*0.7*0.9*1.1*25.4)&lt;=30,30,IF(AK130*AM130/(6356*0.7*0.9*1.1*25.4)&lt;=40,40,IF(AK130*AM130/(6356*0.7*0.9*1.1*25.4)&lt;=50,50,IF(AK130*AM130/(6356*0.7*0.9*1.1*25.4)&lt;=60,60,IF(AK130*AM130/(6356*0.7*0.9*1.1*25.4)&lt;=75,75,"Refer"))))))))))))))))</f>
        <v>#DIV/0!</v>
      </c>
      <c r="AP130" s="891" t="e">
        <f>IF(AND(AQ130=0, N130="Amb"), "Amb",IF((AL131-250)*(AL133-150)*10.76/(1000*1000) &gt;= MAX(AI146,AJ146), 4,IF((AL131-250)*(AL133-150)*10.76*1.5/(1000*1000) &gt;= MAX(AI146,AJ146), 6,IF((AL131-250)*(AL133-150)*10.76*2/(1000*1000) &gt;= MAX(AI146,AJ146), 8, 0))
 )
)</f>
        <v>#DIV/0!</v>
      </c>
      <c r="AQ130" s="891" t="e">
        <f>AG146</f>
        <v>#DIV/0!</v>
      </c>
      <c r="AR130" s="889">
        <f>_xlfn.SWITCH(TRIM(UPPER(R130)),"ISO 9", 3,"ISO 8", 4,"Grade D", 4,"Class 100,000", 4,"Class 100K", 4,"ISO 7", 3,"Grade C", 3,"Class 10,000", 3,"Class 10K", 3,"ISO 6", 3,"Class 1,000", 3,"Class 1K", 3,"ISO 5", 4,"Grade A", 4,"Grade B", 4,"Class 100", 4,"ISO 4", 3,"ISO 3", 4,"ISO 2", 4,"ISO 1", 4,"NCV20",1,"NCV-10",2,"NCV-5",3,"NCAC-10",1,"NCAC-5",2,"NCAC-1",3,3)</f>
        <v>3</v>
      </c>
      <c r="AS130" s="888" t="e">
        <f>MAX(AI146,AJ146)*24/6</f>
        <v>#DIV/0!</v>
      </c>
      <c r="AT130" s="888" t="e">
        <f>AS130*0.06309</f>
        <v>#DIV/0!</v>
      </c>
      <c r="AU130" s="890">
        <v>2</v>
      </c>
      <c r="AV130" s="888" t="e">
        <f>SQRT((4*AS130*0.00006309)/(3.14*AU130))*1000</f>
        <v>#DIV/0!</v>
      </c>
      <c r="AW130" s="888"/>
      <c r="AX130" s="888"/>
      <c r="AY130" s="887"/>
      <c r="AZ130" s="888"/>
    </row>
    <row r="131" spans="3:52" ht="18.600000000000001">
      <c r="C131" s="13">
        <f>IF(D131&lt;&gt;"",COUNTA($D$10:D131),"")</f>
        <v>104</v>
      </c>
      <c r="D131" s="14" t="s">
        <v>201</v>
      </c>
      <c r="E131" s="14">
        <v>1.8</v>
      </c>
      <c r="F131" s="14">
        <v>2.2000000000000002</v>
      </c>
      <c r="G131" s="14">
        <v>2.4</v>
      </c>
      <c r="H131" s="14">
        <v>2</v>
      </c>
      <c r="I131" s="14">
        <v>1</v>
      </c>
      <c r="J131" s="14">
        <v>1.75</v>
      </c>
      <c r="K131" s="14">
        <v>3</v>
      </c>
      <c r="L131" s="15">
        <v>0.1</v>
      </c>
      <c r="M131" s="15">
        <v>0</v>
      </c>
      <c r="N131" s="14">
        <v>24</v>
      </c>
      <c r="O131" s="14">
        <v>50</v>
      </c>
      <c r="P131" s="13">
        <v>45</v>
      </c>
      <c r="Q131" s="13">
        <v>85</v>
      </c>
      <c r="R131" s="13" t="s">
        <v>17</v>
      </c>
      <c r="S131" s="13">
        <v>120</v>
      </c>
      <c r="T131" s="13">
        <v>0</v>
      </c>
      <c r="U131" s="13">
        <v>100</v>
      </c>
      <c r="V131" s="13" t="str">
        <f t="shared" ref="V131:W145" si="81">R131</f>
        <v>ISO 6</v>
      </c>
      <c r="W131" s="13">
        <f t="shared" si="81"/>
        <v>120</v>
      </c>
      <c r="X131" s="16">
        <f t="shared" ref="X131:X145" si="82">E131*F131*10.76</f>
        <v>42.6096</v>
      </c>
      <c r="Y131" s="16">
        <f t="shared" ref="Y131:Y145" si="83">X131*G131*3.28</f>
        <v>335.4227712</v>
      </c>
      <c r="Z131" s="16">
        <f t="shared" ref="Z131:Z145" si="84">Y131*S131/60</f>
        <v>670.8455424</v>
      </c>
      <c r="AA131" s="16">
        <f t="shared" ref="AA131:AA145" si="85">Z131*L131</f>
        <v>67.084554240000003</v>
      </c>
      <c r="AB131" s="16">
        <f t="shared" ref="AB131:AB145" si="86">IF(N131="Amb",Z131,Z131*M131)</f>
        <v>0</v>
      </c>
      <c r="AC131" s="16">
        <f t="shared" ref="AC131:AC145" si="87">IF(ISNUMBER(N131), (AA131*0.075*60/2.20462)*BP131/7000, "Ambient")</f>
        <v>0</v>
      </c>
      <c r="AD131" s="16" t="e">
        <f t="shared" ref="AD131:AD137" si="88">IF(ISNUMBER(N131), CEILING(CF131/(0.68*BP131),25), "Ambient")</f>
        <v>#DIV/0!</v>
      </c>
      <c r="AE131" s="16" t="e">
        <f t="shared" ref="AE131:AE145" si="89">CEILING(MAX((Z131+AA131),AD131),25)</f>
        <v>#DIV/0!</v>
      </c>
      <c r="AF131" s="16" t="e">
        <f t="shared" ref="AF131:AF145" si="90">CEILING(IF(OR($R131="ISO 6",$R131="GRADE B",$R131="1K",$R131=1000),AE131*1/175,IF(OR($R131="ISO 5",$R131="GRADE A",$R131=100),AE131*1/100,IF(OR($R131="ISO 7",$R131="GRADE C",$R131="10K",$R131=10000),$AE131*1/250,IF(OR($R131="ISO 8",$R131="GRADE D",$R131="100K",$R131=100000),$AE131*1/250,IF(OR($R131="NC",$R131="20 Micron",$R131="5 Micron",$R131="N C"),$AE131*1/350,0))))),2)</f>
        <v>#DIV/0!</v>
      </c>
      <c r="AG131" s="16" t="e">
        <f t="shared" ref="AG131:AG145" si="91">IF(ISNUMBER(N131), CEILING(MAX(AI131,AJ131),0.5), "Ambient")</f>
        <v>#DIV/0!</v>
      </c>
      <c r="AH131" s="838" t="s">
        <v>85</v>
      </c>
      <c r="AI131" s="17">
        <f t="shared" ref="AI131:AI145" si="92">IF(ISNUMBER(N131), CEILING(CE131/12000,0.5), "Ambient")</f>
        <v>0</v>
      </c>
      <c r="AJ131" s="17" t="e">
        <f t="shared" ref="AJ131:AJ145" si="93">IF(ISNUMBER(N131),CEILING(AE131/(IF(AH131="C",400,300)),0.5), "Ambient")</f>
        <v>#DIV/0!</v>
      </c>
      <c r="AK131" s="891"/>
      <c r="AL131" s="18" t="e">
        <f>IF(AK130&lt;=2000,950,(IF(AK130&lt;=3000,1150,(IF(AK130&lt;=8000,1550,(IF(AK130&lt;=10000,1750,(IF(AK130&lt;=18000,2050,(IF(AK130&lt;=32000,2900,(IF(AK130&lt;=40000,3600,4000)))))))))))))</f>
        <v>#DIV/0!</v>
      </c>
      <c r="AM131" s="889"/>
      <c r="AN131" s="891"/>
      <c r="AO131" s="888"/>
      <c r="AP131" s="891"/>
      <c r="AQ131" s="891"/>
      <c r="AR131" s="889"/>
      <c r="AS131" s="888"/>
      <c r="AT131" s="888"/>
      <c r="AU131" s="890"/>
      <c r="AV131" s="888"/>
      <c r="AW131" s="888"/>
      <c r="AX131" s="888"/>
      <c r="AY131" s="887"/>
      <c r="AZ131" s="888"/>
    </row>
    <row r="132" spans="3:52" ht="18.600000000000001">
      <c r="C132" s="13">
        <f>IF(D132&lt;&gt;"",COUNTA($D$10:D132),"")</f>
        <v>105</v>
      </c>
      <c r="D132" s="14" t="s">
        <v>202</v>
      </c>
      <c r="E132" s="14">
        <v>1.5</v>
      </c>
      <c r="F132" s="14">
        <v>2.8</v>
      </c>
      <c r="G132" s="14">
        <v>2.4</v>
      </c>
      <c r="H132" s="14">
        <v>2</v>
      </c>
      <c r="I132" s="14">
        <v>3</v>
      </c>
      <c r="J132" s="14">
        <v>1.75</v>
      </c>
      <c r="K132" s="14">
        <v>3</v>
      </c>
      <c r="L132" s="15">
        <v>0.1</v>
      </c>
      <c r="M132" s="15">
        <v>0</v>
      </c>
      <c r="N132" s="14">
        <v>24</v>
      </c>
      <c r="O132" s="14">
        <v>50</v>
      </c>
      <c r="P132" s="13">
        <v>45</v>
      </c>
      <c r="Q132" s="13">
        <v>85</v>
      </c>
      <c r="R132" s="13" t="s">
        <v>17</v>
      </c>
      <c r="S132" s="13">
        <v>120</v>
      </c>
      <c r="T132" s="13">
        <v>0</v>
      </c>
      <c r="U132" s="13">
        <v>100</v>
      </c>
      <c r="V132" s="13" t="str">
        <f t="shared" si="81"/>
        <v>ISO 6</v>
      </c>
      <c r="W132" s="13">
        <f t="shared" si="81"/>
        <v>120</v>
      </c>
      <c r="X132" s="16">
        <f t="shared" si="82"/>
        <v>45.191999999999993</v>
      </c>
      <c r="Y132" s="16">
        <f t="shared" si="83"/>
        <v>355.75142399999993</v>
      </c>
      <c r="Z132" s="16">
        <f t="shared" si="84"/>
        <v>711.50284799999986</v>
      </c>
      <c r="AA132" s="16">
        <f t="shared" si="85"/>
        <v>71.150284799999994</v>
      </c>
      <c r="AB132" s="16">
        <f t="shared" si="86"/>
        <v>0</v>
      </c>
      <c r="AC132" s="16">
        <f t="shared" si="87"/>
        <v>0</v>
      </c>
      <c r="AD132" s="16" t="e">
        <f t="shared" si="88"/>
        <v>#DIV/0!</v>
      </c>
      <c r="AE132" s="16" t="e">
        <f t="shared" si="89"/>
        <v>#DIV/0!</v>
      </c>
      <c r="AF132" s="16" t="e">
        <f t="shared" si="90"/>
        <v>#DIV/0!</v>
      </c>
      <c r="AG132" s="16" t="e">
        <f t="shared" si="91"/>
        <v>#DIV/0!</v>
      </c>
      <c r="AH132" s="838" t="s">
        <v>85</v>
      </c>
      <c r="AI132" s="17">
        <f t="shared" si="92"/>
        <v>0</v>
      </c>
      <c r="AJ132" s="17" t="e">
        <f t="shared" si="93"/>
        <v>#DIV/0!</v>
      </c>
      <c r="AK132" s="891"/>
      <c r="AL132" s="18" t="s">
        <v>255</v>
      </c>
      <c r="AM132" s="889"/>
      <c r="AN132" s="891"/>
      <c r="AO132" s="888"/>
      <c r="AP132" s="891"/>
      <c r="AQ132" s="891"/>
      <c r="AR132" s="889"/>
      <c r="AS132" s="888"/>
      <c r="AT132" s="888"/>
      <c r="AU132" s="890"/>
      <c r="AV132" s="888"/>
      <c r="AW132" s="888"/>
      <c r="AX132" s="888"/>
      <c r="AY132" s="887"/>
      <c r="AZ132" s="888"/>
    </row>
    <row r="133" spans="3:52" ht="18.600000000000001">
      <c r="C133" s="13">
        <f>IF(D133&lt;&gt;"",COUNTA($D$10:D133),"")</f>
        <v>106</v>
      </c>
      <c r="D133" s="14" t="s">
        <v>203</v>
      </c>
      <c r="E133" s="14">
        <v>2.1</v>
      </c>
      <c r="F133" s="14">
        <v>3.5</v>
      </c>
      <c r="G133" s="14">
        <v>2.4</v>
      </c>
      <c r="H133" s="14">
        <v>0</v>
      </c>
      <c r="I133" s="14">
        <v>1</v>
      </c>
      <c r="J133" s="14">
        <v>1.75</v>
      </c>
      <c r="K133" s="14">
        <v>3</v>
      </c>
      <c r="L133" s="15">
        <v>0.1</v>
      </c>
      <c r="M133" s="15">
        <v>0</v>
      </c>
      <c r="N133" s="14">
        <v>24</v>
      </c>
      <c r="O133" s="14">
        <v>50</v>
      </c>
      <c r="P133" s="13">
        <v>45</v>
      </c>
      <c r="Q133" s="13">
        <v>85</v>
      </c>
      <c r="R133" s="13" t="s">
        <v>17</v>
      </c>
      <c r="S133" s="13">
        <v>120</v>
      </c>
      <c r="T133" s="13">
        <v>0</v>
      </c>
      <c r="U133" s="13">
        <v>100</v>
      </c>
      <c r="V133" s="13" t="str">
        <f t="shared" si="81"/>
        <v>ISO 6</v>
      </c>
      <c r="W133" s="13">
        <f t="shared" si="81"/>
        <v>120</v>
      </c>
      <c r="X133" s="16">
        <f t="shared" si="82"/>
        <v>79.085999999999999</v>
      </c>
      <c r="Y133" s="16">
        <f t="shared" si="83"/>
        <v>622.56499199999996</v>
      </c>
      <c r="Z133" s="16">
        <f t="shared" si="84"/>
        <v>1245.1299839999999</v>
      </c>
      <c r="AA133" s="16">
        <f t="shared" si="85"/>
        <v>124.5129984</v>
      </c>
      <c r="AB133" s="16">
        <f t="shared" si="86"/>
        <v>0</v>
      </c>
      <c r="AC133" s="16">
        <f t="shared" si="87"/>
        <v>0</v>
      </c>
      <c r="AD133" s="16" t="e">
        <f t="shared" si="88"/>
        <v>#DIV/0!</v>
      </c>
      <c r="AE133" s="16" t="e">
        <f t="shared" si="89"/>
        <v>#DIV/0!</v>
      </c>
      <c r="AF133" s="16" t="e">
        <f t="shared" si="90"/>
        <v>#DIV/0!</v>
      </c>
      <c r="AG133" s="16" t="e">
        <f t="shared" si="91"/>
        <v>#DIV/0!</v>
      </c>
      <c r="AH133" s="838" t="s">
        <v>85</v>
      </c>
      <c r="AI133" s="17">
        <f t="shared" si="92"/>
        <v>0</v>
      </c>
      <c r="AJ133" s="17" t="e">
        <f t="shared" si="93"/>
        <v>#DIV/0!</v>
      </c>
      <c r="AK133" s="891"/>
      <c r="AL133" s="18" t="e">
        <f>IF(AK130&lt;=2000,950,(IF(AK130&lt;=4000,1100,(IF(AK130&lt;=6000,1250,(IF(AK130&lt;=10000,1550,(IF(AK130&lt;=15000,1750,(IF(AK130&lt;=24000,2050,(IF(AK130&lt;=40000,2900,3600)))))))))))))</f>
        <v>#DIV/0!</v>
      </c>
      <c r="AM133" s="889"/>
      <c r="AN133" s="891"/>
      <c r="AO133" s="888"/>
      <c r="AP133" s="891"/>
      <c r="AQ133" s="891"/>
      <c r="AR133" s="889"/>
      <c r="AS133" s="888"/>
      <c r="AT133" s="888"/>
      <c r="AU133" s="890"/>
      <c r="AV133" s="888"/>
      <c r="AW133" s="888"/>
      <c r="AX133" s="888"/>
      <c r="AY133" s="887"/>
      <c r="AZ133" s="888"/>
    </row>
    <row r="134" spans="3:52" ht="18.600000000000001">
      <c r="C134" s="13">
        <f>IF(D134&lt;&gt;"",COUNTA($D$10:D134),"")</f>
        <v>107</v>
      </c>
      <c r="D134" s="14" t="s">
        <v>204</v>
      </c>
      <c r="E134" s="14">
        <v>2.7</v>
      </c>
      <c r="F134" s="14">
        <v>4</v>
      </c>
      <c r="G134" s="14">
        <v>2.4</v>
      </c>
      <c r="H134" s="14">
        <v>2</v>
      </c>
      <c r="I134" s="14">
        <v>1</v>
      </c>
      <c r="J134" s="14">
        <v>1.75</v>
      </c>
      <c r="K134" s="14">
        <v>3</v>
      </c>
      <c r="L134" s="15">
        <v>0.1</v>
      </c>
      <c r="M134" s="15">
        <v>0</v>
      </c>
      <c r="N134" s="14">
        <v>24</v>
      </c>
      <c r="O134" s="14">
        <v>50</v>
      </c>
      <c r="P134" s="13">
        <v>45</v>
      </c>
      <c r="Q134" s="13">
        <v>85</v>
      </c>
      <c r="R134" s="13" t="s">
        <v>17</v>
      </c>
      <c r="S134" s="13">
        <v>120</v>
      </c>
      <c r="T134" s="13">
        <v>0</v>
      </c>
      <c r="U134" s="13">
        <v>100</v>
      </c>
      <c r="V134" s="13" t="str">
        <f t="shared" si="81"/>
        <v>ISO 6</v>
      </c>
      <c r="W134" s="13">
        <f t="shared" si="81"/>
        <v>120</v>
      </c>
      <c r="X134" s="16">
        <f t="shared" si="82"/>
        <v>116.208</v>
      </c>
      <c r="Y134" s="16">
        <f t="shared" si="83"/>
        <v>914.78937599999995</v>
      </c>
      <c r="Z134" s="16">
        <f t="shared" si="84"/>
        <v>1829.5787519999999</v>
      </c>
      <c r="AA134" s="16">
        <f t="shared" si="85"/>
        <v>182.95787519999999</v>
      </c>
      <c r="AB134" s="16">
        <f t="shared" si="86"/>
        <v>0</v>
      </c>
      <c r="AC134" s="16">
        <f t="shared" si="87"/>
        <v>0</v>
      </c>
      <c r="AD134" s="16" t="e">
        <f t="shared" si="88"/>
        <v>#DIV/0!</v>
      </c>
      <c r="AE134" s="16" t="e">
        <f t="shared" si="89"/>
        <v>#DIV/0!</v>
      </c>
      <c r="AF134" s="16" t="e">
        <f t="shared" si="90"/>
        <v>#DIV/0!</v>
      </c>
      <c r="AG134" s="16" t="e">
        <f t="shared" si="91"/>
        <v>#DIV/0!</v>
      </c>
      <c r="AH134" s="838" t="s">
        <v>85</v>
      </c>
      <c r="AI134" s="17">
        <f t="shared" si="92"/>
        <v>0</v>
      </c>
      <c r="AJ134" s="17" t="e">
        <f t="shared" si="93"/>
        <v>#DIV/0!</v>
      </c>
      <c r="AK134" s="891"/>
      <c r="AL134" s="18" t="s">
        <v>256</v>
      </c>
      <c r="AM134" s="889"/>
      <c r="AN134" s="891"/>
      <c r="AO134" s="888"/>
      <c r="AP134" s="891"/>
      <c r="AQ134" s="891"/>
      <c r="AR134" s="889"/>
      <c r="AS134" s="888"/>
      <c r="AT134" s="888"/>
      <c r="AU134" s="890"/>
      <c r="AV134" s="888"/>
      <c r="AW134" s="888"/>
      <c r="AX134" s="888"/>
      <c r="AY134" s="887"/>
      <c r="AZ134" s="888"/>
    </row>
    <row r="135" spans="3:52" ht="18.600000000000001">
      <c r="C135" s="13">
        <f>IF(D135&lt;&gt;"",COUNTA($D$10:D135),"")</f>
        <v>108</v>
      </c>
      <c r="D135" s="14" t="s">
        <v>205</v>
      </c>
      <c r="E135" s="14">
        <v>3.8</v>
      </c>
      <c r="F135" s="14">
        <v>4.2</v>
      </c>
      <c r="G135" s="14">
        <v>2.4</v>
      </c>
      <c r="H135" s="14">
        <v>3</v>
      </c>
      <c r="I135" s="14">
        <v>3</v>
      </c>
      <c r="J135" s="14">
        <v>1.75</v>
      </c>
      <c r="K135" s="14">
        <v>3</v>
      </c>
      <c r="L135" s="15">
        <v>0.1</v>
      </c>
      <c r="M135" s="15">
        <v>0</v>
      </c>
      <c r="N135" s="14">
        <v>24</v>
      </c>
      <c r="O135" s="14">
        <v>50</v>
      </c>
      <c r="P135" s="13">
        <v>45</v>
      </c>
      <c r="Q135" s="13">
        <v>85</v>
      </c>
      <c r="R135" s="13" t="s">
        <v>17</v>
      </c>
      <c r="S135" s="13">
        <v>120</v>
      </c>
      <c r="T135" s="13">
        <v>0</v>
      </c>
      <c r="U135" s="13">
        <v>100</v>
      </c>
      <c r="V135" s="13" t="str">
        <f t="shared" si="81"/>
        <v>ISO 6</v>
      </c>
      <c r="W135" s="13">
        <f t="shared" si="81"/>
        <v>120</v>
      </c>
      <c r="X135" s="16">
        <f t="shared" si="82"/>
        <v>171.72959999999998</v>
      </c>
      <c r="Y135" s="16">
        <f t="shared" si="83"/>
        <v>1351.8554111999997</v>
      </c>
      <c r="Z135" s="16">
        <f t="shared" si="84"/>
        <v>2703.7108223999994</v>
      </c>
      <c r="AA135" s="16">
        <f t="shared" si="85"/>
        <v>270.37108223999996</v>
      </c>
      <c r="AB135" s="16">
        <f t="shared" si="86"/>
        <v>0</v>
      </c>
      <c r="AC135" s="16">
        <f t="shared" si="87"/>
        <v>0</v>
      </c>
      <c r="AD135" s="16" t="e">
        <f t="shared" si="88"/>
        <v>#DIV/0!</v>
      </c>
      <c r="AE135" s="16" t="e">
        <f t="shared" si="89"/>
        <v>#DIV/0!</v>
      </c>
      <c r="AF135" s="16" t="e">
        <f t="shared" si="90"/>
        <v>#DIV/0!</v>
      </c>
      <c r="AG135" s="16" t="e">
        <f t="shared" si="91"/>
        <v>#DIV/0!</v>
      </c>
      <c r="AH135" s="838" t="s">
        <v>85</v>
      </c>
      <c r="AI135" s="17">
        <f t="shared" si="92"/>
        <v>0</v>
      </c>
      <c r="AJ135" s="17" t="e">
        <f t="shared" si="93"/>
        <v>#DIV/0!</v>
      </c>
      <c r="AK135" s="891"/>
      <c r="AL135" s="18" t="e">
        <f>IF(AL139&lt;4000,AL139,AL139+400)</f>
        <v>#DIV/0!</v>
      </c>
      <c r="AM135" s="889"/>
      <c r="AN135" s="891"/>
      <c r="AO135" s="888"/>
      <c r="AP135" s="891"/>
      <c r="AQ135" s="891"/>
      <c r="AR135" s="889"/>
      <c r="AS135" s="888"/>
      <c r="AT135" s="888"/>
      <c r="AU135" s="890"/>
      <c r="AV135" s="888"/>
      <c r="AW135" s="888"/>
      <c r="AX135" s="888"/>
      <c r="AY135" s="887"/>
      <c r="AZ135" s="888"/>
    </row>
    <row r="136" spans="3:52" ht="18.600000000000001">
      <c r="C136" s="13">
        <f>IF(D136&lt;&gt;"",COUNTA($D$10:D136),"")</f>
        <v>109</v>
      </c>
      <c r="D136" s="14" t="s">
        <v>206</v>
      </c>
      <c r="E136" s="14">
        <v>3.1</v>
      </c>
      <c r="F136" s="14">
        <v>2.6</v>
      </c>
      <c r="G136" s="14">
        <v>2.4</v>
      </c>
      <c r="H136" s="14">
        <v>2</v>
      </c>
      <c r="I136" s="14">
        <v>1</v>
      </c>
      <c r="J136" s="14">
        <v>1.75</v>
      </c>
      <c r="K136" s="14">
        <v>3</v>
      </c>
      <c r="L136" s="15">
        <v>0.1</v>
      </c>
      <c r="M136" s="15">
        <v>0</v>
      </c>
      <c r="N136" s="14">
        <v>24</v>
      </c>
      <c r="O136" s="14">
        <v>50</v>
      </c>
      <c r="P136" s="13">
        <v>45</v>
      </c>
      <c r="Q136" s="13">
        <v>85</v>
      </c>
      <c r="R136" s="13" t="s">
        <v>17</v>
      </c>
      <c r="S136" s="13">
        <v>120</v>
      </c>
      <c r="T136" s="13">
        <v>0</v>
      </c>
      <c r="U136" s="13">
        <v>100</v>
      </c>
      <c r="V136" s="13" t="str">
        <f t="shared" si="81"/>
        <v>ISO 6</v>
      </c>
      <c r="W136" s="13">
        <f t="shared" si="81"/>
        <v>120</v>
      </c>
      <c r="X136" s="16">
        <f t="shared" si="82"/>
        <v>86.7256</v>
      </c>
      <c r="Y136" s="16">
        <f t="shared" si="83"/>
        <v>682.70392319999996</v>
      </c>
      <c r="Z136" s="16">
        <f t="shared" si="84"/>
        <v>1365.4078463999999</v>
      </c>
      <c r="AA136" s="16">
        <f t="shared" si="85"/>
        <v>136.54078464</v>
      </c>
      <c r="AB136" s="16">
        <f t="shared" si="86"/>
        <v>0</v>
      </c>
      <c r="AC136" s="16">
        <f t="shared" si="87"/>
        <v>0</v>
      </c>
      <c r="AD136" s="16" t="e">
        <f t="shared" si="88"/>
        <v>#DIV/0!</v>
      </c>
      <c r="AE136" s="16" t="e">
        <f t="shared" si="89"/>
        <v>#DIV/0!</v>
      </c>
      <c r="AF136" s="16" t="e">
        <f t="shared" si="90"/>
        <v>#DIV/0!</v>
      </c>
      <c r="AG136" s="16" t="e">
        <f t="shared" si="91"/>
        <v>#DIV/0!</v>
      </c>
      <c r="AH136" s="838" t="s">
        <v>85</v>
      </c>
      <c r="AI136" s="17">
        <f t="shared" si="92"/>
        <v>0</v>
      </c>
      <c r="AJ136" s="17" t="e">
        <f t="shared" si="93"/>
        <v>#DIV/0!</v>
      </c>
      <c r="AK136" s="891"/>
      <c r="AL136" s="18"/>
      <c r="AM136" s="889"/>
      <c r="AN136" s="891"/>
      <c r="AO136" s="888"/>
      <c r="AP136" s="891"/>
      <c r="AQ136" s="891"/>
      <c r="AR136" s="889"/>
      <c r="AS136" s="888"/>
      <c r="AT136" s="888"/>
      <c r="AU136" s="890"/>
      <c r="AV136" s="888"/>
      <c r="AW136" s="888"/>
      <c r="AX136" s="888"/>
      <c r="AY136" s="887"/>
      <c r="AZ136" s="888"/>
    </row>
    <row r="137" spans="3:52" ht="18.600000000000001">
      <c r="C137" s="13">
        <f>IF(D137&lt;&gt;"",COUNTA($D$10:D137),"")</f>
        <v>110</v>
      </c>
      <c r="D137" s="14" t="s">
        <v>207</v>
      </c>
      <c r="E137" s="14">
        <v>1.9</v>
      </c>
      <c r="F137" s="14">
        <v>2.4</v>
      </c>
      <c r="G137" s="14">
        <v>2.4</v>
      </c>
      <c r="H137" s="14">
        <v>3</v>
      </c>
      <c r="I137" s="14">
        <v>2</v>
      </c>
      <c r="J137" s="14">
        <v>1.75</v>
      </c>
      <c r="K137" s="14">
        <v>3</v>
      </c>
      <c r="L137" s="15">
        <v>0.1</v>
      </c>
      <c r="M137" s="15">
        <v>0</v>
      </c>
      <c r="N137" s="14">
        <v>24</v>
      </c>
      <c r="O137" s="14">
        <v>50</v>
      </c>
      <c r="P137" s="13">
        <v>45</v>
      </c>
      <c r="Q137" s="13">
        <v>85</v>
      </c>
      <c r="R137" s="13" t="s">
        <v>17</v>
      </c>
      <c r="S137" s="13">
        <v>120</v>
      </c>
      <c r="T137" s="13">
        <v>0</v>
      </c>
      <c r="U137" s="13">
        <v>100</v>
      </c>
      <c r="V137" s="13" t="str">
        <f t="shared" si="81"/>
        <v>ISO 6</v>
      </c>
      <c r="W137" s="13">
        <f t="shared" si="81"/>
        <v>120</v>
      </c>
      <c r="X137" s="16">
        <f t="shared" si="82"/>
        <v>49.065599999999996</v>
      </c>
      <c r="Y137" s="16">
        <f t="shared" si="83"/>
        <v>386.24440319999997</v>
      </c>
      <c r="Z137" s="16">
        <f t="shared" si="84"/>
        <v>772.48880639999993</v>
      </c>
      <c r="AA137" s="16">
        <f t="shared" si="85"/>
        <v>77.248880639999996</v>
      </c>
      <c r="AB137" s="16">
        <f t="shared" si="86"/>
        <v>0</v>
      </c>
      <c r="AC137" s="16">
        <f t="shared" si="87"/>
        <v>0</v>
      </c>
      <c r="AD137" s="16" t="e">
        <f t="shared" si="88"/>
        <v>#DIV/0!</v>
      </c>
      <c r="AE137" s="16" t="e">
        <f t="shared" si="89"/>
        <v>#DIV/0!</v>
      </c>
      <c r="AF137" s="16" t="e">
        <f t="shared" si="90"/>
        <v>#DIV/0!</v>
      </c>
      <c r="AG137" s="16" t="e">
        <f t="shared" si="91"/>
        <v>#DIV/0!</v>
      </c>
      <c r="AH137" s="838" t="s">
        <v>85</v>
      </c>
      <c r="AI137" s="17">
        <f t="shared" si="92"/>
        <v>0</v>
      </c>
      <c r="AJ137" s="17" t="e">
        <f t="shared" si="93"/>
        <v>#DIV/0!</v>
      </c>
      <c r="AK137" s="891"/>
      <c r="AL137" s="18"/>
      <c r="AM137" s="889"/>
      <c r="AN137" s="891"/>
      <c r="AO137" s="888"/>
      <c r="AP137" s="891"/>
      <c r="AQ137" s="891"/>
      <c r="AR137" s="889"/>
      <c r="AS137" s="888"/>
      <c r="AT137" s="888"/>
      <c r="AU137" s="890"/>
      <c r="AV137" s="888"/>
      <c r="AW137" s="888"/>
      <c r="AX137" s="888"/>
      <c r="AY137" s="887"/>
      <c r="AZ137" s="888"/>
    </row>
    <row r="138" spans="3:52" ht="18.600000000000001">
      <c r="C138" s="13">
        <f>IF(D138&lt;&gt;"",COUNTA($D$10:D138),"")</f>
        <v>111</v>
      </c>
      <c r="D138" s="14" t="s">
        <v>208</v>
      </c>
      <c r="E138" s="14">
        <v>3</v>
      </c>
      <c r="F138" s="14">
        <v>2.9</v>
      </c>
      <c r="G138" s="14">
        <v>2.4</v>
      </c>
      <c r="H138" s="14">
        <v>2</v>
      </c>
      <c r="I138" s="14">
        <v>1</v>
      </c>
      <c r="J138" s="14">
        <v>1.75</v>
      </c>
      <c r="K138" s="14">
        <v>3</v>
      </c>
      <c r="L138" s="15">
        <v>0.1</v>
      </c>
      <c r="M138" s="15">
        <v>0</v>
      </c>
      <c r="N138" s="14">
        <v>24</v>
      </c>
      <c r="O138" s="14">
        <v>50</v>
      </c>
      <c r="P138" s="13">
        <v>45</v>
      </c>
      <c r="Q138" s="13">
        <v>85</v>
      </c>
      <c r="R138" s="13" t="s">
        <v>17</v>
      </c>
      <c r="S138" s="13">
        <v>120</v>
      </c>
      <c r="T138" s="13">
        <v>0</v>
      </c>
      <c r="U138" s="13">
        <v>100</v>
      </c>
      <c r="V138" s="13" t="str">
        <f t="shared" si="81"/>
        <v>ISO 6</v>
      </c>
      <c r="W138" s="13">
        <f t="shared" si="81"/>
        <v>120</v>
      </c>
      <c r="X138" s="16">
        <f t="shared" si="82"/>
        <v>93.611999999999995</v>
      </c>
      <c r="Y138" s="16">
        <f t="shared" si="83"/>
        <v>736.91366399999993</v>
      </c>
      <c r="Z138" s="16">
        <f t="shared" si="84"/>
        <v>1473.8273279999999</v>
      </c>
      <c r="AA138" s="16">
        <f t="shared" si="85"/>
        <v>147.38273279999999</v>
      </c>
      <c r="AB138" s="16">
        <f t="shared" si="86"/>
        <v>0</v>
      </c>
      <c r="AC138" s="16">
        <f t="shared" si="87"/>
        <v>0</v>
      </c>
      <c r="AD138" s="16" t="e">
        <f>IF(ISNUMBER(N138), CEILING(CF138/(0.68*BP138),25), "Ambient")</f>
        <v>#DIV/0!</v>
      </c>
      <c r="AE138" s="16" t="e">
        <f t="shared" si="89"/>
        <v>#DIV/0!</v>
      </c>
      <c r="AF138" s="16" t="e">
        <f t="shared" si="90"/>
        <v>#DIV/0!</v>
      </c>
      <c r="AG138" s="16" t="e">
        <f t="shared" si="91"/>
        <v>#DIV/0!</v>
      </c>
      <c r="AH138" s="838" t="s">
        <v>85</v>
      </c>
      <c r="AI138" s="17">
        <f t="shared" si="92"/>
        <v>0</v>
      </c>
      <c r="AJ138" s="17" t="e">
        <f t="shared" si="93"/>
        <v>#DIV/0!</v>
      </c>
      <c r="AK138" s="891"/>
      <c r="AL138" s="18"/>
      <c r="AM138" s="889"/>
      <c r="AN138" s="891"/>
      <c r="AO138" s="888"/>
      <c r="AP138" s="891"/>
      <c r="AQ138" s="891"/>
      <c r="AR138" s="889"/>
      <c r="AS138" s="888"/>
      <c r="AT138" s="888"/>
      <c r="AU138" s="890"/>
      <c r="AV138" s="888"/>
      <c r="AW138" s="888"/>
      <c r="AX138" s="888"/>
      <c r="AY138" s="887"/>
      <c r="AZ138" s="888"/>
    </row>
    <row r="139" spans="3:52" ht="18.600000000000001">
      <c r="C139" s="13">
        <f>IF(D139&lt;&gt;"",COUNTA($D$10:D139),"")</f>
        <v>112</v>
      </c>
      <c r="D139" s="14" t="s">
        <v>209</v>
      </c>
      <c r="E139" s="14">
        <v>2.4</v>
      </c>
      <c r="F139" s="14">
        <v>2</v>
      </c>
      <c r="G139" s="14">
        <v>2.4</v>
      </c>
      <c r="H139" s="14">
        <v>2</v>
      </c>
      <c r="I139" s="14">
        <v>1</v>
      </c>
      <c r="J139" s="14">
        <v>1.75</v>
      </c>
      <c r="K139" s="14">
        <v>3</v>
      </c>
      <c r="L139" s="15">
        <v>0.1</v>
      </c>
      <c r="M139" s="15">
        <v>0</v>
      </c>
      <c r="N139" s="14">
        <v>24</v>
      </c>
      <c r="O139" s="14">
        <v>50</v>
      </c>
      <c r="P139" s="13">
        <v>45</v>
      </c>
      <c r="Q139" s="13">
        <v>85</v>
      </c>
      <c r="R139" s="13" t="s">
        <v>17</v>
      </c>
      <c r="S139" s="13">
        <v>120</v>
      </c>
      <c r="T139" s="13">
        <v>0</v>
      </c>
      <c r="U139" s="13">
        <v>100</v>
      </c>
      <c r="V139" s="13" t="str">
        <f t="shared" si="81"/>
        <v>ISO 6</v>
      </c>
      <c r="W139" s="13">
        <f t="shared" si="81"/>
        <v>120</v>
      </c>
      <c r="X139" s="16">
        <f t="shared" si="82"/>
        <v>51.647999999999996</v>
      </c>
      <c r="Y139" s="16">
        <f t="shared" si="83"/>
        <v>406.57305599999995</v>
      </c>
      <c r="Z139" s="16">
        <f t="shared" si="84"/>
        <v>813.1461119999999</v>
      </c>
      <c r="AA139" s="16">
        <f t="shared" si="85"/>
        <v>81.314611200000002</v>
      </c>
      <c r="AB139" s="16">
        <f t="shared" si="86"/>
        <v>0</v>
      </c>
      <c r="AC139" s="16">
        <f t="shared" si="87"/>
        <v>0</v>
      </c>
      <c r="AD139" s="16" t="e">
        <f t="shared" ref="AD139:AD145" si="94">IF(ISNUMBER(N139), CEILING(CF139/(0.68*BP139),25), "Ambient")</f>
        <v>#DIV/0!</v>
      </c>
      <c r="AE139" s="16" t="e">
        <f t="shared" si="89"/>
        <v>#DIV/0!</v>
      </c>
      <c r="AF139" s="16" t="e">
        <f t="shared" si="90"/>
        <v>#DIV/0!</v>
      </c>
      <c r="AG139" s="16" t="e">
        <f t="shared" si="91"/>
        <v>#DIV/0!</v>
      </c>
      <c r="AH139" s="838" t="s">
        <v>85</v>
      </c>
      <c r="AI139" s="17">
        <f t="shared" si="92"/>
        <v>0</v>
      </c>
      <c r="AJ139" s="17" t="e">
        <f t="shared" si="93"/>
        <v>#DIV/0!</v>
      </c>
      <c r="AK139" s="891"/>
      <c r="AL139" s="174" t="e">
        <f>IF(AN130&lt;=315,1600,(IF(AN130=355,1650,(IF(AN130=400,1650,(IF(AN130=450,1700,(IF(AN130=500,1700,(IF(AN130=560,1800,(IF(AN130=630,2000,(IF(AN130=710,2200,2500)))))))))))))))+IF(AR130=2,1800,(IF(AR130=3,2300,(IF(AR130=4,3300,0)))))+IF(AP130&lt;=4,600,(IF(AP130&lt;=6,800,(IF(AP130&lt;=8,1000,1200)))))</f>
        <v>#DIV/0!</v>
      </c>
      <c r="AM139" s="889"/>
      <c r="AN139" s="891"/>
      <c r="AO139" s="888"/>
      <c r="AP139" s="891"/>
      <c r="AQ139" s="891"/>
      <c r="AR139" s="889"/>
      <c r="AS139" s="888"/>
      <c r="AT139" s="888"/>
      <c r="AU139" s="890"/>
      <c r="AV139" s="888"/>
      <c r="AW139" s="888"/>
      <c r="AX139" s="888"/>
      <c r="AY139" s="887"/>
      <c r="AZ139" s="888"/>
    </row>
    <row r="140" spans="3:52" ht="18.600000000000001">
      <c r="C140" s="13">
        <f>IF(D140&lt;&gt;"",COUNTA($D$10:D140),"")</f>
        <v>113</v>
      </c>
      <c r="D140" s="14" t="s">
        <v>210</v>
      </c>
      <c r="E140" s="14">
        <v>2.1</v>
      </c>
      <c r="F140" s="14">
        <v>1.8</v>
      </c>
      <c r="G140" s="14">
        <v>2.4</v>
      </c>
      <c r="H140" s="14">
        <v>2</v>
      </c>
      <c r="I140" s="14">
        <v>1</v>
      </c>
      <c r="J140" s="14">
        <v>1.75</v>
      </c>
      <c r="K140" s="14">
        <v>3</v>
      </c>
      <c r="L140" s="15">
        <v>0.1</v>
      </c>
      <c r="M140" s="15">
        <v>0</v>
      </c>
      <c r="N140" s="14">
        <v>24</v>
      </c>
      <c r="O140" s="14">
        <v>50</v>
      </c>
      <c r="P140" s="13">
        <v>45</v>
      </c>
      <c r="Q140" s="13">
        <v>85</v>
      </c>
      <c r="R140" s="13" t="s">
        <v>17</v>
      </c>
      <c r="S140" s="13">
        <v>120</v>
      </c>
      <c r="T140" s="13">
        <v>0</v>
      </c>
      <c r="U140" s="13">
        <v>100</v>
      </c>
      <c r="V140" s="13" t="str">
        <f t="shared" si="81"/>
        <v>ISO 6</v>
      </c>
      <c r="W140" s="13">
        <f t="shared" si="81"/>
        <v>120</v>
      </c>
      <c r="X140" s="16">
        <f t="shared" si="82"/>
        <v>40.672800000000002</v>
      </c>
      <c r="Y140" s="16">
        <f t="shared" si="83"/>
        <v>320.17628159999998</v>
      </c>
      <c r="Z140" s="16">
        <f t="shared" si="84"/>
        <v>640.35256319999996</v>
      </c>
      <c r="AA140" s="16">
        <f t="shared" si="85"/>
        <v>64.035256320000002</v>
      </c>
      <c r="AB140" s="16">
        <f t="shared" si="86"/>
        <v>0</v>
      </c>
      <c r="AC140" s="16">
        <f t="shared" si="87"/>
        <v>0</v>
      </c>
      <c r="AD140" s="16" t="e">
        <f t="shared" si="94"/>
        <v>#DIV/0!</v>
      </c>
      <c r="AE140" s="16" t="e">
        <f t="shared" si="89"/>
        <v>#DIV/0!</v>
      </c>
      <c r="AF140" s="16" t="e">
        <f t="shared" si="90"/>
        <v>#DIV/0!</v>
      </c>
      <c r="AG140" s="16" t="e">
        <f t="shared" si="91"/>
        <v>#DIV/0!</v>
      </c>
      <c r="AH140" s="838" t="s">
        <v>85</v>
      </c>
      <c r="AI140" s="17">
        <f t="shared" si="92"/>
        <v>0</v>
      </c>
      <c r="AJ140" s="17" t="e">
        <f t="shared" si="93"/>
        <v>#DIV/0!</v>
      </c>
      <c r="AK140" s="891"/>
      <c r="AL140" s="18"/>
      <c r="AM140" s="889"/>
      <c r="AN140" s="891"/>
      <c r="AO140" s="888"/>
      <c r="AP140" s="891"/>
      <c r="AQ140" s="891"/>
      <c r="AR140" s="889"/>
      <c r="AS140" s="888"/>
      <c r="AT140" s="888"/>
      <c r="AU140" s="890"/>
      <c r="AV140" s="888"/>
      <c r="AW140" s="888"/>
      <c r="AX140" s="888"/>
      <c r="AY140" s="887"/>
      <c r="AZ140" s="888"/>
    </row>
    <row r="141" spans="3:52" ht="18.600000000000001">
      <c r="C141" s="13">
        <f>IF(D141&lt;&gt;"",COUNTA($D$10:D141),"")</f>
        <v>114</v>
      </c>
      <c r="D141" s="14" t="s">
        <v>211</v>
      </c>
      <c r="E141" s="14">
        <v>1.8</v>
      </c>
      <c r="F141" s="14">
        <v>1.9</v>
      </c>
      <c r="G141" s="14">
        <v>2.4</v>
      </c>
      <c r="H141" s="14">
        <v>2</v>
      </c>
      <c r="I141" s="14">
        <v>1</v>
      </c>
      <c r="J141" s="14">
        <v>1.75</v>
      </c>
      <c r="K141" s="14">
        <v>3</v>
      </c>
      <c r="L141" s="15">
        <v>0.1</v>
      </c>
      <c r="M141" s="15">
        <v>0</v>
      </c>
      <c r="N141" s="14">
        <v>24</v>
      </c>
      <c r="O141" s="14">
        <v>50</v>
      </c>
      <c r="P141" s="13">
        <v>45</v>
      </c>
      <c r="Q141" s="13">
        <v>85</v>
      </c>
      <c r="R141" s="13" t="s">
        <v>17</v>
      </c>
      <c r="S141" s="13">
        <v>120</v>
      </c>
      <c r="T141" s="13">
        <v>0</v>
      </c>
      <c r="U141" s="13">
        <v>100</v>
      </c>
      <c r="V141" s="13" t="str">
        <f t="shared" si="81"/>
        <v>ISO 6</v>
      </c>
      <c r="W141" s="13">
        <f t="shared" si="81"/>
        <v>120</v>
      </c>
      <c r="X141" s="16">
        <f t="shared" si="82"/>
        <v>36.799199999999999</v>
      </c>
      <c r="Y141" s="16">
        <f t="shared" si="83"/>
        <v>289.68330239999995</v>
      </c>
      <c r="Z141" s="16">
        <f t="shared" si="84"/>
        <v>579.36660479999989</v>
      </c>
      <c r="AA141" s="16">
        <f t="shared" si="85"/>
        <v>57.936660479999993</v>
      </c>
      <c r="AB141" s="16">
        <f t="shared" si="86"/>
        <v>0</v>
      </c>
      <c r="AC141" s="16">
        <f t="shared" si="87"/>
        <v>0</v>
      </c>
      <c r="AD141" s="16" t="e">
        <f t="shared" si="94"/>
        <v>#DIV/0!</v>
      </c>
      <c r="AE141" s="16" t="e">
        <f t="shared" si="89"/>
        <v>#DIV/0!</v>
      </c>
      <c r="AF141" s="16" t="e">
        <f t="shared" si="90"/>
        <v>#DIV/0!</v>
      </c>
      <c r="AG141" s="16" t="e">
        <f t="shared" si="91"/>
        <v>#DIV/0!</v>
      </c>
      <c r="AH141" s="838" t="s">
        <v>85</v>
      </c>
      <c r="AI141" s="17">
        <f t="shared" si="92"/>
        <v>0</v>
      </c>
      <c r="AJ141" s="17" t="e">
        <f t="shared" si="93"/>
        <v>#DIV/0!</v>
      </c>
      <c r="AK141" s="891"/>
      <c r="AL141" s="18"/>
      <c r="AM141" s="889"/>
      <c r="AN141" s="891"/>
      <c r="AO141" s="888"/>
      <c r="AP141" s="891"/>
      <c r="AQ141" s="891"/>
      <c r="AR141" s="889"/>
      <c r="AS141" s="888"/>
      <c r="AT141" s="888"/>
      <c r="AU141" s="890"/>
      <c r="AV141" s="888"/>
      <c r="AW141" s="888"/>
      <c r="AX141" s="888"/>
      <c r="AY141" s="887"/>
      <c r="AZ141" s="888"/>
    </row>
    <row r="142" spans="3:52" ht="18.600000000000001">
      <c r="C142" s="13">
        <f>IF(D142&lt;&gt;"",COUNTA($D$10:D142),"")</f>
        <v>115</v>
      </c>
      <c r="D142" s="14" t="s">
        <v>212</v>
      </c>
      <c r="E142" s="14">
        <v>1.9</v>
      </c>
      <c r="F142" s="14">
        <v>2</v>
      </c>
      <c r="G142" s="14">
        <v>2.4</v>
      </c>
      <c r="H142" s="14">
        <v>2</v>
      </c>
      <c r="I142" s="14">
        <v>1</v>
      </c>
      <c r="J142" s="14">
        <v>1.75</v>
      </c>
      <c r="K142" s="14">
        <v>3</v>
      </c>
      <c r="L142" s="15">
        <v>0.1</v>
      </c>
      <c r="M142" s="15">
        <v>0</v>
      </c>
      <c r="N142" s="14">
        <v>24</v>
      </c>
      <c r="O142" s="14">
        <v>50</v>
      </c>
      <c r="P142" s="13">
        <v>45</v>
      </c>
      <c r="Q142" s="13">
        <v>85</v>
      </c>
      <c r="R142" s="13" t="s">
        <v>17</v>
      </c>
      <c r="S142" s="13">
        <v>120</v>
      </c>
      <c r="T142" s="13">
        <v>0</v>
      </c>
      <c r="U142" s="13">
        <v>100</v>
      </c>
      <c r="V142" s="13" t="str">
        <f t="shared" si="81"/>
        <v>ISO 6</v>
      </c>
      <c r="W142" s="13">
        <f t="shared" si="81"/>
        <v>120</v>
      </c>
      <c r="X142" s="16">
        <f t="shared" si="82"/>
        <v>40.887999999999998</v>
      </c>
      <c r="Y142" s="16">
        <f t="shared" si="83"/>
        <v>321.87033599999995</v>
      </c>
      <c r="Z142" s="16">
        <f t="shared" si="84"/>
        <v>643.7406719999999</v>
      </c>
      <c r="AA142" s="16">
        <f t="shared" si="85"/>
        <v>64.374067199999999</v>
      </c>
      <c r="AB142" s="16">
        <f t="shared" si="86"/>
        <v>0</v>
      </c>
      <c r="AC142" s="16">
        <f t="shared" si="87"/>
        <v>0</v>
      </c>
      <c r="AD142" s="16" t="e">
        <f t="shared" si="94"/>
        <v>#DIV/0!</v>
      </c>
      <c r="AE142" s="16" t="e">
        <f t="shared" si="89"/>
        <v>#DIV/0!</v>
      </c>
      <c r="AF142" s="16" t="e">
        <f t="shared" si="90"/>
        <v>#DIV/0!</v>
      </c>
      <c r="AG142" s="16" t="e">
        <f t="shared" si="91"/>
        <v>#DIV/0!</v>
      </c>
      <c r="AH142" s="838" t="s">
        <v>85</v>
      </c>
      <c r="AI142" s="17">
        <f t="shared" si="92"/>
        <v>0</v>
      </c>
      <c r="AJ142" s="17" t="e">
        <f t="shared" si="93"/>
        <v>#DIV/0!</v>
      </c>
      <c r="AK142" s="891"/>
      <c r="AL142" s="18"/>
      <c r="AM142" s="889"/>
      <c r="AN142" s="891"/>
      <c r="AO142" s="888"/>
      <c r="AP142" s="891"/>
      <c r="AQ142" s="891"/>
      <c r="AR142" s="889"/>
      <c r="AS142" s="888"/>
      <c r="AT142" s="888"/>
      <c r="AU142" s="890"/>
      <c r="AV142" s="888"/>
      <c r="AW142" s="888"/>
      <c r="AX142" s="888"/>
      <c r="AY142" s="887"/>
      <c r="AZ142" s="888"/>
    </row>
    <row r="143" spans="3:52" ht="18.600000000000001">
      <c r="C143" s="13">
        <f>IF(D143&lt;&gt;"",COUNTA($D$10:D143),"")</f>
        <v>116</v>
      </c>
      <c r="D143" s="14" t="s">
        <v>213</v>
      </c>
      <c r="E143" s="14">
        <v>2.2999999999999998</v>
      </c>
      <c r="F143" s="14">
        <v>2.2000000000000002</v>
      </c>
      <c r="G143" s="14">
        <v>2.4</v>
      </c>
      <c r="H143" s="14">
        <v>2</v>
      </c>
      <c r="I143" s="14">
        <v>1</v>
      </c>
      <c r="J143" s="14">
        <v>1.75</v>
      </c>
      <c r="K143" s="14">
        <v>3</v>
      </c>
      <c r="L143" s="15">
        <v>0.1</v>
      </c>
      <c r="M143" s="15">
        <v>0</v>
      </c>
      <c r="N143" s="14">
        <v>24</v>
      </c>
      <c r="O143" s="14">
        <v>50</v>
      </c>
      <c r="P143" s="13">
        <v>45</v>
      </c>
      <c r="Q143" s="13">
        <v>85</v>
      </c>
      <c r="R143" s="13" t="s">
        <v>17</v>
      </c>
      <c r="S143" s="13">
        <v>120</v>
      </c>
      <c r="T143" s="13">
        <v>0</v>
      </c>
      <c r="U143" s="13">
        <v>100</v>
      </c>
      <c r="V143" s="13" t="str">
        <f t="shared" si="81"/>
        <v>ISO 6</v>
      </c>
      <c r="W143" s="13">
        <f t="shared" si="81"/>
        <v>120</v>
      </c>
      <c r="X143" s="16">
        <f t="shared" si="82"/>
        <v>54.445599999999992</v>
      </c>
      <c r="Y143" s="16">
        <f t="shared" si="83"/>
        <v>428.59576319999991</v>
      </c>
      <c r="Z143" s="16">
        <f t="shared" si="84"/>
        <v>857.19152639999982</v>
      </c>
      <c r="AA143" s="16">
        <f t="shared" si="85"/>
        <v>85.71915263999999</v>
      </c>
      <c r="AB143" s="16">
        <f t="shared" si="86"/>
        <v>0</v>
      </c>
      <c r="AC143" s="16">
        <f t="shared" si="87"/>
        <v>0</v>
      </c>
      <c r="AD143" s="16" t="e">
        <f t="shared" si="94"/>
        <v>#DIV/0!</v>
      </c>
      <c r="AE143" s="16" t="e">
        <f t="shared" si="89"/>
        <v>#DIV/0!</v>
      </c>
      <c r="AF143" s="16" t="e">
        <f t="shared" si="90"/>
        <v>#DIV/0!</v>
      </c>
      <c r="AG143" s="16" t="e">
        <f t="shared" si="91"/>
        <v>#DIV/0!</v>
      </c>
      <c r="AH143" s="838" t="s">
        <v>85</v>
      </c>
      <c r="AI143" s="17">
        <f t="shared" si="92"/>
        <v>0</v>
      </c>
      <c r="AJ143" s="17" t="e">
        <f t="shared" si="93"/>
        <v>#DIV/0!</v>
      </c>
      <c r="AK143" s="891"/>
      <c r="AL143" s="18"/>
      <c r="AM143" s="889"/>
      <c r="AN143" s="891"/>
      <c r="AO143" s="888"/>
      <c r="AP143" s="891"/>
      <c r="AQ143" s="891"/>
      <c r="AR143" s="889"/>
      <c r="AS143" s="888"/>
      <c r="AT143" s="888"/>
      <c r="AU143" s="890"/>
      <c r="AV143" s="888"/>
      <c r="AW143" s="888"/>
      <c r="AX143" s="888"/>
      <c r="AY143" s="887"/>
      <c r="AZ143" s="888"/>
    </row>
    <row r="144" spans="3:52" ht="18.600000000000001">
      <c r="C144" s="13">
        <f>IF(D144&lt;&gt;"",COUNTA($D$10:D144),"")</f>
        <v>117</v>
      </c>
      <c r="D144" s="14" t="s">
        <v>214</v>
      </c>
      <c r="E144" s="14">
        <v>2.2000000000000002</v>
      </c>
      <c r="F144" s="14">
        <v>2.8</v>
      </c>
      <c r="G144" s="14">
        <v>2.4</v>
      </c>
      <c r="H144" s="14">
        <v>2</v>
      </c>
      <c r="I144" s="14">
        <v>1</v>
      </c>
      <c r="J144" s="14">
        <v>1.75</v>
      </c>
      <c r="K144" s="14">
        <v>3</v>
      </c>
      <c r="L144" s="15">
        <v>0.1</v>
      </c>
      <c r="M144" s="15">
        <v>0</v>
      </c>
      <c r="N144" s="14">
        <v>24</v>
      </c>
      <c r="O144" s="14">
        <v>50</v>
      </c>
      <c r="P144" s="13">
        <v>45</v>
      </c>
      <c r="Q144" s="13">
        <v>85</v>
      </c>
      <c r="R144" s="13" t="s">
        <v>17</v>
      </c>
      <c r="S144" s="13">
        <v>120</v>
      </c>
      <c r="T144" s="13">
        <v>0</v>
      </c>
      <c r="U144" s="13">
        <v>100</v>
      </c>
      <c r="V144" s="13" t="str">
        <f t="shared" si="81"/>
        <v>ISO 6</v>
      </c>
      <c r="W144" s="13">
        <f t="shared" si="81"/>
        <v>120</v>
      </c>
      <c r="X144" s="16">
        <f t="shared" si="82"/>
        <v>66.281599999999997</v>
      </c>
      <c r="Y144" s="16">
        <f t="shared" si="83"/>
        <v>521.76875519999999</v>
      </c>
      <c r="Z144" s="16">
        <f t="shared" si="84"/>
        <v>1043.5375104</v>
      </c>
      <c r="AA144" s="16">
        <f t="shared" si="85"/>
        <v>104.35375104000001</v>
      </c>
      <c r="AB144" s="16">
        <f t="shared" si="86"/>
        <v>0</v>
      </c>
      <c r="AC144" s="16">
        <f t="shared" si="87"/>
        <v>0</v>
      </c>
      <c r="AD144" s="16" t="e">
        <f t="shared" si="94"/>
        <v>#DIV/0!</v>
      </c>
      <c r="AE144" s="16" t="e">
        <f t="shared" si="89"/>
        <v>#DIV/0!</v>
      </c>
      <c r="AF144" s="16" t="e">
        <f t="shared" si="90"/>
        <v>#DIV/0!</v>
      </c>
      <c r="AG144" s="16" t="e">
        <f t="shared" si="91"/>
        <v>#DIV/0!</v>
      </c>
      <c r="AH144" s="838" t="s">
        <v>85</v>
      </c>
      <c r="AI144" s="17">
        <f t="shared" si="92"/>
        <v>0</v>
      </c>
      <c r="AJ144" s="17" t="e">
        <f t="shared" si="93"/>
        <v>#DIV/0!</v>
      </c>
      <c r="AK144" s="891"/>
      <c r="AL144" s="18"/>
      <c r="AM144" s="889"/>
      <c r="AN144" s="891"/>
      <c r="AO144" s="888"/>
      <c r="AP144" s="891"/>
      <c r="AQ144" s="891"/>
      <c r="AR144" s="889"/>
      <c r="AS144" s="888"/>
      <c r="AT144" s="888"/>
      <c r="AU144" s="890"/>
      <c r="AV144" s="888"/>
      <c r="AW144" s="888"/>
      <c r="AX144" s="888"/>
      <c r="AY144" s="887"/>
      <c r="AZ144" s="888"/>
    </row>
    <row r="145" spans="3:52" ht="18.600000000000001">
      <c r="C145" s="13">
        <f>IF(D145&lt;&gt;"",COUNTA($D$10:D145),"")</f>
        <v>118</v>
      </c>
      <c r="D145" s="14" t="s">
        <v>215</v>
      </c>
      <c r="E145" s="14">
        <v>2.8</v>
      </c>
      <c r="F145" s="14">
        <v>2.4</v>
      </c>
      <c r="G145" s="14">
        <v>2.4</v>
      </c>
      <c r="H145" s="14">
        <v>2</v>
      </c>
      <c r="I145" s="14">
        <v>1</v>
      </c>
      <c r="J145" s="14">
        <v>1.75</v>
      </c>
      <c r="K145" s="14">
        <v>3</v>
      </c>
      <c r="L145" s="15">
        <v>0.1</v>
      </c>
      <c r="M145" s="15">
        <v>0</v>
      </c>
      <c r="N145" s="14">
        <v>24</v>
      </c>
      <c r="O145" s="14">
        <v>50</v>
      </c>
      <c r="P145" s="13">
        <v>45</v>
      </c>
      <c r="Q145" s="13">
        <v>85</v>
      </c>
      <c r="R145" s="13" t="s">
        <v>17</v>
      </c>
      <c r="S145" s="13">
        <v>120</v>
      </c>
      <c r="T145" s="13">
        <v>0</v>
      </c>
      <c r="U145" s="13">
        <v>100</v>
      </c>
      <c r="V145" s="13" t="str">
        <f t="shared" si="81"/>
        <v>ISO 6</v>
      </c>
      <c r="W145" s="13">
        <f t="shared" si="81"/>
        <v>120</v>
      </c>
      <c r="X145" s="16">
        <f t="shared" si="82"/>
        <v>72.307199999999995</v>
      </c>
      <c r="Y145" s="16">
        <f t="shared" si="83"/>
        <v>569.20227839999995</v>
      </c>
      <c r="Z145" s="16">
        <f t="shared" si="84"/>
        <v>1138.4045567999999</v>
      </c>
      <c r="AA145" s="16">
        <f t="shared" si="85"/>
        <v>113.84045567999999</v>
      </c>
      <c r="AB145" s="16">
        <f t="shared" si="86"/>
        <v>0</v>
      </c>
      <c r="AC145" s="16">
        <f t="shared" si="87"/>
        <v>0</v>
      </c>
      <c r="AD145" s="16" t="e">
        <f t="shared" si="94"/>
        <v>#DIV/0!</v>
      </c>
      <c r="AE145" s="16" t="e">
        <f t="shared" si="89"/>
        <v>#DIV/0!</v>
      </c>
      <c r="AF145" s="16" t="e">
        <f t="shared" si="90"/>
        <v>#DIV/0!</v>
      </c>
      <c r="AG145" s="16" t="e">
        <f t="shared" si="91"/>
        <v>#DIV/0!</v>
      </c>
      <c r="AH145" s="838" t="s">
        <v>85</v>
      </c>
      <c r="AI145" s="17">
        <f t="shared" si="92"/>
        <v>0</v>
      </c>
      <c r="AJ145" s="17" t="e">
        <f t="shared" si="93"/>
        <v>#DIV/0!</v>
      </c>
      <c r="AK145" s="891"/>
      <c r="AL145" s="18"/>
      <c r="AM145" s="889"/>
      <c r="AN145" s="891"/>
      <c r="AO145" s="888"/>
      <c r="AP145" s="891"/>
      <c r="AQ145" s="891"/>
      <c r="AR145" s="889"/>
      <c r="AS145" s="888"/>
      <c r="AT145" s="888"/>
      <c r="AU145" s="890"/>
      <c r="AV145" s="888"/>
      <c r="AW145" s="888"/>
      <c r="AX145" s="888"/>
      <c r="AY145" s="887"/>
      <c r="AZ145" s="888"/>
    </row>
    <row r="146" spans="3:52">
      <c r="C146" s="13" t="str">
        <f>IF(D146&lt;&gt;"",COUNTA($D$10:D146),"")</f>
        <v/>
      </c>
      <c r="D146" s="19"/>
      <c r="E146" s="19"/>
      <c r="F146" s="19"/>
      <c r="G146" s="19"/>
      <c r="H146" s="19"/>
      <c r="I146" s="19"/>
      <c r="J146" s="19"/>
      <c r="K146" s="19"/>
      <c r="L146" s="19"/>
      <c r="M146" s="19"/>
      <c r="N146" s="19"/>
      <c r="O146" s="19"/>
      <c r="P146" s="19"/>
      <c r="Q146" s="19"/>
      <c r="R146" s="19"/>
      <c r="S146" s="19"/>
      <c r="T146" s="19"/>
      <c r="U146" s="19"/>
      <c r="V146" s="19"/>
      <c r="W146" s="19"/>
      <c r="X146" s="20">
        <f>SUM(X130:X145)</f>
        <v>1144.1108000000002</v>
      </c>
      <c r="Y146" s="20">
        <f t="shared" ref="Y146:AG146" si="95">SUM(Y130:Y145)</f>
        <v>9006.4402175999985</v>
      </c>
      <c r="Z146" s="20">
        <f t="shared" si="95"/>
        <v>18012.880435199997</v>
      </c>
      <c r="AA146" s="20">
        <f t="shared" si="95"/>
        <v>1801.2880435199995</v>
      </c>
      <c r="AB146" s="20">
        <f t="shared" si="95"/>
        <v>0</v>
      </c>
      <c r="AC146" s="20">
        <f t="shared" si="95"/>
        <v>0</v>
      </c>
      <c r="AD146" s="20" t="e">
        <f t="shared" si="95"/>
        <v>#DIV/0!</v>
      </c>
      <c r="AE146" s="20" t="e">
        <f t="shared" si="95"/>
        <v>#DIV/0!</v>
      </c>
      <c r="AF146" s="20" t="e">
        <f t="shared" si="95"/>
        <v>#DIV/0!</v>
      </c>
      <c r="AG146" s="20" t="e">
        <f t="shared" si="95"/>
        <v>#DIV/0!</v>
      </c>
      <c r="AH146" s="841"/>
      <c r="AI146" s="20">
        <f t="shared" ref="AI146:AJ146" si="96">SUM(AI130:AI145)</f>
        <v>0</v>
      </c>
      <c r="AJ146" s="20" t="e">
        <f t="shared" si="96"/>
        <v>#DIV/0!</v>
      </c>
      <c r="AK146" s="21"/>
      <c r="AL146" s="21"/>
      <c r="AM146" s="21"/>
      <c r="AN146" s="21"/>
      <c r="AO146" s="21"/>
      <c r="AP146" s="21"/>
      <c r="AQ146" s="21"/>
      <c r="AR146" s="21"/>
      <c r="AS146" s="21"/>
      <c r="AT146" s="21"/>
      <c r="AU146" s="21"/>
      <c r="AV146" s="21"/>
      <c r="AW146" s="21"/>
      <c r="AX146" s="21"/>
      <c r="AY146" s="21"/>
      <c r="AZ146" s="21"/>
    </row>
    <row r="147" spans="3:52">
      <c r="C147" s="13" t="str">
        <f>IF(D147&lt;&gt;"",COUNTA($D$10:D147),"")</f>
        <v/>
      </c>
      <c r="AH147" s="840"/>
    </row>
    <row r="148" spans="3:52" ht="26.1">
      <c r="C148" s="8" t="e">
        <f>"Zoning Area  AHU - " &amp; INT((ROW()-8)/20)+1 &amp; "  " &amp;IF(AQ150&gt;0,"Air-Conditioning System " &amp; IF(AH150="D","(DX)",IF(AH150="C","(Chilled Water)","")),IF(AND(N150="Amb",AQ150=0),"Ventilation System","Refer"))</f>
        <v>#DIV/0!</v>
      </c>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39"/>
      <c r="AI148" s="8"/>
      <c r="AJ148" s="8"/>
      <c r="AK148" s="8"/>
      <c r="AL148" s="8"/>
      <c r="AM148" s="8"/>
      <c r="AN148" s="8"/>
      <c r="AO148" s="8"/>
      <c r="AP148" s="8"/>
      <c r="AQ148" s="8"/>
      <c r="AR148" s="8"/>
      <c r="AS148" s="9" t="s">
        <v>221</v>
      </c>
      <c r="AT148" s="10"/>
      <c r="AU148" s="10"/>
      <c r="AV148" s="11"/>
      <c r="AW148" s="9" t="s">
        <v>222</v>
      </c>
      <c r="AX148" s="10"/>
      <c r="AY148" s="10"/>
      <c r="AZ148" s="11"/>
    </row>
    <row r="149" spans="3:52">
      <c r="C149" s="13">
        <f>IF(D149&lt;&gt;"",COUNTA($D$10:D149),"")</f>
        <v>119</v>
      </c>
      <c r="D149" s="5" t="s">
        <v>165</v>
      </c>
      <c r="E149" s="5" t="s">
        <v>166</v>
      </c>
      <c r="F149" s="5" t="s">
        <v>167</v>
      </c>
      <c r="G149" s="5" t="s">
        <v>168</v>
      </c>
      <c r="H149" s="5" t="s">
        <v>169</v>
      </c>
      <c r="I149" s="5" t="s">
        <v>170</v>
      </c>
      <c r="J149" s="5" t="s">
        <v>171</v>
      </c>
      <c r="K149" s="5" t="s">
        <v>172</v>
      </c>
      <c r="L149" s="5" t="s">
        <v>173</v>
      </c>
      <c r="M149" s="5" t="s">
        <v>174</v>
      </c>
      <c r="N149" s="5" t="s">
        <v>175</v>
      </c>
      <c r="O149" s="5" t="s">
        <v>176</v>
      </c>
      <c r="P149" s="5" t="s">
        <v>177</v>
      </c>
      <c r="Q149" s="5" t="s">
        <v>178</v>
      </c>
      <c r="R149" s="5" t="s">
        <v>199</v>
      </c>
      <c r="S149" s="5" t="s">
        <v>180</v>
      </c>
      <c r="T149" s="5" t="s">
        <v>223</v>
      </c>
      <c r="U149" s="5" t="s">
        <v>224</v>
      </c>
      <c r="V149" s="5" t="s">
        <v>199</v>
      </c>
      <c r="W149" s="5" t="s">
        <v>180</v>
      </c>
      <c r="X149" s="5" t="s">
        <v>225</v>
      </c>
      <c r="Y149" s="5" t="s">
        <v>226</v>
      </c>
      <c r="Z149" s="5" t="s">
        <v>227</v>
      </c>
      <c r="AA149" s="5" t="s">
        <v>228</v>
      </c>
      <c r="AB149" s="5" t="s">
        <v>229</v>
      </c>
      <c r="AC149" s="5" t="s">
        <v>230</v>
      </c>
      <c r="AD149" s="5" t="s">
        <v>231</v>
      </c>
      <c r="AE149" s="5" t="s">
        <v>232</v>
      </c>
      <c r="AF149" s="6" t="s">
        <v>233</v>
      </c>
      <c r="AG149" s="6" t="s">
        <v>234</v>
      </c>
      <c r="AH149" s="6" t="s">
        <v>235</v>
      </c>
      <c r="AI149" s="5" t="s">
        <v>236</v>
      </c>
      <c r="AJ149" s="5" t="s">
        <v>237</v>
      </c>
      <c r="AK149" s="5" t="s">
        <v>238</v>
      </c>
      <c r="AL149" s="5" t="s">
        <v>239</v>
      </c>
      <c r="AM149" s="5" t="s">
        <v>240</v>
      </c>
      <c r="AN149" s="5" t="s">
        <v>241</v>
      </c>
      <c r="AO149" s="5" t="s">
        <v>242</v>
      </c>
      <c r="AP149" s="5" t="s">
        <v>243</v>
      </c>
      <c r="AQ149" s="5" t="s">
        <v>244</v>
      </c>
      <c r="AR149" s="5" t="s">
        <v>245</v>
      </c>
      <c r="AS149" s="5" t="s">
        <v>246</v>
      </c>
      <c r="AT149" s="5" t="s">
        <v>247</v>
      </c>
      <c r="AU149" s="5" t="s">
        <v>248</v>
      </c>
      <c r="AV149" s="5" t="s">
        <v>249</v>
      </c>
      <c r="AW149" s="5" t="s">
        <v>250</v>
      </c>
      <c r="AX149" s="5" t="s">
        <v>251</v>
      </c>
      <c r="AY149" s="5" t="s">
        <v>252</v>
      </c>
      <c r="AZ149" s="5" t="s">
        <v>253</v>
      </c>
    </row>
    <row r="150" spans="3:52" ht="18.600000000000001">
      <c r="C150" s="13">
        <f>IF(D150&lt;&gt;"",COUNTA($D$10:D150),"")</f>
        <v>120</v>
      </c>
      <c r="D150" s="14" t="s">
        <v>200</v>
      </c>
      <c r="E150" s="14">
        <v>3</v>
      </c>
      <c r="F150" s="14">
        <v>3</v>
      </c>
      <c r="G150" s="14">
        <v>2.4</v>
      </c>
      <c r="H150" s="14">
        <v>1</v>
      </c>
      <c r="I150" s="14">
        <v>2</v>
      </c>
      <c r="J150" s="14">
        <v>1.75</v>
      </c>
      <c r="K150" s="14">
        <v>3</v>
      </c>
      <c r="L150" s="15">
        <v>0.1</v>
      </c>
      <c r="M150" s="15">
        <v>0</v>
      </c>
      <c r="N150" s="14">
        <v>24</v>
      </c>
      <c r="O150" s="14">
        <v>50</v>
      </c>
      <c r="P150" s="13">
        <v>45</v>
      </c>
      <c r="Q150" s="13">
        <v>85</v>
      </c>
      <c r="R150" s="13" t="s">
        <v>17</v>
      </c>
      <c r="S150" s="13">
        <v>120</v>
      </c>
      <c r="T150" s="13">
        <v>0</v>
      </c>
      <c r="U150" s="13">
        <v>100</v>
      </c>
      <c r="V150" s="13" t="str">
        <f>R150</f>
        <v>ISO 6</v>
      </c>
      <c r="W150" s="13">
        <f>S150</f>
        <v>120</v>
      </c>
      <c r="X150" s="16">
        <f>E150*F150*10.76</f>
        <v>96.84</v>
      </c>
      <c r="Y150" s="16">
        <f>X150*G150*3.28</f>
        <v>762.32447999999999</v>
      </c>
      <c r="Z150" s="16">
        <f>Y150*S150/60</f>
        <v>1524.64896</v>
      </c>
      <c r="AA150" s="16">
        <f>Z150*L150</f>
        <v>152.46489600000001</v>
      </c>
      <c r="AB150" s="16">
        <f>IF(N150="Amb",Z150,Z150*M150)</f>
        <v>0</v>
      </c>
      <c r="AC150" s="16">
        <f>IF(ISNUMBER(N150), (AA150*0.075*60/2.20462)*BP150/7000, "Ambient")</f>
        <v>0</v>
      </c>
      <c r="AD150" s="16" t="e">
        <f>IF(ISNUMBER(N150), CEILING(CF150/(0.68*BP150),25), "Ambient")</f>
        <v>#DIV/0!</v>
      </c>
      <c r="AE150" s="16" t="e">
        <f>CEILING(MAX((Z150+AA150),AD150),25)</f>
        <v>#DIV/0!</v>
      </c>
      <c r="AF150" s="16" t="e">
        <f>CEILING(IF(OR($R150="ISO 6",$R150="GRADE B",$R150="1K",$R150=1000),AE150*1/175,IF(OR($R150="ISO 5",$R150="GRADE A",$R150=100),AE150*1/100,IF(OR($R150="ISO 7",$R150="GRADE C",$R150="10K",$R150=10000),$AE150*1/250,IF(OR($R150="ISO 8",$R150="GRADE D",$R150="100K",$R150=100000),$AE150*1/250,IF(OR($R150="NC",$R150="20 Micron",$R150="5 Micron",$R150="N C"),$AE150*1/350,0))))),2)</f>
        <v>#DIV/0!</v>
      </c>
      <c r="AG150" s="16" t="e">
        <f>IF(ISNUMBER(N150), CEILING(MAX(AI150,AJ150),0.5), "Ambient")</f>
        <v>#DIV/0!</v>
      </c>
      <c r="AH150" s="838" t="s">
        <v>85</v>
      </c>
      <c r="AI150" s="17">
        <f>IF(ISNUMBER(N150), CEILING(CE150/12000,0.5), "Ambient")</f>
        <v>0</v>
      </c>
      <c r="AJ150" s="17" t="e">
        <f>IF(ISNUMBER(N150),CEILING(AE150/(IF(AH150="C",400,300)),0.5), "Ambient")</f>
        <v>#DIV/0!</v>
      </c>
      <c r="AK150" s="891" t="e">
        <f>CEILING(SUM(AE150:AE165),250)</f>
        <v>#DIV/0!</v>
      </c>
      <c r="AL150" s="18" t="s">
        <v>254</v>
      </c>
      <c r="AM150" s="889">
        <v>150</v>
      </c>
      <c r="AN150" s="891" t="e">
        <f>IF(AK150&lt;=1300,200,IF(AK150&lt;=1600,225,IF(AK150&lt;=2100,250,IF(AK150&lt;=2700,280,IF(AK150&lt;=3450,315,IF(AK150&lt;=4250,355,IF(AK150&lt;=5250,400,IF(AK150&lt;=6750,450,IF(AK150&lt;=8500,500,IF(AK150&lt;=10750,560,IF(AK150&lt;=13500,630,IF(AK150&lt;=17000,710,IF(AK150&lt;=21500,800,IF(AK150&lt;=27000,900,IF(AK150&lt;=34000,1000,IF(AK150&lt;=43000,1120,IF(AK150&lt;=49000,1200,IF(AK150&lt;=68000,1450,"Refer"))))))))))))))))))</f>
        <v>#DIV/0!</v>
      </c>
      <c r="AO150" s="888" t="e">
        <f>IF(AK150*AM150/(6356*0.7*0.9*1.1*25.4)&lt;=1,1,IF(AK150*AM150/(6356*0.7*0.9*1.1*25.4)&lt;=1.5,1.5,IF(AK150*AM150/(6356*0.7*0.9*1.1*25.4)&lt;=2,2,IF(AK150*AM150/(6356*0.7*0.9*1.1*25.4)&lt;=3,3,IF(AK150*AM150/(6356*0.7*0.9*1.1*25.4)&lt;=5,5,IF(AK150*AM150/(6356*0.7*0.9*1.1*25.4)&lt;=7.5,7.5,IF(AK150*AM150/(6356*0.7*0.9*1.1*25.4)&lt;=10,10,IF(AK150*AM150/(6356*0.7*0.9*1.1*25.4)&lt;=12.5,12.5,IF(AK150*AM150/(6356*0.7*0.9*1.1*25.4)&lt;=15,15,IF(AK150*AM150/(6356*0.7*0.9*1.1*25.4)&lt;=20,20,IF(AK150*AM150/(6356*0.7*0.9*1.1*25.4)&lt;=25,25,IF(AK150*AM150/(6356*0.7*0.9*1.1*25.4)&lt;=30,30,IF(AK150*AM150/(6356*0.7*0.9*1.1*25.4)&lt;=40,40,IF(AK150*AM150/(6356*0.7*0.9*1.1*25.4)&lt;=50,50,IF(AK150*AM150/(6356*0.7*0.9*1.1*25.4)&lt;=60,60,IF(AK150*AM150/(6356*0.7*0.9*1.1*25.4)&lt;=75,75,"Refer"))))))))))))))))</f>
        <v>#DIV/0!</v>
      </c>
      <c r="AP150" s="891" t="e">
        <f>IF(AND(AQ150=0, N150="Amb"), "Amb",IF((AL151-250)*(AL153-150)*10.76/(1000*1000) &gt;= MAX(AI166,AJ166), 4,IF((AL151-250)*(AL153-150)*10.76*1.5/(1000*1000) &gt;= MAX(AI166,AJ166), 6,IF((AL151-250)*(AL153-150)*10.76*2/(1000*1000) &gt;= MAX(AI166,AJ166), 8, 0))
 )
)</f>
        <v>#DIV/0!</v>
      </c>
      <c r="AQ150" s="891" t="e">
        <f>AG166</f>
        <v>#DIV/0!</v>
      </c>
      <c r="AR150" s="889">
        <f>_xlfn.SWITCH(TRIM(UPPER(R150)),"ISO 9", 3,"ISO 8", 4,"Grade D", 4,"Class 100,000", 4,"Class 100K", 4,"ISO 7", 3,"Grade C", 3,"Class 10,000", 3,"Class 10K", 3,"ISO 6", 3,"Class 1,000", 3,"Class 1K", 3,"ISO 5", 4,"Grade A", 4,"Grade B", 4,"Class 100", 4,"ISO 4", 3,"ISO 3", 4,"ISO 2", 4,"ISO 1", 4,"NCV20",1,"NCV-10",2,"NCV-5",3,"NCAC-10",1,"NCAC-5",2,"NCAC-1",3,3)</f>
        <v>3</v>
      </c>
      <c r="AS150" s="888" t="e">
        <f>MAX(AI166,AJ166)*24/6</f>
        <v>#DIV/0!</v>
      </c>
      <c r="AT150" s="888" t="e">
        <f>AS150*0.06309</f>
        <v>#DIV/0!</v>
      </c>
      <c r="AU150" s="890">
        <v>2</v>
      </c>
      <c r="AV150" s="888" t="e">
        <f>SQRT((4*AS150*0.00006309)/(3.14*AU150))*1000</f>
        <v>#DIV/0!</v>
      </c>
      <c r="AW150" s="888"/>
      <c r="AX150" s="888"/>
      <c r="AY150" s="887"/>
      <c r="AZ150" s="888"/>
    </row>
    <row r="151" spans="3:52" ht="18.600000000000001">
      <c r="C151" s="13">
        <f>IF(D151&lt;&gt;"",COUNTA($D$10:D151),"")</f>
        <v>121</v>
      </c>
      <c r="D151" s="14" t="s">
        <v>201</v>
      </c>
      <c r="E151" s="14">
        <v>1.8</v>
      </c>
      <c r="F151" s="14">
        <v>2.2000000000000002</v>
      </c>
      <c r="G151" s="14">
        <v>2.4</v>
      </c>
      <c r="H151" s="14">
        <v>2</v>
      </c>
      <c r="I151" s="14">
        <v>1</v>
      </c>
      <c r="J151" s="14">
        <v>1.75</v>
      </c>
      <c r="K151" s="14">
        <v>3</v>
      </c>
      <c r="L151" s="15">
        <v>0.1</v>
      </c>
      <c r="M151" s="15">
        <v>0</v>
      </c>
      <c r="N151" s="14">
        <v>24</v>
      </c>
      <c r="O151" s="14">
        <v>50</v>
      </c>
      <c r="P151" s="13">
        <v>45</v>
      </c>
      <c r="Q151" s="13">
        <v>85</v>
      </c>
      <c r="R151" s="13" t="s">
        <v>17</v>
      </c>
      <c r="S151" s="13">
        <v>120</v>
      </c>
      <c r="T151" s="13">
        <v>0</v>
      </c>
      <c r="U151" s="13">
        <v>100</v>
      </c>
      <c r="V151" s="13" t="str">
        <f t="shared" ref="V151:W165" si="97">R151</f>
        <v>ISO 6</v>
      </c>
      <c r="W151" s="13">
        <f t="shared" si="97"/>
        <v>120</v>
      </c>
      <c r="X151" s="16">
        <f t="shared" ref="X151:X165" si="98">E151*F151*10.76</f>
        <v>42.6096</v>
      </c>
      <c r="Y151" s="16">
        <f t="shared" ref="Y151:Y165" si="99">X151*G151*3.28</f>
        <v>335.4227712</v>
      </c>
      <c r="Z151" s="16">
        <f t="shared" ref="Z151:Z165" si="100">Y151*S151/60</f>
        <v>670.8455424</v>
      </c>
      <c r="AA151" s="16">
        <f t="shared" ref="AA151:AA165" si="101">Z151*L151</f>
        <v>67.084554240000003</v>
      </c>
      <c r="AB151" s="16">
        <f t="shared" ref="AB151:AB165" si="102">IF(N151="Amb",Z151,Z151*M151)</f>
        <v>0</v>
      </c>
      <c r="AC151" s="16">
        <f t="shared" ref="AC151:AC165" si="103">IF(ISNUMBER(N151), (AA151*0.075*60/2.20462)*BP151/7000, "Ambient")</f>
        <v>0</v>
      </c>
      <c r="AD151" s="16" t="e">
        <f t="shared" ref="AD151:AD157" si="104">IF(ISNUMBER(N151), CEILING(CF151/(0.68*BP151),25), "Ambient")</f>
        <v>#DIV/0!</v>
      </c>
      <c r="AE151" s="16" t="e">
        <f t="shared" ref="AE151:AE165" si="105">CEILING(MAX((Z151+AA151),AD151),25)</f>
        <v>#DIV/0!</v>
      </c>
      <c r="AF151" s="16" t="e">
        <f t="shared" ref="AF151:AF165" si="106">CEILING(IF(OR($R151="ISO 6",$R151="GRADE B",$R151="1K",$R151=1000),AE151*1/175,IF(OR($R151="ISO 5",$R151="GRADE A",$R151=100),AE151*1/100,IF(OR($R151="ISO 7",$R151="GRADE C",$R151="10K",$R151=10000),$AE151*1/250,IF(OR($R151="ISO 8",$R151="GRADE D",$R151="100K",$R151=100000),$AE151*1/250,IF(OR($R151="NC",$R151="20 Micron",$R151="5 Micron",$R151="N C"),$AE151*1/350,0))))),2)</f>
        <v>#DIV/0!</v>
      </c>
      <c r="AG151" s="16" t="e">
        <f t="shared" ref="AG151:AG165" si="107">IF(ISNUMBER(N151), CEILING(MAX(AI151,AJ151),0.5), "Ambient")</f>
        <v>#DIV/0!</v>
      </c>
      <c r="AH151" s="838" t="s">
        <v>85</v>
      </c>
      <c r="AI151" s="17">
        <f t="shared" ref="AI151:AI165" si="108">IF(ISNUMBER(N151), CEILING(CE151/12000,0.5), "Ambient")</f>
        <v>0</v>
      </c>
      <c r="AJ151" s="17" t="e">
        <f t="shared" ref="AJ151:AJ165" si="109">IF(ISNUMBER(N151),CEILING(AE151/(IF(AH151="C",400,300)),0.5), "Ambient")</f>
        <v>#DIV/0!</v>
      </c>
      <c r="AK151" s="891"/>
      <c r="AL151" s="18" t="e">
        <f>IF(AK150&lt;=2000,950,(IF(AK150&lt;=3000,1150,(IF(AK150&lt;=8000,1550,(IF(AK150&lt;=10000,1750,(IF(AK150&lt;=18000,2050,(IF(AK150&lt;=32000,2900,(IF(AK150&lt;=40000,3600,4000)))))))))))))</f>
        <v>#DIV/0!</v>
      </c>
      <c r="AM151" s="889"/>
      <c r="AN151" s="891"/>
      <c r="AO151" s="888"/>
      <c r="AP151" s="891"/>
      <c r="AQ151" s="891"/>
      <c r="AR151" s="889"/>
      <c r="AS151" s="888"/>
      <c r="AT151" s="888"/>
      <c r="AU151" s="890"/>
      <c r="AV151" s="888"/>
      <c r="AW151" s="888"/>
      <c r="AX151" s="888"/>
      <c r="AY151" s="887"/>
      <c r="AZ151" s="888"/>
    </row>
    <row r="152" spans="3:52" ht="18.600000000000001">
      <c r="C152" s="13">
        <f>IF(D152&lt;&gt;"",COUNTA($D$10:D152),"")</f>
        <v>122</v>
      </c>
      <c r="D152" s="14" t="s">
        <v>202</v>
      </c>
      <c r="E152" s="14">
        <v>1.5</v>
      </c>
      <c r="F152" s="14">
        <v>2.8</v>
      </c>
      <c r="G152" s="14">
        <v>2.4</v>
      </c>
      <c r="H152" s="14">
        <v>2</v>
      </c>
      <c r="I152" s="14">
        <v>3</v>
      </c>
      <c r="J152" s="14">
        <v>1.75</v>
      </c>
      <c r="K152" s="14">
        <v>3</v>
      </c>
      <c r="L152" s="15">
        <v>0.1</v>
      </c>
      <c r="M152" s="15">
        <v>0</v>
      </c>
      <c r="N152" s="14">
        <v>24</v>
      </c>
      <c r="O152" s="14">
        <v>50</v>
      </c>
      <c r="P152" s="13">
        <v>45</v>
      </c>
      <c r="Q152" s="13">
        <v>85</v>
      </c>
      <c r="R152" s="13" t="s">
        <v>17</v>
      </c>
      <c r="S152" s="13">
        <v>120</v>
      </c>
      <c r="T152" s="13">
        <v>0</v>
      </c>
      <c r="U152" s="13">
        <v>100</v>
      </c>
      <c r="V152" s="13" t="str">
        <f t="shared" si="97"/>
        <v>ISO 6</v>
      </c>
      <c r="W152" s="13">
        <f t="shared" si="97"/>
        <v>120</v>
      </c>
      <c r="X152" s="16">
        <f t="shared" si="98"/>
        <v>45.191999999999993</v>
      </c>
      <c r="Y152" s="16">
        <f t="shared" si="99"/>
        <v>355.75142399999993</v>
      </c>
      <c r="Z152" s="16">
        <f t="shared" si="100"/>
        <v>711.50284799999986</v>
      </c>
      <c r="AA152" s="16">
        <f t="shared" si="101"/>
        <v>71.150284799999994</v>
      </c>
      <c r="AB152" s="16">
        <f t="shared" si="102"/>
        <v>0</v>
      </c>
      <c r="AC152" s="16">
        <f t="shared" si="103"/>
        <v>0</v>
      </c>
      <c r="AD152" s="16" t="e">
        <f t="shared" si="104"/>
        <v>#DIV/0!</v>
      </c>
      <c r="AE152" s="16" t="e">
        <f t="shared" si="105"/>
        <v>#DIV/0!</v>
      </c>
      <c r="AF152" s="16" t="e">
        <f t="shared" si="106"/>
        <v>#DIV/0!</v>
      </c>
      <c r="AG152" s="16" t="e">
        <f t="shared" si="107"/>
        <v>#DIV/0!</v>
      </c>
      <c r="AH152" s="838" t="s">
        <v>85</v>
      </c>
      <c r="AI152" s="17">
        <f t="shared" si="108"/>
        <v>0</v>
      </c>
      <c r="AJ152" s="17" t="e">
        <f t="shared" si="109"/>
        <v>#DIV/0!</v>
      </c>
      <c r="AK152" s="891"/>
      <c r="AL152" s="18" t="s">
        <v>255</v>
      </c>
      <c r="AM152" s="889"/>
      <c r="AN152" s="891"/>
      <c r="AO152" s="888"/>
      <c r="AP152" s="891"/>
      <c r="AQ152" s="891"/>
      <c r="AR152" s="889"/>
      <c r="AS152" s="888"/>
      <c r="AT152" s="888"/>
      <c r="AU152" s="890"/>
      <c r="AV152" s="888"/>
      <c r="AW152" s="888"/>
      <c r="AX152" s="888"/>
      <c r="AY152" s="887"/>
      <c r="AZ152" s="888"/>
    </row>
    <row r="153" spans="3:52" ht="18.600000000000001">
      <c r="C153" s="13">
        <f>IF(D153&lt;&gt;"",COUNTA($D$10:D153),"")</f>
        <v>123</v>
      </c>
      <c r="D153" s="14" t="s">
        <v>203</v>
      </c>
      <c r="E153" s="14">
        <v>2.1</v>
      </c>
      <c r="F153" s="14">
        <v>3.5</v>
      </c>
      <c r="G153" s="14">
        <v>2.4</v>
      </c>
      <c r="H153" s="14">
        <v>0</v>
      </c>
      <c r="I153" s="14">
        <v>1</v>
      </c>
      <c r="J153" s="14">
        <v>1.75</v>
      </c>
      <c r="K153" s="14">
        <v>3</v>
      </c>
      <c r="L153" s="15">
        <v>0.1</v>
      </c>
      <c r="M153" s="15">
        <v>0</v>
      </c>
      <c r="N153" s="14">
        <v>24</v>
      </c>
      <c r="O153" s="14">
        <v>50</v>
      </c>
      <c r="P153" s="13">
        <v>45</v>
      </c>
      <c r="Q153" s="13">
        <v>85</v>
      </c>
      <c r="R153" s="13" t="s">
        <v>17</v>
      </c>
      <c r="S153" s="13">
        <v>120</v>
      </c>
      <c r="T153" s="13">
        <v>0</v>
      </c>
      <c r="U153" s="13">
        <v>100</v>
      </c>
      <c r="V153" s="13" t="str">
        <f t="shared" si="97"/>
        <v>ISO 6</v>
      </c>
      <c r="W153" s="13">
        <f t="shared" si="97"/>
        <v>120</v>
      </c>
      <c r="X153" s="16">
        <f t="shared" si="98"/>
        <v>79.085999999999999</v>
      </c>
      <c r="Y153" s="16">
        <f t="shared" si="99"/>
        <v>622.56499199999996</v>
      </c>
      <c r="Z153" s="16">
        <f t="shared" si="100"/>
        <v>1245.1299839999999</v>
      </c>
      <c r="AA153" s="16">
        <f t="shared" si="101"/>
        <v>124.5129984</v>
      </c>
      <c r="AB153" s="16">
        <f t="shared" si="102"/>
        <v>0</v>
      </c>
      <c r="AC153" s="16">
        <f t="shared" si="103"/>
        <v>0</v>
      </c>
      <c r="AD153" s="16" t="e">
        <f t="shared" si="104"/>
        <v>#DIV/0!</v>
      </c>
      <c r="AE153" s="16" t="e">
        <f t="shared" si="105"/>
        <v>#DIV/0!</v>
      </c>
      <c r="AF153" s="16" t="e">
        <f t="shared" si="106"/>
        <v>#DIV/0!</v>
      </c>
      <c r="AG153" s="16" t="e">
        <f t="shared" si="107"/>
        <v>#DIV/0!</v>
      </c>
      <c r="AH153" s="838" t="s">
        <v>85</v>
      </c>
      <c r="AI153" s="17">
        <f t="shared" si="108"/>
        <v>0</v>
      </c>
      <c r="AJ153" s="17" t="e">
        <f t="shared" si="109"/>
        <v>#DIV/0!</v>
      </c>
      <c r="AK153" s="891"/>
      <c r="AL153" s="18" t="e">
        <f>IF(AK150&lt;=2000,950,(IF(AK150&lt;=4000,1100,(IF(AK150&lt;=6000,1250,(IF(AK150&lt;=10000,1550,(IF(AK150&lt;=15000,1750,(IF(AK150&lt;=24000,2050,(IF(AK150&lt;=40000,2900,3600)))))))))))))</f>
        <v>#DIV/0!</v>
      </c>
      <c r="AM153" s="889"/>
      <c r="AN153" s="891"/>
      <c r="AO153" s="888"/>
      <c r="AP153" s="891"/>
      <c r="AQ153" s="891"/>
      <c r="AR153" s="889"/>
      <c r="AS153" s="888"/>
      <c r="AT153" s="888"/>
      <c r="AU153" s="890"/>
      <c r="AV153" s="888"/>
      <c r="AW153" s="888"/>
      <c r="AX153" s="888"/>
      <c r="AY153" s="887"/>
      <c r="AZ153" s="888"/>
    </row>
    <row r="154" spans="3:52" ht="18.600000000000001">
      <c r="C154" s="13">
        <f>IF(D154&lt;&gt;"",COUNTA($D$10:D154),"")</f>
        <v>124</v>
      </c>
      <c r="D154" s="14" t="s">
        <v>204</v>
      </c>
      <c r="E154" s="14">
        <v>2.7</v>
      </c>
      <c r="F154" s="14">
        <v>4</v>
      </c>
      <c r="G154" s="14">
        <v>2.4</v>
      </c>
      <c r="H154" s="14">
        <v>2</v>
      </c>
      <c r="I154" s="14">
        <v>1</v>
      </c>
      <c r="J154" s="14">
        <v>1.75</v>
      </c>
      <c r="K154" s="14">
        <v>3</v>
      </c>
      <c r="L154" s="15">
        <v>0.1</v>
      </c>
      <c r="M154" s="15">
        <v>0</v>
      </c>
      <c r="N154" s="14">
        <v>24</v>
      </c>
      <c r="O154" s="14">
        <v>50</v>
      </c>
      <c r="P154" s="13">
        <v>45</v>
      </c>
      <c r="Q154" s="13">
        <v>85</v>
      </c>
      <c r="R154" s="13" t="s">
        <v>17</v>
      </c>
      <c r="S154" s="13">
        <v>120</v>
      </c>
      <c r="T154" s="13">
        <v>0</v>
      </c>
      <c r="U154" s="13">
        <v>100</v>
      </c>
      <c r="V154" s="13" t="str">
        <f t="shared" si="97"/>
        <v>ISO 6</v>
      </c>
      <c r="W154" s="13">
        <f t="shared" si="97"/>
        <v>120</v>
      </c>
      <c r="X154" s="16">
        <f t="shared" si="98"/>
        <v>116.208</v>
      </c>
      <c r="Y154" s="16">
        <f t="shared" si="99"/>
        <v>914.78937599999995</v>
      </c>
      <c r="Z154" s="16">
        <f t="shared" si="100"/>
        <v>1829.5787519999999</v>
      </c>
      <c r="AA154" s="16">
        <f t="shared" si="101"/>
        <v>182.95787519999999</v>
      </c>
      <c r="AB154" s="16">
        <f t="shared" si="102"/>
        <v>0</v>
      </c>
      <c r="AC154" s="16">
        <f t="shared" si="103"/>
        <v>0</v>
      </c>
      <c r="AD154" s="16" t="e">
        <f t="shared" si="104"/>
        <v>#DIV/0!</v>
      </c>
      <c r="AE154" s="16" t="e">
        <f t="shared" si="105"/>
        <v>#DIV/0!</v>
      </c>
      <c r="AF154" s="16" t="e">
        <f t="shared" si="106"/>
        <v>#DIV/0!</v>
      </c>
      <c r="AG154" s="16" t="e">
        <f t="shared" si="107"/>
        <v>#DIV/0!</v>
      </c>
      <c r="AH154" s="838" t="s">
        <v>85</v>
      </c>
      <c r="AI154" s="17">
        <f t="shared" si="108"/>
        <v>0</v>
      </c>
      <c r="AJ154" s="17" t="e">
        <f t="shared" si="109"/>
        <v>#DIV/0!</v>
      </c>
      <c r="AK154" s="891"/>
      <c r="AL154" s="18" t="s">
        <v>256</v>
      </c>
      <c r="AM154" s="889"/>
      <c r="AN154" s="891"/>
      <c r="AO154" s="888"/>
      <c r="AP154" s="891"/>
      <c r="AQ154" s="891"/>
      <c r="AR154" s="889"/>
      <c r="AS154" s="888"/>
      <c r="AT154" s="888"/>
      <c r="AU154" s="890"/>
      <c r="AV154" s="888"/>
      <c r="AW154" s="888"/>
      <c r="AX154" s="888"/>
      <c r="AY154" s="887"/>
      <c r="AZ154" s="888"/>
    </row>
    <row r="155" spans="3:52" ht="18.600000000000001">
      <c r="C155" s="13">
        <f>IF(D155&lt;&gt;"",COUNTA($D$10:D155),"")</f>
        <v>125</v>
      </c>
      <c r="D155" s="14" t="s">
        <v>205</v>
      </c>
      <c r="E155" s="14">
        <v>3.8</v>
      </c>
      <c r="F155" s="14">
        <v>4.2</v>
      </c>
      <c r="G155" s="14">
        <v>2.4</v>
      </c>
      <c r="H155" s="14">
        <v>3</v>
      </c>
      <c r="I155" s="14">
        <v>3</v>
      </c>
      <c r="J155" s="14">
        <v>1.75</v>
      </c>
      <c r="K155" s="14">
        <v>3</v>
      </c>
      <c r="L155" s="15">
        <v>0.1</v>
      </c>
      <c r="M155" s="15">
        <v>0</v>
      </c>
      <c r="N155" s="14">
        <v>24</v>
      </c>
      <c r="O155" s="14">
        <v>50</v>
      </c>
      <c r="P155" s="13">
        <v>45</v>
      </c>
      <c r="Q155" s="13">
        <v>85</v>
      </c>
      <c r="R155" s="13" t="s">
        <v>17</v>
      </c>
      <c r="S155" s="13">
        <v>120</v>
      </c>
      <c r="T155" s="13">
        <v>0</v>
      </c>
      <c r="U155" s="13">
        <v>100</v>
      </c>
      <c r="V155" s="13" t="str">
        <f t="shared" si="97"/>
        <v>ISO 6</v>
      </c>
      <c r="W155" s="13">
        <f t="shared" si="97"/>
        <v>120</v>
      </c>
      <c r="X155" s="16">
        <f t="shared" si="98"/>
        <v>171.72959999999998</v>
      </c>
      <c r="Y155" s="16">
        <f t="shared" si="99"/>
        <v>1351.8554111999997</v>
      </c>
      <c r="Z155" s="16">
        <f t="shared" si="100"/>
        <v>2703.7108223999994</v>
      </c>
      <c r="AA155" s="16">
        <f t="shared" si="101"/>
        <v>270.37108223999996</v>
      </c>
      <c r="AB155" s="16">
        <f t="shared" si="102"/>
        <v>0</v>
      </c>
      <c r="AC155" s="16">
        <f t="shared" si="103"/>
        <v>0</v>
      </c>
      <c r="AD155" s="16" t="e">
        <f t="shared" si="104"/>
        <v>#DIV/0!</v>
      </c>
      <c r="AE155" s="16" t="e">
        <f t="shared" si="105"/>
        <v>#DIV/0!</v>
      </c>
      <c r="AF155" s="16" t="e">
        <f t="shared" si="106"/>
        <v>#DIV/0!</v>
      </c>
      <c r="AG155" s="16" t="e">
        <f t="shared" si="107"/>
        <v>#DIV/0!</v>
      </c>
      <c r="AH155" s="838" t="s">
        <v>85</v>
      </c>
      <c r="AI155" s="17">
        <f t="shared" si="108"/>
        <v>0</v>
      </c>
      <c r="AJ155" s="17" t="e">
        <f t="shared" si="109"/>
        <v>#DIV/0!</v>
      </c>
      <c r="AK155" s="891"/>
      <c r="AL155" s="18" t="e">
        <f>IF(AL159&lt;4000,AL159,AL159+400)</f>
        <v>#DIV/0!</v>
      </c>
      <c r="AM155" s="889"/>
      <c r="AN155" s="891"/>
      <c r="AO155" s="888"/>
      <c r="AP155" s="891"/>
      <c r="AQ155" s="891"/>
      <c r="AR155" s="889"/>
      <c r="AS155" s="888"/>
      <c r="AT155" s="888"/>
      <c r="AU155" s="890"/>
      <c r="AV155" s="888"/>
      <c r="AW155" s="888"/>
      <c r="AX155" s="888"/>
      <c r="AY155" s="887"/>
      <c r="AZ155" s="888"/>
    </row>
    <row r="156" spans="3:52" ht="18.600000000000001">
      <c r="C156" s="13">
        <f>IF(D156&lt;&gt;"",COUNTA($D$10:D156),"")</f>
        <v>126</v>
      </c>
      <c r="D156" s="14" t="s">
        <v>206</v>
      </c>
      <c r="E156" s="14">
        <v>3.1</v>
      </c>
      <c r="F156" s="14">
        <v>2.6</v>
      </c>
      <c r="G156" s="14">
        <v>2.4</v>
      </c>
      <c r="H156" s="14">
        <v>2</v>
      </c>
      <c r="I156" s="14">
        <v>1</v>
      </c>
      <c r="J156" s="14">
        <v>1.75</v>
      </c>
      <c r="K156" s="14">
        <v>3</v>
      </c>
      <c r="L156" s="15">
        <v>0.1</v>
      </c>
      <c r="M156" s="15">
        <v>0</v>
      </c>
      <c r="N156" s="14">
        <v>24</v>
      </c>
      <c r="O156" s="14">
        <v>50</v>
      </c>
      <c r="P156" s="13">
        <v>45</v>
      </c>
      <c r="Q156" s="13">
        <v>85</v>
      </c>
      <c r="R156" s="13" t="s">
        <v>17</v>
      </c>
      <c r="S156" s="13">
        <v>120</v>
      </c>
      <c r="T156" s="13">
        <v>0</v>
      </c>
      <c r="U156" s="13">
        <v>100</v>
      </c>
      <c r="V156" s="13" t="str">
        <f t="shared" si="97"/>
        <v>ISO 6</v>
      </c>
      <c r="W156" s="13">
        <f t="shared" si="97"/>
        <v>120</v>
      </c>
      <c r="X156" s="16">
        <f t="shared" si="98"/>
        <v>86.7256</v>
      </c>
      <c r="Y156" s="16">
        <f t="shared" si="99"/>
        <v>682.70392319999996</v>
      </c>
      <c r="Z156" s="16">
        <f t="shared" si="100"/>
        <v>1365.4078463999999</v>
      </c>
      <c r="AA156" s="16">
        <f t="shared" si="101"/>
        <v>136.54078464</v>
      </c>
      <c r="AB156" s="16">
        <f t="shared" si="102"/>
        <v>0</v>
      </c>
      <c r="AC156" s="16">
        <f t="shared" si="103"/>
        <v>0</v>
      </c>
      <c r="AD156" s="16" t="e">
        <f t="shared" si="104"/>
        <v>#DIV/0!</v>
      </c>
      <c r="AE156" s="16" t="e">
        <f t="shared" si="105"/>
        <v>#DIV/0!</v>
      </c>
      <c r="AF156" s="16" t="e">
        <f t="shared" si="106"/>
        <v>#DIV/0!</v>
      </c>
      <c r="AG156" s="16" t="e">
        <f t="shared" si="107"/>
        <v>#DIV/0!</v>
      </c>
      <c r="AH156" s="838" t="s">
        <v>85</v>
      </c>
      <c r="AI156" s="17">
        <f t="shared" si="108"/>
        <v>0</v>
      </c>
      <c r="AJ156" s="17" t="e">
        <f t="shared" si="109"/>
        <v>#DIV/0!</v>
      </c>
      <c r="AK156" s="891"/>
      <c r="AL156" s="18"/>
      <c r="AM156" s="889"/>
      <c r="AN156" s="891"/>
      <c r="AO156" s="888"/>
      <c r="AP156" s="891"/>
      <c r="AQ156" s="891"/>
      <c r="AR156" s="889"/>
      <c r="AS156" s="888"/>
      <c r="AT156" s="888"/>
      <c r="AU156" s="890"/>
      <c r="AV156" s="888"/>
      <c r="AW156" s="888"/>
      <c r="AX156" s="888"/>
      <c r="AY156" s="887"/>
      <c r="AZ156" s="888"/>
    </row>
    <row r="157" spans="3:52" ht="18.600000000000001">
      <c r="C157" s="13">
        <f>IF(D157&lt;&gt;"",COUNTA($D$10:D157),"")</f>
        <v>127</v>
      </c>
      <c r="D157" s="14" t="s">
        <v>207</v>
      </c>
      <c r="E157" s="14">
        <v>1.9</v>
      </c>
      <c r="F157" s="14">
        <v>2.4</v>
      </c>
      <c r="G157" s="14">
        <v>2.4</v>
      </c>
      <c r="H157" s="14">
        <v>3</v>
      </c>
      <c r="I157" s="14">
        <v>2</v>
      </c>
      <c r="J157" s="14">
        <v>1.75</v>
      </c>
      <c r="K157" s="14">
        <v>3</v>
      </c>
      <c r="L157" s="15">
        <v>0.1</v>
      </c>
      <c r="M157" s="15">
        <v>0</v>
      </c>
      <c r="N157" s="14">
        <v>24</v>
      </c>
      <c r="O157" s="14">
        <v>50</v>
      </c>
      <c r="P157" s="13">
        <v>45</v>
      </c>
      <c r="Q157" s="13">
        <v>85</v>
      </c>
      <c r="R157" s="13" t="s">
        <v>17</v>
      </c>
      <c r="S157" s="13">
        <v>120</v>
      </c>
      <c r="T157" s="13">
        <v>0</v>
      </c>
      <c r="U157" s="13">
        <v>100</v>
      </c>
      <c r="V157" s="13" t="str">
        <f t="shared" si="97"/>
        <v>ISO 6</v>
      </c>
      <c r="W157" s="13">
        <f t="shared" si="97"/>
        <v>120</v>
      </c>
      <c r="X157" s="16">
        <f t="shared" si="98"/>
        <v>49.065599999999996</v>
      </c>
      <c r="Y157" s="16">
        <f t="shared" si="99"/>
        <v>386.24440319999997</v>
      </c>
      <c r="Z157" s="16">
        <f t="shared" si="100"/>
        <v>772.48880639999993</v>
      </c>
      <c r="AA157" s="16">
        <f t="shared" si="101"/>
        <v>77.248880639999996</v>
      </c>
      <c r="AB157" s="16">
        <f t="shared" si="102"/>
        <v>0</v>
      </c>
      <c r="AC157" s="16">
        <f t="shared" si="103"/>
        <v>0</v>
      </c>
      <c r="AD157" s="16" t="e">
        <f t="shared" si="104"/>
        <v>#DIV/0!</v>
      </c>
      <c r="AE157" s="16" t="e">
        <f t="shared" si="105"/>
        <v>#DIV/0!</v>
      </c>
      <c r="AF157" s="16" t="e">
        <f t="shared" si="106"/>
        <v>#DIV/0!</v>
      </c>
      <c r="AG157" s="16" t="e">
        <f t="shared" si="107"/>
        <v>#DIV/0!</v>
      </c>
      <c r="AH157" s="838" t="s">
        <v>85</v>
      </c>
      <c r="AI157" s="17">
        <f t="shared" si="108"/>
        <v>0</v>
      </c>
      <c r="AJ157" s="17" t="e">
        <f t="shared" si="109"/>
        <v>#DIV/0!</v>
      </c>
      <c r="AK157" s="891"/>
      <c r="AL157" s="18"/>
      <c r="AM157" s="889"/>
      <c r="AN157" s="891"/>
      <c r="AO157" s="888"/>
      <c r="AP157" s="891"/>
      <c r="AQ157" s="891"/>
      <c r="AR157" s="889"/>
      <c r="AS157" s="888"/>
      <c r="AT157" s="888"/>
      <c r="AU157" s="890"/>
      <c r="AV157" s="888"/>
      <c r="AW157" s="888"/>
      <c r="AX157" s="888"/>
      <c r="AY157" s="887"/>
      <c r="AZ157" s="888"/>
    </row>
    <row r="158" spans="3:52" ht="18.600000000000001">
      <c r="C158" s="13">
        <f>IF(D158&lt;&gt;"",COUNTA($D$10:D158),"")</f>
        <v>128</v>
      </c>
      <c r="D158" s="14" t="s">
        <v>208</v>
      </c>
      <c r="E158" s="14">
        <v>3</v>
      </c>
      <c r="F158" s="14">
        <v>2.9</v>
      </c>
      <c r="G158" s="14">
        <v>2.4</v>
      </c>
      <c r="H158" s="14">
        <v>2</v>
      </c>
      <c r="I158" s="14">
        <v>1</v>
      </c>
      <c r="J158" s="14">
        <v>1.75</v>
      </c>
      <c r="K158" s="14">
        <v>3</v>
      </c>
      <c r="L158" s="15">
        <v>0.1</v>
      </c>
      <c r="M158" s="15">
        <v>0</v>
      </c>
      <c r="N158" s="14">
        <v>24</v>
      </c>
      <c r="O158" s="14">
        <v>50</v>
      </c>
      <c r="P158" s="13">
        <v>45</v>
      </c>
      <c r="Q158" s="13">
        <v>85</v>
      </c>
      <c r="R158" s="13" t="s">
        <v>17</v>
      </c>
      <c r="S158" s="13">
        <v>120</v>
      </c>
      <c r="T158" s="13">
        <v>0</v>
      </c>
      <c r="U158" s="13">
        <v>100</v>
      </c>
      <c r="V158" s="13" t="str">
        <f t="shared" si="97"/>
        <v>ISO 6</v>
      </c>
      <c r="W158" s="13">
        <f t="shared" si="97"/>
        <v>120</v>
      </c>
      <c r="X158" s="16">
        <f t="shared" si="98"/>
        <v>93.611999999999995</v>
      </c>
      <c r="Y158" s="16">
        <f t="shared" si="99"/>
        <v>736.91366399999993</v>
      </c>
      <c r="Z158" s="16">
        <f t="shared" si="100"/>
        <v>1473.8273279999999</v>
      </c>
      <c r="AA158" s="16">
        <f t="shared" si="101"/>
        <v>147.38273279999999</v>
      </c>
      <c r="AB158" s="16">
        <f t="shared" si="102"/>
        <v>0</v>
      </c>
      <c r="AC158" s="16">
        <f t="shared" si="103"/>
        <v>0</v>
      </c>
      <c r="AD158" s="16" t="e">
        <f>IF(ISNUMBER(N158), CEILING(CF158/(0.68*BP158),25), "Ambient")</f>
        <v>#DIV/0!</v>
      </c>
      <c r="AE158" s="16" t="e">
        <f t="shared" si="105"/>
        <v>#DIV/0!</v>
      </c>
      <c r="AF158" s="16" t="e">
        <f t="shared" si="106"/>
        <v>#DIV/0!</v>
      </c>
      <c r="AG158" s="16" t="e">
        <f t="shared" si="107"/>
        <v>#DIV/0!</v>
      </c>
      <c r="AH158" s="838" t="s">
        <v>85</v>
      </c>
      <c r="AI158" s="17">
        <f t="shared" si="108"/>
        <v>0</v>
      </c>
      <c r="AJ158" s="17" t="e">
        <f t="shared" si="109"/>
        <v>#DIV/0!</v>
      </c>
      <c r="AK158" s="891"/>
      <c r="AL158" s="18"/>
      <c r="AM158" s="889"/>
      <c r="AN158" s="891"/>
      <c r="AO158" s="888"/>
      <c r="AP158" s="891"/>
      <c r="AQ158" s="891"/>
      <c r="AR158" s="889"/>
      <c r="AS158" s="888"/>
      <c r="AT158" s="888"/>
      <c r="AU158" s="890"/>
      <c r="AV158" s="888"/>
      <c r="AW158" s="888"/>
      <c r="AX158" s="888"/>
      <c r="AY158" s="887"/>
      <c r="AZ158" s="888"/>
    </row>
    <row r="159" spans="3:52" ht="18.600000000000001">
      <c r="C159" s="13">
        <f>IF(D159&lt;&gt;"",COUNTA($D$10:D159),"")</f>
        <v>129</v>
      </c>
      <c r="D159" s="14" t="s">
        <v>209</v>
      </c>
      <c r="E159" s="14">
        <v>2.4</v>
      </c>
      <c r="F159" s="14">
        <v>2</v>
      </c>
      <c r="G159" s="14">
        <v>2.4</v>
      </c>
      <c r="H159" s="14">
        <v>2</v>
      </c>
      <c r="I159" s="14">
        <v>1</v>
      </c>
      <c r="J159" s="14">
        <v>1.75</v>
      </c>
      <c r="K159" s="14">
        <v>3</v>
      </c>
      <c r="L159" s="15">
        <v>0.1</v>
      </c>
      <c r="M159" s="15">
        <v>0</v>
      </c>
      <c r="N159" s="14">
        <v>24</v>
      </c>
      <c r="O159" s="14">
        <v>50</v>
      </c>
      <c r="P159" s="13">
        <v>45</v>
      </c>
      <c r="Q159" s="13">
        <v>85</v>
      </c>
      <c r="R159" s="13" t="s">
        <v>17</v>
      </c>
      <c r="S159" s="13">
        <v>120</v>
      </c>
      <c r="T159" s="13">
        <v>0</v>
      </c>
      <c r="U159" s="13">
        <v>100</v>
      </c>
      <c r="V159" s="13" t="str">
        <f t="shared" si="97"/>
        <v>ISO 6</v>
      </c>
      <c r="W159" s="13">
        <f t="shared" si="97"/>
        <v>120</v>
      </c>
      <c r="X159" s="16">
        <f t="shared" si="98"/>
        <v>51.647999999999996</v>
      </c>
      <c r="Y159" s="16">
        <f t="shared" si="99"/>
        <v>406.57305599999995</v>
      </c>
      <c r="Z159" s="16">
        <f t="shared" si="100"/>
        <v>813.1461119999999</v>
      </c>
      <c r="AA159" s="16">
        <f t="shared" si="101"/>
        <v>81.314611200000002</v>
      </c>
      <c r="AB159" s="16">
        <f t="shared" si="102"/>
        <v>0</v>
      </c>
      <c r="AC159" s="16">
        <f t="shared" si="103"/>
        <v>0</v>
      </c>
      <c r="AD159" s="16" t="e">
        <f t="shared" ref="AD159:AD165" si="110">IF(ISNUMBER(N159), CEILING(CF159/(0.68*BP159),25), "Ambient")</f>
        <v>#DIV/0!</v>
      </c>
      <c r="AE159" s="16" t="e">
        <f t="shared" si="105"/>
        <v>#DIV/0!</v>
      </c>
      <c r="AF159" s="16" t="e">
        <f t="shared" si="106"/>
        <v>#DIV/0!</v>
      </c>
      <c r="AG159" s="16" t="e">
        <f t="shared" si="107"/>
        <v>#DIV/0!</v>
      </c>
      <c r="AH159" s="838" t="s">
        <v>85</v>
      </c>
      <c r="AI159" s="17">
        <f t="shared" si="108"/>
        <v>0</v>
      </c>
      <c r="AJ159" s="17" t="e">
        <f t="shared" si="109"/>
        <v>#DIV/0!</v>
      </c>
      <c r="AK159" s="891"/>
      <c r="AL159" s="174" t="e">
        <f>IF(AN150&lt;=315,1600,(IF(AN150=355,1650,(IF(AN150=400,1650,(IF(AN150=450,1700,(IF(AN150=500,1700,(IF(AN150=560,1800,(IF(AN150=630,2000,(IF(AN150=710,2200,2500)))))))))))))))+IF(AR150=2,1800,(IF(AR150=3,2300,(IF(AR150=4,3300,0)))))+IF(AP150&lt;=4,600,(IF(AP150&lt;=6,800,(IF(AP150&lt;=8,1000,1200)))))</f>
        <v>#DIV/0!</v>
      </c>
      <c r="AM159" s="889"/>
      <c r="AN159" s="891"/>
      <c r="AO159" s="888"/>
      <c r="AP159" s="891"/>
      <c r="AQ159" s="891"/>
      <c r="AR159" s="889"/>
      <c r="AS159" s="888"/>
      <c r="AT159" s="888"/>
      <c r="AU159" s="890"/>
      <c r="AV159" s="888"/>
      <c r="AW159" s="888"/>
      <c r="AX159" s="888"/>
      <c r="AY159" s="887"/>
      <c r="AZ159" s="888"/>
    </row>
    <row r="160" spans="3:52" ht="18.600000000000001">
      <c r="C160" s="13">
        <f>IF(D160&lt;&gt;"",COUNTA($D$10:D160),"")</f>
        <v>130</v>
      </c>
      <c r="D160" s="14" t="s">
        <v>210</v>
      </c>
      <c r="E160" s="14">
        <v>2.1</v>
      </c>
      <c r="F160" s="14">
        <v>1.8</v>
      </c>
      <c r="G160" s="14">
        <v>2.4</v>
      </c>
      <c r="H160" s="14">
        <v>2</v>
      </c>
      <c r="I160" s="14">
        <v>1</v>
      </c>
      <c r="J160" s="14">
        <v>1.75</v>
      </c>
      <c r="K160" s="14">
        <v>3</v>
      </c>
      <c r="L160" s="15">
        <v>0.1</v>
      </c>
      <c r="M160" s="15">
        <v>0</v>
      </c>
      <c r="N160" s="14">
        <v>24</v>
      </c>
      <c r="O160" s="14">
        <v>50</v>
      </c>
      <c r="P160" s="13">
        <v>45</v>
      </c>
      <c r="Q160" s="13">
        <v>85</v>
      </c>
      <c r="R160" s="13" t="s">
        <v>17</v>
      </c>
      <c r="S160" s="13">
        <v>120</v>
      </c>
      <c r="T160" s="13">
        <v>0</v>
      </c>
      <c r="U160" s="13">
        <v>100</v>
      </c>
      <c r="V160" s="13" t="str">
        <f t="shared" si="97"/>
        <v>ISO 6</v>
      </c>
      <c r="W160" s="13">
        <f t="shared" si="97"/>
        <v>120</v>
      </c>
      <c r="X160" s="16">
        <f t="shared" si="98"/>
        <v>40.672800000000002</v>
      </c>
      <c r="Y160" s="16">
        <f t="shared" si="99"/>
        <v>320.17628159999998</v>
      </c>
      <c r="Z160" s="16">
        <f t="shared" si="100"/>
        <v>640.35256319999996</v>
      </c>
      <c r="AA160" s="16">
        <f t="shared" si="101"/>
        <v>64.035256320000002</v>
      </c>
      <c r="AB160" s="16">
        <f t="shared" si="102"/>
        <v>0</v>
      </c>
      <c r="AC160" s="16">
        <f t="shared" si="103"/>
        <v>0</v>
      </c>
      <c r="AD160" s="16" t="e">
        <f t="shared" si="110"/>
        <v>#DIV/0!</v>
      </c>
      <c r="AE160" s="16" t="e">
        <f t="shared" si="105"/>
        <v>#DIV/0!</v>
      </c>
      <c r="AF160" s="16" t="e">
        <f t="shared" si="106"/>
        <v>#DIV/0!</v>
      </c>
      <c r="AG160" s="16" t="e">
        <f t="shared" si="107"/>
        <v>#DIV/0!</v>
      </c>
      <c r="AH160" s="838" t="s">
        <v>85</v>
      </c>
      <c r="AI160" s="17">
        <f t="shared" si="108"/>
        <v>0</v>
      </c>
      <c r="AJ160" s="17" t="e">
        <f t="shared" si="109"/>
        <v>#DIV/0!</v>
      </c>
      <c r="AK160" s="891"/>
      <c r="AL160" s="18"/>
      <c r="AM160" s="889"/>
      <c r="AN160" s="891"/>
      <c r="AO160" s="888"/>
      <c r="AP160" s="891"/>
      <c r="AQ160" s="891"/>
      <c r="AR160" s="889"/>
      <c r="AS160" s="888"/>
      <c r="AT160" s="888"/>
      <c r="AU160" s="890"/>
      <c r="AV160" s="888"/>
      <c r="AW160" s="888"/>
      <c r="AX160" s="888"/>
      <c r="AY160" s="887"/>
      <c r="AZ160" s="888"/>
    </row>
    <row r="161" spans="3:52" ht="18.600000000000001">
      <c r="C161" s="13">
        <f>IF(D161&lt;&gt;"",COUNTA($D$10:D161),"")</f>
        <v>131</v>
      </c>
      <c r="D161" s="14" t="s">
        <v>211</v>
      </c>
      <c r="E161" s="14">
        <v>1.8</v>
      </c>
      <c r="F161" s="14">
        <v>1.9</v>
      </c>
      <c r="G161" s="14">
        <v>2.4</v>
      </c>
      <c r="H161" s="14">
        <v>2</v>
      </c>
      <c r="I161" s="14">
        <v>1</v>
      </c>
      <c r="J161" s="14">
        <v>1.75</v>
      </c>
      <c r="K161" s="14">
        <v>3</v>
      </c>
      <c r="L161" s="15">
        <v>0.1</v>
      </c>
      <c r="M161" s="15">
        <v>0</v>
      </c>
      <c r="N161" s="14">
        <v>24</v>
      </c>
      <c r="O161" s="14">
        <v>50</v>
      </c>
      <c r="P161" s="13">
        <v>45</v>
      </c>
      <c r="Q161" s="13">
        <v>85</v>
      </c>
      <c r="R161" s="13" t="s">
        <v>17</v>
      </c>
      <c r="S161" s="13">
        <v>120</v>
      </c>
      <c r="T161" s="13">
        <v>0</v>
      </c>
      <c r="U161" s="13">
        <v>100</v>
      </c>
      <c r="V161" s="13" t="str">
        <f t="shared" si="97"/>
        <v>ISO 6</v>
      </c>
      <c r="W161" s="13">
        <f t="shared" si="97"/>
        <v>120</v>
      </c>
      <c r="X161" s="16">
        <f t="shared" si="98"/>
        <v>36.799199999999999</v>
      </c>
      <c r="Y161" s="16">
        <f t="shared" si="99"/>
        <v>289.68330239999995</v>
      </c>
      <c r="Z161" s="16">
        <f t="shared" si="100"/>
        <v>579.36660479999989</v>
      </c>
      <c r="AA161" s="16">
        <f t="shared" si="101"/>
        <v>57.936660479999993</v>
      </c>
      <c r="AB161" s="16">
        <f t="shared" si="102"/>
        <v>0</v>
      </c>
      <c r="AC161" s="16">
        <f t="shared" si="103"/>
        <v>0</v>
      </c>
      <c r="AD161" s="16" t="e">
        <f t="shared" si="110"/>
        <v>#DIV/0!</v>
      </c>
      <c r="AE161" s="16" t="e">
        <f t="shared" si="105"/>
        <v>#DIV/0!</v>
      </c>
      <c r="AF161" s="16" t="e">
        <f t="shared" si="106"/>
        <v>#DIV/0!</v>
      </c>
      <c r="AG161" s="16" t="e">
        <f t="shared" si="107"/>
        <v>#DIV/0!</v>
      </c>
      <c r="AH161" s="838" t="s">
        <v>85</v>
      </c>
      <c r="AI161" s="17">
        <f t="shared" si="108"/>
        <v>0</v>
      </c>
      <c r="AJ161" s="17" t="e">
        <f t="shared" si="109"/>
        <v>#DIV/0!</v>
      </c>
      <c r="AK161" s="891"/>
      <c r="AL161" s="18"/>
      <c r="AM161" s="889"/>
      <c r="AN161" s="891"/>
      <c r="AO161" s="888"/>
      <c r="AP161" s="891"/>
      <c r="AQ161" s="891"/>
      <c r="AR161" s="889"/>
      <c r="AS161" s="888"/>
      <c r="AT161" s="888"/>
      <c r="AU161" s="890"/>
      <c r="AV161" s="888"/>
      <c r="AW161" s="888"/>
      <c r="AX161" s="888"/>
      <c r="AY161" s="887"/>
      <c r="AZ161" s="888"/>
    </row>
    <row r="162" spans="3:52" ht="18.600000000000001">
      <c r="C162" s="13">
        <f>IF(D162&lt;&gt;"",COUNTA($D$10:D162),"")</f>
        <v>132</v>
      </c>
      <c r="D162" s="14" t="s">
        <v>212</v>
      </c>
      <c r="E162" s="14">
        <v>1.9</v>
      </c>
      <c r="F162" s="14">
        <v>2</v>
      </c>
      <c r="G162" s="14">
        <v>2.4</v>
      </c>
      <c r="H162" s="14">
        <v>2</v>
      </c>
      <c r="I162" s="14">
        <v>1</v>
      </c>
      <c r="J162" s="14">
        <v>1.75</v>
      </c>
      <c r="K162" s="14">
        <v>3</v>
      </c>
      <c r="L162" s="15">
        <v>0.1</v>
      </c>
      <c r="M162" s="15">
        <v>0</v>
      </c>
      <c r="N162" s="14">
        <v>24</v>
      </c>
      <c r="O162" s="14">
        <v>50</v>
      </c>
      <c r="P162" s="13">
        <v>45</v>
      </c>
      <c r="Q162" s="13">
        <v>85</v>
      </c>
      <c r="R162" s="13" t="s">
        <v>17</v>
      </c>
      <c r="S162" s="13">
        <v>120</v>
      </c>
      <c r="T162" s="13">
        <v>0</v>
      </c>
      <c r="U162" s="13">
        <v>100</v>
      </c>
      <c r="V162" s="13" t="str">
        <f t="shared" si="97"/>
        <v>ISO 6</v>
      </c>
      <c r="W162" s="13">
        <f t="shared" si="97"/>
        <v>120</v>
      </c>
      <c r="X162" s="16">
        <f t="shared" si="98"/>
        <v>40.887999999999998</v>
      </c>
      <c r="Y162" s="16">
        <f t="shared" si="99"/>
        <v>321.87033599999995</v>
      </c>
      <c r="Z162" s="16">
        <f t="shared" si="100"/>
        <v>643.7406719999999</v>
      </c>
      <c r="AA162" s="16">
        <f t="shared" si="101"/>
        <v>64.374067199999999</v>
      </c>
      <c r="AB162" s="16">
        <f t="shared" si="102"/>
        <v>0</v>
      </c>
      <c r="AC162" s="16">
        <f t="shared" si="103"/>
        <v>0</v>
      </c>
      <c r="AD162" s="16" t="e">
        <f t="shared" si="110"/>
        <v>#DIV/0!</v>
      </c>
      <c r="AE162" s="16" t="e">
        <f t="shared" si="105"/>
        <v>#DIV/0!</v>
      </c>
      <c r="AF162" s="16" t="e">
        <f t="shared" si="106"/>
        <v>#DIV/0!</v>
      </c>
      <c r="AG162" s="16" t="e">
        <f t="shared" si="107"/>
        <v>#DIV/0!</v>
      </c>
      <c r="AH162" s="838" t="s">
        <v>85</v>
      </c>
      <c r="AI162" s="17">
        <f t="shared" si="108"/>
        <v>0</v>
      </c>
      <c r="AJ162" s="17" t="e">
        <f t="shared" si="109"/>
        <v>#DIV/0!</v>
      </c>
      <c r="AK162" s="891"/>
      <c r="AL162" s="18"/>
      <c r="AM162" s="889"/>
      <c r="AN162" s="891"/>
      <c r="AO162" s="888"/>
      <c r="AP162" s="891"/>
      <c r="AQ162" s="891"/>
      <c r="AR162" s="889"/>
      <c r="AS162" s="888"/>
      <c r="AT162" s="888"/>
      <c r="AU162" s="890"/>
      <c r="AV162" s="888"/>
      <c r="AW162" s="888"/>
      <c r="AX162" s="888"/>
      <c r="AY162" s="887"/>
      <c r="AZ162" s="888"/>
    </row>
    <row r="163" spans="3:52" ht="18.600000000000001">
      <c r="C163" s="13">
        <f>IF(D163&lt;&gt;"",COUNTA($D$10:D163),"")</f>
        <v>133</v>
      </c>
      <c r="D163" s="14" t="s">
        <v>213</v>
      </c>
      <c r="E163" s="14">
        <v>2.2999999999999998</v>
      </c>
      <c r="F163" s="14">
        <v>2.2000000000000002</v>
      </c>
      <c r="G163" s="14">
        <v>2.4</v>
      </c>
      <c r="H163" s="14">
        <v>2</v>
      </c>
      <c r="I163" s="14">
        <v>1</v>
      </c>
      <c r="J163" s="14">
        <v>1.75</v>
      </c>
      <c r="K163" s="14">
        <v>3</v>
      </c>
      <c r="L163" s="15">
        <v>0.1</v>
      </c>
      <c r="M163" s="15">
        <v>0</v>
      </c>
      <c r="N163" s="14">
        <v>24</v>
      </c>
      <c r="O163" s="14">
        <v>50</v>
      </c>
      <c r="P163" s="13">
        <v>45</v>
      </c>
      <c r="Q163" s="13">
        <v>85</v>
      </c>
      <c r="R163" s="13" t="s">
        <v>17</v>
      </c>
      <c r="S163" s="13">
        <v>120</v>
      </c>
      <c r="T163" s="13">
        <v>0</v>
      </c>
      <c r="U163" s="13">
        <v>100</v>
      </c>
      <c r="V163" s="13" t="str">
        <f t="shared" si="97"/>
        <v>ISO 6</v>
      </c>
      <c r="W163" s="13">
        <f t="shared" si="97"/>
        <v>120</v>
      </c>
      <c r="X163" s="16">
        <f t="shared" si="98"/>
        <v>54.445599999999992</v>
      </c>
      <c r="Y163" s="16">
        <f t="shared" si="99"/>
        <v>428.59576319999991</v>
      </c>
      <c r="Z163" s="16">
        <f t="shared" si="100"/>
        <v>857.19152639999982</v>
      </c>
      <c r="AA163" s="16">
        <f t="shared" si="101"/>
        <v>85.71915263999999</v>
      </c>
      <c r="AB163" s="16">
        <f t="shared" si="102"/>
        <v>0</v>
      </c>
      <c r="AC163" s="16">
        <f t="shared" si="103"/>
        <v>0</v>
      </c>
      <c r="AD163" s="16" t="e">
        <f t="shared" si="110"/>
        <v>#DIV/0!</v>
      </c>
      <c r="AE163" s="16" t="e">
        <f t="shared" si="105"/>
        <v>#DIV/0!</v>
      </c>
      <c r="AF163" s="16" t="e">
        <f t="shared" si="106"/>
        <v>#DIV/0!</v>
      </c>
      <c r="AG163" s="16" t="e">
        <f t="shared" si="107"/>
        <v>#DIV/0!</v>
      </c>
      <c r="AH163" s="838" t="s">
        <v>85</v>
      </c>
      <c r="AI163" s="17">
        <f t="shared" si="108"/>
        <v>0</v>
      </c>
      <c r="AJ163" s="17" t="e">
        <f t="shared" si="109"/>
        <v>#DIV/0!</v>
      </c>
      <c r="AK163" s="891"/>
      <c r="AL163" s="18"/>
      <c r="AM163" s="889"/>
      <c r="AN163" s="891"/>
      <c r="AO163" s="888"/>
      <c r="AP163" s="891"/>
      <c r="AQ163" s="891"/>
      <c r="AR163" s="889"/>
      <c r="AS163" s="888"/>
      <c r="AT163" s="888"/>
      <c r="AU163" s="890"/>
      <c r="AV163" s="888"/>
      <c r="AW163" s="888"/>
      <c r="AX163" s="888"/>
      <c r="AY163" s="887"/>
      <c r="AZ163" s="888"/>
    </row>
    <row r="164" spans="3:52" ht="18.600000000000001">
      <c r="C164" s="13">
        <f>IF(D164&lt;&gt;"",COUNTA($D$10:D164),"")</f>
        <v>134</v>
      </c>
      <c r="D164" s="14" t="s">
        <v>214</v>
      </c>
      <c r="E164" s="14">
        <v>2.2000000000000002</v>
      </c>
      <c r="F164" s="14">
        <v>2.8</v>
      </c>
      <c r="G164" s="14">
        <v>2.4</v>
      </c>
      <c r="H164" s="14">
        <v>2</v>
      </c>
      <c r="I164" s="14">
        <v>1</v>
      </c>
      <c r="J164" s="14">
        <v>1.75</v>
      </c>
      <c r="K164" s="14">
        <v>3</v>
      </c>
      <c r="L164" s="15">
        <v>0.1</v>
      </c>
      <c r="M164" s="15">
        <v>0</v>
      </c>
      <c r="N164" s="14">
        <v>24</v>
      </c>
      <c r="O164" s="14">
        <v>50</v>
      </c>
      <c r="P164" s="13">
        <v>45</v>
      </c>
      <c r="Q164" s="13">
        <v>85</v>
      </c>
      <c r="R164" s="13" t="s">
        <v>17</v>
      </c>
      <c r="S164" s="13">
        <v>120</v>
      </c>
      <c r="T164" s="13">
        <v>0</v>
      </c>
      <c r="U164" s="13">
        <v>100</v>
      </c>
      <c r="V164" s="13" t="str">
        <f t="shared" si="97"/>
        <v>ISO 6</v>
      </c>
      <c r="W164" s="13">
        <f t="shared" si="97"/>
        <v>120</v>
      </c>
      <c r="X164" s="16">
        <f t="shared" si="98"/>
        <v>66.281599999999997</v>
      </c>
      <c r="Y164" s="16">
        <f t="shared" si="99"/>
        <v>521.76875519999999</v>
      </c>
      <c r="Z164" s="16">
        <f t="shared" si="100"/>
        <v>1043.5375104</v>
      </c>
      <c r="AA164" s="16">
        <f t="shared" si="101"/>
        <v>104.35375104000001</v>
      </c>
      <c r="AB164" s="16">
        <f t="shared" si="102"/>
        <v>0</v>
      </c>
      <c r="AC164" s="16">
        <f t="shared" si="103"/>
        <v>0</v>
      </c>
      <c r="AD164" s="16" t="e">
        <f t="shared" si="110"/>
        <v>#DIV/0!</v>
      </c>
      <c r="AE164" s="16" t="e">
        <f t="shared" si="105"/>
        <v>#DIV/0!</v>
      </c>
      <c r="AF164" s="16" t="e">
        <f t="shared" si="106"/>
        <v>#DIV/0!</v>
      </c>
      <c r="AG164" s="16" t="e">
        <f t="shared" si="107"/>
        <v>#DIV/0!</v>
      </c>
      <c r="AH164" s="838" t="s">
        <v>85</v>
      </c>
      <c r="AI164" s="17">
        <f t="shared" si="108"/>
        <v>0</v>
      </c>
      <c r="AJ164" s="17" t="e">
        <f t="shared" si="109"/>
        <v>#DIV/0!</v>
      </c>
      <c r="AK164" s="891"/>
      <c r="AL164" s="18"/>
      <c r="AM164" s="889"/>
      <c r="AN164" s="891"/>
      <c r="AO164" s="888"/>
      <c r="AP164" s="891"/>
      <c r="AQ164" s="891"/>
      <c r="AR164" s="889"/>
      <c r="AS164" s="888"/>
      <c r="AT164" s="888"/>
      <c r="AU164" s="890"/>
      <c r="AV164" s="888"/>
      <c r="AW164" s="888"/>
      <c r="AX164" s="888"/>
      <c r="AY164" s="887"/>
      <c r="AZ164" s="888"/>
    </row>
    <row r="165" spans="3:52" ht="18.600000000000001">
      <c r="C165" s="13">
        <f>IF(D165&lt;&gt;"",COUNTA($D$10:D165),"")</f>
        <v>135</v>
      </c>
      <c r="D165" s="14" t="s">
        <v>215</v>
      </c>
      <c r="E165" s="14">
        <v>2.8</v>
      </c>
      <c r="F165" s="14">
        <v>2.4</v>
      </c>
      <c r="G165" s="14">
        <v>2.4</v>
      </c>
      <c r="H165" s="14">
        <v>2</v>
      </c>
      <c r="I165" s="14">
        <v>1</v>
      </c>
      <c r="J165" s="14">
        <v>1.75</v>
      </c>
      <c r="K165" s="14">
        <v>3</v>
      </c>
      <c r="L165" s="15">
        <v>0.1</v>
      </c>
      <c r="M165" s="15">
        <v>0</v>
      </c>
      <c r="N165" s="14">
        <v>24</v>
      </c>
      <c r="O165" s="14">
        <v>50</v>
      </c>
      <c r="P165" s="13">
        <v>45</v>
      </c>
      <c r="Q165" s="13">
        <v>85</v>
      </c>
      <c r="R165" s="13" t="s">
        <v>17</v>
      </c>
      <c r="S165" s="13">
        <v>120</v>
      </c>
      <c r="T165" s="13">
        <v>0</v>
      </c>
      <c r="U165" s="13">
        <v>100</v>
      </c>
      <c r="V165" s="13" t="str">
        <f t="shared" si="97"/>
        <v>ISO 6</v>
      </c>
      <c r="W165" s="13">
        <f t="shared" si="97"/>
        <v>120</v>
      </c>
      <c r="X165" s="16">
        <f t="shared" si="98"/>
        <v>72.307199999999995</v>
      </c>
      <c r="Y165" s="16">
        <f t="shared" si="99"/>
        <v>569.20227839999995</v>
      </c>
      <c r="Z165" s="16">
        <f t="shared" si="100"/>
        <v>1138.4045567999999</v>
      </c>
      <c r="AA165" s="16">
        <f t="shared" si="101"/>
        <v>113.84045567999999</v>
      </c>
      <c r="AB165" s="16">
        <f t="shared" si="102"/>
        <v>0</v>
      </c>
      <c r="AC165" s="16">
        <f t="shared" si="103"/>
        <v>0</v>
      </c>
      <c r="AD165" s="16" t="e">
        <f t="shared" si="110"/>
        <v>#DIV/0!</v>
      </c>
      <c r="AE165" s="16" t="e">
        <f t="shared" si="105"/>
        <v>#DIV/0!</v>
      </c>
      <c r="AF165" s="16" t="e">
        <f t="shared" si="106"/>
        <v>#DIV/0!</v>
      </c>
      <c r="AG165" s="16" t="e">
        <f t="shared" si="107"/>
        <v>#DIV/0!</v>
      </c>
      <c r="AH165" s="838" t="s">
        <v>85</v>
      </c>
      <c r="AI165" s="17">
        <f t="shared" si="108"/>
        <v>0</v>
      </c>
      <c r="AJ165" s="17" t="e">
        <f t="shared" si="109"/>
        <v>#DIV/0!</v>
      </c>
      <c r="AK165" s="891"/>
      <c r="AL165" s="18"/>
      <c r="AM165" s="889"/>
      <c r="AN165" s="891"/>
      <c r="AO165" s="888"/>
      <c r="AP165" s="891"/>
      <c r="AQ165" s="891"/>
      <c r="AR165" s="889"/>
      <c r="AS165" s="888"/>
      <c r="AT165" s="888"/>
      <c r="AU165" s="890"/>
      <c r="AV165" s="888"/>
      <c r="AW165" s="888"/>
      <c r="AX165" s="888"/>
      <c r="AY165" s="887"/>
      <c r="AZ165" s="888"/>
    </row>
    <row r="166" spans="3:52">
      <c r="C166" s="13" t="str">
        <f>IF(D166&lt;&gt;"",COUNTA($D$10:D166),"")</f>
        <v/>
      </c>
      <c r="D166" s="19"/>
      <c r="E166" s="19"/>
      <c r="F166" s="19"/>
      <c r="G166" s="19"/>
      <c r="H166" s="19"/>
      <c r="I166" s="19"/>
      <c r="J166" s="19"/>
      <c r="K166" s="19"/>
      <c r="L166" s="19"/>
      <c r="M166" s="19"/>
      <c r="N166" s="19"/>
      <c r="O166" s="19"/>
      <c r="P166" s="19"/>
      <c r="Q166" s="19"/>
      <c r="R166" s="19"/>
      <c r="S166" s="19"/>
      <c r="T166" s="19"/>
      <c r="U166" s="19"/>
      <c r="V166" s="19"/>
      <c r="W166" s="19"/>
      <c r="X166" s="20">
        <f>SUM(X150:X165)</f>
        <v>1144.1108000000002</v>
      </c>
      <c r="Y166" s="20">
        <f t="shared" ref="Y166:AG166" si="111">SUM(Y150:Y165)</f>
        <v>9006.4402175999985</v>
      </c>
      <c r="Z166" s="20">
        <f t="shared" si="111"/>
        <v>18012.880435199997</v>
      </c>
      <c r="AA166" s="20">
        <f t="shared" si="111"/>
        <v>1801.2880435199995</v>
      </c>
      <c r="AB166" s="20">
        <f t="shared" si="111"/>
        <v>0</v>
      </c>
      <c r="AC166" s="20">
        <f t="shared" si="111"/>
        <v>0</v>
      </c>
      <c r="AD166" s="20" t="e">
        <f t="shared" si="111"/>
        <v>#DIV/0!</v>
      </c>
      <c r="AE166" s="20" t="e">
        <f t="shared" si="111"/>
        <v>#DIV/0!</v>
      </c>
      <c r="AF166" s="20" t="e">
        <f t="shared" si="111"/>
        <v>#DIV/0!</v>
      </c>
      <c r="AG166" s="20" t="e">
        <f t="shared" si="111"/>
        <v>#DIV/0!</v>
      </c>
      <c r="AH166" s="841"/>
      <c r="AI166" s="20">
        <f t="shared" ref="AI166:AJ166" si="112">SUM(AI150:AI165)</f>
        <v>0</v>
      </c>
      <c r="AJ166" s="20" t="e">
        <f t="shared" si="112"/>
        <v>#DIV/0!</v>
      </c>
      <c r="AK166" s="21"/>
      <c r="AL166" s="21"/>
      <c r="AM166" s="21"/>
      <c r="AN166" s="21"/>
      <c r="AO166" s="21"/>
      <c r="AP166" s="21"/>
      <c r="AQ166" s="21"/>
      <c r="AR166" s="21"/>
      <c r="AS166" s="21"/>
      <c r="AT166" s="21"/>
      <c r="AU166" s="21"/>
      <c r="AV166" s="21"/>
      <c r="AW166" s="21"/>
      <c r="AX166" s="21"/>
      <c r="AY166" s="21"/>
      <c r="AZ166" s="21"/>
    </row>
    <row r="167" spans="3:52">
      <c r="C167" s="13" t="str">
        <f>IF(D167&lt;&gt;"",COUNTA($D$10:D167),"")</f>
        <v/>
      </c>
      <c r="AH167" s="840"/>
    </row>
    <row r="168" spans="3:52" ht="26.1">
      <c r="C168" s="8" t="e">
        <f>"Zoning Area  AHU - " &amp; INT((ROW()-8)/20)+1 &amp; "  " &amp;IF(AQ170&gt;0,"Air-Conditioning System " &amp; IF(AH170="D","(DX)",IF(AH170="C","(Chilled Water)","")),IF(AND(N170="Amb",AQ170=0),"Ventilation System","Refer"))</f>
        <v>#DIV/0!</v>
      </c>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39"/>
      <c r="AI168" s="8"/>
      <c r="AJ168" s="8"/>
      <c r="AK168" s="8"/>
      <c r="AL168" s="8"/>
      <c r="AM168" s="8"/>
      <c r="AN168" s="8"/>
      <c r="AO168" s="8"/>
      <c r="AP168" s="8"/>
      <c r="AQ168" s="8"/>
      <c r="AR168" s="8"/>
      <c r="AS168" s="9" t="s">
        <v>221</v>
      </c>
      <c r="AT168" s="10"/>
      <c r="AU168" s="10"/>
      <c r="AV168" s="11"/>
      <c r="AW168" s="9" t="s">
        <v>222</v>
      </c>
      <c r="AX168" s="10"/>
      <c r="AY168" s="10"/>
      <c r="AZ168" s="11"/>
    </row>
    <row r="169" spans="3:52">
      <c r="C169" s="13">
        <f>IF(D169&lt;&gt;"",COUNTA($D$10:D169),"")</f>
        <v>136</v>
      </c>
      <c r="D169" s="5" t="s">
        <v>165</v>
      </c>
      <c r="E169" s="5" t="s">
        <v>166</v>
      </c>
      <c r="F169" s="5" t="s">
        <v>167</v>
      </c>
      <c r="G169" s="5" t="s">
        <v>168</v>
      </c>
      <c r="H169" s="5" t="s">
        <v>169</v>
      </c>
      <c r="I169" s="5" t="s">
        <v>170</v>
      </c>
      <c r="J169" s="5" t="s">
        <v>171</v>
      </c>
      <c r="K169" s="5" t="s">
        <v>172</v>
      </c>
      <c r="L169" s="5" t="s">
        <v>173</v>
      </c>
      <c r="M169" s="5" t="s">
        <v>174</v>
      </c>
      <c r="N169" s="5" t="s">
        <v>175</v>
      </c>
      <c r="O169" s="5" t="s">
        <v>176</v>
      </c>
      <c r="P169" s="5" t="s">
        <v>177</v>
      </c>
      <c r="Q169" s="5" t="s">
        <v>178</v>
      </c>
      <c r="R169" s="5" t="s">
        <v>199</v>
      </c>
      <c r="S169" s="5" t="s">
        <v>180</v>
      </c>
      <c r="T169" s="5" t="s">
        <v>223</v>
      </c>
      <c r="U169" s="5" t="s">
        <v>224</v>
      </c>
      <c r="V169" s="5" t="s">
        <v>199</v>
      </c>
      <c r="W169" s="5" t="s">
        <v>180</v>
      </c>
      <c r="X169" s="5" t="s">
        <v>225</v>
      </c>
      <c r="Y169" s="5" t="s">
        <v>226</v>
      </c>
      <c r="Z169" s="5" t="s">
        <v>227</v>
      </c>
      <c r="AA169" s="5" t="s">
        <v>228</v>
      </c>
      <c r="AB169" s="5" t="s">
        <v>229</v>
      </c>
      <c r="AC169" s="5" t="s">
        <v>230</v>
      </c>
      <c r="AD169" s="5" t="s">
        <v>231</v>
      </c>
      <c r="AE169" s="5" t="s">
        <v>232</v>
      </c>
      <c r="AF169" s="6" t="s">
        <v>233</v>
      </c>
      <c r="AG169" s="6" t="s">
        <v>234</v>
      </c>
      <c r="AH169" s="6" t="s">
        <v>235</v>
      </c>
      <c r="AI169" s="5" t="s">
        <v>236</v>
      </c>
      <c r="AJ169" s="5" t="s">
        <v>237</v>
      </c>
      <c r="AK169" s="5" t="s">
        <v>238</v>
      </c>
      <c r="AL169" s="5" t="s">
        <v>239</v>
      </c>
      <c r="AM169" s="5" t="s">
        <v>240</v>
      </c>
      <c r="AN169" s="5" t="s">
        <v>241</v>
      </c>
      <c r="AO169" s="5" t="s">
        <v>242</v>
      </c>
      <c r="AP169" s="5" t="s">
        <v>243</v>
      </c>
      <c r="AQ169" s="5" t="s">
        <v>244</v>
      </c>
      <c r="AR169" s="5" t="s">
        <v>245</v>
      </c>
      <c r="AS169" s="5" t="s">
        <v>246</v>
      </c>
      <c r="AT169" s="5" t="s">
        <v>247</v>
      </c>
      <c r="AU169" s="5" t="s">
        <v>248</v>
      </c>
      <c r="AV169" s="5" t="s">
        <v>249</v>
      </c>
      <c r="AW169" s="5" t="s">
        <v>250</v>
      </c>
      <c r="AX169" s="5" t="s">
        <v>251</v>
      </c>
      <c r="AY169" s="5" t="s">
        <v>252</v>
      </c>
      <c r="AZ169" s="5" t="s">
        <v>253</v>
      </c>
    </row>
    <row r="170" spans="3:52" ht="18.600000000000001">
      <c r="C170" s="13">
        <f>IF(D170&lt;&gt;"",COUNTA($D$10:D170),"")</f>
        <v>137</v>
      </c>
      <c r="D170" s="14" t="s">
        <v>200</v>
      </c>
      <c r="E170" s="14">
        <v>3</v>
      </c>
      <c r="F170" s="14">
        <v>3</v>
      </c>
      <c r="G170" s="14">
        <v>2.4</v>
      </c>
      <c r="H170" s="14">
        <v>1</v>
      </c>
      <c r="I170" s="14">
        <v>2</v>
      </c>
      <c r="J170" s="14">
        <v>1.75</v>
      </c>
      <c r="K170" s="14">
        <v>3</v>
      </c>
      <c r="L170" s="15">
        <v>0.1</v>
      </c>
      <c r="M170" s="15">
        <v>0</v>
      </c>
      <c r="N170" s="14">
        <v>24</v>
      </c>
      <c r="O170" s="14">
        <v>50</v>
      </c>
      <c r="P170" s="13">
        <v>45</v>
      </c>
      <c r="Q170" s="13">
        <v>85</v>
      </c>
      <c r="R170" s="13" t="s">
        <v>17</v>
      </c>
      <c r="S170" s="13">
        <v>120</v>
      </c>
      <c r="T170" s="13">
        <v>0</v>
      </c>
      <c r="U170" s="13">
        <v>100</v>
      </c>
      <c r="V170" s="13" t="str">
        <f>R170</f>
        <v>ISO 6</v>
      </c>
      <c r="W170" s="13">
        <f>S170</f>
        <v>120</v>
      </c>
      <c r="X170" s="16">
        <f>E170*F170*10.76</f>
        <v>96.84</v>
      </c>
      <c r="Y170" s="16">
        <f>X170*G170*3.28</f>
        <v>762.32447999999999</v>
      </c>
      <c r="Z170" s="16">
        <f>Y170*S170/60</f>
        <v>1524.64896</v>
      </c>
      <c r="AA170" s="16">
        <f>Z170*L170</f>
        <v>152.46489600000001</v>
      </c>
      <c r="AB170" s="16">
        <f>IF(N170="Amb",Z170,Z170*M170)</f>
        <v>0</v>
      </c>
      <c r="AC170" s="16">
        <f>IF(ISNUMBER(N170), (AA170*0.075*60/2.20462)*BP170/7000, "Ambient")</f>
        <v>0</v>
      </c>
      <c r="AD170" s="16" t="e">
        <f>IF(ISNUMBER(N170), CEILING(CF170/(0.68*BP170),25), "Ambient")</f>
        <v>#DIV/0!</v>
      </c>
      <c r="AE170" s="16" t="e">
        <f>CEILING(MAX((Z170+AA170),AD170),25)</f>
        <v>#DIV/0!</v>
      </c>
      <c r="AF170" s="16" t="e">
        <f>CEILING(IF(OR($R170="ISO 6",$R170="GRADE B",$R170="1K",$R170=1000),AE170*1/175,IF(OR($R170="ISO 5",$R170="GRADE A",$R170=100),AE170*1/100,IF(OR($R170="ISO 7",$R170="GRADE C",$R170="10K",$R170=10000),$AE170*1/250,IF(OR($R170="ISO 8",$R170="GRADE D",$R170="100K",$R170=100000),$AE170*1/250,IF(OR($R170="NC",$R170="20 Micron",$R170="5 Micron",$R170="N C"),$AE170*1/350,0))))),2)</f>
        <v>#DIV/0!</v>
      </c>
      <c r="AG170" s="16" t="e">
        <f>IF(ISNUMBER(N170), CEILING(MAX(AI170,AJ170),0.5), "Ambient")</f>
        <v>#DIV/0!</v>
      </c>
      <c r="AH170" s="838" t="s">
        <v>85</v>
      </c>
      <c r="AI170" s="17">
        <f>IF(ISNUMBER(N170), CEILING(CE170/12000,0.5), "Ambient")</f>
        <v>0</v>
      </c>
      <c r="AJ170" s="17" t="e">
        <f>IF(ISNUMBER(N170),CEILING(AE170/(IF(AH170="C",400,300)),0.5), "Ambient")</f>
        <v>#DIV/0!</v>
      </c>
      <c r="AK170" s="891" t="e">
        <f>CEILING(SUM(AE170:AE185),250)</f>
        <v>#DIV/0!</v>
      </c>
      <c r="AL170" s="18" t="s">
        <v>254</v>
      </c>
      <c r="AM170" s="889">
        <v>150</v>
      </c>
      <c r="AN170" s="891" t="e">
        <f>IF(AK170&lt;=1300,200,IF(AK170&lt;=1600,225,IF(AK170&lt;=2100,250,IF(AK170&lt;=2700,280,IF(AK170&lt;=3450,315,IF(AK170&lt;=4250,355,IF(AK170&lt;=5250,400,IF(AK170&lt;=6750,450,IF(AK170&lt;=8500,500,IF(AK170&lt;=10750,560,IF(AK170&lt;=13500,630,IF(AK170&lt;=17000,710,IF(AK170&lt;=21500,800,IF(AK170&lt;=27000,900,IF(AK170&lt;=34000,1000,IF(AK170&lt;=43000,1120,IF(AK170&lt;=49000,1200,IF(AK170&lt;=68000,1450,"Refer"))))))))))))))))))</f>
        <v>#DIV/0!</v>
      </c>
      <c r="AO170" s="888" t="e">
        <f>IF(AK170*AM170/(6356*0.7*0.9*1.1*25.4)&lt;=1,1,IF(AK170*AM170/(6356*0.7*0.9*1.1*25.4)&lt;=1.5,1.5,IF(AK170*AM170/(6356*0.7*0.9*1.1*25.4)&lt;=2,2,IF(AK170*AM170/(6356*0.7*0.9*1.1*25.4)&lt;=3,3,IF(AK170*AM170/(6356*0.7*0.9*1.1*25.4)&lt;=5,5,IF(AK170*AM170/(6356*0.7*0.9*1.1*25.4)&lt;=7.5,7.5,IF(AK170*AM170/(6356*0.7*0.9*1.1*25.4)&lt;=10,10,IF(AK170*AM170/(6356*0.7*0.9*1.1*25.4)&lt;=12.5,12.5,IF(AK170*AM170/(6356*0.7*0.9*1.1*25.4)&lt;=15,15,IF(AK170*AM170/(6356*0.7*0.9*1.1*25.4)&lt;=20,20,IF(AK170*AM170/(6356*0.7*0.9*1.1*25.4)&lt;=25,25,IF(AK170*AM170/(6356*0.7*0.9*1.1*25.4)&lt;=30,30,IF(AK170*AM170/(6356*0.7*0.9*1.1*25.4)&lt;=40,40,IF(AK170*AM170/(6356*0.7*0.9*1.1*25.4)&lt;=50,50,IF(AK170*AM170/(6356*0.7*0.9*1.1*25.4)&lt;=60,60,IF(AK170*AM170/(6356*0.7*0.9*1.1*25.4)&lt;=75,75,"Refer"))))))))))))))))</f>
        <v>#DIV/0!</v>
      </c>
      <c r="AP170" s="891" t="e">
        <f>IF(AND(AQ170=0, N170="Amb"), "Amb",IF((AL171-250)*(AL173-150)*10.76/(1000*1000) &gt;= MAX(AI186,AJ186), 4,IF((AL171-250)*(AL173-150)*10.76*1.5/(1000*1000) &gt;= MAX(AI186,AJ186), 6,IF((AL171-250)*(AL173-150)*10.76*2/(1000*1000) &gt;= MAX(AI186,AJ186), 8, 0))
 )
)</f>
        <v>#DIV/0!</v>
      </c>
      <c r="AQ170" s="891" t="e">
        <f>AG186</f>
        <v>#DIV/0!</v>
      </c>
      <c r="AR170" s="889">
        <f>_xlfn.SWITCH(TRIM(UPPER(R170)),"ISO 9", 3,"ISO 8", 4,"Grade D", 4,"Class 100,000", 4,"Class 100K", 4,"ISO 7", 3,"Grade C", 3,"Class 10,000", 3,"Class 10K", 3,"ISO 6", 3,"Class 1,000", 3,"Class 1K", 3,"ISO 5", 4,"Grade A", 4,"Grade B", 4,"Class 100", 4,"ISO 4", 3,"ISO 3", 4,"ISO 2", 4,"ISO 1", 4,"NCV20",1,"NCV-10",2,"NCV-5",3,"NCAC-10",1,"NCAC-5",2,"NCAC-1",3,3)</f>
        <v>3</v>
      </c>
      <c r="AS170" s="888" t="e">
        <f>MAX(AI186,AJ186)*24/6</f>
        <v>#DIV/0!</v>
      </c>
      <c r="AT170" s="888" t="e">
        <f>AS170*0.06309</f>
        <v>#DIV/0!</v>
      </c>
      <c r="AU170" s="890">
        <v>2</v>
      </c>
      <c r="AV170" s="888" t="e">
        <f>SQRT((4*AS170*0.00006309)/(3.14*AU170))*1000</f>
        <v>#DIV/0!</v>
      </c>
      <c r="AW170" s="888"/>
      <c r="AX170" s="888"/>
      <c r="AY170" s="887"/>
      <c r="AZ170" s="888"/>
    </row>
    <row r="171" spans="3:52" ht="18.600000000000001">
      <c r="C171" s="13">
        <f>IF(D171&lt;&gt;"",COUNTA($D$10:D171),"")</f>
        <v>138</v>
      </c>
      <c r="D171" s="14" t="s">
        <v>201</v>
      </c>
      <c r="E171" s="14">
        <v>1.8</v>
      </c>
      <c r="F171" s="14">
        <v>2.2000000000000002</v>
      </c>
      <c r="G171" s="14">
        <v>2.4</v>
      </c>
      <c r="H171" s="14">
        <v>2</v>
      </c>
      <c r="I171" s="14">
        <v>1</v>
      </c>
      <c r="J171" s="14">
        <v>1.75</v>
      </c>
      <c r="K171" s="14">
        <v>3</v>
      </c>
      <c r="L171" s="15">
        <v>0.1</v>
      </c>
      <c r="M171" s="15">
        <v>0</v>
      </c>
      <c r="N171" s="14">
        <v>24</v>
      </c>
      <c r="O171" s="14">
        <v>50</v>
      </c>
      <c r="P171" s="13">
        <v>45</v>
      </c>
      <c r="Q171" s="13">
        <v>85</v>
      </c>
      <c r="R171" s="13" t="s">
        <v>17</v>
      </c>
      <c r="S171" s="13">
        <v>120</v>
      </c>
      <c r="T171" s="13">
        <v>0</v>
      </c>
      <c r="U171" s="13">
        <v>100</v>
      </c>
      <c r="V171" s="13" t="str">
        <f t="shared" ref="V171:W185" si="113">R171</f>
        <v>ISO 6</v>
      </c>
      <c r="W171" s="13">
        <f t="shared" si="113"/>
        <v>120</v>
      </c>
      <c r="X171" s="16">
        <f t="shared" ref="X171:X185" si="114">E171*F171*10.76</f>
        <v>42.6096</v>
      </c>
      <c r="Y171" s="16">
        <f t="shared" ref="Y171:Y185" si="115">X171*G171*3.28</f>
        <v>335.4227712</v>
      </c>
      <c r="Z171" s="16">
        <f t="shared" ref="Z171:Z185" si="116">Y171*S171/60</f>
        <v>670.8455424</v>
      </c>
      <c r="AA171" s="16">
        <f t="shared" ref="AA171:AA185" si="117">Z171*L171</f>
        <v>67.084554240000003</v>
      </c>
      <c r="AB171" s="16">
        <f t="shared" ref="AB171:AB185" si="118">IF(N171="Amb",Z171,Z171*M171)</f>
        <v>0</v>
      </c>
      <c r="AC171" s="16">
        <f t="shared" ref="AC171:AC185" si="119">IF(ISNUMBER(N171), (AA171*0.075*60/2.20462)*BP171/7000, "Ambient")</f>
        <v>0</v>
      </c>
      <c r="AD171" s="16" t="e">
        <f t="shared" ref="AD171:AD177" si="120">IF(ISNUMBER(N171), CEILING(CF171/(0.68*BP171),25), "Ambient")</f>
        <v>#DIV/0!</v>
      </c>
      <c r="AE171" s="16" t="e">
        <f t="shared" ref="AE171:AE185" si="121">CEILING(MAX((Z171+AA171),AD171),25)</f>
        <v>#DIV/0!</v>
      </c>
      <c r="AF171" s="16" t="e">
        <f t="shared" ref="AF171:AF185" si="122">CEILING(IF(OR($R171="ISO 6",$R171="GRADE B",$R171="1K",$R171=1000),AE171*1/175,IF(OR($R171="ISO 5",$R171="GRADE A",$R171=100),AE171*1/100,IF(OR($R171="ISO 7",$R171="GRADE C",$R171="10K",$R171=10000),$AE171*1/250,IF(OR($R171="ISO 8",$R171="GRADE D",$R171="100K",$R171=100000),$AE171*1/250,IF(OR($R171="NC",$R171="20 Micron",$R171="5 Micron",$R171="N C"),$AE171*1/350,0))))),2)</f>
        <v>#DIV/0!</v>
      </c>
      <c r="AG171" s="16" t="e">
        <f t="shared" ref="AG171:AG185" si="123">IF(ISNUMBER(N171), CEILING(MAX(AI171,AJ171),0.5), "Ambient")</f>
        <v>#DIV/0!</v>
      </c>
      <c r="AH171" s="838" t="s">
        <v>85</v>
      </c>
      <c r="AI171" s="17">
        <f t="shared" ref="AI171:AI185" si="124">IF(ISNUMBER(N171), CEILING(CE171/12000,0.5), "Ambient")</f>
        <v>0</v>
      </c>
      <c r="AJ171" s="17" t="e">
        <f t="shared" ref="AJ171:AJ185" si="125">IF(ISNUMBER(N171),CEILING(AE171/(IF(AH171="C",400,300)),0.5), "Ambient")</f>
        <v>#DIV/0!</v>
      </c>
      <c r="AK171" s="891"/>
      <c r="AL171" s="18" t="e">
        <f>IF(AK170&lt;=2000,950,(IF(AK170&lt;=3000,1150,(IF(AK170&lt;=8000,1550,(IF(AK170&lt;=10000,1750,(IF(AK170&lt;=18000,2050,(IF(AK170&lt;=32000,2900,(IF(AK170&lt;=40000,3600,4000)))))))))))))</f>
        <v>#DIV/0!</v>
      </c>
      <c r="AM171" s="889"/>
      <c r="AN171" s="891"/>
      <c r="AO171" s="888"/>
      <c r="AP171" s="891"/>
      <c r="AQ171" s="891"/>
      <c r="AR171" s="889"/>
      <c r="AS171" s="888"/>
      <c r="AT171" s="888"/>
      <c r="AU171" s="890"/>
      <c r="AV171" s="888"/>
      <c r="AW171" s="888"/>
      <c r="AX171" s="888"/>
      <c r="AY171" s="887"/>
      <c r="AZ171" s="888"/>
    </row>
    <row r="172" spans="3:52" ht="18.600000000000001">
      <c r="C172" s="13">
        <f>IF(D172&lt;&gt;"",COUNTA($D$10:D172),"")</f>
        <v>139</v>
      </c>
      <c r="D172" s="14" t="s">
        <v>202</v>
      </c>
      <c r="E172" s="14">
        <v>1.5</v>
      </c>
      <c r="F172" s="14">
        <v>2.8</v>
      </c>
      <c r="G172" s="14">
        <v>2.4</v>
      </c>
      <c r="H172" s="14">
        <v>2</v>
      </c>
      <c r="I172" s="14">
        <v>3</v>
      </c>
      <c r="J172" s="14">
        <v>1.75</v>
      </c>
      <c r="K172" s="14">
        <v>3</v>
      </c>
      <c r="L172" s="15">
        <v>0.1</v>
      </c>
      <c r="M172" s="15">
        <v>0</v>
      </c>
      <c r="N172" s="14">
        <v>24</v>
      </c>
      <c r="O172" s="14">
        <v>50</v>
      </c>
      <c r="P172" s="13">
        <v>45</v>
      </c>
      <c r="Q172" s="13">
        <v>85</v>
      </c>
      <c r="R172" s="13" t="s">
        <v>17</v>
      </c>
      <c r="S172" s="13">
        <v>120</v>
      </c>
      <c r="T172" s="13">
        <v>0</v>
      </c>
      <c r="U172" s="13">
        <v>100</v>
      </c>
      <c r="V172" s="13" t="str">
        <f t="shared" si="113"/>
        <v>ISO 6</v>
      </c>
      <c r="W172" s="13">
        <f t="shared" si="113"/>
        <v>120</v>
      </c>
      <c r="X172" s="16">
        <f t="shared" si="114"/>
        <v>45.191999999999993</v>
      </c>
      <c r="Y172" s="16">
        <f t="shared" si="115"/>
        <v>355.75142399999993</v>
      </c>
      <c r="Z172" s="16">
        <f t="shared" si="116"/>
        <v>711.50284799999986</v>
      </c>
      <c r="AA172" s="16">
        <f t="shared" si="117"/>
        <v>71.150284799999994</v>
      </c>
      <c r="AB172" s="16">
        <f t="shared" si="118"/>
        <v>0</v>
      </c>
      <c r="AC172" s="16">
        <f t="shared" si="119"/>
        <v>0</v>
      </c>
      <c r="AD172" s="16" t="e">
        <f t="shared" si="120"/>
        <v>#DIV/0!</v>
      </c>
      <c r="AE172" s="16" t="e">
        <f t="shared" si="121"/>
        <v>#DIV/0!</v>
      </c>
      <c r="AF172" s="16" t="e">
        <f t="shared" si="122"/>
        <v>#DIV/0!</v>
      </c>
      <c r="AG172" s="16" t="e">
        <f t="shared" si="123"/>
        <v>#DIV/0!</v>
      </c>
      <c r="AH172" s="838" t="s">
        <v>85</v>
      </c>
      <c r="AI172" s="17">
        <f t="shared" si="124"/>
        <v>0</v>
      </c>
      <c r="AJ172" s="17" t="e">
        <f t="shared" si="125"/>
        <v>#DIV/0!</v>
      </c>
      <c r="AK172" s="891"/>
      <c r="AL172" s="18" t="s">
        <v>255</v>
      </c>
      <c r="AM172" s="889"/>
      <c r="AN172" s="891"/>
      <c r="AO172" s="888"/>
      <c r="AP172" s="891"/>
      <c r="AQ172" s="891"/>
      <c r="AR172" s="889"/>
      <c r="AS172" s="888"/>
      <c r="AT172" s="888"/>
      <c r="AU172" s="890"/>
      <c r="AV172" s="888"/>
      <c r="AW172" s="888"/>
      <c r="AX172" s="888"/>
      <c r="AY172" s="887"/>
      <c r="AZ172" s="888"/>
    </row>
    <row r="173" spans="3:52" ht="18.600000000000001">
      <c r="C173" s="13">
        <f>IF(D173&lt;&gt;"",COUNTA($D$10:D173),"")</f>
        <v>140</v>
      </c>
      <c r="D173" s="14" t="s">
        <v>203</v>
      </c>
      <c r="E173" s="14">
        <v>2.1</v>
      </c>
      <c r="F173" s="14">
        <v>3.5</v>
      </c>
      <c r="G173" s="14">
        <v>2.4</v>
      </c>
      <c r="H173" s="14">
        <v>0</v>
      </c>
      <c r="I173" s="14">
        <v>1</v>
      </c>
      <c r="J173" s="14">
        <v>1.75</v>
      </c>
      <c r="K173" s="14">
        <v>3</v>
      </c>
      <c r="L173" s="15">
        <v>0.1</v>
      </c>
      <c r="M173" s="15">
        <v>0</v>
      </c>
      <c r="N173" s="14">
        <v>24</v>
      </c>
      <c r="O173" s="14">
        <v>50</v>
      </c>
      <c r="P173" s="13">
        <v>45</v>
      </c>
      <c r="Q173" s="13">
        <v>85</v>
      </c>
      <c r="R173" s="13" t="s">
        <v>17</v>
      </c>
      <c r="S173" s="13">
        <v>120</v>
      </c>
      <c r="T173" s="13">
        <v>0</v>
      </c>
      <c r="U173" s="13">
        <v>100</v>
      </c>
      <c r="V173" s="13" t="str">
        <f t="shared" si="113"/>
        <v>ISO 6</v>
      </c>
      <c r="W173" s="13">
        <f t="shared" si="113"/>
        <v>120</v>
      </c>
      <c r="X173" s="16">
        <f t="shared" si="114"/>
        <v>79.085999999999999</v>
      </c>
      <c r="Y173" s="16">
        <f t="shared" si="115"/>
        <v>622.56499199999996</v>
      </c>
      <c r="Z173" s="16">
        <f t="shared" si="116"/>
        <v>1245.1299839999999</v>
      </c>
      <c r="AA173" s="16">
        <f t="shared" si="117"/>
        <v>124.5129984</v>
      </c>
      <c r="AB173" s="16">
        <f t="shared" si="118"/>
        <v>0</v>
      </c>
      <c r="AC173" s="16">
        <f t="shared" si="119"/>
        <v>0</v>
      </c>
      <c r="AD173" s="16" t="e">
        <f t="shared" si="120"/>
        <v>#DIV/0!</v>
      </c>
      <c r="AE173" s="16" t="e">
        <f t="shared" si="121"/>
        <v>#DIV/0!</v>
      </c>
      <c r="AF173" s="16" t="e">
        <f t="shared" si="122"/>
        <v>#DIV/0!</v>
      </c>
      <c r="AG173" s="16" t="e">
        <f t="shared" si="123"/>
        <v>#DIV/0!</v>
      </c>
      <c r="AH173" s="838" t="s">
        <v>85</v>
      </c>
      <c r="AI173" s="17">
        <f t="shared" si="124"/>
        <v>0</v>
      </c>
      <c r="AJ173" s="17" t="e">
        <f t="shared" si="125"/>
        <v>#DIV/0!</v>
      </c>
      <c r="AK173" s="891"/>
      <c r="AL173" s="18" t="e">
        <f>IF(AK170&lt;=2000,950,(IF(AK170&lt;=4000,1100,(IF(AK170&lt;=6000,1250,(IF(AK170&lt;=10000,1550,(IF(AK170&lt;=15000,1750,(IF(AK170&lt;=24000,2050,(IF(AK170&lt;=40000,2900,3600)))))))))))))</f>
        <v>#DIV/0!</v>
      </c>
      <c r="AM173" s="889"/>
      <c r="AN173" s="891"/>
      <c r="AO173" s="888"/>
      <c r="AP173" s="891"/>
      <c r="AQ173" s="891"/>
      <c r="AR173" s="889"/>
      <c r="AS173" s="888"/>
      <c r="AT173" s="888"/>
      <c r="AU173" s="890"/>
      <c r="AV173" s="888"/>
      <c r="AW173" s="888"/>
      <c r="AX173" s="888"/>
      <c r="AY173" s="887"/>
      <c r="AZ173" s="888"/>
    </row>
    <row r="174" spans="3:52" ht="18.600000000000001">
      <c r="C174" s="13">
        <f>IF(D174&lt;&gt;"",COUNTA($D$10:D174),"")</f>
        <v>141</v>
      </c>
      <c r="D174" s="14" t="s">
        <v>204</v>
      </c>
      <c r="E174" s="14">
        <v>2.7</v>
      </c>
      <c r="F174" s="14">
        <v>4</v>
      </c>
      <c r="G174" s="14">
        <v>2.4</v>
      </c>
      <c r="H174" s="14">
        <v>2</v>
      </c>
      <c r="I174" s="14">
        <v>1</v>
      </c>
      <c r="J174" s="14">
        <v>1.75</v>
      </c>
      <c r="K174" s="14">
        <v>3</v>
      </c>
      <c r="L174" s="15">
        <v>0.1</v>
      </c>
      <c r="M174" s="15">
        <v>0</v>
      </c>
      <c r="N174" s="14">
        <v>24</v>
      </c>
      <c r="O174" s="14">
        <v>50</v>
      </c>
      <c r="P174" s="13">
        <v>45</v>
      </c>
      <c r="Q174" s="13">
        <v>85</v>
      </c>
      <c r="R174" s="13" t="s">
        <v>17</v>
      </c>
      <c r="S174" s="13">
        <v>120</v>
      </c>
      <c r="T174" s="13">
        <v>0</v>
      </c>
      <c r="U174" s="13">
        <v>100</v>
      </c>
      <c r="V174" s="13" t="str">
        <f t="shared" si="113"/>
        <v>ISO 6</v>
      </c>
      <c r="W174" s="13">
        <f t="shared" si="113"/>
        <v>120</v>
      </c>
      <c r="X174" s="16">
        <f t="shared" si="114"/>
        <v>116.208</v>
      </c>
      <c r="Y174" s="16">
        <f t="shared" si="115"/>
        <v>914.78937599999995</v>
      </c>
      <c r="Z174" s="16">
        <f t="shared" si="116"/>
        <v>1829.5787519999999</v>
      </c>
      <c r="AA174" s="16">
        <f t="shared" si="117"/>
        <v>182.95787519999999</v>
      </c>
      <c r="AB174" s="16">
        <f t="shared" si="118"/>
        <v>0</v>
      </c>
      <c r="AC174" s="16">
        <f t="shared" si="119"/>
        <v>0</v>
      </c>
      <c r="AD174" s="16" t="e">
        <f t="shared" si="120"/>
        <v>#DIV/0!</v>
      </c>
      <c r="AE174" s="16" t="e">
        <f t="shared" si="121"/>
        <v>#DIV/0!</v>
      </c>
      <c r="AF174" s="16" t="e">
        <f t="shared" si="122"/>
        <v>#DIV/0!</v>
      </c>
      <c r="AG174" s="16" t="e">
        <f t="shared" si="123"/>
        <v>#DIV/0!</v>
      </c>
      <c r="AH174" s="838" t="s">
        <v>85</v>
      </c>
      <c r="AI174" s="17">
        <f t="shared" si="124"/>
        <v>0</v>
      </c>
      <c r="AJ174" s="17" t="e">
        <f t="shared" si="125"/>
        <v>#DIV/0!</v>
      </c>
      <c r="AK174" s="891"/>
      <c r="AL174" s="18" t="s">
        <v>256</v>
      </c>
      <c r="AM174" s="889"/>
      <c r="AN174" s="891"/>
      <c r="AO174" s="888"/>
      <c r="AP174" s="891"/>
      <c r="AQ174" s="891"/>
      <c r="AR174" s="889"/>
      <c r="AS174" s="888"/>
      <c r="AT174" s="888"/>
      <c r="AU174" s="890"/>
      <c r="AV174" s="888"/>
      <c r="AW174" s="888"/>
      <c r="AX174" s="888"/>
      <c r="AY174" s="887"/>
      <c r="AZ174" s="888"/>
    </row>
    <row r="175" spans="3:52" ht="18.600000000000001">
      <c r="C175" s="13">
        <f>IF(D175&lt;&gt;"",COUNTA($D$10:D175),"")</f>
        <v>142</v>
      </c>
      <c r="D175" s="14" t="s">
        <v>205</v>
      </c>
      <c r="E175" s="14">
        <v>3.8</v>
      </c>
      <c r="F175" s="14">
        <v>4.2</v>
      </c>
      <c r="G175" s="14">
        <v>2.4</v>
      </c>
      <c r="H175" s="14">
        <v>3</v>
      </c>
      <c r="I175" s="14">
        <v>3</v>
      </c>
      <c r="J175" s="14">
        <v>1.75</v>
      </c>
      <c r="K175" s="14">
        <v>3</v>
      </c>
      <c r="L175" s="15">
        <v>0.1</v>
      </c>
      <c r="M175" s="15">
        <v>0</v>
      </c>
      <c r="N175" s="14">
        <v>24</v>
      </c>
      <c r="O175" s="14">
        <v>50</v>
      </c>
      <c r="P175" s="13">
        <v>45</v>
      </c>
      <c r="Q175" s="13">
        <v>85</v>
      </c>
      <c r="R175" s="13" t="s">
        <v>17</v>
      </c>
      <c r="S175" s="13">
        <v>120</v>
      </c>
      <c r="T175" s="13">
        <v>0</v>
      </c>
      <c r="U175" s="13">
        <v>100</v>
      </c>
      <c r="V175" s="13" t="str">
        <f t="shared" si="113"/>
        <v>ISO 6</v>
      </c>
      <c r="W175" s="13">
        <f t="shared" si="113"/>
        <v>120</v>
      </c>
      <c r="X175" s="16">
        <f t="shared" si="114"/>
        <v>171.72959999999998</v>
      </c>
      <c r="Y175" s="16">
        <f t="shared" si="115"/>
        <v>1351.8554111999997</v>
      </c>
      <c r="Z175" s="16">
        <f t="shared" si="116"/>
        <v>2703.7108223999994</v>
      </c>
      <c r="AA175" s="16">
        <f t="shared" si="117"/>
        <v>270.37108223999996</v>
      </c>
      <c r="AB175" s="16">
        <f t="shared" si="118"/>
        <v>0</v>
      </c>
      <c r="AC175" s="16">
        <f t="shared" si="119"/>
        <v>0</v>
      </c>
      <c r="AD175" s="16" t="e">
        <f t="shared" si="120"/>
        <v>#DIV/0!</v>
      </c>
      <c r="AE175" s="16" t="e">
        <f t="shared" si="121"/>
        <v>#DIV/0!</v>
      </c>
      <c r="AF175" s="16" t="e">
        <f t="shared" si="122"/>
        <v>#DIV/0!</v>
      </c>
      <c r="AG175" s="16" t="e">
        <f t="shared" si="123"/>
        <v>#DIV/0!</v>
      </c>
      <c r="AH175" s="838" t="s">
        <v>85</v>
      </c>
      <c r="AI175" s="17">
        <f t="shared" si="124"/>
        <v>0</v>
      </c>
      <c r="AJ175" s="17" t="e">
        <f t="shared" si="125"/>
        <v>#DIV/0!</v>
      </c>
      <c r="AK175" s="891"/>
      <c r="AL175" s="18" t="e">
        <f>IF(AL179&lt;4000,AL179,AL179+400)</f>
        <v>#DIV/0!</v>
      </c>
      <c r="AM175" s="889"/>
      <c r="AN175" s="891"/>
      <c r="AO175" s="888"/>
      <c r="AP175" s="891"/>
      <c r="AQ175" s="891"/>
      <c r="AR175" s="889"/>
      <c r="AS175" s="888"/>
      <c r="AT175" s="888"/>
      <c r="AU175" s="890"/>
      <c r="AV175" s="888"/>
      <c r="AW175" s="888"/>
      <c r="AX175" s="888"/>
      <c r="AY175" s="887"/>
      <c r="AZ175" s="888"/>
    </row>
    <row r="176" spans="3:52" ht="18.600000000000001">
      <c r="C176" s="13">
        <f>IF(D176&lt;&gt;"",COUNTA($D$10:D176),"")</f>
        <v>143</v>
      </c>
      <c r="D176" s="14" t="s">
        <v>206</v>
      </c>
      <c r="E176" s="14">
        <v>3.1</v>
      </c>
      <c r="F176" s="14">
        <v>2.6</v>
      </c>
      <c r="G176" s="14">
        <v>2.4</v>
      </c>
      <c r="H176" s="14">
        <v>2</v>
      </c>
      <c r="I176" s="14">
        <v>1</v>
      </c>
      <c r="J176" s="14">
        <v>1.75</v>
      </c>
      <c r="K176" s="14">
        <v>3</v>
      </c>
      <c r="L176" s="15">
        <v>0.1</v>
      </c>
      <c r="M176" s="15">
        <v>0</v>
      </c>
      <c r="N176" s="14">
        <v>24</v>
      </c>
      <c r="O176" s="14">
        <v>50</v>
      </c>
      <c r="P176" s="13">
        <v>45</v>
      </c>
      <c r="Q176" s="13">
        <v>85</v>
      </c>
      <c r="R176" s="13" t="s">
        <v>17</v>
      </c>
      <c r="S176" s="13">
        <v>120</v>
      </c>
      <c r="T176" s="13">
        <v>0</v>
      </c>
      <c r="U176" s="13">
        <v>100</v>
      </c>
      <c r="V176" s="13" t="str">
        <f t="shared" si="113"/>
        <v>ISO 6</v>
      </c>
      <c r="W176" s="13">
        <f t="shared" si="113"/>
        <v>120</v>
      </c>
      <c r="X176" s="16">
        <f t="shared" si="114"/>
        <v>86.7256</v>
      </c>
      <c r="Y176" s="16">
        <f t="shared" si="115"/>
        <v>682.70392319999996</v>
      </c>
      <c r="Z176" s="16">
        <f t="shared" si="116"/>
        <v>1365.4078463999999</v>
      </c>
      <c r="AA176" s="16">
        <f t="shared" si="117"/>
        <v>136.54078464</v>
      </c>
      <c r="AB176" s="16">
        <f t="shared" si="118"/>
        <v>0</v>
      </c>
      <c r="AC176" s="16">
        <f t="shared" si="119"/>
        <v>0</v>
      </c>
      <c r="AD176" s="16" t="e">
        <f t="shared" si="120"/>
        <v>#DIV/0!</v>
      </c>
      <c r="AE176" s="16" t="e">
        <f t="shared" si="121"/>
        <v>#DIV/0!</v>
      </c>
      <c r="AF176" s="16" t="e">
        <f t="shared" si="122"/>
        <v>#DIV/0!</v>
      </c>
      <c r="AG176" s="16" t="e">
        <f t="shared" si="123"/>
        <v>#DIV/0!</v>
      </c>
      <c r="AH176" s="838" t="s">
        <v>85</v>
      </c>
      <c r="AI176" s="17">
        <f t="shared" si="124"/>
        <v>0</v>
      </c>
      <c r="AJ176" s="17" t="e">
        <f t="shared" si="125"/>
        <v>#DIV/0!</v>
      </c>
      <c r="AK176" s="891"/>
      <c r="AL176" s="18"/>
      <c r="AM176" s="889"/>
      <c r="AN176" s="891"/>
      <c r="AO176" s="888"/>
      <c r="AP176" s="891"/>
      <c r="AQ176" s="891"/>
      <c r="AR176" s="889"/>
      <c r="AS176" s="888"/>
      <c r="AT176" s="888"/>
      <c r="AU176" s="890"/>
      <c r="AV176" s="888"/>
      <c r="AW176" s="888"/>
      <c r="AX176" s="888"/>
      <c r="AY176" s="887"/>
      <c r="AZ176" s="888"/>
    </row>
    <row r="177" spans="3:52" ht="18.600000000000001">
      <c r="C177" s="13">
        <f>IF(D177&lt;&gt;"",COUNTA($D$10:D177),"")</f>
        <v>144</v>
      </c>
      <c r="D177" s="14" t="s">
        <v>207</v>
      </c>
      <c r="E177" s="14">
        <v>1.9</v>
      </c>
      <c r="F177" s="14">
        <v>2.4</v>
      </c>
      <c r="G177" s="14">
        <v>2.4</v>
      </c>
      <c r="H177" s="14">
        <v>3</v>
      </c>
      <c r="I177" s="14">
        <v>2</v>
      </c>
      <c r="J177" s="14">
        <v>1.75</v>
      </c>
      <c r="K177" s="14">
        <v>3</v>
      </c>
      <c r="L177" s="15">
        <v>0.1</v>
      </c>
      <c r="M177" s="15">
        <v>0</v>
      </c>
      <c r="N177" s="14">
        <v>24</v>
      </c>
      <c r="O177" s="14">
        <v>50</v>
      </c>
      <c r="P177" s="13">
        <v>45</v>
      </c>
      <c r="Q177" s="13">
        <v>85</v>
      </c>
      <c r="R177" s="13" t="s">
        <v>17</v>
      </c>
      <c r="S177" s="13">
        <v>120</v>
      </c>
      <c r="T177" s="13">
        <v>0</v>
      </c>
      <c r="U177" s="13">
        <v>100</v>
      </c>
      <c r="V177" s="13" t="str">
        <f t="shared" si="113"/>
        <v>ISO 6</v>
      </c>
      <c r="W177" s="13">
        <f t="shared" si="113"/>
        <v>120</v>
      </c>
      <c r="X177" s="16">
        <f t="shared" si="114"/>
        <v>49.065599999999996</v>
      </c>
      <c r="Y177" s="16">
        <f t="shared" si="115"/>
        <v>386.24440319999997</v>
      </c>
      <c r="Z177" s="16">
        <f t="shared" si="116"/>
        <v>772.48880639999993</v>
      </c>
      <c r="AA177" s="16">
        <f t="shared" si="117"/>
        <v>77.248880639999996</v>
      </c>
      <c r="AB177" s="16">
        <f t="shared" si="118"/>
        <v>0</v>
      </c>
      <c r="AC177" s="16">
        <f t="shared" si="119"/>
        <v>0</v>
      </c>
      <c r="AD177" s="16" t="e">
        <f t="shared" si="120"/>
        <v>#DIV/0!</v>
      </c>
      <c r="AE177" s="16" t="e">
        <f t="shared" si="121"/>
        <v>#DIV/0!</v>
      </c>
      <c r="AF177" s="16" t="e">
        <f t="shared" si="122"/>
        <v>#DIV/0!</v>
      </c>
      <c r="AG177" s="16" t="e">
        <f t="shared" si="123"/>
        <v>#DIV/0!</v>
      </c>
      <c r="AH177" s="838" t="s">
        <v>85</v>
      </c>
      <c r="AI177" s="17">
        <f t="shared" si="124"/>
        <v>0</v>
      </c>
      <c r="AJ177" s="17" t="e">
        <f t="shared" si="125"/>
        <v>#DIV/0!</v>
      </c>
      <c r="AK177" s="891"/>
      <c r="AL177" s="18"/>
      <c r="AM177" s="889"/>
      <c r="AN177" s="891"/>
      <c r="AO177" s="888"/>
      <c r="AP177" s="891"/>
      <c r="AQ177" s="891"/>
      <c r="AR177" s="889"/>
      <c r="AS177" s="888"/>
      <c r="AT177" s="888"/>
      <c r="AU177" s="890"/>
      <c r="AV177" s="888"/>
      <c r="AW177" s="888"/>
      <c r="AX177" s="888"/>
      <c r="AY177" s="887"/>
      <c r="AZ177" s="888"/>
    </row>
    <row r="178" spans="3:52" ht="18.600000000000001">
      <c r="C178" s="13">
        <f>IF(D178&lt;&gt;"",COUNTA($D$10:D178),"")</f>
        <v>145</v>
      </c>
      <c r="D178" s="14" t="s">
        <v>208</v>
      </c>
      <c r="E178" s="14">
        <v>3</v>
      </c>
      <c r="F178" s="14">
        <v>2.9</v>
      </c>
      <c r="G178" s="14">
        <v>2.4</v>
      </c>
      <c r="H178" s="14">
        <v>2</v>
      </c>
      <c r="I178" s="14">
        <v>1</v>
      </c>
      <c r="J178" s="14">
        <v>1.75</v>
      </c>
      <c r="K178" s="14">
        <v>3</v>
      </c>
      <c r="L178" s="15">
        <v>0.1</v>
      </c>
      <c r="M178" s="15">
        <v>0</v>
      </c>
      <c r="N178" s="14">
        <v>24</v>
      </c>
      <c r="O178" s="14">
        <v>50</v>
      </c>
      <c r="P178" s="13">
        <v>45</v>
      </c>
      <c r="Q178" s="13">
        <v>85</v>
      </c>
      <c r="R178" s="13" t="s">
        <v>17</v>
      </c>
      <c r="S178" s="13">
        <v>120</v>
      </c>
      <c r="T178" s="13">
        <v>0</v>
      </c>
      <c r="U178" s="13">
        <v>100</v>
      </c>
      <c r="V178" s="13" t="str">
        <f t="shared" si="113"/>
        <v>ISO 6</v>
      </c>
      <c r="W178" s="13">
        <f t="shared" si="113"/>
        <v>120</v>
      </c>
      <c r="X178" s="16">
        <f t="shared" si="114"/>
        <v>93.611999999999995</v>
      </c>
      <c r="Y178" s="16">
        <f t="shared" si="115"/>
        <v>736.91366399999993</v>
      </c>
      <c r="Z178" s="16">
        <f t="shared" si="116"/>
        <v>1473.8273279999999</v>
      </c>
      <c r="AA178" s="16">
        <f t="shared" si="117"/>
        <v>147.38273279999999</v>
      </c>
      <c r="AB178" s="16">
        <f t="shared" si="118"/>
        <v>0</v>
      </c>
      <c r="AC178" s="16">
        <f t="shared" si="119"/>
        <v>0</v>
      </c>
      <c r="AD178" s="16" t="e">
        <f>IF(ISNUMBER(N178), CEILING(CF178/(0.68*BP178),25), "Ambient")</f>
        <v>#DIV/0!</v>
      </c>
      <c r="AE178" s="16" t="e">
        <f t="shared" si="121"/>
        <v>#DIV/0!</v>
      </c>
      <c r="AF178" s="16" t="e">
        <f t="shared" si="122"/>
        <v>#DIV/0!</v>
      </c>
      <c r="AG178" s="16" t="e">
        <f t="shared" si="123"/>
        <v>#DIV/0!</v>
      </c>
      <c r="AH178" s="838" t="s">
        <v>85</v>
      </c>
      <c r="AI178" s="17">
        <f t="shared" si="124"/>
        <v>0</v>
      </c>
      <c r="AJ178" s="17" t="e">
        <f t="shared" si="125"/>
        <v>#DIV/0!</v>
      </c>
      <c r="AK178" s="891"/>
      <c r="AL178" s="18"/>
      <c r="AM178" s="889"/>
      <c r="AN178" s="891"/>
      <c r="AO178" s="888"/>
      <c r="AP178" s="891"/>
      <c r="AQ178" s="891"/>
      <c r="AR178" s="889"/>
      <c r="AS178" s="888"/>
      <c r="AT178" s="888"/>
      <c r="AU178" s="890"/>
      <c r="AV178" s="888"/>
      <c r="AW178" s="888"/>
      <c r="AX178" s="888"/>
      <c r="AY178" s="887"/>
      <c r="AZ178" s="888"/>
    </row>
    <row r="179" spans="3:52" ht="18.600000000000001">
      <c r="C179" s="13">
        <f>IF(D179&lt;&gt;"",COUNTA($D$10:D179),"")</f>
        <v>146</v>
      </c>
      <c r="D179" s="14" t="s">
        <v>209</v>
      </c>
      <c r="E179" s="14">
        <v>2.4</v>
      </c>
      <c r="F179" s="14">
        <v>2</v>
      </c>
      <c r="G179" s="14">
        <v>2.4</v>
      </c>
      <c r="H179" s="14">
        <v>2</v>
      </c>
      <c r="I179" s="14">
        <v>1</v>
      </c>
      <c r="J179" s="14">
        <v>1.75</v>
      </c>
      <c r="K179" s="14">
        <v>3</v>
      </c>
      <c r="L179" s="15">
        <v>0.1</v>
      </c>
      <c r="M179" s="15">
        <v>0</v>
      </c>
      <c r="N179" s="14">
        <v>24</v>
      </c>
      <c r="O179" s="14">
        <v>50</v>
      </c>
      <c r="P179" s="13">
        <v>45</v>
      </c>
      <c r="Q179" s="13">
        <v>85</v>
      </c>
      <c r="R179" s="13" t="s">
        <v>17</v>
      </c>
      <c r="S179" s="13">
        <v>120</v>
      </c>
      <c r="T179" s="13">
        <v>0</v>
      </c>
      <c r="U179" s="13">
        <v>100</v>
      </c>
      <c r="V179" s="13" t="str">
        <f t="shared" si="113"/>
        <v>ISO 6</v>
      </c>
      <c r="W179" s="13">
        <f t="shared" si="113"/>
        <v>120</v>
      </c>
      <c r="X179" s="16">
        <f t="shared" si="114"/>
        <v>51.647999999999996</v>
      </c>
      <c r="Y179" s="16">
        <f t="shared" si="115"/>
        <v>406.57305599999995</v>
      </c>
      <c r="Z179" s="16">
        <f t="shared" si="116"/>
        <v>813.1461119999999</v>
      </c>
      <c r="AA179" s="16">
        <f t="shared" si="117"/>
        <v>81.314611200000002</v>
      </c>
      <c r="AB179" s="16">
        <f t="shared" si="118"/>
        <v>0</v>
      </c>
      <c r="AC179" s="16">
        <f t="shared" si="119"/>
        <v>0</v>
      </c>
      <c r="AD179" s="16" t="e">
        <f t="shared" ref="AD179:AD185" si="126">IF(ISNUMBER(N179), CEILING(CF179/(0.68*BP179),25), "Ambient")</f>
        <v>#DIV/0!</v>
      </c>
      <c r="AE179" s="16" t="e">
        <f t="shared" si="121"/>
        <v>#DIV/0!</v>
      </c>
      <c r="AF179" s="16" t="e">
        <f t="shared" si="122"/>
        <v>#DIV/0!</v>
      </c>
      <c r="AG179" s="16" t="e">
        <f t="shared" si="123"/>
        <v>#DIV/0!</v>
      </c>
      <c r="AH179" s="838" t="s">
        <v>85</v>
      </c>
      <c r="AI179" s="17">
        <f t="shared" si="124"/>
        <v>0</v>
      </c>
      <c r="AJ179" s="17" t="e">
        <f t="shared" si="125"/>
        <v>#DIV/0!</v>
      </c>
      <c r="AK179" s="891"/>
      <c r="AL179" s="174" t="e">
        <f>IF(AN170&lt;=315,1600,(IF(AN170=355,1650,(IF(AN170=400,1650,(IF(AN170=450,1700,(IF(AN170=500,1700,(IF(AN170=560,1800,(IF(AN170=630,2000,(IF(AN170=710,2200,2500)))))))))))))))+IF(AR170=2,1800,(IF(AR170=3,2300,(IF(AR170=4,3300,0)))))+IF(AP170&lt;=4,600,(IF(AP170&lt;=6,800,(IF(AP170&lt;=8,1000,1200)))))</f>
        <v>#DIV/0!</v>
      </c>
      <c r="AM179" s="889"/>
      <c r="AN179" s="891"/>
      <c r="AO179" s="888"/>
      <c r="AP179" s="891"/>
      <c r="AQ179" s="891"/>
      <c r="AR179" s="889"/>
      <c r="AS179" s="888"/>
      <c r="AT179" s="888"/>
      <c r="AU179" s="890"/>
      <c r="AV179" s="888"/>
      <c r="AW179" s="888"/>
      <c r="AX179" s="888"/>
      <c r="AY179" s="887"/>
      <c r="AZ179" s="888"/>
    </row>
    <row r="180" spans="3:52" ht="18.600000000000001">
      <c r="C180" s="13">
        <f>IF(D180&lt;&gt;"",COUNTA($D$10:D180),"")</f>
        <v>147</v>
      </c>
      <c r="D180" s="14" t="s">
        <v>210</v>
      </c>
      <c r="E180" s="14">
        <v>2.1</v>
      </c>
      <c r="F180" s="14">
        <v>1.8</v>
      </c>
      <c r="G180" s="14">
        <v>2.4</v>
      </c>
      <c r="H180" s="14">
        <v>2</v>
      </c>
      <c r="I180" s="14">
        <v>1</v>
      </c>
      <c r="J180" s="14">
        <v>1.75</v>
      </c>
      <c r="K180" s="14">
        <v>3</v>
      </c>
      <c r="L180" s="15">
        <v>0.1</v>
      </c>
      <c r="M180" s="15">
        <v>0</v>
      </c>
      <c r="N180" s="14">
        <v>24</v>
      </c>
      <c r="O180" s="14">
        <v>50</v>
      </c>
      <c r="P180" s="13">
        <v>45</v>
      </c>
      <c r="Q180" s="13">
        <v>85</v>
      </c>
      <c r="R180" s="13" t="s">
        <v>17</v>
      </c>
      <c r="S180" s="13">
        <v>120</v>
      </c>
      <c r="T180" s="13">
        <v>0</v>
      </c>
      <c r="U180" s="13">
        <v>100</v>
      </c>
      <c r="V180" s="13" t="str">
        <f t="shared" si="113"/>
        <v>ISO 6</v>
      </c>
      <c r="W180" s="13">
        <f t="shared" si="113"/>
        <v>120</v>
      </c>
      <c r="X180" s="16">
        <f t="shared" si="114"/>
        <v>40.672800000000002</v>
      </c>
      <c r="Y180" s="16">
        <f t="shared" si="115"/>
        <v>320.17628159999998</v>
      </c>
      <c r="Z180" s="16">
        <f t="shared" si="116"/>
        <v>640.35256319999996</v>
      </c>
      <c r="AA180" s="16">
        <f t="shared" si="117"/>
        <v>64.035256320000002</v>
      </c>
      <c r="AB180" s="16">
        <f t="shared" si="118"/>
        <v>0</v>
      </c>
      <c r="AC180" s="16">
        <f t="shared" si="119"/>
        <v>0</v>
      </c>
      <c r="AD180" s="16" t="e">
        <f t="shared" si="126"/>
        <v>#DIV/0!</v>
      </c>
      <c r="AE180" s="16" t="e">
        <f t="shared" si="121"/>
        <v>#DIV/0!</v>
      </c>
      <c r="AF180" s="16" t="e">
        <f t="shared" si="122"/>
        <v>#DIV/0!</v>
      </c>
      <c r="AG180" s="16" t="e">
        <f t="shared" si="123"/>
        <v>#DIV/0!</v>
      </c>
      <c r="AH180" s="838" t="s">
        <v>85</v>
      </c>
      <c r="AI180" s="17">
        <f t="shared" si="124"/>
        <v>0</v>
      </c>
      <c r="AJ180" s="17" t="e">
        <f t="shared" si="125"/>
        <v>#DIV/0!</v>
      </c>
      <c r="AK180" s="891"/>
      <c r="AL180" s="18"/>
      <c r="AM180" s="889"/>
      <c r="AN180" s="891"/>
      <c r="AO180" s="888"/>
      <c r="AP180" s="891"/>
      <c r="AQ180" s="891"/>
      <c r="AR180" s="889"/>
      <c r="AS180" s="888"/>
      <c r="AT180" s="888"/>
      <c r="AU180" s="890"/>
      <c r="AV180" s="888"/>
      <c r="AW180" s="888"/>
      <c r="AX180" s="888"/>
      <c r="AY180" s="887"/>
      <c r="AZ180" s="888"/>
    </row>
    <row r="181" spans="3:52" ht="18.600000000000001">
      <c r="C181" s="13">
        <f>IF(D181&lt;&gt;"",COUNTA($D$10:D181),"")</f>
        <v>148</v>
      </c>
      <c r="D181" s="14" t="s">
        <v>211</v>
      </c>
      <c r="E181" s="14">
        <v>1.8</v>
      </c>
      <c r="F181" s="14">
        <v>1.9</v>
      </c>
      <c r="G181" s="14">
        <v>2.4</v>
      </c>
      <c r="H181" s="14">
        <v>2</v>
      </c>
      <c r="I181" s="14">
        <v>1</v>
      </c>
      <c r="J181" s="14">
        <v>1.75</v>
      </c>
      <c r="K181" s="14">
        <v>3</v>
      </c>
      <c r="L181" s="15">
        <v>0.1</v>
      </c>
      <c r="M181" s="15">
        <v>0</v>
      </c>
      <c r="N181" s="14">
        <v>24</v>
      </c>
      <c r="O181" s="14">
        <v>50</v>
      </c>
      <c r="P181" s="13">
        <v>45</v>
      </c>
      <c r="Q181" s="13">
        <v>85</v>
      </c>
      <c r="R181" s="13" t="s">
        <v>17</v>
      </c>
      <c r="S181" s="13">
        <v>120</v>
      </c>
      <c r="T181" s="13">
        <v>0</v>
      </c>
      <c r="U181" s="13">
        <v>100</v>
      </c>
      <c r="V181" s="13" t="str">
        <f t="shared" si="113"/>
        <v>ISO 6</v>
      </c>
      <c r="W181" s="13">
        <f t="shared" si="113"/>
        <v>120</v>
      </c>
      <c r="X181" s="16">
        <f t="shared" si="114"/>
        <v>36.799199999999999</v>
      </c>
      <c r="Y181" s="16">
        <f t="shared" si="115"/>
        <v>289.68330239999995</v>
      </c>
      <c r="Z181" s="16">
        <f t="shared" si="116"/>
        <v>579.36660479999989</v>
      </c>
      <c r="AA181" s="16">
        <f t="shared" si="117"/>
        <v>57.936660479999993</v>
      </c>
      <c r="AB181" s="16">
        <f t="shared" si="118"/>
        <v>0</v>
      </c>
      <c r="AC181" s="16">
        <f t="shared" si="119"/>
        <v>0</v>
      </c>
      <c r="AD181" s="16" t="e">
        <f t="shared" si="126"/>
        <v>#DIV/0!</v>
      </c>
      <c r="AE181" s="16" t="e">
        <f t="shared" si="121"/>
        <v>#DIV/0!</v>
      </c>
      <c r="AF181" s="16" t="e">
        <f t="shared" si="122"/>
        <v>#DIV/0!</v>
      </c>
      <c r="AG181" s="16" t="e">
        <f t="shared" si="123"/>
        <v>#DIV/0!</v>
      </c>
      <c r="AH181" s="838" t="s">
        <v>85</v>
      </c>
      <c r="AI181" s="17">
        <f t="shared" si="124"/>
        <v>0</v>
      </c>
      <c r="AJ181" s="17" t="e">
        <f t="shared" si="125"/>
        <v>#DIV/0!</v>
      </c>
      <c r="AK181" s="891"/>
      <c r="AL181" s="18"/>
      <c r="AM181" s="889"/>
      <c r="AN181" s="891"/>
      <c r="AO181" s="888"/>
      <c r="AP181" s="891"/>
      <c r="AQ181" s="891"/>
      <c r="AR181" s="889"/>
      <c r="AS181" s="888"/>
      <c r="AT181" s="888"/>
      <c r="AU181" s="890"/>
      <c r="AV181" s="888"/>
      <c r="AW181" s="888"/>
      <c r="AX181" s="888"/>
      <c r="AY181" s="887"/>
      <c r="AZ181" s="888"/>
    </row>
    <row r="182" spans="3:52" ht="18.600000000000001">
      <c r="C182" s="13">
        <f>IF(D182&lt;&gt;"",COUNTA($D$10:D182),"")</f>
        <v>149</v>
      </c>
      <c r="D182" s="14" t="s">
        <v>212</v>
      </c>
      <c r="E182" s="14">
        <v>1.9</v>
      </c>
      <c r="F182" s="14">
        <v>2</v>
      </c>
      <c r="G182" s="14">
        <v>2.4</v>
      </c>
      <c r="H182" s="14">
        <v>2</v>
      </c>
      <c r="I182" s="14">
        <v>1</v>
      </c>
      <c r="J182" s="14">
        <v>1.75</v>
      </c>
      <c r="K182" s="14">
        <v>3</v>
      </c>
      <c r="L182" s="15">
        <v>0.1</v>
      </c>
      <c r="M182" s="15">
        <v>0</v>
      </c>
      <c r="N182" s="14">
        <v>24</v>
      </c>
      <c r="O182" s="14">
        <v>50</v>
      </c>
      <c r="P182" s="13">
        <v>45</v>
      </c>
      <c r="Q182" s="13">
        <v>85</v>
      </c>
      <c r="R182" s="13" t="s">
        <v>17</v>
      </c>
      <c r="S182" s="13">
        <v>120</v>
      </c>
      <c r="T182" s="13">
        <v>0</v>
      </c>
      <c r="U182" s="13">
        <v>100</v>
      </c>
      <c r="V182" s="13" t="str">
        <f t="shared" si="113"/>
        <v>ISO 6</v>
      </c>
      <c r="W182" s="13">
        <f t="shared" si="113"/>
        <v>120</v>
      </c>
      <c r="X182" s="16">
        <f t="shared" si="114"/>
        <v>40.887999999999998</v>
      </c>
      <c r="Y182" s="16">
        <f t="shared" si="115"/>
        <v>321.87033599999995</v>
      </c>
      <c r="Z182" s="16">
        <f t="shared" si="116"/>
        <v>643.7406719999999</v>
      </c>
      <c r="AA182" s="16">
        <f t="shared" si="117"/>
        <v>64.374067199999999</v>
      </c>
      <c r="AB182" s="16">
        <f t="shared" si="118"/>
        <v>0</v>
      </c>
      <c r="AC182" s="16">
        <f t="shared" si="119"/>
        <v>0</v>
      </c>
      <c r="AD182" s="16" t="e">
        <f t="shared" si="126"/>
        <v>#DIV/0!</v>
      </c>
      <c r="AE182" s="16" t="e">
        <f t="shared" si="121"/>
        <v>#DIV/0!</v>
      </c>
      <c r="AF182" s="16" t="e">
        <f t="shared" si="122"/>
        <v>#DIV/0!</v>
      </c>
      <c r="AG182" s="16" t="e">
        <f t="shared" si="123"/>
        <v>#DIV/0!</v>
      </c>
      <c r="AH182" s="838" t="s">
        <v>85</v>
      </c>
      <c r="AI182" s="17">
        <f t="shared" si="124"/>
        <v>0</v>
      </c>
      <c r="AJ182" s="17" t="e">
        <f t="shared" si="125"/>
        <v>#DIV/0!</v>
      </c>
      <c r="AK182" s="891"/>
      <c r="AL182" s="18"/>
      <c r="AM182" s="889"/>
      <c r="AN182" s="891"/>
      <c r="AO182" s="888"/>
      <c r="AP182" s="891"/>
      <c r="AQ182" s="891"/>
      <c r="AR182" s="889"/>
      <c r="AS182" s="888"/>
      <c r="AT182" s="888"/>
      <c r="AU182" s="890"/>
      <c r="AV182" s="888"/>
      <c r="AW182" s="888"/>
      <c r="AX182" s="888"/>
      <c r="AY182" s="887"/>
      <c r="AZ182" s="888"/>
    </row>
    <row r="183" spans="3:52" ht="18.600000000000001">
      <c r="C183" s="13">
        <f>IF(D183&lt;&gt;"",COUNTA($D$10:D183),"")</f>
        <v>150</v>
      </c>
      <c r="D183" s="14" t="s">
        <v>213</v>
      </c>
      <c r="E183" s="14">
        <v>2.2999999999999998</v>
      </c>
      <c r="F183" s="14">
        <v>2.2000000000000002</v>
      </c>
      <c r="G183" s="14">
        <v>2.4</v>
      </c>
      <c r="H183" s="14">
        <v>2</v>
      </c>
      <c r="I183" s="14">
        <v>1</v>
      </c>
      <c r="J183" s="14">
        <v>1.75</v>
      </c>
      <c r="K183" s="14">
        <v>3</v>
      </c>
      <c r="L183" s="15">
        <v>0.1</v>
      </c>
      <c r="M183" s="15">
        <v>0</v>
      </c>
      <c r="N183" s="14">
        <v>24</v>
      </c>
      <c r="O183" s="14">
        <v>50</v>
      </c>
      <c r="P183" s="13">
        <v>45</v>
      </c>
      <c r="Q183" s="13">
        <v>85</v>
      </c>
      <c r="R183" s="13" t="s">
        <v>17</v>
      </c>
      <c r="S183" s="13">
        <v>120</v>
      </c>
      <c r="T183" s="13">
        <v>0</v>
      </c>
      <c r="U183" s="13">
        <v>100</v>
      </c>
      <c r="V183" s="13" t="str">
        <f t="shared" si="113"/>
        <v>ISO 6</v>
      </c>
      <c r="W183" s="13">
        <f t="shared" si="113"/>
        <v>120</v>
      </c>
      <c r="X183" s="16">
        <f t="shared" si="114"/>
        <v>54.445599999999992</v>
      </c>
      <c r="Y183" s="16">
        <f t="shared" si="115"/>
        <v>428.59576319999991</v>
      </c>
      <c r="Z183" s="16">
        <f t="shared" si="116"/>
        <v>857.19152639999982</v>
      </c>
      <c r="AA183" s="16">
        <f t="shared" si="117"/>
        <v>85.71915263999999</v>
      </c>
      <c r="AB183" s="16">
        <f t="shared" si="118"/>
        <v>0</v>
      </c>
      <c r="AC183" s="16">
        <f t="shared" si="119"/>
        <v>0</v>
      </c>
      <c r="AD183" s="16" t="e">
        <f t="shared" si="126"/>
        <v>#DIV/0!</v>
      </c>
      <c r="AE183" s="16" t="e">
        <f t="shared" si="121"/>
        <v>#DIV/0!</v>
      </c>
      <c r="AF183" s="16" t="e">
        <f t="shared" si="122"/>
        <v>#DIV/0!</v>
      </c>
      <c r="AG183" s="16" t="e">
        <f t="shared" si="123"/>
        <v>#DIV/0!</v>
      </c>
      <c r="AH183" s="838" t="s">
        <v>85</v>
      </c>
      <c r="AI183" s="17">
        <f t="shared" si="124"/>
        <v>0</v>
      </c>
      <c r="AJ183" s="17" t="e">
        <f t="shared" si="125"/>
        <v>#DIV/0!</v>
      </c>
      <c r="AK183" s="891"/>
      <c r="AL183" s="18"/>
      <c r="AM183" s="889"/>
      <c r="AN183" s="891"/>
      <c r="AO183" s="888"/>
      <c r="AP183" s="891"/>
      <c r="AQ183" s="891"/>
      <c r="AR183" s="889"/>
      <c r="AS183" s="888"/>
      <c r="AT183" s="888"/>
      <c r="AU183" s="890"/>
      <c r="AV183" s="888"/>
      <c r="AW183" s="888"/>
      <c r="AX183" s="888"/>
      <c r="AY183" s="887"/>
      <c r="AZ183" s="888"/>
    </row>
    <row r="184" spans="3:52" ht="18.600000000000001">
      <c r="C184" s="13">
        <f>IF(D184&lt;&gt;"",COUNTA($D$10:D184),"")</f>
        <v>151</v>
      </c>
      <c r="D184" s="14" t="s">
        <v>214</v>
      </c>
      <c r="E184" s="14">
        <v>2.2000000000000002</v>
      </c>
      <c r="F184" s="14">
        <v>2.8</v>
      </c>
      <c r="G184" s="14">
        <v>2.4</v>
      </c>
      <c r="H184" s="14">
        <v>2</v>
      </c>
      <c r="I184" s="14">
        <v>1</v>
      </c>
      <c r="J184" s="14">
        <v>1.75</v>
      </c>
      <c r="K184" s="14">
        <v>3</v>
      </c>
      <c r="L184" s="15">
        <v>0.1</v>
      </c>
      <c r="M184" s="15">
        <v>0</v>
      </c>
      <c r="N184" s="14">
        <v>24</v>
      </c>
      <c r="O184" s="14">
        <v>50</v>
      </c>
      <c r="P184" s="13">
        <v>45</v>
      </c>
      <c r="Q184" s="13">
        <v>85</v>
      </c>
      <c r="R184" s="13" t="s">
        <v>17</v>
      </c>
      <c r="S184" s="13">
        <v>120</v>
      </c>
      <c r="T184" s="13">
        <v>0</v>
      </c>
      <c r="U184" s="13">
        <v>100</v>
      </c>
      <c r="V184" s="13" t="str">
        <f t="shared" si="113"/>
        <v>ISO 6</v>
      </c>
      <c r="W184" s="13">
        <f t="shared" si="113"/>
        <v>120</v>
      </c>
      <c r="X184" s="16">
        <f t="shared" si="114"/>
        <v>66.281599999999997</v>
      </c>
      <c r="Y184" s="16">
        <f t="shared" si="115"/>
        <v>521.76875519999999</v>
      </c>
      <c r="Z184" s="16">
        <f t="shared" si="116"/>
        <v>1043.5375104</v>
      </c>
      <c r="AA184" s="16">
        <f t="shared" si="117"/>
        <v>104.35375104000001</v>
      </c>
      <c r="AB184" s="16">
        <f t="shared" si="118"/>
        <v>0</v>
      </c>
      <c r="AC184" s="16">
        <f t="shared" si="119"/>
        <v>0</v>
      </c>
      <c r="AD184" s="16" t="e">
        <f t="shared" si="126"/>
        <v>#DIV/0!</v>
      </c>
      <c r="AE184" s="16" t="e">
        <f t="shared" si="121"/>
        <v>#DIV/0!</v>
      </c>
      <c r="AF184" s="16" t="e">
        <f t="shared" si="122"/>
        <v>#DIV/0!</v>
      </c>
      <c r="AG184" s="16" t="e">
        <f t="shared" si="123"/>
        <v>#DIV/0!</v>
      </c>
      <c r="AH184" s="838" t="s">
        <v>85</v>
      </c>
      <c r="AI184" s="17">
        <f t="shared" si="124"/>
        <v>0</v>
      </c>
      <c r="AJ184" s="17" t="e">
        <f t="shared" si="125"/>
        <v>#DIV/0!</v>
      </c>
      <c r="AK184" s="891"/>
      <c r="AL184" s="18"/>
      <c r="AM184" s="889"/>
      <c r="AN184" s="891"/>
      <c r="AO184" s="888"/>
      <c r="AP184" s="891"/>
      <c r="AQ184" s="891"/>
      <c r="AR184" s="889"/>
      <c r="AS184" s="888"/>
      <c r="AT184" s="888"/>
      <c r="AU184" s="890"/>
      <c r="AV184" s="888"/>
      <c r="AW184" s="888"/>
      <c r="AX184" s="888"/>
      <c r="AY184" s="887"/>
      <c r="AZ184" s="888"/>
    </row>
    <row r="185" spans="3:52" ht="18.600000000000001">
      <c r="C185" s="13">
        <f>IF(D185&lt;&gt;"",COUNTA($D$10:D185),"")</f>
        <v>152</v>
      </c>
      <c r="D185" s="14" t="s">
        <v>215</v>
      </c>
      <c r="E185" s="14">
        <v>2.8</v>
      </c>
      <c r="F185" s="14">
        <v>2.4</v>
      </c>
      <c r="G185" s="14">
        <v>2.4</v>
      </c>
      <c r="H185" s="14">
        <v>2</v>
      </c>
      <c r="I185" s="14">
        <v>1</v>
      </c>
      <c r="J185" s="14">
        <v>1.75</v>
      </c>
      <c r="K185" s="14">
        <v>3</v>
      </c>
      <c r="L185" s="15">
        <v>0.1</v>
      </c>
      <c r="M185" s="15">
        <v>0</v>
      </c>
      <c r="N185" s="14">
        <v>24</v>
      </c>
      <c r="O185" s="14">
        <v>50</v>
      </c>
      <c r="P185" s="13">
        <v>45</v>
      </c>
      <c r="Q185" s="13">
        <v>85</v>
      </c>
      <c r="R185" s="13" t="s">
        <v>17</v>
      </c>
      <c r="S185" s="13">
        <v>120</v>
      </c>
      <c r="T185" s="13">
        <v>0</v>
      </c>
      <c r="U185" s="13">
        <v>100</v>
      </c>
      <c r="V185" s="13" t="str">
        <f t="shared" si="113"/>
        <v>ISO 6</v>
      </c>
      <c r="W185" s="13">
        <f t="shared" si="113"/>
        <v>120</v>
      </c>
      <c r="X185" s="16">
        <f t="shared" si="114"/>
        <v>72.307199999999995</v>
      </c>
      <c r="Y185" s="16">
        <f t="shared" si="115"/>
        <v>569.20227839999995</v>
      </c>
      <c r="Z185" s="16">
        <f t="shared" si="116"/>
        <v>1138.4045567999999</v>
      </c>
      <c r="AA185" s="16">
        <f t="shared" si="117"/>
        <v>113.84045567999999</v>
      </c>
      <c r="AB185" s="16">
        <f t="shared" si="118"/>
        <v>0</v>
      </c>
      <c r="AC185" s="16">
        <f t="shared" si="119"/>
        <v>0</v>
      </c>
      <c r="AD185" s="16" t="e">
        <f t="shared" si="126"/>
        <v>#DIV/0!</v>
      </c>
      <c r="AE185" s="16" t="e">
        <f t="shared" si="121"/>
        <v>#DIV/0!</v>
      </c>
      <c r="AF185" s="16" t="e">
        <f t="shared" si="122"/>
        <v>#DIV/0!</v>
      </c>
      <c r="AG185" s="16" t="e">
        <f t="shared" si="123"/>
        <v>#DIV/0!</v>
      </c>
      <c r="AH185" s="838" t="s">
        <v>85</v>
      </c>
      <c r="AI185" s="17">
        <f t="shared" si="124"/>
        <v>0</v>
      </c>
      <c r="AJ185" s="17" t="e">
        <f t="shared" si="125"/>
        <v>#DIV/0!</v>
      </c>
      <c r="AK185" s="891"/>
      <c r="AL185" s="18"/>
      <c r="AM185" s="889"/>
      <c r="AN185" s="891"/>
      <c r="AO185" s="888"/>
      <c r="AP185" s="891"/>
      <c r="AQ185" s="891"/>
      <c r="AR185" s="889"/>
      <c r="AS185" s="888"/>
      <c r="AT185" s="888"/>
      <c r="AU185" s="890"/>
      <c r="AV185" s="888"/>
      <c r="AW185" s="888"/>
      <c r="AX185" s="888"/>
      <c r="AY185" s="887"/>
      <c r="AZ185" s="888"/>
    </row>
    <row r="186" spans="3:52">
      <c r="C186" s="13" t="str">
        <f>IF(D186&lt;&gt;"",COUNTA($D$10:D186),"")</f>
        <v/>
      </c>
      <c r="D186" s="19"/>
      <c r="E186" s="19"/>
      <c r="F186" s="19"/>
      <c r="G186" s="19"/>
      <c r="H186" s="19"/>
      <c r="I186" s="19"/>
      <c r="J186" s="19"/>
      <c r="K186" s="19"/>
      <c r="L186" s="19"/>
      <c r="M186" s="19"/>
      <c r="N186" s="19"/>
      <c r="O186" s="19"/>
      <c r="P186" s="19"/>
      <c r="Q186" s="19"/>
      <c r="R186" s="19"/>
      <c r="S186" s="19"/>
      <c r="T186" s="19"/>
      <c r="U186" s="19"/>
      <c r="V186" s="19"/>
      <c r="W186" s="19"/>
      <c r="X186" s="20">
        <f>SUM(X170:X185)</f>
        <v>1144.1108000000002</v>
      </c>
      <c r="Y186" s="20">
        <f t="shared" ref="Y186:AG186" si="127">SUM(Y170:Y185)</f>
        <v>9006.4402175999985</v>
      </c>
      <c r="Z186" s="20">
        <f t="shared" si="127"/>
        <v>18012.880435199997</v>
      </c>
      <c r="AA186" s="20">
        <f t="shared" si="127"/>
        <v>1801.2880435199995</v>
      </c>
      <c r="AB186" s="20">
        <f t="shared" si="127"/>
        <v>0</v>
      </c>
      <c r="AC186" s="20">
        <f t="shared" si="127"/>
        <v>0</v>
      </c>
      <c r="AD186" s="20" t="e">
        <f t="shared" si="127"/>
        <v>#DIV/0!</v>
      </c>
      <c r="AE186" s="20" t="e">
        <f t="shared" si="127"/>
        <v>#DIV/0!</v>
      </c>
      <c r="AF186" s="20" t="e">
        <f t="shared" si="127"/>
        <v>#DIV/0!</v>
      </c>
      <c r="AG186" s="20" t="e">
        <f t="shared" si="127"/>
        <v>#DIV/0!</v>
      </c>
      <c r="AH186" s="841"/>
      <c r="AI186" s="20">
        <f t="shared" ref="AI186:AJ186" si="128">SUM(AI170:AI185)</f>
        <v>0</v>
      </c>
      <c r="AJ186" s="20" t="e">
        <f t="shared" si="128"/>
        <v>#DIV/0!</v>
      </c>
      <c r="AK186" s="21"/>
      <c r="AL186" s="21"/>
      <c r="AM186" s="21"/>
      <c r="AN186" s="21"/>
      <c r="AO186" s="21"/>
      <c r="AP186" s="21"/>
      <c r="AQ186" s="21"/>
      <c r="AR186" s="21"/>
      <c r="AS186" s="21"/>
      <c r="AT186" s="21"/>
      <c r="AU186" s="21"/>
      <c r="AV186" s="21"/>
      <c r="AW186" s="21"/>
      <c r="AX186" s="21"/>
      <c r="AY186" s="21"/>
      <c r="AZ186" s="21"/>
    </row>
    <row r="187" spans="3:52">
      <c r="C187" s="13" t="str">
        <f>IF(D187&lt;&gt;"",COUNTA($D$10:D187),"")</f>
        <v/>
      </c>
      <c r="AH187" s="840"/>
    </row>
    <row r="188" spans="3:52" ht="26.1">
      <c r="C188" s="8" t="e">
        <f>"Zoning Area  AHU - " &amp; INT((ROW()-8)/20)+1 &amp; "  " &amp;IF(AQ190&gt;0,"Air-Conditioning System " &amp; IF(AH190="D","(DX)",IF(AH190="C","(Chilled Water)","")),IF(AND(N190="Amb",AQ190=0),"Ventilation System","Refer"))</f>
        <v>#DIV/0!</v>
      </c>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39"/>
      <c r="AI188" s="8"/>
      <c r="AJ188" s="8"/>
      <c r="AK188" s="8"/>
      <c r="AL188" s="8"/>
      <c r="AM188" s="8"/>
      <c r="AN188" s="8"/>
      <c r="AO188" s="8"/>
      <c r="AP188" s="8"/>
      <c r="AQ188" s="8"/>
      <c r="AR188" s="8"/>
      <c r="AS188" s="9" t="s">
        <v>221</v>
      </c>
      <c r="AT188" s="10"/>
      <c r="AU188" s="10"/>
      <c r="AV188" s="11"/>
      <c r="AW188" s="9" t="s">
        <v>222</v>
      </c>
      <c r="AX188" s="10"/>
      <c r="AY188" s="10"/>
      <c r="AZ188" s="11"/>
    </row>
    <row r="189" spans="3:52">
      <c r="C189" s="13">
        <f>IF(D189&lt;&gt;"",COUNTA($D$10:D189),"")</f>
        <v>153</v>
      </c>
      <c r="D189" s="5" t="s">
        <v>165</v>
      </c>
      <c r="E189" s="5" t="s">
        <v>166</v>
      </c>
      <c r="F189" s="5" t="s">
        <v>167</v>
      </c>
      <c r="G189" s="5" t="s">
        <v>168</v>
      </c>
      <c r="H189" s="5" t="s">
        <v>169</v>
      </c>
      <c r="I189" s="5" t="s">
        <v>170</v>
      </c>
      <c r="J189" s="5" t="s">
        <v>171</v>
      </c>
      <c r="K189" s="5" t="s">
        <v>172</v>
      </c>
      <c r="L189" s="5" t="s">
        <v>173</v>
      </c>
      <c r="M189" s="5" t="s">
        <v>174</v>
      </c>
      <c r="N189" s="5" t="s">
        <v>175</v>
      </c>
      <c r="O189" s="5" t="s">
        <v>176</v>
      </c>
      <c r="P189" s="5" t="s">
        <v>177</v>
      </c>
      <c r="Q189" s="5" t="s">
        <v>178</v>
      </c>
      <c r="R189" s="5" t="s">
        <v>199</v>
      </c>
      <c r="S189" s="5" t="s">
        <v>180</v>
      </c>
      <c r="T189" s="5" t="s">
        <v>223</v>
      </c>
      <c r="U189" s="5" t="s">
        <v>224</v>
      </c>
      <c r="V189" s="5" t="s">
        <v>199</v>
      </c>
      <c r="W189" s="5" t="s">
        <v>180</v>
      </c>
      <c r="X189" s="5" t="s">
        <v>225</v>
      </c>
      <c r="Y189" s="5" t="s">
        <v>226</v>
      </c>
      <c r="Z189" s="5" t="s">
        <v>227</v>
      </c>
      <c r="AA189" s="5" t="s">
        <v>228</v>
      </c>
      <c r="AB189" s="5" t="s">
        <v>229</v>
      </c>
      <c r="AC189" s="5" t="s">
        <v>230</v>
      </c>
      <c r="AD189" s="5" t="s">
        <v>231</v>
      </c>
      <c r="AE189" s="5" t="s">
        <v>232</v>
      </c>
      <c r="AF189" s="6" t="s">
        <v>233</v>
      </c>
      <c r="AG189" s="6" t="s">
        <v>234</v>
      </c>
      <c r="AH189" s="6" t="s">
        <v>235</v>
      </c>
      <c r="AI189" s="5" t="s">
        <v>236</v>
      </c>
      <c r="AJ189" s="5" t="s">
        <v>237</v>
      </c>
      <c r="AK189" s="5" t="s">
        <v>238</v>
      </c>
      <c r="AL189" s="5" t="s">
        <v>239</v>
      </c>
      <c r="AM189" s="5" t="s">
        <v>240</v>
      </c>
      <c r="AN189" s="5" t="s">
        <v>241</v>
      </c>
      <c r="AO189" s="5" t="s">
        <v>242</v>
      </c>
      <c r="AP189" s="5" t="s">
        <v>243</v>
      </c>
      <c r="AQ189" s="5" t="s">
        <v>244</v>
      </c>
      <c r="AR189" s="5" t="s">
        <v>245</v>
      </c>
      <c r="AS189" s="5" t="s">
        <v>246</v>
      </c>
      <c r="AT189" s="5" t="s">
        <v>247</v>
      </c>
      <c r="AU189" s="5" t="s">
        <v>248</v>
      </c>
      <c r="AV189" s="5" t="s">
        <v>249</v>
      </c>
      <c r="AW189" s="5" t="s">
        <v>250</v>
      </c>
      <c r="AX189" s="5" t="s">
        <v>251</v>
      </c>
      <c r="AY189" s="5" t="s">
        <v>252</v>
      </c>
      <c r="AZ189" s="5" t="s">
        <v>253</v>
      </c>
    </row>
    <row r="190" spans="3:52" ht="18.600000000000001">
      <c r="C190" s="13">
        <f>IF(D190&lt;&gt;"",COUNTA($D$10:D190),"")</f>
        <v>154</v>
      </c>
      <c r="D190" s="14" t="s">
        <v>200</v>
      </c>
      <c r="E190" s="14">
        <v>3</v>
      </c>
      <c r="F190" s="14">
        <v>3</v>
      </c>
      <c r="G190" s="14">
        <v>2.4</v>
      </c>
      <c r="H190" s="14">
        <v>1</v>
      </c>
      <c r="I190" s="14">
        <v>2</v>
      </c>
      <c r="J190" s="14">
        <v>1.75</v>
      </c>
      <c r="K190" s="14">
        <v>3</v>
      </c>
      <c r="L190" s="15">
        <v>0.1</v>
      </c>
      <c r="M190" s="15">
        <v>0</v>
      </c>
      <c r="N190" s="14">
        <v>24</v>
      </c>
      <c r="O190" s="14">
        <v>50</v>
      </c>
      <c r="P190" s="13">
        <v>45</v>
      </c>
      <c r="Q190" s="13">
        <v>85</v>
      </c>
      <c r="R190" s="13" t="s">
        <v>17</v>
      </c>
      <c r="S190" s="13">
        <v>120</v>
      </c>
      <c r="T190" s="13">
        <v>0</v>
      </c>
      <c r="U190" s="13">
        <v>100</v>
      </c>
      <c r="V190" s="13" t="str">
        <f>R190</f>
        <v>ISO 6</v>
      </c>
      <c r="W190" s="13">
        <f>S190</f>
        <v>120</v>
      </c>
      <c r="X190" s="16">
        <f>E190*F190*10.76</f>
        <v>96.84</v>
      </c>
      <c r="Y190" s="16">
        <f>X190*G190*3.28</f>
        <v>762.32447999999999</v>
      </c>
      <c r="Z190" s="16">
        <f>Y190*S190/60</f>
        <v>1524.64896</v>
      </c>
      <c r="AA190" s="16">
        <f>Z190*L190</f>
        <v>152.46489600000001</v>
      </c>
      <c r="AB190" s="16">
        <f>IF(N190="Amb",Z190,Z190*M190)</f>
        <v>0</v>
      </c>
      <c r="AC190" s="16">
        <f>IF(ISNUMBER(N190), (AA190*0.075*60/2.20462)*BP190/7000, "Ambient")</f>
        <v>0</v>
      </c>
      <c r="AD190" s="16" t="e">
        <f>IF(ISNUMBER(N190), CEILING(CF190/(0.68*BP190),25), "Ambient")</f>
        <v>#DIV/0!</v>
      </c>
      <c r="AE190" s="16" t="e">
        <f>CEILING(MAX((Z190+AA190),AD190),25)</f>
        <v>#DIV/0!</v>
      </c>
      <c r="AF190" s="16" t="e">
        <f>CEILING(IF(OR($R190="ISO 6",$R190="GRADE B",$R190="1K",$R190=1000),AE190*1/175,IF(OR($R190="ISO 5",$R190="GRADE A",$R190=100),AE190*1/100,IF(OR($R190="ISO 7",$R190="GRADE C",$R190="10K",$R190=10000),$AE190*1/250,IF(OR($R190="ISO 8",$R190="GRADE D",$R190="100K",$R190=100000),$AE190*1/250,IF(OR($R190="NC",$R190="20 Micron",$R190="5 Micron",$R190="N C"),$AE190*1/350,0))))),2)</f>
        <v>#DIV/0!</v>
      </c>
      <c r="AG190" s="16" t="e">
        <f>IF(ISNUMBER(N190), CEILING(MAX(AI190,AJ190),0.5), "Ambient")</f>
        <v>#DIV/0!</v>
      </c>
      <c r="AH190" s="838" t="s">
        <v>85</v>
      </c>
      <c r="AI190" s="17">
        <f>IF(ISNUMBER(N190), CEILING(CE190/12000,0.5), "Ambient")</f>
        <v>0</v>
      </c>
      <c r="AJ190" s="17" t="e">
        <f>IF(ISNUMBER(N190),CEILING(AE190/(IF(AH190="C",400,300)),0.5), "Ambient")</f>
        <v>#DIV/0!</v>
      </c>
      <c r="AK190" s="891" t="e">
        <f>CEILING(SUM(AE190:AE205),250)</f>
        <v>#DIV/0!</v>
      </c>
      <c r="AL190" s="18" t="s">
        <v>254</v>
      </c>
      <c r="AM190" s="889">
        <v>150</v>
      </c>
      <c r="AN190" s="891" t="e">
        <f>IF(AK190&lt;=1300,200,IF(AK190&lt;=1600,225,IF(AK190&lt;=2100,250,IF(AK190&lt;=2700,280,IF(AK190&lt;=3450,315,IF(AK190&lt;=4250,355,IF(AK190&lt;=5250,400,IF(AK190&lt;=6750,450,IF(AK190&lt;=8500,500,IF(AK190&lt;=10750,560,IF(AK190&lt;=13500,630,IF(AK190&lt;=17000,710,IF(AK190&lt;=21500,800,IF(AK190&lt;=27000,900,IF(AK190&lt;=34000,1000,IF(AK190&lt;=43000,1120,IF(AK190&lt;=49000,1200,IF(AK190&lt;=68000,1450,"Refer"))))))))))))))))))</f>
        <v>#DIV/0!</v>
      </c>
      <c r="AO190" s="888" t="e">
        <f>IF(AK190*AM190/(6356*0.7*0.9*1.1*25.4)&lt;=1,1,IF(AK190*AM190/(6356*0.7*0.9*1.1*25.4)&lt;=1.5,1.5,IF(AK190*AM190/(6356*0.7*0.9*1.1*25.4)&lt;=2,2,IF(AK190*AM190/(6356*0.7*0.9*1.1*25.4)&lt;=3,3,IF(AK190*AM190/(6356*0.7*0.9*1.1*25.4)&lt;=5,5,IF(AK190*AM190/(6356*0.7*0.9*1.1*25.4)&lt;=7.5,7.5,IF(AK190*AM190/(6356*0.7*0.9*1.1*25.4)&lt;=10,10,IF(AK190*AM190/(6356*0.7*0.9*1.1*25.4)&lt;=12.5,12.5,IF(AK190*AM190/(6356*0.7*0.9*1.1*25.4)&lt;=15,15,IF(AK190*AM190/(6356*0.7*0.9*1.1*25.4)&lt;=20,20,IF(AK190*AM190/(6356*0.7*0.9*1.1*25.4)&lt;=25,25,IF(AK190*AM190/(6356*0.7*0.9*1.1*25.4)&lt;=30,30,IF(AK190*AM190/(6356*0.7*0.9*1.1*25.4)&lt;=40,40,IF(AK190*AM190/(6356*0.7*0.9*1.1*25.4)&lt;=50,50,IF(AK190*AM190/(6356*0.7*0.9*1.1*25.4)&lt;=60,60,IF(AK190*AM190/(6356*0.7*0.9*1.1*25.4)&lt;=75,75,"Refer"))))))))))))))))</f>
        <v>#DIV/0!</v>
      </c>
      <c r="AP190" s="891" t="e">
        <f>IF(AND(AQ190=0, N190="Amb"), "Amb",IF((AL191-250)*(AL193-150)*10.76/(1000*1000) &gt;= MAX(AI206,AJ206), 4,IF((AL191-250)*(AL193-150)*10.76*1.5/(1000*1000) &gt;= MAX(AI206,AJ206), 6,IF((AL191-250)*(AL193-150)*10.76*2/(1000*1000) &gt;= MAX(AI206,AJ206), 8, 0))
 )
)</f>
        <v>#DIV/0!</v>
      </c>
      <c r="AQ190" s="891" t="e">
        <f>AG206</f>
        <v>#DIV/0!</v>
      </c>
      <c r="AR190" s="889">
        <f>_xlfn.SWITCH(TRIM(UPPER(R190)),"ISO 9", 3,"ISO 8", 4,"Grade D", 4,"Class 100,000", 4,"Class 100K", 4,"ISO 7", 3,"Grade C", 3,"Class 10,000", 3,"Class 10K", 3,"ISO 6", 3,"Class 1,000", 3,"Class 1K", 3,"ISO 5", 4,"Grade A", 4,"Grade B", 4,"Class 100", 4,"ISO 4", 3,"ISO 3", 4,"ISO 2", 4,"ISO 1", 4,"NCV20",1,"NCV-10",2,"NCV-5",3,"NCAC-10",1,"NCAC-5",2,"NCAC-1",3,3)</f>
        <v>3</v>
      </c>
      <c r="AS190" s="888" t="e">
        <f>MAX(AI206,AJ206)*24/6</f>
        <v>#DIV/0!</v>
      </c>
      <c r="AT190" s="888" t="e">
        <f>AS190*0.06309</f>
        <v>#DIV/0!</v>
      </c>
      <c r="AU190" s="890">
        <v>2</v>
      </c>
      <c r="AV190" s="888" t="e">
        <f>SQRT((4*AS190*0.00006309)/(3.14*AU190))*1000</f>
        <v>#DIV/0!</v>
      </c>
      <c r="AW190" s="888"/>
      <c r="AX190" s="888"/>
      <c r="AY190" s="887"/>
      <c r="AZ190" s="888"/>
    </row>
    <row r="191" spans="3:52" ht="18.600000000000001">
      <c r="C191" s="13">
        <f>IF(D191&lt;&gt;"",COUNTA($D$10:D191),"")</f>
        <v>155</v>
      </c>
      <c r="D191" s="14" t="s">
        <v>201</v>
      </c>
      <c r="E191" s="14">
        <v>1.8</v>
      </c>
      <c r="F191" s="14">
        <v>2.2000000000000002</v>
      </c>
      <c r="G191" s="14">
        <v>2.4</v>
      </c>
      <c r="H191" s="14">
        <v>2</v>
      </c>
      <c r="I191" s="14">
        <v>1</v>
      </c>
      <c r="J191" s="14">
        <v>1.75</v>
      </c>
      <c r="K191" s="14">
        <v>3</v>
      </c>
      <c r="L191" s="15">
        <v>0.1</v>
      </c>
      <c r="M191" s="15">
        <v>0</v>
      </c>
      <c r="N191" s="14">
        <v>24</v>
      </c>
      <c r="O191" s="14">
        <v>50</v>
      </c>
      <c r="P191" s="13">
        <v>45</v>
      </c>
      <c r="Q191" s="13">
        <v>85</v>
      </c>
      <c r="R191" s="13" t="s">
        <v>17</v>
      </c>
      <c r="S191" s="13">
        <v>120</v>
      </c>
      <c r="T191" s="13">
        <v>0</v>
      </c>
      <c r="U191" s="13">
        <v>100</v>
      </c>
      <c r="V191" s="13" t="str">
        <f t="shared" ref="V191:W205" si="129">R191</f>
        <v>ISO 6</v>
      </c>
      <c r="W191" s="13">
        <f t="shared" si="129"/>
        <v>120</v>
      </c>
      <c r="X191" s="16">
        <f t="shared" ref="X191:X205" si="130">E191*F191*10.76</f>
        <v>42.6096</v>
      </c>
      <c r="Y191" s="16">
        <f t="shared" ref="Y191:Y205" si="131">X191*G191*3.28</f>
        <v>335.4227712</v>
      </c>
      <c r="Z191" s="16">
        <f t="shared" ref="Z191:Z205" si="132">Y191*S191/60</f>
        <v>670.8455424</v>
      </c>
      <c r="AA191" s="16">
        <f t="shared" ref="AA191:AA205" si="133">Z191*L191</f>
        <v>67.084554240000003</v>
      </c>
      <c r="AB191" s="16">
        <f t="shared" ref="AB191:AB205" si="134">IF(N191="Amb",Z191,Z191*M191)</f>
        <v>0</v>
      </c>
      <c r="AC191" s="16">
        <f t="shared" ref="AC191:AC205" si="135">IF(ISNUMBER(N191), (AA191*0.075*60/2.20462)*BP191/7000, "Ambient")</f>
        <v>0</v>
      </c>
      <c r="AD191" s="16" t="e">
        <f t="shared" ref="AD191:AD197" si="136">IF(ISNUMBER(N191), CEILING(CF191/(0.68*BP191),25), "Ambient")</f>
        <v>#DIV/0!</v>
      </c>
      <c r="AE191" s="16" t="e">
        <f t="shared" ref="AE191:AE205" si="137">CEILING(MAX((Z191+AA191),AD191),25)</f>
        <v>#DIV/0!</v>
      </c>
      <c r="AF191" s="16" t="e">
        <f t="shared" ref="AF191:AF205" si="138">CEILING(IF(OR($R191="ISO 6",$R191="GRADE B",$R191="1K",$R191=1000),AE191*1/175,IF(OR($R191="ISO 5",$R191="GRADE A",$R191=100),AE191*1/100,IF(OR($R191="ISO 7",$R191="GRADE C",$R191="10K",$R191=10000),$AE191*1/250,IF(OR($R191="ISO 8",$R191="GRADE D",$R191="100K",$R191=100000),$AE191*1/250,IF(OR($R191="NC",$R191="20 Micron",$R191="5 Micron",$R191="N C"),$AE191*1/350,0))))),2)</f>
        <v>#DIV/0!</v>
      </c>
      <c r="AG191" s="16" t="e">
        <f t="shared" ref="AG191:AG205" si="139">IF(ISNUMBER(N191), CEILING(MAX(AI191,AJ191),0.5), "Ambient")</f>
        <v>#DIV/0!</v>
      </c>
      <c r="AH191" s="838" t="s">
        <v>85</v>
      </c>
      <c r="AI191" s="17">
        <f t="shared" ref="AI191:AI205" si="140">IF(ISNUMBER(N191), CEILING(CE191/12000,0.5), "Ambient")</f>
        <v>0</v>
      </c>
      <c r="AJ191" s="17" t="e">
        <f t="shared" ref="AJ191:AJ205" si="141">IF(ISNUMBER(N191),CEILING(AE191/(IF(AH191="C",400,300)),0.5), "Ambient")</f>
        <v>#DIV/0!</v>
      </c>
      <c r="AK191" s="891"/>
      <c r="AL191" s="18" t="e">
        <f>IF(AK190&lt;=2000,950,(IF(AK190&lt;=3000,1150,(IF(AK190&lt;=8000,1550,(IF(AK190&lt;=10000,1750,(IF(AK190&lt;=18000,2050,(IF(AK190&lt;=32000,2900,(IF(AK190&lt;=40000,3600,4000)))))))))))))</f>
        <v>#DIV/0!</v>
      </c>
      <c r="AM191" s="889"/>
      <c r="AN191" s="891"/>
      <c r="AO191" s="888"/>
      <c r="AP191" s="891"/>
      <c r="AQ191" s="891"/>
      <c r="AR191" s="889"/>
      <c r="AS191" s="888"/>
      <c r="AT191" s="888"/>
      <c r="AU191" s="890"/>
      <c r="AV191" s="888"/>
      <c r="AW191" s="888"/>
      <c r="AX191" s="888"/>
      <c r="AY191" s="887"/>
      <c r="AZ191" s="888"/>
    </row>
    <row r="192" spans="3:52" ht="18.600000000000001">
      <c r="C192" s="13">
        <f>IF(D192&lt;&gt;"",COUNTA($D$10:D192),"")</f>
        <v>156</v>
      </c>
      <c r="D192" s="14" t="s">
        <v>202</v>
      </c>
      <c r="E192" s="14">
        <v>1.5</v>
      </c>
      <c r="F192" s="14">
        <v>2.8</v>
      </c>
      <c r="G192" s="14">
        <v>2.4</v>
      </c>
      <c r="H192" s="14">
        <v>2</v>
      </c>
      <c r="I192" s="14">
        <v>3</v>
      </c>
      <c r="J192" s="14">
        <v>1.75</v>
      </c>
      <c r="K192" s="14">
        <v>3</v>
      </c>
      <c r="L192" s="15">
        <v>0.1</v>
      </c>
      <c r="M192" s="15">
        <v>0</v>
      </c>
      <c r="N192" s="14">
        <v>24</v>
      </c>
      <c r="O192" s="14">
        <v>50</v>
      </c>
      <c r="P192" s="13">
        <v>45</v>
      </c>
      <c r="Q192" s="13">
        <v>85</v>
      </c>
      <c r="R192" s="13" t="s">
        <v>17</v>
      </c>
      <c r="S192" s="13">
        <v>120</v>
      </c>
      <c r="T192" s="13">
        <v>0</v>
      </c>
      <c r="U192" s="13">
        <v>100</v>
      </c>
      <c r="V192" s="13" t="str">
        <f t="shared" si="129"/>
        <v>ISO 6</v>
      </c>
      <c r="W192" s="13">
        <f t="shared" si="129"/>
        <v>120</v>
      </c>
      <c r="X192" s="16">
        <f t="shared" si="130"/>
        <v>45.191999999999993</v>
      </c>
      <c r="Y192" s="16">
        <f t="shared" si="131"/>
        <v>355.75142399999993</v>
      </c>
      <c r="Z192" s="16">
        <f t="shared" si="132"/>
        <v>711.50284799999986</v>
      </c>
      <c r="AA192" s="16">
        <f t="shared" si="133"/>
        <v>71.150284799999994</v>
      </c>
      <c r="AB192" s="16">
        <f t="shared" si="134"/>
        <v>0</v>
      </c>
      <c r="AC192" s="16">
        <f t="shared" si="135"/>
        <v>0</v>
      </c>
      <c r="AD192" s="16" t="e">
        <f t="shared" si="136"/>
        <v>#DIV/0!</v>
      </c>
      <c r="AE192" s="16" t="e">
        <f t="shared" si="137"/>
        <v>#DIV/0!</v>
      </c>
      <c r="AF192" s="16" t="e">
        <f t="shared" si="138"/>
        <v>#DIV/0!</v>
      </c>
      <c r="AG192" s="16" t="e">
        <f t="shared" si="139"/>
        <v>#DIV/0!</v>
      </c>
      <c r="AH192" s="838" t="s">
        <v>85</v>
      </c>
      <c r="AI192" s="17">
        <f t="shared" si="140"/>
        <v>0</v>
      </c>
      <c r="AJ192" s="17" t="e">
        <f t="shared" si="141"/>
        <v>#DIV/0!</v>
      </c>
      <c r="AK192" s="891"/>
      <c r="AL192" s="18" t="s">
        <v>255</v>
      </c>
      <c r="AM192" s="889"/>
      <c r="AN192" s="891"/>
      <c r="AO192" s="888"/>
      <c r="AP192" s="891"/>
      <c r="AQ192" s="891"/>
      <c r="AR192" s="889"/>
      <c r="AS192" s="888"/>
      <c r="AT192" s="888"/>
      <c r="AU192" s="890"/>
      <c r="AV192" s="888"/>
      <c r="AW192" s="888"/>
      <c r="AX192" s="888"/>
      <c r="AY192" s="887"/>
      <c r="AZ192" s="888"/>
    </row>
    <row r="193" spans="3:52" ht="18.600000000000001">
      <c r="C193" s="13">
        <f>IF(D193&lt;&gt;"",COUNTA($D$10:D193),"")</f>
        <v>157</v>
      </c>
      <c r="D193" s="14" t="s">
        <v>203</v>
      </c>
      <c r="E193" s="14">
        <v>2.1</v>
      </c>
      <c r="F193" s="14">
        <v>3.5</v>
      </c>
      <c r="G193" s="14">
        <v>2.4</v>
      </c>
      <c r="H193" s="14">
        <v>0</v>
      </c>
      <c r="I193" s="14">
        <v>1</v>
      </c>
      <c r="J193" s="14">
        <v>1.75</v>
      </c>
      <c r="K193" s="14">
        <v>3</v>
      </c>
      <c r="L193" s="15">
        <v>0.1</v>
      </c>
      <c r="M193" s="15">
        <v>0</v>
      </c>
      <c r="N193" s="14">
        <v>24</v>
      </c>
      <c r="O193" s="14">
        <v>50</v>
      </c>
      <c r="P193" s="13">
        <v>45</v>
      </c>
      <c r="Q193" s="13">
        <v>85</v>
      </c>
      <c r="R193" s="13" t="s">
        <v>17</v>
      </c>
      <c r="S193" s="13">
        <v>120</v>
      </c>
      <c r="T193" s="13">
        <v>0</v>
      </c>
      <c r="U193" s="13">
        <v>100</v>
      </c>
      <c r="V193" s="13" t="str">
        <f t="shared" si="129"/>
        <v>ISO 6</v>
      </c>
      <c r="W193" s="13">
        <f t="shared" si="129"/>
        <v>120</v>
      </c>
      <c r="X193" s="16">
        <f t="shared" si="130"/>
        <v>79.085999999999999</v>
      </c>
      <c r="Y193" s="16">
        <f t="shared" si="131"/>
        <v>622.56499199999996</v>
      </c>
      <c r="Z193" s="16">
        <f t="shared" si="132"/>
        <v>1245.1299839999999</v>
      </c>
      <c r="AA193" s="16">
        <f t="shared" si="133"/>
        <v>124.5129984</v>
      </c>
      <c r="AB193" s="16">
        <f t="shared" si="134"/>
        <v>0</v>
      </c>
      <c r="AC193" s="16">
        <f t="shared" si="135"/>
        <v>0</v>
      </c>
      <c r="AD193" s="16" t="e">
        <f t="shared" si="136"/>
        <v>#DIV/0!</v>
      </c>
      <c r="AE193" s="16" t="e">
        <f t="shared" si="137"/>
        <v>#DIV/0!</v>
      </c>
      <c r="AF193" s="16" t="e">
        <f t="shared" si="138"/>
        <v>#DIV/0!</v>
      </c>
      <c r="AG193" s="16" t="e">
        <f t="shared" si="139"/>
        <v>#DIV/0!</v>
      </c>
      <c r="AH193" s="838" t="s">
        <v>85</v>
      </c>
      <c r="AI193" s="17">
        <f t="shared" si="140"/>
        <v>0</v>
      </c>
      <c r="AJ193" s="17" t="e">
        <f t="shared" si="141"/>
        <v>#DIV/0!</v>
      </c>
      <c r="AK193" s="891"/>
      <c r="AL193" s="18" t="e">
        <f>IF(AK190&lt;=2000,950,(IF(AK190&lt;=4000,1100,(IF(AK190&lt;=6000,1250,(IF(AK190&lt;=10000,1550,(IF(AK190&lt;=15000,1750,(IF(AK190&lt;=24000,2050,(IF(AK190&lt;=40000,2900,3600)))))))))))))</f>
        <v>#DIV/0!</v>
      </c>
      <c r="AM193" s="889"/>
      <c r="AN193" s="891"/>
      <c r="AO193" s="888"/>
      <c r="AP193" s="891"/>
      <c r="AQ193" s="891"/>
      <c r="AR193" s="889"/>
      <c r="AS193" s="888"/>
      <c r="AT193" s="888"/>
      <c r="AU193" s="890"/>
      <c r="AV193" s="888"/>
      <c r="AW193" s="888"/>
      <c r="AX193" s="888"/>
      <c r="AY193" s="887"/>
      <c r="AZ193" s="888"/>
    </row>
    <row r="194" spans="3:52" ht="18.600000000000001">
      <c r="C194" s="13">
        <f>IF(D194&lt;&gt;"",COUNTA($D$10:D194),"")</f>
        <v>158</v>
      </c>
      <c r="D194" s="14" t="s">
        <v>204</v>
      </c>
      <c r="E194" s="14">
        <v>2.7</v>
      </c>
      <c r="F194" s="14">
        <v>4</v>
      </c>
      <c r="G194" s="14">
        <v>2.4</v>
      </c>
      <c r="H194" s="14">
        <v>2</v>
      </c>
      <c r="I194" s="14">
        <v>1</v>
      </c>
      <c r="J194" s="14">
        <v>1.75</v>
      </c>
      <c r="K194" s="14">
        <v>3</v>
      </c>
      <c r="L194" s="15">
        <v>0.1</v>
      </c>
      <c r="M194" s="15">
        <v>0</v>
      </c>
      <c r="N194" s="14">
        <v>24</v>
      </c>
      <c r="O194" s="14">
        <v>50</v>
      </c>
      <c r="P194" s="13">
        <v>45</v>
      </c>
      <c r="Q194" s="13">
        <v>85</v>
      </c>
      <c r="R194" s="13" t="s">
        <v>17</v>
      </c>
      <c r="S194" s="13">
        <v>120</v>
      </c>
      <c r="T194" s="13">
        <v>0</v>
      </c>
      <c r="U194" s="13">
        <v>100</v>
      </c>
      <c r="V194" s="13" t="str">
        <f t="shared" si="129"/>
        <v>ISO 6</v>
      </c>
      <c r="W194" s="13">
        <f t="shared" si="129"/>
        <v>120</v>
      </c>
      <c r="X194" s="16">
        <f t="shared" si="130"/>
        <v>116.208</v>
      </c>
      <c r="Y194" s="16">
        <f t="shared" si="131"/>
        <v>914.78937599999995</v>
      </c>
      <c r="Z194" s="16">
        <f t="shared" si="132"/>
        <v>1829.5787519999999</v>
      </c>
      <c r="AA194" s="16">
        <f t="shared" si="133"/>
        <v>182.95787519999999</v>
      </c>
      <c r="AB194" s="16">
        <f t="shared" si="134"/>
        <v>0</v>
      </c>
      <c r="AC194" s="16">
        <f t="shared" si="135"/>
        <v>0</v>
      </c>
      <c r="AD194" s="16" t="e">
        <f t="shared" si="136"/>
        <v>#DIV/0!</v>
      </c>
      <c r="AE194" s="16" t="e">
        <f t="shared" si="137"/>
        <v>#DIV/0!</v>
      </c>
      <c r="AF194" s="16" t="e">
        <f t="shared" si="138"/>
        <v>#DIV/0!</v>
      </c>
      <c r="AG194" s="16" t="e">
        <f t="shared" si="139"/>
        <v>#DIV/0!</v>
      </c>
      <c r="AH194" s="838" t="s">
        <v>85</v>
      </c>
      <c r="AI194" s="17">
        <f t="shared" si="140"/>
        <v>0</v>
      </c>
      <c r="AJ194" s="17" t="e">
        <f t="shared" si="141"/>
        <v>#DIV/0!</v>
      </c>
      <c r="AK194" s="891"/>
      <c r="AL194" s="18" t="s">
        <v>256</v>
      </c>
      <c r="AM194" s="889"/>
      <c r="AN194" s="891"/>
      <c r="AO194" s="888"/>
      <c r="AP194" s="891"/>
      <c r="AQ194" s="891"/>
      <c r="AR194" s="889"/>
      <c r="AS194" s="888"/>
      <c r="AT194" s="888"/>
      <c r="AU194" s="890"/>
      <c r="AV194" s="888"/>
      <c r="AW194" s="888"/>
      <c r="AX194" s="888"/>
      <c r="AY194" s="887"/>
      <c r="AZ194" s="888"/>
    </row>
    <row r="195" spans="3:52" ht="18.600000000000001">
      <c r="C195" s="13">
        <f>IF(D195&lt;&gt;"",COUNTA($D$10:D195),"")</f>
        <v>159</v>
      </c>
      <c r="D195" s="14" t="s">
        <v>205</v>
      </c>
      <c r="E195" s="14">
        <v>3.8</v>
      </c>
      <c r="F195" s="14">
        <v>4.2</v>
      </c>
      <c r="G195" s="14">
        <v>2.4</v>
      </c>
      <c r="H195" s="14">
        <v>3</v>
      </c>
      <c r="I195" s="14">
        <v>3</v>
      </c>
      <c r="J195" s="14">
        <v>1.75</v>
      </c>
      <c r="K195" s="14">
        <v>3</v>
      </c>
      <c r="L195" s="15">
        <v>0.1</v>
      </c>
      <c r="M195" s="15">
        <v>0</v>
      </c>
      <c r="N195" s="14">
        <v>24</v>
      </c>
      <c r="O195" s="14">
        <v>50</v>
      </c>
      <c r="P195" s="13">
        <v>45</v>
      </c>
      <c r="Q195" s="13">
        <v>85</v>
      </c>
      <c r="R195" s="13" t="s">
        <v>17</v>
      </c>
      <c r="S195" s="13">
        <v>120</v>
      </c>
      <c r="T195" s="13">
        <v>0</v>
      </c>
      <c r="U195" s="13">
        <v>100</v>
      </c>
      <c r="V195" s="13" t="str">
        <f t="shared" si="129"/>
        <v>ISO 6</v>
      </c>
      <c r="W195" s="13">
        <f t="shared" si="129"/>
        <v>120</v>
      </c>
      <c r="X195" s="16">
        <f t="shared" si="130"/>
        <v>171.72959999999998</v>
      </c>
      <c r="Y195" s="16">
        <f t="shared" si="131"/>
        <v>1351.8554111999997</v>
      </c>
      <c r="Z195" s="16">
        <f t="shared" si="132"/>
        <v>2703.7108223999994</v>
      </c>
      <c r="AA195" s="16">
        <f t="shared" si="133"/>
        <v>270.37108223999996</v>
      </c>
      <c r="AB195" s="16">
        <f t="shared" si="134"/>
        <v>0</v>
      </c>
      <c r="AC195" s="16">
        <f t="shared" si="135"/>
        <v>0</v>
      </c>
      <c r="AD195" s="16" t="e">
        <f t="shared" si="136"/>
        <v>#DIV/0!</v>
      </c>
      <c r="AE195" s="16" t="e">
        <f t="shared" si="137"/>
        <v>#DIV/0!</v>
      </c>
      <c r="AF195" s="16" t="e">
        <f t="shared" si="138"/>
        <v>#DIV/0!</v>
      </c>
      <c r="AG195" s="16" t="e">
        <f t="shared" si="139"/>
        <v>#DIV/0!</v>
      </c>
      <c r="AH195" s="838" t="s">
        <v>85</v>
      </c>
      <c r="AI195" s="17">
        <f t="shared" si="140"/>
        <v>0</v>
      </c>
      <c r="AJ195" s="17" t="e">
        <f t="shared" si="141"/>
        <v>#DIV/0!</v>
      </c>
      <c r="AK195" s="891"/>
      <c r="AL195" s="18" t="e">
        <f>IF(AL199&lt;4000,AL199,AL199+400)</f>
        <v>#DIV/0!</v>
      </c>
      <c r="AM195" s="889"/>
      <c r="AN195" s="891"/>
      <c r="AO195" s="888"/>
      <c r="AP195" s="891"/>
      <c r="AQ195" s="891"/>
      <c r="AR195" s="889"/>
      <c r="AS195" s="888"/>
      <c r="AT195" s="888"/>
      <c r="AU195" s="890"/>
      <c r="AV195" s="888"/>
      <c r="AW195" s="888"/>
      <c r="AX195" s="888"/>
      <c r="AY195" s="887"/>
      <c r="AZ195" s="888"/>
    </row>
    <row r="196" spans="3:52" ht="18.600000000000001">
      <c r="C196" s="13">
        <f>IF(D196&lt;&gt;"",COUNTA($D$10:D196),"")</f>
        <v>160</v>
      </c>
      <c r="D196" s="14" t="s">
        <v>206</v>
      </c>
      <c r="E196" s="14">
        <v>3.1</v>
      </c>
      <c r="F196" s="14">
        <v>2.6</v>
      </c>
      <c r="G196" s="14">
        <v>2.4</v>
      </c>
      <c r="H196" s="14">
        <v>2</v>
      </c>
      <c r="I196" s="14">
        <v>1</v>
      </c>
      <c r="J196" s="14">
        <v>1.75</v>
      </c>
      <c r="K196" s="14">
        <v>3</v>
      </c>
      <c r="L196" s="15">
        <v>0.1</v>
      </c>
      <c r="M196" s="15">
        <v>0</v>
      </c>
      <c r="N196" s="14">
        <v>24</v>
      </c>
      <c r="O196" s="14">
        <v>50</v>
      </c>
      <c r="P196" s="13">
        <v>45</v>
      </c>
      <c r="Q196" s="13">
        <v>85</v>
      </c>
      <c r="R196" s="13" t="s">
        <v>17</v>
      </c>
      <c r="S196" s="13">
        <v>120</v>
      </c>
      <c r="T196" s="13">
        <v>0</v>
      </c>
      <c r="U196" s="13">
        <v>100</v>
      </c>
      <c r="V196" s="13" t="str">
        <f t="shared" si="129"/>
        <v>ISO 6</v>
      </c>
      <c r="W196" s="13">
        <f t="shared" si="129"/>
        <v>120</v>
      </c>
      <c r="X196" s="16">
        <f t="shared" si="130"/>
        <v>86.7256</v>
      </c>
      <c r="Y196" s="16">
        <f t="shared" si="131"/>
        <v>682.70392319999996</v>
      </c>
      <c r="Z196" s="16">
        <f t="shared" si="132"/>
        <v>1365.4078463999999</v>
      </c>
      <c r="AA196" s="16">
        <f t="shared" si="133"/>
        <v>136.54078464</v>
      </c>
      <c r="AB196" s="16">
        <f t="shared" si="134"/>
        <v>0</v>
      </c>
      <c r="AC196" s="16">
        <f t="shared" si="135"/>
        <v>0</v>
      </c>
      <c r="AD196" s="16" t="e">
        <f t="shared" si="136"/>
        <v>#DIV/0!</v>
      </c>
      <c r="AE196" s="16" t="e">
        <f t="shared" si="137"/>
        <v>#DIV/0!</v>
      </c>
      <c r="AF196" s="16" t="e">
        <f t="shared" si="138"/>
        <v>#DIV/0!</v>
      </c>
      <c r="AG196" s="16" t="e">
        <f t="shared" si="139"/>
        <v>#DIV/0!</v>
      </c>
      <c r="AH196" s="838" t="s">
        <v>85</v>
      </c>
      <c r="AI196" s="17">
        <f t="shared" si="140"/>
        <v>0</v>
      </c>
      <c r="AJ196" s="17" t="e">
        <f t="shared" si="141"/>
        <v>#DIV/0!</v>
      </c>
      <c r="AK196" s="891"/>
      <c r="AL196" s="18"/>
      <c r="AM196" s="889"/>
      <c r="AN196" s="891"/>
      <c r="AO196" s="888"/>
      <c r="AP196" s="891"/>
      <c r="AQ196" s="891"/>
      <c r="AR196" s="889"/>
      <c r="AS196" s="888"/>
      <c r="AT196" s="888"/>
      <c r="AU196" s="890"/>
      <c r="AV196" s="888"/>
      <c r="AW196" s="888"/>
      <c r="AX196" s="888"/>
      <c r="AY196" s="887"/>
      <c r="AZ196" s="888"/>
    </row>
    <row r="197" spans="3:52" ht="18.600000000000001">
      <c r="C197" s="13">
        <f>IF(D197&lt;&gt;"",COUNTA($D$10:D197),"")</f>
        <v>161</v>
      </c>
      <c r="D197" s="14" t="s">
        <v>207</v>
      </c>
      <c r="E197" s="14">
        <v>1.9</v>
      </c>
      <c r="F197" s="14">
        <v>2.4</v>
      </c>
      <c r="G197" s="14">
        <v>2.4</v>
      </c>
      <c r="H197" s="14">
        <v>3</v>
      </c>
      <c r="I197" s="14">
        <v>2</v>
      </c>
      <c r="J197" s="14">
        <v>1.75</v>
      </c>
      <c r="K197" s="14">
        <v>3</v>
      </c>
      <c r="L197" s="15">
        <v>0.1</v>
      </c>
      <c r="M197" s="15">
        <v>0</v>
      </c>
      <c r="N197" s="14">
        <v>24</v>
      </c>
      <c r="O197" s="14">
        <v>50</v>
      </c>
      <c r="P197" s="13">
        <v>45</v>
      </c>
      <c r="Q197" s="13">
        <v>85</v>
      </c>
      <c r="R197" s="13" t="s">
        <v>17</v>
      </c>
      <c r="S197" s="13">
        <v>120</v>
      </c>
      <c r="T197" s="13">
        <v>0</v>
      </c>
      <c r="U197" s="13">
        <v>100</v>
      </c>
      <c r="V197" s="13" t="str">
        <f t="shared" si="129"/>
        <v>ISO 6</v>
      </c>
      <c r="W197" s="13">
        <f t="shared" si="129"/>
        <v>120</v>
      </c>
      <c r="X197" s="16">
        <f t="shared" si="130"/>
        <v>49.065599999999996</v>
      </c>
      <c r="Y197" s="16">
        <f t="shared" si="131"/>
        <v>386.24440319999997</v>
      </c>
      <c r="Z197" s="16">
        <f t="shared" si="132"/>
        <v>772.48880639999993</v>
      </c>
      <c r="AA197" s="16">
        <f t="shared" si="133"/>
        <v>77.248880639999996</v>
      </c>
      <c r="AB197" s="16">
        <f t="shared" si="134"/>
        <v>0</v>
      </c>
      <c r="AC197" s="16">
        <f t="shared" si="135"/>
        <v>0</v>
      </c>
      <c r="AD197" s="16" t="e">
        <f t="shared" si="136"/>
        <v>#DIV/0!</v>
      </c>
      <c r="AE197" s="16" t="e">
        <f t="shared" si="137"/>
        <v>#DIV/0!</v>
      </c>
      <c r="AF197" s="16" t="e">
        <f t="shared" si="138"/>
        <v>#DIV/0!</v>
      </c>
      <c r="AG197" s="16" t="e">
        <f t="shared" si="139"/>
        <v>#DIV/0!</v>
      </c>
      <c r="AH197" s="838" t="s">
        <v>85</v>
      </c>
      <c r="AI197" s="17">
        <f t="shared" si="140"/>
        <v>0</v>
      </c>
      <c r="AJ197" s="17" t="e">
        <f t="shared" si="141"/>
        <v>#DIV/0!</v>
      </c>
      <c r="AK197" s="891"/>
      <c r="AL197" s="18"/>
      <c r="AM197" s="889"/>
      <c r="AN197" s="891"/>
      <c r="AO197" s="888"/>
      <c r="AP197" s="891"/>
      <c r="AQ197" s="891"/>
      <c r="AR197" s="889"/>
      <c r="AS197" s="888"/>
      <c r="AT197" s="888"/>
      <c r="AU197" s="890"/>
      <c r="AV197" s="888"/>
      <c r="AW197" s="888"/>
      <c r="AX197" s="888"/>
      <c r="AY197" s="887"/>
      <c r="AZ197" s="888"/>
    </row>
    <row r="198" spans="3:52" ht="18.600000000000001">
      <c r="C198" s="13">
        <f>IF(D198&lt;&gt;"",COUNTA($D$10:D198),"")</f>
        <v>162</v>
      </c>
      <c r="D198" s="14" t="s">
        <v>208</v>
      </c>
      <c r="E198" s="14">
        <v>3</v>
      </c>
      <c r="F198" s="14">
        <v>2.9</v>
      </c>
      <c r="G198" s="14">
        <v>2.4</v>
      </c>
      <c r="H198" s="14">
        <v>2</v>
      </c>
      <c r="I198" s="14">
        <v>1</v>
      </c>
      <c r="J198" s="14">
        <v>1.75</v>
      </c>
      <c r="K198" s="14">
        <v>3</v>
      </c>
      <c r="L198" s="15">
        <v>0.1</v>
      </c>
      <c r="M198" s="15">
        <v>0</v>
      </c>
      <c r="N198" s="14">
        <v>24</v>
      </c>
      <c r="O198" s="14">
        <v>50</v>
      </c>
      <c r="P198" s="13">
        <v>45</v>
      </c>
      <c r="Q198" s="13">
        <v>85</v>
      </c>
      <c r="R198" s="13" t="s">
        <v>17</v>
      </c>
      <c r="S198" s="13">
        <v>120</v>
      </c>
      <c r="T198" s="13">
        <v>0</v>
      </c>
      <c r="U198" s="13">
        <v>100</v>
      </c>
      <c r="V198" s="13" t="str">
        <f t="shared" si="129"/>
        <v>ISO 6</v>
      </c>
      <c r="W198" s="13">
        <f t="shared" si="129"/>
        <v>120</v>
      </c>
      <c r="X198" s="16">
        <f t="shared" si="130"/>
        <v>93.611999999999995</v>
      </c>
      <c r="Y198" s="16">
        <f t="shared" si="131"/>
        <v>736.91366399999993</v>
      </c>
      <c r="Z198" s="16">
        <f t="shared" si="132"/>
        <v>1473.8273279999999</v>
      </c>
      <c r="AA198" s="16">
        <f t="shared" si="133"/>
        <v>147.38273279999999</v>
      </c>
      <c r="AB198" s="16">
        <f t="shared" si="134"/>
        <v>0</v>
      </c>
      <c r="AC198" s="16">
        <f t="shared" si="135"/>
        <v>0</v>
      </c>
      <c r="AD198" s="16" t="e">
        <f>IF(ISNUMBER(N198), CEILING(CF198/(0.68*BP198),25), "Ambient")</f>
        <v>#DIV/0!</v>
      </c>
      <c r="AE198" s="16" t="e">
        <f t="shared" si="137"/>
        <v>#DIV/0!</v>
      </c>
      <c r="AF198" s="16" t="e">
        <f t="shared" si="138"/>
        <v>#DIV/0!</v>
      </c>
      <c r="AG198" s="16" t="e">
        <f t="shared" si="139"/>
        <v>#DIV/0!</v>
      </c>
      <c r="AH198" s="838" t="s">
        <v>85</v>
      </c>
      <c r="AI198" s="17">
        <f t="shared" si="140"/>
        <v>0</v>
      </c>
      <c r="AJ198" s="17" t="e">
        <f t="shared" si="141"/>
        <v>#DIV/0!</v>
      </c>
      <c r="AK198" s="891"/>
      <c r="AL198" s="18"/>
      <c r="AM198" s="889"/>
      <c r="AN198" s="891"/>
      <c r="AO198" s="888"/>
      <c r="AP198" s="891"/>
      <c r="AQ198" s="891"/>
      <c r="AR198" s="889"/>
      <c r="AS198" s="888"/>
      <c r="AT198" s="888"/>
      <c r="AU198" s="890"/>
      <c r="AV198" s="888"/>
      <c r="AW198" s="888"/>
      <c r="AX198" s="888"/>
      <c r="AY198" s="887"/>
      <c r="AZ198" s="888"/>
    </row>
    <row r="199" spans="3:52" ht="18.600000000000001">
      <c r="C199" s="13">
        <f>IF(D199&lt;&gt;"",COUNTA($D$10:D199),"")</f>
        <v>163</v>
      </c>
      <c r="D199" s="14" t="s">
        <v>209</v>
      </c>
      <c r="E199" s="14">
        <v>2.4</v>
      </c>
      <c r="F199" s="14">
        <v>2</v>
      </c>
      <c r="G199" s="14">
        <v>2.4</v>
      </c>
      <c r="H199" s="14">
        <v>2</v>
      </c>
      <c r="I199" s="14">
        <v>1</v>
      </c>
      <c r="J199" s="14">
        <v>1.75</v>
      </c>
      <c r="K199" s="14">
        <v>3</v>
      </c>
      <c r="L199" s="15">
        <v>0.1</v>
      </c>
      <c r="M199" s="15">
        <v>0</v>
      </c>
      <c r="N199" s="14">
        <v>24</v>
      </c>
      <c r="O199" s="14">
        <v>50</v>
      </c>
      <c r="P199" s="13">
        <v>45</v>
      </c>
      <c r="Q199" s="13">
        <v>85</v>
      </c>
      <c r="R199" s="13" t="s">
        <v>17</v>
      </c>
      <c r="S199" s="13">
        <v>120</v>
      </c>
      <c r="T199" s="13">
        <v>0</v>
      </c>
      <c r="U199" s="13">
        <v>100</v>
      </c>
      <c r="V199" s="13" t="str">
        <f t="shared" si="129"/>
        <v>ISO 6</v>
      </c>
      <c r="W199" s="13">
        <f t="shared" si="129"/>
        <v>120</v>
      </c>
      <c r="X199" s="16">
        <f t="shared" si="130"/>
        <v>51.647999999999996</v>
      </c>
      <c r="Y199" s="16">
        <f t="shared" si="131"/>
        <v>406.57305599999995</v>
      </c>
      <c r="Z199" s="16">
        <f t="shared" si="132"/>
        <v>813.1461119999999</v>
      </c>
      <c r="AA199" s="16">
        <f t="shared" si="133"/>
        <v>81.314611200000002</v>
      </c>
      <c r="AB199" s="16">
        <f t="shared" si="134"/>
        <v>0</v>
      </c>
      <c r="AC199" s="16">
        <f t="shared" si="135"/>
        <v>0</v>
      </c>
      <c r="AD199" s="16" t="e">
        <f t="shared" ref="AD199:AD205" si="142">IF(ISNUMBER(N199), CEILING(CF199/(0.68*BP199),25), "Ambient")</f>
        <v>#DIV/0!</v>
      </c>
      <c r="AE199" s="16" t="e">
        <f t="shared" si="137"/>
        <v>#DIV/0!</v>
      </c>
      <c r="AF199" s="16" t="e">
        <f t="shared" si="138"/>
        <v>#DIV/0!</v>
      </c>
      <c r="AG199" s="16" t="e">
        <f t="shared" si="139"/>
        <v>#DIV/0!</v>
      </c>
      <c r="AH199" s="838" t="s">
        <v>85</v>
      </c>
      <c r="AI199" s="17">
        <f t="shared" si="140"/>
        <v>0</v>
      </c>
      <c r="AJ199" s="17" t="e">
        <f t="shared" si="141"/>
        <v>#DIV/0!</v>
      </c>
      <c r="AK199" s="891"/>
      <c r="AL199" s="174" t="e">
        <f>IF(AN190&lt;=315,1600,(IF(AN190=355,1650,(IF(AN190=400,1650,(IF(AN190=450,1700,(IF(AN190=500,1700,(IF(AN190=560,1800,(IF(AN190=630,2000,(IF(AN190=710,2200,2500)))))))))))))))+IF(AR190=2,1800,(IF(AR190=3,2300,(IF(AR190=4,3300,0)))))+IF(AP190&lt;=4,600,(IF(AP190&lt;=6,800,(IF(AP190&lt;=8,1000,1200)))))</f>
        <v>#DIV/0!</v>
      </c>
      <c r="AM199" s="889"/>
      <c r="AN199" s="891"/>
      <c r="AO199" s="888"/>
      <c r="AP199" s="891"/>
      <c r="AQ199" s="891"/>
      <c r="AR199" s="889"/>
      <c r="AS199" s="888"/>
      <c r="AT199" s="888"/>
      <c r="AU199" s="890"/>
      <c r="AV199" s="888"/>
      <c r="AW199" s="888"/>
      <c r="AX199" s="888"/>
      <c r="AY199" s="887"/>
      <c r="AZ199" s="888"/>
    </row>
    <row r="200" spans="3:52" ht="18.600000000000001">
      <c r="C200" s="13">
        <f>IF(D200&lt;&gt;"",COUNTA($D$10:D200),"")</f>
        <v>164</v>
      </c>
      <c r="D200" s="14" t="s">
        <v>210</v>
      </c>
      <c r="E200" s="14">
        <v>2.1</v>
      </c>
      <c r="F200" s="14">
        <v>1.8</v>
      </c>
      <c r="G200" s="14">
        <v>2.4</v>
      </c>
      <c r="H200" s="14">
        <v>2</v>
      </c>
      <c r="I200" s="14">
        <v>1</v>
      </c>
      <c r="J200" s="14">
        <v>1.75</v>
      </c>
      <c r="K200" s="14">
        <v>3</v>
      </c>
      <c r="L200" s="15">
        <v>0.1</v>
      </c>
      <c r="M200" s="15">
        <v>0</v>
      </c>
      <c r="N200" s="14">
        <v>24</v>
      </c>
      <c r="O200" s="14">
        <v>50</v>
      </c>
      <c r="P200" s="13">
        <v>45</v>
      </c>
      <c r="Q200" s="13">
        <v>85</v>
      </c>
      <c r="R200" s="13" t="s">
        <v>17</v>
      </c>
      <c r="S200" s="13">
        <v>120</v>
      </c>
      <c r="T200" s="13">
        <v>0</v>
      </c>
      <c r="U200" s="13">
        <v>100</v>
      </c>
      <c r="V200" s="13" t="str">
        <f t="shared" si="129"/>
        <v>ISO 6</v>
      </c>
      <c r="W200" s="13">
        <f t="shared" si="129"/>
        <v>120</v>
      </c>
      <c r="X200" s="16">
        <f t="shared" si="130"/>
        <v>40.672800000000002</v>
      </c>
      <c r="Y200" s="16">
        <f t="shared" si="131"/>
        <v>320.17628159999998</v>
      </c>
      <c r="Z200" s="16">
        <f t="shared" si="132"/>
        <v>640.35256319999996</v>
      </c>
      <c r="AA200" s="16">
        <f t="shared" si="133"/>
        <v>64.035256320000002</v>
      </c>
      <c r="AB200" s="16">
        <f t="shared" si="134"/>
        <v>0</v>
      </c>
      <c r="AC200" s="16">
        <f t="shared" si="135"/>
        <v>0</v>
      </c>
      <c r="AD200" s="16" t="e">
        <f t="shared" si="142"/>
        <v>#DIV/0!</v>
      </c>
      <c r="AE200" s="16" t="e">
        <f t="shared" si="137"/>
        <v>#DIV/0!</v>
      </c>
      <c r="AF200" s="16" t="e">
        <f t="shared" si="138"/>
        <v>#DIV/0!</v>
      </c>
      <c r="AG200" s="16" t="e">
        <f t="shared" si="139"/>
        <v>#DIV/0!</v>
      </c>
      <c r="AH200" s="838" t="s">
        <v>85</v>
      </c>
      <c r="AI200" s="17">
        <f t="shared" si="140"/>
        <v>0</v>
      </c>
      <c r="AJ200" s="17" t="e">
        <f t="shared" si="141"/>
        <v>#DIV/0!</v>
      </c>
      <c r="AK200" s="891"/>
      <c r="AL200" s="18"/>
      <c r="AM200" s="889"/>
      <c r="AN200" s="891"/>
      <c r="AO200" s="888"/>
      <c r="AP200" s="891"/>
      <c r="AQ200" s="891"/>
      <c r="AR200" s="889"/>
      <c r="AS200" s="888"/>
      <c r="AT200" s="888"/>
      <c r="AU200" s="890"/>
      <c r="AV200" s="888"/>
      <c r="AW200" s="888"/>
      <c r="AX200" s="888"/>
      <c r="AY200" s="887"/>
      <c r="AZ200" s="888"/>
    </row>
    <row r="201" spans="3:52" ht="18.600000000000001">
      <c r="C201" s="13">
        <f>IF(D201&lt;&gt;"",COUNTA($D$10:D201),"")</f>
        <v>165</v>
      </c>
      <c r="D201" s="14" t="s">
        <v>211</v>
      </c>
      <c r="E201" s="14">
        <v>1.8</v>
      </c>
      <c r="F201" s="14">
        <v>1.9</v>
      </c>
      <c r="G201" s="14">
        <v>2.4</v>
      </c>
      <c r="H201" s="14">
        <v>2</v>
      </c>
      <c r="I201" s="14">
        <v>1</v>
      </c>
      <c r="J201" s="14">
        <v>1.75</v>
      </c>
      <c r="K201" s="14">
        <v>3</v>
      </c>
      <c r="L201" s="15">
        <v>0.1</v>
      </c>
      <c r="M201" s="15">
        <v>0</v>
      </c>
      <c r="N201" s="14">
        <v>24</v>
      </c>
      <c r="O201" s="14">
        <v>50</v>
      </c>
      <c r="P201" s="13">
        <v>45</v>
      </c>
      <c r="Q201" s="13">
        <v>85</v>
      </c>
      <c r="R201" s="13" t="s">
        <v>17</v>
      </c>
      <c r="S201" s="13">
        <v>120</v>
      </c>
      <c r="T201" s="13">
        <v>0</v>
      </c>
      <c r="U201" s="13">
        <v>100</v>
      </c>
      <c r="V201" s="13" t="str">
        <f t="shared" si="129"/>
        <v>ISO 6</v>
      </c>
      <c r="W201" s="13">
        <f t="shared" si="129"/>
        <v>120</v>
      </c>
      <c r="X201" s="16">
        <f t="shared" si="130"/>
        <v>36.799199999999999</v>
      </c>
      <c r="Y201" s="16">
        <f t="shared" si="131"/>
        <v>289.68330239999995</v>
      </c>
      <c r="Z201" s="16">
        <f t="shared" si="132"/>
        <v>579.36660479999989</v>
      </c>
      <c r="AA201" s="16">
        <f t="shared" si="133"/>
        <v>57.936660479999993</v>
      </c>
      <c r="AB201" s="16">
        <f t="shared" si="134"/>
        <v>0</v>
      </c>
      <c r="AC201" s="16">
        <f t="shared" si="135"/>
        <v>0</v>
      </c>
      <c r="AD201" s="16" t="e">
        <f t="shared" si="142"/>
        <v>#DIV/0!</v>
      </c>
      <c r="AE201" s="16" t="e">
        <f t="shared" si="137"/>
        <v>#DIV/0!</v>
      </c>
      <c r="AF201" s="16" t="e">
        <f t="shared" si="138"/>
        <v>#DIV/0!</v>
      </c>
      <c r="AG201" s="16" t="e">
        <f t="shared" si="139"/>
        <v>#DIV/0!</v>
      </c>
      <c r="AH201" s="838" t="s">
        <v>85</v>
      </c>
      <c r="AI201" s="17">
        <f t="shared" si="140"/>
        <v>0</v>
      </c>
      <c r="AJ201" s="17" t="e">
        <f t="shared" si="141"/>
        <v>#DIV/0!</v>
      </c>
      <c r="AK201" s="891"/>
      <c r="AL201" s="18"/>
      <c r="AM201" s="889"/>
      <c r="AN201" s="891"/>
      <c r="AO201" s="888"/>
      <c r="AP201" s="891"/>
      <c r="AQ201" s="891"/>
      <c r="AR201" s="889"/>
      <c r="AS201" s="888"/>
      <c r="AT201" s="888"/>
      <c r="AU201" s="890"/>
      <c r="AV201" s="888"/>
      <c r="AW201" s="888"/>
      <c r="AX201" s="888"/>
      <c r="AY201" s="887"/>
      <c r="AZ201" s="888"/>
    </row>
    <row r="202" spans="3:52" ht="18.600000000000001">
      <c r="C202" s="13">
        <f>IF(D202&lt;&gt;"",COUNTA($D$10:D202),"")</f>
        <v>166</v>
      </c>
      <c r="D202" s="14" t="s">
        <v>212</v>
      </c>
      <c r="E202" s="14">
        <v>1.9</v>
      </c>
      <c r="F202" s="14">
        <v>2</v>
      </c>
      <c r="G202" s="14">
        <v>2.4</v>
      </c>
      <c r="H202" s="14">
        <v>2</v>
      </c>
      <c r="I202" s="14">
        <v>1</v>
      </c>
      <c r="J202" s="14">
        <v>1.75</v>
      </c>
      <c r="K202" s="14">
        <v>3</v>
      </c>
      <c r="L202" s="15">
        <v>0.1</v>
      </c>
      <c r="M202" s="15">
        <v>0</v>
      </c>
      <c r="N202" s="14">
        <v>24</v>
      </c>
      <c r="O202" s="14">
        <v>50</v>
      </c>
      <c r="P202" s="13">
        <v>45</v>
      </c>
      <c r="Q202" s="13">
        <v>85</v>
      </c>
      <c r="R202" s="13" t="s">
        <v>17</v>
      </c>
      <c r="S202" s="13">
        <v>120</v>
      </c>
      <c r="T202" s="13">
        <v>0</v>
      </c>
      <c r="U202" s="13">
        <v>100</v>
      </c>
      <c r="V202" s="13" t="str">
        <f t="shared" si="129"/>
        <v>ISO 6</v>
      </c>
      <c r="W202" s="13">
        <f t="shared" si="129"/>
        <v>120</v>
      </c>
      <c r="X202" s="16">
        <f t="shared" si="130"/>
        <v>40.887999999999998</v>
      </c>
      <c r="Y202" s="16">
        <f t="shared" si="131"/>
        <v>321.87033599999995</v>
      </c>
      <c r="Z202" s="16">
        <f t="shared" si="132"/>
        <v>643.7406719999999</v>
      </c>
      <c r="AA202" s="16">
        <f t="shared" si="133"/>
        <v>64.374067199999999</v>
      </c>
      <c r="AB202" s="16">
        <f t="shared" si="134"/>
        <v>0</v>
      </c>
      <c r="AC202" s="16">
        <f t="shared" si="135"/>
        <v>0</v>
      </c>
      <c r="AD202" s="16" t="e">
        <f t="shared" si="142"/>
        <v>#DIV/0!</v>
      </c>
      <c r="AE202" s="16" t="e">
        <f t="shared" si="137"/>
        <v>#DIV/0!</v>
      </c>
      <c r="AF202" s="16" t="e">
        <f t="shared" si="138"/>
        <v>#DIV/0!</v>
      </c>
      <c r="AG202" s="16" t="e">
        <f t="shared" si="139"/>
        <v>#DIV/0!</v>
      </c>
      <c r="AH202" s="838" t="s">
        <v>85</v>
      </c>
      <c r="AI202" s="17">
        <f t="shared" si="140"/>
        <v>0</v>
      </c>
      <c r="AJ202" s="17" t="e">
        <f t="shared" si="141"/>
        <v>#DIV/0!</v>
      </c>
      <c r="AK202" s="891"/>
      <c r="AL202" s="18"/>
      <c r="AM202" s="889"/>
      <c r="AN202" s="891"/>
      <c r="AO202" s="888"/>
      <c r="AP202" s="891"/>
      <c r="AQ202" s="891"/>
      <c r="AR202" s="889"/>
      <c r="AS202" s="888"/>
      <c r="AT202" s="888"/>
      <c r="AU202" s="890"/>
      <c r="AV202" s="888"/>
      <c r="AW202" s="888"/>
      <c r="AX202" s="888"/>
      <c r="AY202" s="887"/>
      <c r="AZ202" s="888"/>
    </row>
    <row r="203" spans="3:52" ht="18.600000000000001">
      <c r="C203" s="13">
        <f>IF(D203&lt;&gt;"",COUNTA($D$10:D203),"")</f>
        <v>167</v>
      </c>
      <c r="D203" s="14" t="s">
        <v>213</v>
      </c>
      <c r="E203" s="14">
        <v>2.2999999999999998</v>
      </c>
      <c r="F203" s="14">
        <v>2.2000000000000002</v>
      </c>
      <c r="G203" s="14">
        <v>2.4</v>
      </c>
      <c r="H203" s="14">
        <v>2</v>
      </c>
      <c r="I203" s="14">
        <v>1</v>
      </c>
      <c r="J203" s="14">
        <v>1.75</v>
      </c>
      <c r="K203" s="14">
        <v>3</v>
      </c>
      <c r="L203" s="15">
        <v>0.1</v>
      </c>
      <c r="M203" s="15">
        <v>0</v>
      </c>
      <c r="N203" s="14">
        <v>24</v>
      </c>
      <c r="O203" s="14">
        <v>50</v>
      </c>
      <c r="P203" s="13">
        <v>45</v>
      </c>
      <c r="Q203" s="13">
        <v>85</v>
      </c>
      <c r="R203" s="13" t="s">
        <v>17</v>
      </c>
      <c r="S203" s="13">
        <v>120</v>
      </c>
      <c r="T203" s="13">
        <v>0</v>
      </c>
      <c r="U203" s="13">
        <v>100</v>
      </c>
      <c r="V203" s="13" t="str">
        <f t="shared" si="129"/>
        <v>ISO 6</v>
      </c>
      <c r="W203" s="13">
        <f t="shared" si="129"/>
        <v>120</v>
      </c>
      <c r="X203" s="16">
        <f t="shared" si="130"/>
        <v>54.445599999999992</v>
      </c>
      <c r="Y203" s="16">
        <f t="shared" si="131"/>
        <v>428.59576319999991</v>
      </c>
      <c r="Z203" s="16">
        <f t="shared" si="132"/>
        <v>857.19152639999982</v>
      </c>
      <c r="AA203" s="16">
        <f t="shared" si="133"/>
        <v>85.71915263999999</v>
      </c>
      <c r="AB203" s="16">
        <f t="shared" si="134"/>
        <v>0</v>
      </c>
      <c r="AC203" s="16">
        <f t="shared" si="135"/>
        <v>0</v>
      </c>
      <c r="AD203" s="16" t="e">
        <f t="shared" si="142"/>
        <v>#DIV/0!</v>
      </c>
      <c r="AE203" s="16" t="e">
        <f t="shared" si="137"/>
        <v>#DIV/0!</v>
      </c>
      <c r="AF203" s="16" t="e">
        <f t="shared" si="138"/>
        <v>#DIV/0!</v>
      </c>
      <c r="AG203" s="16" t="e">
        <f t="shared" si="139"/>
        <v>#DIV/0!</v>
      </c>
      <c r="AH203" s="838" t="s">
        <v>85</v>
      </c>
      <c r="AI203" s="17">
        <f t="shared" si="140"/>
        <v>0</v>
      </c>
      <c r="AJ203" s="17" t="e">
        <f t="shared" si="141"/>
        <v>#DIV/0!</v>
      </c>
      <c r="AK203" s="891"/>
      <c r="AL203" s="18"/>
      <c r="AM203" s="889"/>
      <c r="AN203" s="891"/>
      <c r="AO203" s="888"/>
      <c r="AP203" s="891"/>
      <c r="AQ203" s="891"/>
      <c r="AR203" s="889"/>
      <c r="AS203" s="888"/>
      <c r="AT203" s="888"/>
      <c r="AU203" s="890"/>
      <c r="AV203" s="888"/>
      <c r="AW203" s="888"/>
      <c r="AX203" s="888"/>
      <c r="AY203" s="887"/>
      <c r="AZ203" s="888"/>
    </row>
    <row r="204" spans="3:52" ht="18.600000000000001">
      <c r="C204" s="13">
        <f>IF(D204&lt;&gt;"",COUNTA($D$10:D204),"")</f>
        <v>168</v>
      </c>
      <c r="D204" s="14" t="s">
        <v>214</v>
      </c>
      <c r="E204" s="14">
        <v>2.2000000000000002</v>
      </c>
      <c r="F204" s="14">
        <v>2.8</v>
      </c>
      <c r="G204" s="14">
        <v>2.4</v>
      </c>
      <c r="H204" s="14">
        <v>2</v>
      </c>
      <c r="I204" s="14">
        <v>1</v>
      </c>
      <c r="J204" s="14">
        <v>1.75</v>
      </c>
      <c r="K204" s="14">
        <v>3</v>
      </c>
      <c r="L204" s="15">
        <v>0.1</v>
      </c>
      <c r="M204" s="15">
        <v>0</v>
      </c>
      <c r="N204" s="14">
        <v>24</v>
      </c>
      <c r="O204" s="14">
        <v>50</v>
      </c>
      <c r="P204" s="13">
        <v>45</v>
      </c>
      <c r="Q204" s="13">
        <v>85</v>
      </c>
      <c r="R204" s="13" t="s">
        <v>17</v>
      </c>
      <c r="S204" s="13">
        <v>120</v>
      </c>
      <c r="T204" s="13">
        <v>0</v>
      </c>
      <c r="U204" s="13">
        <v>100</v>
      </c>
      <c r="V204" s="13" t="str">
        <f t="shared" si="129"/>
        <v>ISO 6</v>
      </c>
      <c r="W204" s="13">
        <f t="shared" si="129"/>
        <v>120</v>
      </c>
      <c r="X204" s="16">
        <f t="shared" si="130"/>
        <v>66.281599999999997</v>
      </c>
      <c r="Y204" s="16">
        <f t="shared" si="131"/>
        <v>521.76875519999999</v>
      </c>
      <c r="Z204" s="16">
        <f t="shared" si="132"/>
        <v>1043.5375104</v>
      </c>
      <c r="AA204" s="16">
        <f t="shared" si="133"/>
        <v>104.35375104000001</v>
      </c>
      <c r="AB204" s="16">
        <f t="shared" si="134"/>
        <v>0</v>
      </c>
      <c r="AC204" s="16">
        <f t="shared" si="135"/>
        <v>0</v>
      </c>
      <c r="AD204" s="16" t="e">
        <f t="shared" si="142"/>
        <v>#DIV/0!</v>
      </c>
      <c r="AE204" s="16" t="e">
        <f t="shared" si="137"/>
        <v>#DIV/0!</v>
      </c>
      <c r="AF204" s="16" t="e">
        <f t="shared" si="138"/>
        <v>#DIV/0!</v>
      </c>
      <c r="AG204" s="16" t="e">
        <f t="shared" si="139"/>
        <v>#DIV/0!</v>
      </c>
      <c r="AH204" s="838" t="s">
        <v>85</v>
      </c>
      <c r="AI204" s="17">
        <f t="shared" si="140"/>
        <v>0</v>
      </c>
      <c r="AJ204" s="17" t="e">
        <f t="shared" si="141"/>
        <v>#DIV/0!</v>
      </c>
      <c r="AK204" s="891"/>
      <c r="AL204" s="18"/>
      <c r="AM204" s="889"/>
      <c r="AN204" s="891"/>
      <c r="AO204" s="888"/>
      <c r="AP204" s="891"/>
      <c r="AQ204" s="891"/>
      <c r="AR204" s="889"/>
      <c r="AS204" s="888"/>
      <c r="AT204" s="888"/>
      <c r="AU204" s="890"/>
      <c r="AV204" s="888"/>
      <c r="AW204" s="888"/>
      <c r="AX204" s="888"/>
      <c r="AY204" s="887"/>
      <c r="AZ204" s="888"/>
    </row>
    <row r="205" spans="3:52" ht="18.600000000000001">
      <c r="C205" s="13">
        <f>IF(D205&lt;&gt;"",COUNTA($D$10:D205),"")</f>
        <v>169</v>
      </c>
      <c r="D205" s="14" t="s">
        <v>215</v>
      </c>
      <c r="E205" s="14">
        <v>2.8</v>
      </c>
      <c r="F205" s="14">
        <v>2.4</v>
      </c>
      <c r="G205" s="14">
        <v>2.4</v>
      </c>
      <c r="H205" s="14">
        <v>2</v>
      </c>
      <c r="I205" s="14">
        <v>1</v>
      </c>
      <c r="J205" s="14">
        <v>1.75</v>
      </c>
      <c r="K205" s="14">
        <v>3</v>
      </c>
      <c r="L205" s="15">
        <v>0.1</v>
      </c>
      <c r="M205" s="15">
        <v>0</v>
      </c>
      <c r="N205" s="14">
        <v>24</v>
      </c>
      <c r="O205" s="14">
        <v>50</v>
      </c>
      <c r="P205" s="13">
        <v>45</v>
      </c>
      <c r="Q205" s="13">
        <v>85</v>
      </c>
      <c r="R205" s="13" t="s">
        <v>17</v>
      </c>
      <c r="S205" s="13">
        <v>120</v>
      </c>
      <c r="T205" s="13">
        <v>0</v>
      </c>
      <c r="U205" s="13">
        <v>100</v>
      </c>
      <c r="V205" s="13" t="str">
        <f t="shared" si="129"/>
        <v>ISO 6</v>
      </c>
      <c r="W205" s="13">
        <f t="shared" si="129"/>
        <v>120</v>
      </c>
      <c r="X205" s="16">
        <f t="shared" si="130"/>
        <v>72.307199999999995</v>
      </c>
      <c r="Y205" s="16">
        <f t="shared" si="131"/>
        <v>569.20227839999995</v>
      </c>
      <c r="Z205" s="16">
        <f t="shared" si="132"/>
        <v>1138.4045567999999</v>
      </c>
      <c r="AA205" s="16">
        <f t="shared" si="133"/>
        <v>113.84045567999999</v>
      </c>
      <c r="AB205" s="16">
        <f t="shared" si="134"/>
        <v>0</v>
      </c>
      <c r="AC205" s="16">
        <f t="shared" si="135"/>
        <v>0</v>
      </c>
      <c r="AD205" s="16" t="e">
        <f t="shared" si="142"/>
        <v>#DIV/0!</v>
      </c>
      <c r="AE205" s="16" t="e">
        <f t="shared" si="137"/>
        <v>#DIV/0!</v>
      </c>
      <c r="AF205" s="16" t="e">
        <f t="shared" si="138"/>
        <v>#DIV/0!</v>
      </c>
      <c r="AG205" s="16" t="e">
        <f t="shared" si="139"/>
        <v>#DIV/0!</v>
      </c>
      <c r="AH205" s="838" t="s">
        <v>85</v>
      </c>
      <c r="AI205" s="17">
        <f t="shared" si="140"/>
        <v>0</v>
      </c>
      <c r="AJ205" s="17" t="e">
        <f t="shared" si="141"/>
        <v>#DIV/0!</v>
      </c>
      <c r="AK205" s="891"/>
      <c r="AL205" s="18"/>
      <c r="AM205" s="889"/>
      <c r="AN205" s="891"/>
      <c r="AO205" s="888"/>
      <c r="AP205" s="891"/>
      <c r="AQ205" s="891"/>
      <c r="AR205" s="889"/>
      <c r="AS205" s="888"/>
      <c r="AT205" s="888"/>
      <c r="AU205" s="890"/>
      <c r="AV205" s="888"/>
      <c r="AW205" s="888"/>
      <c r="AX205" s="888"/>
      <c r="AY205" s="887"/>
      <c r="AZ205" s="888"/>
    </row>
    <row r="206" spans="3:52">
      <c r="C206" s="13" t="str">
        <f>IF(D206&lt;&gt;"",COUNTA($D$10:D206),"")</f>
        <v/>
      </c>
      <c r="D206" s="19"/>
      <c r="E206" s="19"/>
      <c r="F206" s="19"/>
      <c r="G206" s="19"/>
      <c r="H206" s="19"/>
      <c r="I206" s="19"/>
      <c r="J206" s="19"/>
      <c r="K206" s="19"/>
      <c r="L206" s="19"/>
      <c r="M206" s="19"/>
      <c r="N206" s="19"/>
      <c r="O206" s="19"/>
      <c r="P206" s="19"/>
      <c r="Q206" s="19"/>
      <c r="R206" s="19"/>
      <c r="S206" s="19"/>
      <c r="T206" s="19"/>
      <c r="U206" s="19"/>
      <c r="V206" s="19"/>
      <c r="W206" s="19"/>
      <c r="X206" s="20">
        <f>SUM(X190:X205)</f>
        <v>1144.1108000000002</v>
      </c>
      <c r="Y206" s="20">
        <f t="shared" ref="Y206:AG206" si="143">SUM(Y190:Y205)</f>
        <v>9006.4402175999985</v>
      </c>
      <c r="Z206" s="20">
        <f t="shared" si="143"/>
        <v>18012.880435199997</v>
      </c>
      <c r="AA206" s="20">
        <f t="shared" si="143"/>
        <v>1801.2880435199995</v>
      </c>
      <c r="AB206" s="20">
        <f t="shared" si="143"/>
        <v>0</v>
      </c>
      <c r="AC206" s="20">
        <f t="shared" si="143"/>
        <v>0</v>
      </c>
      <c r="AD206" s="20" t="e">
        <f t="shared" si="143"/>
        <v>#DIV/0!</v>
      </c>
      <c r="AE206" s="20" t="e">
        <f t="shared" si="143"/>
        <v>#DIV/0!</v>
      </c>
      <c r="AF206" s="20" t="e">
        <f t="shared" si="143"/>
        <v>#DIV/0!</v>
      </c>
      <c r="AG206" s="20" t="e">
        <f t="shared" si="143"/>
        <v>#DIV/0!</v>
      </c>
      <c r="AH206" s="841"/>
      <c r="AI206" s="20">
        <f t="shared" ref="AI206:AJ206" si="144">SUM(AI190:AI205)</f>
        <v>0</v>
      </c>
      <c r="AJ206" s="20" t="e">
        <f t="shared" si="144"/>
        <v>#DIV/0!</v>
      </c>
      <c r="AK206" s="21"/>
      <c r="AL206" s="21"/>
      <c r="AM206" s="21"/>
      <c r="AN206" s="21"/>
      <c r="AO206" s="21"/>
      <c r="AP206" s="21"/>
      <c r="AQ206" s="21"/>
      <c r="AR206" s="21"/>
      <c r="AS206" s="21"/>
      <c r="AT206" s="21"/>
      <c r="AU206" s="21"/>
      <c r="AV206" s="21"/>
      <c r="AW206" s="21"/>
      <c r="AX206" s="21"/>
      <c r="AY206" s="21"/>
      <c r="AZ206" s="21"/>
    </row>
    <row r="207" spans="3:52">
      <c r="C207" s="13" t="str">
        <f>IF(D207&lt;&gt;"",COUNTA($D$10:D207),"")</f>
        <v/>
      </c>
      <c r="AH207" s="840"/>
    </row>
    <row r="208" spans="3:52" ht="26.1">
      <c r="C208" s="8" t="e">
        <f>"Zoning Area  AHU - " &amp; INT((ROW()-8)/20)+1 &amp; "  " &amp;IF(AQ210&gt;0,"Air-Conditioning System " &amp; IF(AH210="D","(DX)",IF(AH210="C","(Chilled Water)","")),IF(AND(N210="Amb",AQ210=0),"Ventilation System","Refer"))</f>
        <v>#DIV/0!</v>
      </c>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39"/>
      <c r="AI208" s="8"/>
      <c r="AJ208" s="8"/>
      <c r="AK208" s="8"/>
      <c r="AL208" s="8"/>
      <c r="AM208" s="8"/>
      <c r="AN208" s="8"/>
      <c r="AO208" s="8"/>
      <c r="AP208" s="8"/>
      <c r="AQ208" s="8"/>
      <c r="AR208" s="8"/>
      <c r="AS208" s="9" t="s">
        <v>221</v>
      </c>
      <c r="AT208" s="10"/>
      <c r="AU208" s="10"/>
      <c r="AV208" s="11"/>
      <c r="AW208" s="9" t="s">
        <v>222</v>
      </c>
      <c r="AX208" s="10"/>
      <c r="AY208" s="10"/>
      <c r="AZ208" s="11"/>
    </row>
    <row r="209" spans="3:52">
      <c r="C209" s="13">
        <f>IF(D209&lt;&gt;"",COUNTA($D$10:D209),"")</f>
        <v>170</v>
      </c>
      <c r="D209" s="5" t="s">
        <v>165</v>
      </c>
      <c r="E209" s="5" t="s">
        <v>166</v>
      </c>
      <c r="F209" s="5" t="s">
        <v>167</v>
      </c>
      <c r="G209" s="5" t="s">
        <v>168</v>
      </c>
      <c r="H209" s="5" t="s">
        <v>169</v>
      </c>
      <c r="I209" s="5" t="s">
        <v>170</v>
      </c>
      <c r="J209" s="5" t="s">
        <v>171</v>
      </c>
      <c r="K209" s="5" t="s">
        <v>172</v>
      </c>
      <c r="L209" s="5" t="s">
        <v>173</v>
      </c>
      <c r="M209" s="5" t="s">
        <v>174</v>
      </c>
      <c r="N209" s="5" t="s">
        <v>175</v>
      </c>
      <c r="O209" s="5" t="s">
        <v>176</v>
      </c>
      <c r="P209" s="5" t="s">
        <v>177</v>
      </c>
      <c r="Q209" s="5" t="s">
        <v>178</v>
      </c>
      <c r="R209" s="5" t="s">
        <v>199</v>
      </c>
      <c r="S209" s="5" t="s">
        <v>180</v>
      </c>
      <c r="T209" s="5" t="s">
        <v>223</v>
      </c>
      <c r="U209" s="5" t="s">
        <v>224</v>
      </c>
      <c r="V209" s="5" t="s">
        <v>199</v>
      </c>
      <c r="W209" s="5" t="s">
        <v>180</v>
      </c>
      <c r="X209" s="5" t="s">
        <v>225</v>
      </c>
      <c r="Y209" s="5" t="s">
        <v>226</v>
      </c>
      <c r="Z209" s="5" t="s">
        <v>227</v>
      </c>
      <c r="AA209" s="5" t="s">
        <v>228</v>
      </c>
      <c r="AB209" s="5" t="s">
        <v>229</v>
      </c>
      <c r="AC209" s="5" t="s">
        <v>230</v>
      </c>
      <c r="AD209" s="5" t="s">
        <v>231</v>
      </c>
      <c r="AE209" s="5" t="s">
        <v>232</v>
      </c>
      <c r="AF209" s="6" t="s">
        <v>233</v>
      </c>
      <c r="AG209" s="6" t="s">
        <v>234</v>
      </c>
      <c r="AH209" s="6" t="s">
        <v>235</v>
      </c>
      <c r="AI209" s="5" t="s">
        <v>236</v>
      </c>
      <c r="AJ209" s="5" t="s">
        <v>237</v>
      </c>
      <c r="AK209" s="5" t="s">
        <v>238</v>
      </c>
      <c r="AL209" s="5" t="s">
        <v>239</v>
      </c>
      <c r="AM209" s="5" t="s">
        <v>240</v>
      </c>
      <c r="AN209" s="5" t="s">
        <v>241</v>
      </c>
      <c r="AO209" s="5" t="s">
        <v>242</v>
      </c>
      <c r="AP209" s="5" t="s">
        <v>243</v>
      </c>
      <c r="AQ209" s="5" t="s">
        <v>244</v>
      </c>
      <c r="AR209" s="5" t="s">
        <v>245</v>
      </c>
      <c r="AS209" s="5" t="s">
        <v>246</v>
      </c>
      <c r="AT209" s="5" t="s">
        <v>247</v>
      </c>
      <c r="AU209" s="5" t="s">
        <v>248</v>
      </c>
      <c r="AV209" s="5" t="s">
        <v>249</v>
      </c>
      <c r="AW209" s="5" t="s">
        <v>250</v>
      </c>
      <c r="AX209" s="5" t="s">
        <v>251</v>
      </c>
      <c r="AY209" s="5" t="s">
        <v>252</v>
      </c>
      <c r="AZ209" s="5" t="s">
        <v>253</v>
      </c>
    </row>
    <row r="210" spans="3:52" ht="18.600000000000001">
      <c r="C210" s="13">
        <f>IF(D210&lt;&gt;"",COUNTA($D$10:D210),"")</f>
        <v>171</v>
      </c>
      <c r="D210" s="14" t="s">
        <v>200</v>
      </c>
      <c r="E210" s="14">
        <v>3</v>
      </c>
      <c r="F210" s="14">
        <v>3</v>
      </c>
      <c r="G210" s="14">
        <v>2.4</v>
      </c>
      <c r="H210" s="14">
        <v>1</v>
      </c>
      <c r="I210" s="14">
        <v>2</v>
      </c>
      <c r="J210" s="14">
        <v>1.75</v>
      </c>
      <c r="K210" s="14">
        <v>3</v>
      </c>
      <c r="L210" s="15">
        <v>0.1</v>
      </c>
      <c r="M210" s="15">
        <v>0</v>
      </c>
      <c r="N210" s="14">
        <v>24</v>
      </c>
      <c r="O210" s="14">
        <v>50</v>
      </c>
      <c r="P210" s="13">
        <v>45</v>
      </c>
      <c r="Q210" s="13">
        <v>85</v>
      </c>
      <c r="R210" s="13" t="s">
        <v>17</v>
      </c>
      <c r="S210" s="13">
        <v>120</v>
      </c>
      <c r="T210" s="13">
        <v>0</v>
      </c>
      <c r="U210" s="13">
        <v>100</v>
      </c>
      <c r="V210" s="13" t="str">
        <f>R210</f>
        <v>ISO 6</v>
      </c>
      <c r="W210" s="13">
        <f>S210</f>
        <v>120</v>
      </c>
      <c r="X210" s="16">
        <f>E210*F210*10.76</f>
        <v>96.84</v>
      </c>
      <c r="Y210" s="16">
        <f>X210*G210*3.28</f>
        <v>762.32447999999999</v>
      </c>
      <c r="Z210" s="16">
        <f>Y210*S210/60</f>
        <v>1524.64896</v>
      </c>
      <c r="AA210" s="16">
        <f>Z210*L210</f>
        <v>152.46489600000001</v>
      </c>
      <c r="AB210" s="16">
        <f>IF(N210="Amb",Z210,Z210*M210)</f>
        <v>0</v>
      </c>
      <c r="AC210" s="16">
        <f>IF(ISNUMBER(N210), (AA210*0.075*60/2.20462)*BP210/7000, "Ambient")</f>
        <v>0</v>
      </c>
      <c r="AD210" s="16" t="e">
        <f>IF(ISNUMBER(N210), CEILING(CF210/(0.68*BP210),25), "Ambient")</f>
        <v>#DIV/0!</v>
      </c>
      <c r="AE210" s="16" t="e">
        <f>CEILING(MAX((Z210+AA210),AD210),25)</f>
        <v>#DIV/0!</v>
      </c>
      <c r="AF210" s="16" t="e">
        <f>CEILING(IF(OR($R210="ISO 6",$R210="GRADE B",$R210="1K",$R210=1000),AE210*1/175,IF(OR($R210="ISO 5",$R210="GRADE A",$R210=100),AE210*1/100,IF(OR($R210="ISO 7",$R210="GRADE C",$R210="10K",$R210=10000),$AE210*1/250,IF(OR($R210="ISO 8",$R210="GRADE D",$R210="100K",$R210=100000),$AE210*1/250,IF(OR($R210="NC",$R210="20 Micron",$R210="5 Micron",$R210="N C"),$AE210*1/350,0))))),2)</f>
        <v>#DIV/0!</v>
      </c>
      <c r="AG210" s="16" t="e">
        <f>IF(ISNUMBER(N210), CEILING(MAX(AI210,AJ210),0.5), "Ambient")</f>
        <v>#DIV/0!</v>
      </c>
      <c r="AH210" s="838" t="s">
        <v>85</v>
      </c>
      <c r="AI210" s="17">
        <f>IF(ISNUMBER(N210), CEILING(CE210/12000,0.5), "Ambient")</f>
        <v>0</v>
      </c>
      <c r="AJ210" s="17" t="e">
        <f>IF(ISNUMBER(N210),CEILING(AE210/(IF(AH210="C",400,300)),0.5), "Ambient")</f>
        <v>#DIV/0!</v>
      </c>
      <c r="AK210" s="891" t="e">
        <f>CEILING(SUM(AE210:AE225),250)</f>
        <v>#DIV/0!</v>
      </c>
      <c r="AL210" s="18" t="s">
        <v>254</v>
      </c>
      <c r="AM210" s="889">
        <v>150</v>
      </c>
      <c r="AN210" s="891" t="e">
        <f>IF(AK210&lt;=1300,200,IF(AK210&lt;=1600,225,IF(AK210&lt;=2100,250,IF(AK210&lt;=2700,280,IF(AK210&lt;=3450,315,IF(AK210&lt;=4250,355,IF(AK210&lt;=5250,400,IF(AK210&lt;=6750,450,IF(AK210&lt;=8500,500,IF(AK210&lt;=10750,560,IF(AK210&lt;=13500,630,IF(AK210&lt;=17000,710,IF(AK210&lt;=21500,800,IF(AK210&lt;=27000,900,IF(AK210&lt;=34000,1000,IF(AK210&lt;=43000,1120,IF(AK210&lt;=49000,1200,IF(AK210&lt;=68000,1450,"Refer"))))))))))))))))))</f>
        <v>#DIV/0!</v>
      </c>
      <c r="AO210" s="888" t="e">
        <f>IF(AK210*AM210/(6356*0.7*0.9*1.1*25.4)&lt;=1,1,IF(AK210*AM210/(6356*0.7*0.9*1.1*25.4)&lt;=1.5,1.5,IF(AK210*AM210/(6356*0.7*0.9*1.1*25.4)&lt;=2,2,IF(AK210*AM210/(6356*0.7*0.9*1.1*25.4)&lt;=3,3,IF(AK210*AM210/(6356*0.7*0.9*1.1*25.4)&lt;=5,5,IF(AK210*AM210/(6356*0.7*0.9*1.1*25.4)&lt;=7.5,7.5,IF(AK210*AM210/(6356*0.7*0.9*1.1*25.4)&lt;=10,10,IF(AK210*AM210/(6356*0.7*0.9*1.1*25.4)&lt;=12.5,12.5,IF(AK210*AM210/(6356*0.7*0.9*1.1*25.4)&lt;=15,15,IF(AK210*AM210/(6356*0.7*0.9*1.1*25.4)&lt;=20,20,IF(AK210*AM210/(6356*0.7*0.9*1.1*25.4)&lt;=25,25,IF(AK210*AM210/(6356*0.7*0.9*1.1*25.4)&lt;=30,30,IF(AK210*AM210/(6356*0.7*0.9*1.1*25.4)&lt;=40,40,IF(AK210*AM210/(6356*0.7*0.9*1.1*25.4)&lt;=50,50,IF(AK210*AM210/(6356*0.7*0.9*1.1*25.4)&lt;=60,60,IF(AK210*AM210/(6356*0.7*0.9*1.1*25.4)&lt;=75,75,"Refer"))))))))))))))))</f>
        <v>#DIV/0!</v>
      </c>
      <c r="AP210" s="891" t="e">
        <f>IF(AND(AQ210=0, N210="Amb"), "Amb",IF((AL211-250)*(AL213-150)*10.76/(1000*1000) &gt;= MAX(AI226,AJ226), 4,IF((AL211-250)*(AL213-150)*10.76*1.5/(1000*1000) &gt;= MAX(AI226,AJ226), 6,IF((AL211-250)*(AL213-150)*10.76*2/(1000*1000) &gt;= MAX(AI226,AJ226), 8, 0))
 )
)</f>
        <v>#DIV/0!</v>
      </c>
      <c r="AQ210" s="891" t="e">
        <f>AG226</f>
        <v>#DIV/0!</v>
      </c>
      <c r="AR210" s="889">
        <f>_xlfn.SWITCH(TRIM(UPPER(R210)),"ISO 9", 3,"ISO 8", 4,"Grade D", 4,"Class 100,000", 4,"Class 100K", 4,"ISO 7", 3,"Grade C", 3,"Class 10,000", 3,"Class 10K", 3,"ISO 6", 3,"Class 1,000", 3,"Class 1K", 3,"ISO 5", 4,"Grade A", 4,"Grade B", 4,"Class 100", 4,"ISO 4", 3,"ISO 3", 4,"ISO 2", 4,"ISO 1", 4,"NCV20",1,"NCV-10",2,"NCV-5",3,"NCAC-10",1,"NCAC-5",2,"NCAC-1",3,3)</f>
        <v>3</v>
      </c>
      <c r="AS210" s="888" t="e">
        <f>MAX(AI226,AJ226)*24/6</f>
        <v>#DIV/0!</v>
      </c>
      <c r="AT210" s="888" t="e">
        <f>AS210*0.06309</f>
        <v>#DIV/0!</v>
      </c>
      <c r="AU210" s="890">
        <v>2</v>
      </c>
      <c r="AV210" s="888" t="e">
        <f>SQRT((4*AS210*0.00006309)/(3.14*AU210))*1000</f>
        <v>#DIV/0!</v>
      </c>
      <c r="AW210" s="888"/>
      <c r="AX210" s="888"/>
      <c r="AY210" s="887"/>
      <c r="AZ210" s="888"/>
    </row>
    <row r="211" spans="3:52" ht="18.600000000000001">
      <c r="C211" s="13">
        <f>IF(D211&lt;&gt;"",COUNTA($D$10:D211),"")</f>
        <v>172</v>
      </c>
      <c r="D211" s="14" t="s">
        <v>201</v>
      </c>
      <c r="E211" s="14">
        <v>1.8</v>
      </c>
      <c r="F211" s="14">
        <v>2.2000000000000002</v>
      </c>
      <c r="G211" s="14">
        <v>2.4</v>
      </c>
      <c r="H211" s="14">
        <v>2</v>
      </c>
      <c r="I211" s="14">
        <v>1</v>
      </c>
      <c r="J211" s="14">
        <v>1.75</v>
      </c>
      <c r="K211" s="14">
        <v>3</v>
      </c>
      <c r="L211" s="15">
        <v>0.1</v>
      </c>
      <c r="M211" s="15">
        <v>0</v>
      </c>
      <c r="N211" s="14">
        <v>24</v>
      </c>
      <c r="O211" s="14">
        <v>50</v>
      </c>
      <c r="P211" s="13">
        <v>45</v>
      </c>
      <c r="Q211" s="13">
        <v>85</v>
      </c>
      <c r="R211" s="13" t="s">
        <v>17</v>
      </c>
      <c r="S211" s="13">
        <v>120</v>
      </c>
      <c r="T211" s="13">
        <v>0</v>
      </c>
      <c r="U211" s="13">
        <v>100</v>
      </c>
      <c r="V211" s="13" t="str">
        <f t="shared" ref="V211:W225" si="145">R211</f>
        <v>ISO 6</v>
      </c>
      <c r="W211" s="13">
        <f t="shared" si="145"/>
        <v>120</v>
      </c>
      <c r="X211" s="16">
        <f t="shared" ref="X211:X225" si="146">E211*F211*10.76</f>
        <v>42.6096</v>
      </c>
      <c r="Y211" s="16">
        <f t="shared" ref="Y211:Y225" si="147">X211*G211*3.28</f>
        <v>335.4227712</v>
      </c>
      <c r="Z211" s="16">
        <f t="shared" ref="Z211:Z225" si="148">Y211*S211/60</f>
        <v>670.8455424</v>
      </c>
      <c r="AA211" s="16">
        <f t="shared" ref="AA211:AA225" si="149">Z211*L211</f>
        <v>67.084554240000003</v>
      </c>
      <c r="AB211" s="16">
        <f t="shared" ref="AB211:AB225" si="150">IF(N211="Amb",Z211,Z211*M211)</f>
        <v>0</v>
      </c>
      <c r="AC211" s="16">
        <f t="shared" ref="AC211:AC225" si="151">IF(ISNUMBER(N211), (AA211*0.075*60/2.20462)*BP211/7000, "Ambient")</f>
        <v>0</v>
      </c>
      <c r="AD211" s="16" t="e">
        <f t="shared" ref="AD211:AD217" si="152">IF(ISNUMBER(N211), CEILING(CF211/(0.68*BP211),25), "Ambient")</f>
        <v>#DIV/0!</v>
      </c>
      <c r="AE211" s="16" t="e">
        <f t="shared" ref="AE211:AE225" si="153">CEILING(MAX((Z211+AA211),AD211),25)</f>
        <v>#DIV/0!</v>
      </c>
      <c r="AF211" s="16" t="e">
        <f t="shared" ref="AF211:AF225" si="154">CEILING(IF(OR($R211="ISO 6",$R211="GRADE B",$R211="1K",$R211=1000),AE211*1/175,IF(OR($R211="ISO 5",$R211="GRADE A",$R211=100),AE211*1/100,IF(OR($R211="ISO 7",$R211="GRADE C",$R211="10K",$R211=10000),$AE211*1/250,IF(OR($R211="ISO 8",$R211="GRADE D",$R211="100K",$R211=100000),$AE211*1/250,IF(OR($R211="NC",$R211="20 Micron",$R211="5 Micron",$R211="N C"),$AE211*1/350,0))))),2)</f>
        <v>#DIV/0!</v>
      </c>
      <c r="AG211" s="16" t="e">
        <f t="shared" ref="AG211:AG225" si="155">IF(ISNUMBER(N211), CEILING(MAX(AI211,AJ211),0.5), "Ambient")</f>
        <v>#DIV/0!</v>
      </c>
      <c r="AH211" s="838" t="s">
        <v>85</v>
      </c>
      <c r="AI211" s="17">
        <f t="shared" ref="AI211:AI225" si="156">IF(ISNUMBER(N211), CEILING(CE211/12000,0.5), "Ambient")</f>
        <v>0</v>
      </c>
      <c r="AJ211" s="17" t="e">
        <f t="shared" ref="AJ211:AJ225" si="157">IF(ISNUMBER(N211),CEILING(AE211/(IF(AH211="C",400,300)),0.5), "Ambient")</f>
        <v>#DIV/0!</v>
      </c>
      <c r="AK211" s="891"/>
      <c r="AL211" s="18" t="e">
        <f>IF(AK210&lt;=2000,950,(IF(AK210&lt;=3000,1150,(IF(AK210&lt;=8000,1550,(IF(AK210&lt;=10000,1750,(IF(AK210&lt;=18000,2050,(IF(AK210&lt;=32000,2900,(IF(AK210&lt;=40000,3600,4000)))))))))))))</f>
        <v>#DIV/0!</v>
      </c>
      <c r="AM211" s="889"/>
      <c r="AN211" s="891"/>
      <c r="AO211" s="888"/>
      <c r="AP211" s="891"/>
      <c r="AQ211" s="891"/>
      <c r="AR211" s="889"/>
      <c r="AS211" s="888"/>
      <c r="AT211" s="888"/>
      <c r="AU211" s="890"/>
      <c r="AV211" s="888"/>
      <c r="AW211" s="888"/>
      <c r="AX211" s="888"/>
      <c r="AY211" s="887"/>
      <c r="AZ211" s="888"/>
    </row>
    <row r="212" spans="3:52" ht="18.600000000000001">
      <c r="C212" s="13">
        <f>IF(D212&lt;&gt;"",COUNTA($D$10:D212),"")</f>
        <v>173</v>
      </c>
      <c r="D212" s="14" t="s">
        <v>202</v>
      </c>
      <c r="E212" s="14">
        <v>1.5</v>
      </c>
      <c r="F212" s="14">
        <v>2.8</v>
      </c>
      <c r="G212" s="14">
        <v>2.4</v>
      </c>
      <c r="H212" s="14">
        <v>2</v>
      </c>
      <c r="I212" s="14">
        <v>3</v>
      </c>
      <c r="J212" s="14">
        <v>1.75</v>
      </c>
      <c r="K212" s="14">
        <v>3</v>
      </c>
      <c r="L212" s="15">
        <v>0.1</v>
      </c>
      <c r="M212" s="15">
        <v>0</v>
      </c>
      <c r="N212" s="14">
        <v>24</v>
      </c>
      <c r="O212" s="14">
        <v>50</v>
      </c>
      <c r="P212" s="13">
        <v>45</v>
      </c>
      <c r="Q212" s="13">
        <v>85</v>
      </c>
      <c r="R212" s="13" t="s">
        <v>17</v>
      </c>
      <c r="S212" s="13">
        <v>120</v>
      </c>
      <c r="T212" s="13">
        <v>0</v>
      </c>
      <c r="U212" s="13">
        <v>100</v>
      </c>
      <c r="V212" s="13" t="str">
        <f t="shared" si="145"/>
        <v>ISO 6</v>
      </c>
      <c r="W212" s="13">
        <f t="shared" si="145"/>
        <v>120</v>
      </c>
      <c r="X212" s="16">
        <f t="shared" si="146"/>
        <v>45.191999999999993</v>
      </c>
      <c r="Y212" s="16">
        <f t="shared" si="147"/>
        <v>355.75142399999993</v>
      </c>
      <c r="Z212" s="16">
        <f t="shared" si="148"/>
        <v>711.50284799999986</v>
      </c>
      <c r="AA212" s="16">
        <f t="shared" si="149"/>
        <v>71.150284799999994</v>
      </c>
      <c r="AB212" s="16">
        <f t="shared" si="150"/>
        <v>0</v>
      </c>
      <c r="AC212" s="16">
        <f t="shared" si="151"/>
        <v>0</v>
      </c>
      <c r="AD212" s="16" t="e">
        <f t="shared" si="152"/>
        <v>#DIV/0!</v>
      </c>
      <c r="AE212" s="16" t="e">
        <f t="shared" si="153"/>
        <v>#DIV/0!</v>
      </c>
      <c r="AF212" s="16" t="e">
        <f t="shared" si="154"/>
        <v>#DIV/0!</v>
      </c>
      <c r="AG212" s="16" t="e">
        <f t="shared" si="155"/>
        <v>#DIV/0!</v>
      </c>
      <c r="AH212" s="838" t="s">
        <v>85</v>
      </c>
      <c r="AI212" s="17">
        <f t="shared" si="156"/>
        <v>0</v>
      </c>
      <c r="AJ212" s="17" t="e">
        <f t="shared" si="157"/>
        <v>#DIV/0!</v>
      </c>
      <c r="AK212" s="891"/>
      <c r="AL212" s="18" t="s">
        <v>255</v>
      </c>
      <c r="AM212" s="889"/>
      <c r="AN212" s="891"/>
      <c r="AO212" s="888"/>
      <c r="AP212" s="891"/>
      <c r="AQ212" s="891"/>
      <c r="AR212" s="889"/>
      <c r="AS212" s="888"/>
      <c r="AT212" s="888"/>
      <c r="AU212" s="890"/>
      <c r="AV212" s="888"/>
      <c r="AW212" s="888"/>
      <c r="AX212" s="888"/>
      <c r="AY212" s="887"/>
      <c r="AZ212" s="888"/>
    </row>
    <row r="213" spans="3:52" ht="18.600000000000001">
      <c r="C213" s="13">
        <f>IF(D213&lt;&gt;"",COUNTA($D$10:D213),"")</f>
        <v>174</v>
      </c>
      <c r="D213" s="14" t="s">
        <v>203</v>
      </c>
      <c r="E213" s="14">
        <v>2.1</v>
      </c>
      <c r="F213" s="14">
        <v>3.5</v>
      </c>
      <c r="G213" s="14">
        <v>2.4</v>
      </c>
      <c r="H213" s="14">
        <v>0</v>
      </c>
      <c r="I213" s="14">
        <v>1</v>
      </c>
      <c r="J213" s="14">
        <v>1.75</v>
      </c>
      <c r="K213" s="14">
        <v>3</v>
      </c>
      <c r="L213" s="15">
        <v>0.1</v>
      </c>
      <c r="M213" s="15">
        <v>0</v>
      </c>
      <c r="N213" s="14">
        <v>24</v>
      </c>
      <c r="O213" s="14">
        <v>50</v>
      </c>
      <c r="P213" s="13">
        <v>45</v>
      </c>
      <c r="Q213" s="13">
        <v>85</v>
      </c>
      <c r="R213" s="13" t="s">
        <v>17</v>
      </c>
      <c r="S213" s="13">
        <v>120</v>
      </c>
      <c r="T213" s="13">
        <v>0</v>
      </c>
      <c r="U213" s="13">
        <v>100</v>
      </c>
      <c r="V213" s="13" t="str">
        <f t="shared" si="145"/>
        <v>ISO 6</v>
      </c>
      <c r="W213" s="13">
        <f t="shared" si="145"/>
        <v>120</v>
      </c>
      <c r="X213" s="16">
        <f t="shared" si="146"/>
        <v>79.085999999999999</v>
      </c>
      <c r="Y213" s="16">
        <f t="shared" si="147"/>
        <v>622.56499199999996</v>
      </c>
      <c r="Z213" s="16">
        <f t="shared" si="148"/>
        <v>1245.1299839999999</v>
      </c>
      <c r="AA213" s="16">
        <f t="shared" si="149"/>
        <v>124.5129984</v>
      </c>
      <c r="AB213" s="16">
        <f t="shared" si="150"/>
        <v>0</v>
      </c>
      <c r="AC213" s="16">
        <f t="shared" si="151"/>
        <v>0</v>
      </c>
      <c r="AD213" s="16" t="e">
        <f t="shared" si="152"/>
        <v>#DIV/0!</v>
      </c>
      <c r="AE213" s="16" t="e">
        <f t="shared" si="153"/>
        <v>#DIV/0!</v>
      </c>
      <c r="AF213" s="16" t="e">
        <f t="shared" si="154"/>
        <v>#DIV/0!</v>
      </c>
      <c r="AG213" s="16" t="e">
        <f t="shared" si="155"/>
        <v>#DIV/0!</v>
      </c>
      <c r="AH213" s="838" t="s">
        <v>85</v>
      </c>
      <c r="AI213" s="17">
        <f t="shared" si="156"/>
        <v>0</v>
      </c>
      <c r="AJ213" s="17" t="e">
        <f t="shared" si="157"/>
        <v>#DIV/0!</v>
      </c>
      <c r="AK213" s="891"/>
      <c r="AL213" s="18" t="e">
        <f>IF(AK210&lt;=2000,950,(IF(AK210&lt;=4000,1100,(IF(AK210&lt;=6000,1250,(IF(AK210&lt;=10000,1550,(IF(AK210&lt;=15000,1750,(IF(AK210&lt;=24000,2050,(IF(AK210&lt;=40000,2900,3600)))))))))))))</f>
        <v>#DIV/0!</v>
      </c>
      <c r="AM213" s="889"/>
      <c r="AN213" s="891"/>
      <c r="AO213" s="888"/>
      <c r="AP213" s="891"/>
      <c r="AQ213" s="891"/>
      <c r="AR213" s="889"/>
      <c r="AS213" s="888"/>
      <c r="AT213" s="888"/>
      <c r="AU213" s="890"/>
      <c r="AV213" s="888"/>
      <c r="AW213" s="888"/>
      <c r="AX213" s="888"/>
      <c r="AY213" s="887"/>
      <c r="AZ213" s="888"/>
    </row>
    <row r="214" spans="3:52" ht="18.600000000000001">
      <c r="C214" s="13">
        <f>IF(D214&lt;&gt;"",COUNTA($D$10:D214),"")</f>
        <v>175</v>
      </c>
      <c r="D214" s="14" t="s">
        <v>204</v>
      </c>
      <c r="E214" s="14">
        <v>2.7</v>
      </c>
      <c r="F214" s="14">
        <v>4</v>
      </c>
      <c r="G214" s="14">
        <v>2.4</v>
      </c>
      <c r="H214" s="14">
        <v>2</v>
      </c>
      <c r="I214" s="14">
        <v>1</v>
      </c>
      <c r="J214" s="14">
        <v>1.75</v>
      </c>
      <c r="K214" s="14">
        <v>3</v>
      </c>
      <c r="L214" s="15">
        <v>0.1</v>
      </c>
      <c r="M214" s="15">
        <v>0</v>
      </c>
      <c r="N214" s="14">
        <v>24</v>
      </c>
      <c r="O214" s="14">
        <v>50</v>
      </c>
      <c r="P214" s="13">
        <v>45</v>
      </c>
      <c r="Q214" s="13">
        <v>85</v>
      </c>
      <c r="R214" s="13" t="s">
        <v>17</v>
      </c>
      <c r="S214" s="13">
        <v>120</v>
      </c>
      <c r="T214" s="13">
        <v>0</v>
      </c>
      <c r="U214" s="13">
        <v>100</v>
      </c>
      <c r="V214" s="13" t="str">
        <f t="shared" si="145"/>
        <v>ISO 6</v>
      </c>
      <c r="W214" s="13">
        <f t="shared" si="145"/>
        <v>120</v>
      </c>
      <c r="X214" s="16">
        <f t="shared" si="146"/>
        <v>116.208</v>
      </c>
      <c r="Y214" s="16">
        <f t="shared" si="147"/>
        <v>914.78937599999995</v>
      </c>
      <c r="Z214" s="16">
        <f t="shared" si="148"/>
        <v>1829.5787519999999</v>
      </c>
      <c r="AA214" s="16">
        <f t="shared" si="149"/>
        <v>182.95787519999999</v>
      </c>
      <c r="AB214" s="16">
        <f t="shared" si="150"/>
        <v>0</v>
      </c>
      <c r="AC214" s="16">
        <f t="shared" si="151"/>
        <v>0</v>
      </c>
      <c r="AD214" s="16" t="e">
        <f t="shared" si="152"/>
        <v>#DIV/0!</v>
      </c>
      <c r="AE214" s="16" t="e">
        <f t="shared" si="153"/>
        <v>#DIV/0!</v>
      </c>
      <c r="AF214" s="16" t="e">
        <f t="shared" si="154"/>
        <v>#DIV/0!</v>
      </c>
      <c r="AG214" s="16" t="e">
        <f t="shared" si="155"/>
        <v>#DIV/0!</v>
      </c>
      <c r="AH214" s="838" t="s">
        <v>85</v>
      </c>
      <c r="AI214" s="17">
        <f t="shared" si="156"/>
        <v>0</v>
      </c>
      <c r="AJ214" s="17" t="e">
        <f t="shared" si="157"/>
        <v>#DIV/0!</v>
      </c>
      <c r="AK214" s="891"/>
      <c r="AL214" s="18" t="s">
        <v>256</v>
      </c>
      <c r="AM214" s="889"/>
      <c r="AN214" s="891"/>
      <c r="AO214" s="888"/>
      <c r="AP214" s="891"/>
      <c r="AQ214" s="891"/>
      <c r="AR214" s="889"/>
      <c r="AS214" s="888"/>
      <c r="AT214" s="888"/>
      <c r="AU214" s="890"/>
      <c r="AV214" s="888"/>
      <c r="AW214" s="888"/>
      <c r="AX214" s="888"/>
      <c r="AY214" s="887"/>
      <c r="AZ214" s="888"/>
    </row>
    <row r="215" spans="3:52" ht="18.600000000000001">
      <c r="C215" s="13">
        <f>IF(D215&lt;&gt;"",COUNTA($D$10:D215),"")</f>
        <v>176</v>
      </c>
      <c r="D215" s="14" t="s">
        <v>205</v>
      </c>
      <c r="E215" s="14">
        <v>3.8</v>
      </c>
      <c r="F215" s="14">
        <v>4.2</v>
      </c>
      <c r="G215" s="14">
        <v>2.4</v>
      </c>
      <c r="H215" s="14">
        <v>3</v>
      </c>
      <c r="I215" s="14">
        <v>3</v>
      </c>
      <c r="J215" s="14">
        <v>1.75</v>
      </c>
      <c r="K215" s="14">
        <v>3</v>
      </c>
      <c r="L215" s="15">
        <v>0.1</v>
      </c>
      <c r="M215" s="15">
        <v>0</v>
      </c>
      <c r="N215" s="14">
        <v>24</v>
      </c>
      <c r="O215" s="14">
        <v>50</v>
      </c>
      <c r="P215" s="13">
        <v>45</v>
      </c>
      <c r="Q215" s="13">
        <v>85</v>
      </c>
      <c r="R215" s="13" t="s">
        <v>17</v>
      </c>
      <c r="S215" s="13">
        <v>120</v>
      </c>
      <c r="T215" s="13">
        <v>0</v>
      </c>
      <c r="U215" s="13">
        <v>100</v>
      </c>
      <c r="V215" s="13" t="str">
        <f t="shared" si="145"/>
        <v>ISO 6</v>
      </c>
      <c r="W215" s="13">
        <f t="shared" si="145"/>
        <v>120</v>
      </c>
      <c r="X215" s="16">
        <f t="shared" si="146"/>
        <v>171.72959999999998</v>
      </c>
      <c r="Y215" s="16">
        <f t="shared" si="147"/>
        <v>1351.8554111999997</v>
      </c>
      <c r="Z215" s="16">
        <f t="shared" si="148"/>
        <v>2703.7108223999994</v>
      </c>
      <c r="AA215" s="16">
        <f t="shared" si="149"/>
        <v>270.37108223999996</v>
      </c>
      <c r="AB215" s="16">
        <f t="shared" si="150"/>
        <v>0</v>
      </c>
      <c r="AC215" s="16">
        <f t="shared" si="151"/>
        <v>0</v>
      </c>
      <c r="AD215" s="16" t="e">
        <f t="shared" si="152"/>
        <v>#DIV/0!</v>
      </c>
      <c r="AE215" s="16" t="e">
        <f t="shared" si="153"/>
        <v>#DIV/0!</v>
      </c>
      <c r="AF215" s="16" t="e">
        <f t="shared" si="154"/>
        <v>#DIV/0!</v>
      </c>
      <c r="AG215" s="16" t="e">
        <f t="shared" si="155"/>
        <v>#DIV/0!</v>
      </c>
      <c r="AH215" s="838" t="s">
        <v>85</v>
      </c>
      <c r="AI215" s="17">
        <f t="shared" si="156"/>
        <v>0</v>
      </c>
      <c r="AJ215" s="17" t="e">
        <f t="shared" si="157"/>
        <v>#DIV/0!</v>
      </c>
      <c r="AK215" s="891"/>
      <c r="AL215" s="18" t="e">
        <f>IF(AL219&lt;4000,AL219,AL219+400)</f>
        <v>#DIV/0!</v>
      </c>
      <c r="AM215" s="889"/>
      <c r="AN215" s="891"/>
      <c r="AO215" s="888"/>
      <c r="AP215" s="891"/>
      <c r="AQ215" s="891"/>
      <c r="AR215" s="889"/>
      <c r="AS215" s="888"/>
      <c r="AT215" s="888"/>
      <c r="AU215" s="890"/>
      <c r="AV215" s="888"/>
      <c r="AW215" s="888"/>
      <c r="AX215" s="888"/>
      <c r="AY215" s="887"/>
      <c r="AZ215" s="888"/>
    </row>
    <row r="216" spans="3:52" ht="18.600000000000001">
      <c r="C216" s="13">
        <f>IF(D216&lt;&gt;"",COUNTA($D$10:D216),"")</f>
        <v>177</v>
      </c>
      <c r="D216" s="14" t="s">
        <v>206</v>
      </c>
      <c r="E216" s="14">
        <v>3.1</v>
      </c>
      <c r="F216" s="14">
        <v>2.6</v>
      </c>
      <c r="G216" s="14">
        <v>2.4</v>
      </c>
      <c r="H216" s="14">
        <v>2</v>
      </c>
      <c r="I216" s="14">
        <v>1</v>
      </c>
      <c r="J216" s="14">
        <v>1.75</v>
      </c>
      <c r="K216" s="14">
        <v>3</v>
      </c>
      <c r="L216" s="15">
        <v>0.1</v>
      </c>
      <c r="M216" s="15">
        <v>0</v>
      </c>
      <c r="N216" s="14">
        <v>24</v>
      </c>
      <c r="O216" s="14">
        <v>50</v>
      </c>
      <c r="P216" s="13">
        <v>45</v>
      </c>
      <c r="Q216" s="13">
        <v>85</v>
      </c>
      <c r="R216" s="13" t="s">
        <v>17</v>
      </c>
      <c r="S216" s="13">
        <v>120</v>
      </c>
      <c r="T216" s="13">
        <v>0</v>
      </c>
      <c r="U216" s="13">
        <v>100</v>
      </c>
      <c r="V216" s="13" t="str">
        <f t="shared" si="145"/>
        <v>ISO 6</v>
      </c>
      <c r="W216" s="13">
        <f t="shared" si="145"/>
        <v>120</v>
      </c>
      <c r="X216" s="16">
        <f t="shared" si="146"/>
        <v>86.7256</v>
      </c>
      <c r="Y216" s="16">
        <f t="shared" si="147"/>
        <v>682.70392319999996</v>
      </c>
      <c r="Z216" s="16">
        <f t="shared" si="148"/>
        <v>1365.4078463999999</v>
      </c>
      <c r="AA216" s="16">
        <f t="shared" si="149"/>
        <v>136.54078464</v>
      </c>
      <c r="AB216" s="16">
        <f t="shared" si="150"/>
        <v>0</v>
      </c>
      <c r="AC216" s="16">
        <f t="shared" si="151"/>
        <v>0</v>
      </c>
      <c r="AD216" s="16" t="e">
        <f t="shared" si="152"/>
        <v>#DIV/0!</v>
      </c>
      <c r="AE216" s="16" t="e">
        <f t="shared" si="153"/>
        <v>#DIV/0!</v>
      </c>
      <c r="AF216" s="16" t="e">
        <f t="shared" si="154"/>
        <v>#DIV/0!</v>
      </c>
      <c r="AG216" s="16" t="e">
        <f t="shared" si="155"/>
        <v>#DIV/0!</v>
      </c>
      <c r="AH216" s="838" t="s">
        <v>85</v>
      </c>
      <c r="AI216" s="17">
        <f t="shared" si="156"/>
        <v>0</v>
      </c>
      <c r="AJ216" s="17" t="e">
        <f t="shared" si="157"/>
        <v>#DIV/0!</v>
      </c>
      <c r="AK216" s="891"/>
      <c r="AL216" s="18"/>
      <c r="AM216" s="889"/>
      <c r="AN216" s="891"/>
      <c r="AO216" s="888"/>
      <c r="AP216" s="891"/>
      <c r="AQ216" s="891"/>
      <c r="AR216" s="889"/>
      <c r="AS216" s="888"/>
      <c r="AT216" s="888"/>
      <c r="AU216" s="890"/>
      <c r="AV216" s="888"/>
      <c r="AW216" s="888"/>
      <c r="AX216" s="888"/>
      <c r="AY216" s="887"/>
      <c r="AZ216" s="888"/>
    </row>
    <row r="217" spans="3:52" ht="18.600000000000001">
      <c r="C217" s="13">
        <f>IF(D217&lt;&gt;"",COUNTA($D$10:D217),"")</f>
        <v>178</v>
      </c>
      <c r="D217" s="14" t="s">
        <v>207</v>
      </c>
      <c r="E217" s="14">
        <v>1.9</v>
      </c>
      <c r="F217" s="14">
        <v>2.4</v>
      </c>
      <c r="G217" s="14">
        <v>2.4</v>
      </c>
      <c r="H217" s="14">
        <v>3</v>
      </c>
      <c r="I217" s="14">
        <v>2</v>
      </c>
      <c r="J217" s="14">
        <v>1.75</v>
      </c>
      <c r="K217" s="14">
        <v>3</v>
      </c>
      <c r="L217" s="15">
        <v>0.1</v>
      </c>
      <c r="M217" s="15">
        <v>0</v>
      </c>
      <c r="N217" s="14">
        <v>24</v>
      </c>
      <c r="O217" s="14">
        <v>50</v>
      </c>
      <c r="P217" s="13">
        <v>45</v>
      </c>
      <c r="Q217" s="13">
        <v>85</v>
      </c>
      <c r="R217" s="13" t="s">
        <v>17</v>
      </c>
      <c r="S217" s="13">
        <v>120</v>
      </c>
      <c r="T217" s="13">
        <v>0</v>
      </c>
      <c r="U217" s="13">
        <v>100</v>
      </c>
      <c r="V217" s="13" t="str">
        <f t="shared" si="145"/>
        <v>ISO 6</v>
      </c>
      <c r="W217" s="13">
        <f t="shared" si="145"/>
        <v>120</v>
      </c>
      <c r="X217" s="16">
        <f t="shared" si="146"/>
        <v>49.065599999999996</v>
      </c>
      <c r="Y217" s="16">
        <f t="shared" si="147"/>
        <v>386.24440319999997</v>
      </c>
      <c r="Z217" s="16">
        <f t="shared" si="148"/>
        <v>772.48880639999993</v>
      </c>
      <c r="AA217" s="16">
        <f t="shared" si="149"/>
        <v>77.248880639999996</v>
      </c>
      <c r="AB217" s="16">
        <f t="shared" si="150"/>
        <v>0</v>
      </c>
      <c r="AC217" s="16">
        <f t="shared" si="151"/>
        <v>0</v>
      </c>
      <c r="AD217" s="16" t="e">
        <f t="shared" si="152"/>
        <v>#DIV/0!</v>
      </c>
      <c r="AE217" s="16" t="e">
        <f t="shared" si="153"/>
        <v>#DIV/0!</v>
      </c>
      <c r="AF217" s="16" t="e">
        <f t="shared" si="154"/>
        <v>#DIV/0!</v>
      </c>
      <c r="AG217" s="16" t="e">
        <f t="shared" si="155"/>
        <v>#DIV/0!</v>
      </c>
      <c r="AH217" s="838" t="s">
        <v>85</v>
      </c>
      <c r="AI217" s="17">
        <f t="shared" si="156"/>
        <v>0</v>
      </c>
      <c r="AJ217" s="17" t="e">
        <f t="shared" si="157"/>
        <v>#DIV/0!</v>
      </c>
      <c r="AK217" s="891"/>
      <c r="AL217" s="18"/>
      <c r="AM217" s="889"/>
      <c r="AN217" s="891"/>
      <c r="AO217" s="888"/>
      <c r="AP217" s="891"/>
      <c r="AQ217" s="891"/>
      <c r="AR217" s="889"/>
      <c r="AS217" s="888"/>
      <c r="AT217" s="888"/>
      <c r="AU217" s="890"/>
      <c r="AV217" s="888"/>
      <c r="AW217" s="888"/>
      <c r="AX217" s="888"/>
      <c r="AY217" s="887"/>
      <c r="AZ217" s="888"/>
    </row>
    <row r="218" spans="3:52" ht="18.600000000000001">
      <c r="C218" s="13">
        <f>IF(D218&lt;&gt;"",COUNTA($D$10:D218),"")</f>
        <v>179</v>
      </c>
      <c r="D218" s="14" t="s">
        <v>208</v>
      </c>
      <c r="E218" s="14">
        <v>3</v>
      </c>
      <c r="F218" s="14">
        <v>2.9</v>
      </c>
      <c r="G218" s="14">
        <v>2.4</v>
      </c>
      <c r="H218" s="14">
        <v>2</v>
      </c>
      <c r="I218" s="14">
        <v>1</v>
      </c>
      <c r="J218" s="14">
        <v>1.75</v>
      </c>
      <c r="K218" s="14">
        <v>3</v>
      </c>
      <c r="L218" s="15">
        <v>0.1</v>
      </c>
      <c r="M218" s="15">
        <v>0</v>
      </c>
      <c r="N218" s="14">
        <v>24</v>
      </c>
      <c r="O218" s="14">
        <v>50</v>
      </c>
      <c r="P218" s="13">
        <v>45</v>
      </c>
      <c r="Q218" s="13">
        <v>85</v>
      </c>
      <c r="R218" s="13" t="s">
        <v>17</v>
      </c>
      <c r="S218" s="13">
        <v>120</v>
      </c>
      <c r="T218" s="13">
        <v>0</v>
      </c>
      <c r="U218" s="13">
        <v>100</v>
      </c>
      <c r="V218" s="13" t="str">
        <f t="shared" si="145"/>
        <v>ISO 6</v>
      </c>
      <c r="W218" s="13">
        <f t="shared" si="145"/>
        <v>120</v>
      </c>
      <c r="X218" s="16">
        <f t="shared" si="146"/>
        <v>93.611999999999995</v>
      </c>
      <c r="Y218" s="16">
        <f t="shared" si="147"/>
        <v>736.91366399999993</v>
      </c>
      <c r="Z218" s="16">
        <f t="shared" si="148"/>
        <v>1473.8273279999999</v>
      </c>
      <c r="AA218" s="16">
        <f t="shared" si="149"/>
        <v>147.38273279999999</v>
      </c>
      <c r="AB218" s="16">
        <f t="shared" si="150"/>
        <v>0</v>
      </c>
      <c r="AC218" s="16">
        <f t="shared" si="151"/>
        <v>0</v>
      </c>
      <c r="AD218" s="16" t="e">
        <f>IF(ISNUMBER(N218), CEILING(CF218/(0.68*BP218),25), "Ambient")</f>
        <v>#DIV/0!</v>
      </c>
      <c r="AE218" s="16" t="e">
        <f t="shared" si="153"/>
        <v>#DIV/0!</v>
      </c>
      <c r="AF218" s="16" t="e">
        <f t="shared" si="154"/>
        <v>#DIV/0!</v>
      </c>
      <c r="AG218" s="16" t="e">
        <f t="shared" si="155"/>
        <v>#DIV/0!</v>
      </c>
      <c r="AH218" s="838" t="s">
        <v>85</v>
      </c>
      <c r="AI218" s="17">
        <f t="shared" si="156"/>
        <v>0</v>
      </c>
      <c r="AJ218" s="17" t="e">
        <f t="shared" si="157"/>
        <v>#DIV/0!</v>
      </c>
      <c r="AK218" s="891"/>
      <c r="AL218" s="18"/>
      <c r="AM218" s="889"/>
      <c r="AN218" s="891"/>
      <c r="AO218" s="888"/>
      <c r="AP218" s="891"/>
      <c r="AQ218" s="891"/>
      <c r="AR218" s="889"/>
      <c r="AS218" s="888"/>
      <c r="AT218" s="888"/>
      <c r="AU218" s="890"/>
      <c r="AV218" s="888"/>
      <c r="AW218" s="888"/>
      <c r="AX218" s="888"/>
      <c r="AY218" s="887"/>
      <c r="AZ218" s="888"/>
    </row>
    <row r="219" spans="3:52" ht="18.600000000000001">
      <c r="C219" s="13">
        <f>IF(D219&lt;&gt;"",COUNTA($D$10:D219),"")</f>
        <v>180</v>
      </c>
      <c r="D219" s="14" t="s">
        <v>209</v>
      </c>
      <c r="E219" s="14">
        <v>2.4</v>
      </c>
      <c r="F219" s="14">
        <v>2</v>
      </c>
      <c r="G219" s="14">
        <v>2.4</v>
      </c>
      <c r="H219" s="14">
        <v>2</v>
      </c>
      <c r="I219" s="14">
        <v>1</v>
      </c>
      <c r="J219" s="14">
        <v>1.75</v>
      </c>
      <c r="K219" s="14">
        <v>3</v>
      </c>
      <c r="L219" s="15">
        <v>0.1</v>
      </c>
      <c r="M219" s="15">
        <v>0</v>
      </c>
      <c r="N219" s="14">
        <v>24</v>
      </c>
      <c r="O219" s="14">
        <v>50</v>
      </c>
      <c r="P219" s="13">
        <v>45</v>
      </c>
      <c r="Q219" s="13">
        <v>85</v>
      </c>
      <c r="R219" s="13" t="s">
        <v>17</v>
      </c>
      <c r="S219" s="13">
        <v>120</v>
      </c>
      <c r="T219" s="13">
        <v>0</v>
      </c>
      <c r="U219" s="13">
        <v>100</v>
      </c>
      <c r="V219" s="13" t="str">
        <f t="shared" si="145"/>
        <v>ISO 6</v>
      </c>
      <c r="W219" s="13">
        <f t="shared" si="145"/>
        <v>120</v>
      </c>
      <c r="X219" s="16">
        <f t="shared" si="146"/>
        <v>51.647999999999996</v>
      </c>
      <c r="Y219" s="16">
        <f t="shared" si="147"/>
        <v>406.57305599999995</v>
      </c>
      <c r="Z219" s="16">
        <f t="shared" si="148"/>
        <v>813.1461119999999</v>
      </c>
      <c r="AA219" s="16">
        <f t="shared" si="149"/>
        <v>81.314611200000002</v>
      </c>
      <c r="AB219" s="16">
        <f t="shared" si="150"/>
        <v>0</v>
      </c>
      <c r="AC219" s="16">
        <f t="shared" si="151"/>
        <v>0</v>
      </c>
      <c r="AD219" s="16" t="e">
        <f t="shared" ref="AD219:AD225" si="158">IF(ISNUMBER(N219), CEILING(CF219/(0.68*BP219),25), "Ambient")</f>
        <v>#DIV/0!</v>
      </c>
      <c r="AE219" s="16" t="e">
        <f t="shared" si="153"/>
        <v>#DIV/0!</v>
      </c>
      <c r="AF219" s="16" t="e">
        <f t="shared" si="154"/>
        <v>#DIV/0!</v>
      </c>
      <c r="AG219" s="16" t="e">
        <f t="shared" si="155"/>
        <v>#DIV/0!</v>
      </c>
      <c r="AH219" s="838" t="s">
        <v>85</v>
      </c>
      <c r="AI219" s="17">
        <f t="shared" si="156"/>
        <v>0</v>
      </c>
      <c r="AJ219" s="17" t="e">
        <f t="shared" si="157"/>
        <v>#DIV/0!</v>
      </c>
      <c r="AK219" s="891"/>
      <c r="AL219" s="174" t="e">
        <f>IF(AN210&lt;=315,1600,(IF(AN210=355,1650,(IF(AN210=400,1650,(IF(AN210=450,1700,(IF(AN210=500,1700,(IF(AN210=560,1800,(IF(AN210=630,2000,(IF(AN210=710,2200,2500)))))))))))))))+IF(AR210=2,1800,(IF(AR210=3,2300,(IF(AR210=4,3300,0)))))+IF(AP210&lt;=4,600,(IF(AP210&lt;=6,800,(IF(AP210&lt;=8,1000,1200)))))</f>
        <v>#DIV/0!</v>
      </c>
      <c r="AM219" s="889"/>
      <c r="AN219" s="891"/>
      <c r="AO219" s="888"/>
      <c r="AP219" s="891"/>
      <c r="AQ219" s="891"/>
      <c r="AR219" s="889"/>
      <c r="AS219" s="888"/>
      <c r="AT219" s="888"/>
      <c r="AU219" s="890"/>
      <c r="AV219" s="888"/>
      <c r="AW219" s="888"/>
      <c r="AX219" s="888"/>
      <c r="AY219" s="887"/>
      <c r="AZ219" s="888"/>
    </row>
    <row r="220" spans="3:52" ht="18.600000000000001">
      <c r="C220" s="13">
        <f>IF(D220&lt;&gt;"",COUNTA($D$10:D220),"")</f>
        <v>181</v>
      </c>
      <c r="D220" s="14" t="s">
        <v>210</v>
      </c>
      <c r="E220" s="14">
        <v>2.1</v>
      </c>
      <c r="F220" s="14">
        <v>1.8</v>
      </c>
      <c r="G220" s="14">
        <v>2.4</v>
      </c>
      <c r="H220" s="14">
        <v>2</v>
      </c>
      <c r="I220" s="14">
        <v>1</v>
      </c>
      <c r="J220" s="14">
        <v>1.75</v>
      </c>
      <c r="K220" s="14">
        <v>3</v>
      </c>
      <c r="L220" s="15">
        <v>0.1</v>
      </c>
      <c r="M220" s="15">
        <v>0</v>
      </c>
      <c r="N220" s="14">
        <v>24</v>
      </c>
      <c r="O220" s="14">
        <v>50</v>
      </c>
      <c r="P220" s="13">
        <v>45</v>
      </c>
      <c r="Q220" s="13">
        <v>85</v>
      </c>
      <c r="R220" s="13" t="s">
        <v>17</v>
      </c>
      <c r="S220" s="13">
        <v>120</v>
      </c>
      <c r="T220" s="13">
        <v>0</v>
      </c>
      <c r="U220" s="13">
        <v>100</v>
      </c>
      <c r="V220" s="13" t="str">
        <f t="shared" si="145"/>
        <v>ISO 6</v>
      </c>
      <c r="W220" s="13">
        <f t="shared" si="145"/>
        <v>120</v>
      </c>
      <c r="X220" s="16">
        <f t="shared" si="146"/>
        <v>40.672800000000002</v>
      </c>
      <c r="Y220" s="16">
        <f t="shared" si="147"/>
        <v>320.17628159999998</v>
      </c>
      <c r="Z220" s="16">
        <f t="shared" si="148"/>
        <v>640.35256319999996</v>
      </c>
      <c r="AA220" s="16">
        <f t="shared" si="149"/>
        <v>64.035256320000002</v>
      </c>
      <c r="AB220" s="16">
        <f t="shared" si="150"/>
        <v>0</v>
      </c>
      <c r="AC220" s="16">
        <f t="shared" si="151"/>
        <v>0</v>
      </c>
      <c r="AD220" s="16" t="e">
        <f t="shared" si="158"/>
        <v>#DIV/0!</v>
      </c>
      <c r="AE220" s="16" t="e">
        <f t="shared" si="153"/>
        <v>#DIV/0!</v>
      </c>
      <c r="AF220" s="16" t="e">
        <f t="shared" si="154"/>
        <v>#DIV/0!</v>
      </c>
      <c r="AG220" s="16" t="e">
        <f t="shared" si="155"/>
        <v>#DIV/0!</v>
      </c>
      <c r="AH220" s="838" t="s">
        <v>85</v>
      </c>
      <c r="AI220" s="17">
        <f t="shared" si="156"/>
        <v>0</v>
      </c>
      <c r="AJ220" s="17" t="e">
        <f t="shared" si="157"/>
        <v>#DIV/0!</v>
      </c>
      <c r="AK220" s="891"/>
      <c r="AL220" s="18"/>
      <c r="AM220" s="889"/>
      <c r="AN220" s="891"/>
      <c r="AO220" s="888"/>
      <c r="AP220" s="891"/>
      <c r="AQ220" s="891"/>
      <c r="AR220" s="889"/>
      <c r="AS220" s="888"/>
      <c r="AT220" s="888"/>
      <c r="AU220" s="890"/>
      <c r="AV220" s="888"/>
      <c r="AW220" s="888"/>
      <c r="AX220" s="888"/>
      <c r="AY220" s="887"/>
      <c r="AZ220" s="888"/>
    </row>
    <row r="221" spans="3:52" ht="18.600000000000001">
      <c r="C221" s="13">
        <f>IF(D221&lt;&gt;"",COUNTA($D$10:D221),"")</f>
        <v>182</v>
      </c>
      <c r="D221" s="14" t="s">
        <v>211</v>
      </c>
      <c r="E221" s="14">
        <v>1.8</v>
      </c>
      <c r="F221" s="14">
        <v>1.9</v>
      </c>
      <c r="G221" s="14">
        <v>2.4</v>
      </c>
      <c r="H221" s="14">
        <v>2</v>
      </c>
      <c r="I221" s="14">
        <v>1</v>
      </c>
      <c r="J221" s="14">
        <v>1.75</v>
      </c>
      <c r="K221" s="14">
        <v>3</v>
      </c>
      <c r="L221" s="15">
        <v>0.1</v>
      </c>
      <c r="M221" s="15">
        <v>0</v>
      </c>
      <c r="N221" s="14">
        <v>24</v>
      </c>
      <c r="O221" s="14">
        <v>50</v>
      </c>
      <c r="P221" s="13">
        <v>45</v>
      </c>
      <c r="Q221" s="13">
        <v>85</v>
      </c>
      <c r="R221" s="13" t="s">
        <v>17</v>
      </c>
      <c r="S221" s="13">
        <v>120</v>
      </c>
      <c r="T221" s="13">
        <v>0</v>
      </c>
      <c r="U221" s="13">
        <v>100</v>
      </c>
      <c r="V221" s="13" t="str">
        <f t="shared" si="145"/>
        <v>ISO 6</v>
      </c>
      <c r="W221" s="13">
        <f t="shared" si="145"/>
        <v>120</v>
      </c>
      <c r="X221" s="16">
        <f t="shared" si="146"/>
        <v>36.799199999999999</v>
      </c>
      <c r="Y221" s="16">
        <f t="shared" si="147"/>
        <v>289.68330239999995</v>
      </c>
      <c r="Z221" s="16">
        <f t="shared" si="148"/>
        <v>579.36660479999989</v>
      </c>
      <c r="AA221" s="16">
        <f t="shared" si="149"/>
        <v>57.936660479999993</v>
      </c>
      <c r="AB221" s="16">
        <f t="shared" si="150"/>
        <v>0</v>
      </c>
      <c r="AC221" s="16">
        <f t="shared" si="151"/>
        <v>0</v>
      </c>
      <c r="AD221" s="16" t="e">
        <f t="shared" si="158"/>
        <v>#DIV/0!</v>
      </c>
      <c r="AE221" s="16" t="e">
        <f t="shared" si="153"/>
        <v>#DIV/0!</v>
      </c>
      <c r="AF221" s="16" t="e">
        <f t="shared" si="154"/>
        <v>#DIV/0!</v>
      </c>
      <c r="AG221" s="16" t="e">
        <f t="shared" si="155"/>
        <v>#DIV/0!</v>
      </c>
      <c r="AH221" s="838" t="s">
        <v>85</v>
      </c>
      <c r="AI221" s="17">
        <f t="shared" si="156"/>
        <v>0</v>
      </c>
      <c r="AJ221" s="17" t="e">
        <f t="shared" si="157"/>
        <v>#DIV/0!</v>
      </c>
      <c r="AK221" s="891"/>
      <c r="AL221" s="18"/>
      <c r="AM221" s="889"/>
      <c r="AN221" s="891"/>
      <c r="AO221" s="888"/>
      <c r="AP221" s="891"/>
      <c r="AQ221" s="891"/>
      <c r="AR221" s="889"/>
      <c r="AS221" s="888"/>
      <c r="AT221" s="888"/>
      <c r="AU221" s="890"/>
      <c r="AV221" s="888"/>
      <c r="AW221" s="888"/>
      <c r="AX221" s="888"/>
      <c r="AY221" s="887"/>
      <c r="AZ221" s="888"/>
    </row>
    <row r="222" spans="3:52" ht="18.600000000000001">
      <c r="C222" s="13">
        <f>IF(D222&lt;&gt;"",COUNTA($D$10:D222),"")</f>
        <v>183</v>
      </c>
      <c r="D222" s="14" t="s">
        <v>212</v>
      </c>
      <c r="E222" s="14">
        <v>1.9</v>
      </c>
      <c r="F222" s="14">
        <v>2</v>
      </c>
      <c r="G222" s="14">
        <v>2.4</v>
      </c>
      <c r="H222" s="14">
        <v>2</v>
      </c>
      <c r="I222" s="14">
        <v>1</v>
      </c>
      <c r="J222" s="14">
        <v>1.75</v>
      </c>
      <c r="K222" s="14">
        <v>3</v>
      </c>
      <c r="L222" s="15">
        <v>0.1</v>
      </c>
      <c r="M222" s="15">
        <v>0</v>
      </c>
      <c r="N222" s="14">
        <v>24</v>
      </c>
      <c r="O222" s="14">
        <v>50</v>
      </c>
      <c r="P222" s="13">
        <v>45</v>
      </c>
      <c r="Q222" s="13">
        <v>85</v>
      </c>
      <c r="R222" s="13" t="s">
        <v>17</v>
      </c>
      <c r="S222" s="13">
        <v>120</v>
      </c>
      <c r="T222" s="13">
        <v>0</v>
      </c>
      <c r="U222" s="13">
        <v>100</v>
      </c>
      <c r="V222" s="13" t="str">
        <f t="shared" si="145"/>
        <v>ISO 6</v>
      </c>
      <c r="W222" s="13">
        <f t="shared" si="145"/>
        <v>120</v>
      </c>
      <c r="X222" s="16">
        <f t="shared" si="146"/>
        <v>40.887999999999998</v>
      </c>
      <c r="Y222" s="16">
        <f t="shared" si="147"/>
        <v>321.87033599999995</v>
      </c>
      <c r="Z222" s="16">
        <f t="shared" si="148"/>
        <v>643.7406719999999</v>
      </c>
      <c r="AA222" s="16">
        <f t="shared" si="149"/>
        <v>64.374067199999999</v>
      </c>
      <c r="AB222" s="16">
        <f t="shared" si="150"/>
        <v>0</v>
      </c>
      <c r="AC222" s="16">
        <f t="shared" si="151"/>
        <v>0</v>
      </c>
      <c r="AD222" s="16" t="e">
        <f t="shared" si="158"/>
        <v>#DIV/0!</v>
      </c>
      <c r="AE222" s="16" t="e">
        <f t="shared" si="153"/>
        <v>#DIV/0!</v>
      </c>
      <c r="AF222" s="16" t="e">
        <f t="shared" si="154"/>
        <v>#DIV/0!</v>
      </c>
      <c r="AG222" s="16" t="e">
        <f t="shared" si="155"/>
        <v>#DIV/0!</v>
      </c>
      <c r="AH222" s="838" t="s">
        <v>85</v>
      </c>
      <c r="AI222" s="17">
        <f t="shared" si="156"/>
        <v>0</v>
      </c>
      <c r="AJ222" s="17" t="e">
        <f t="shared" si="157"/>
        <v>#DIV/0!</v>
      </c>
      <c r="AK222" s="891"/>
      <c r="AL222" s="18"/>
      <c r="AM222" s="889"/>
      <c r="AN222" s="891"/>
      <c r="AO222" s="888"/>
      <c r="AP222" s="891"/>
      <c r="AQ222" s="891"/>
      <c r="AR222" s="889"/>
      <c r="AS222" s="888"/>
      <c r="AT222" s="888"/>
      <c r="AU222" s="890"/>
      <c r="AV222" s="888"/>
      <c r="AW222" s="888"/>
      <c r="AX222" s="888"/>
      <c r="AY222" s="887"/>
      <c r="AZ222" s="888"/>
    </row>
    <row r="223" spans="3:52" ht="18.600000000000001">
      <c r="C223" s="13">
        <f>IF(D223&lt;&gt;"",COUNTA($D$10:D223),"")</f>
        <v>184</v>
      </c>
      <c r="D223" s="14" t="s">
        <v>213</v>
      </c>
      <c r="E223" s="14">
        <v>2.2999999999999998</v>
      </c>
      <c r="F223" s="14">
        <v>2.2000000000000002</v>
      </c>
      <c r="G223" s="14">
        <v>2.4</v>
      </c>
      <c r="H223" s="14">
        <v>2</v>
      </c>
      <c r="I223" s="14">
        <v>1</v>
      </c>
      <c r="J223" s="14">
        <v>1.75</v>
      </c>
      <c r="K223" s="14">
        <v>3</v>
      </c>
      <c r="L223" s="15">
        <v>0.1</v>
      </c>
      <c r="M223" s="15">
        <v>0</v>
      </c>
      <c r="N223" s="14">
        <v>24</v>
      </c>
      <c r="O223" s="14">
        <v>50</v>
      </c>
      <c r="P223" s="13">
        <v>45</v>
      </c>
      <c r="Q223" s="13">
        <v>85</v>
      </c>
      <c r="R223" s="13" t="s">
        <v>17</v>
      </c>
      <c r="S223" s="13">
        <v>120</v>
      </c>
      <c r="T223" s="13">
        <v>0</v>
      </c>
      <c r="U223" s="13">
        <v>100</v>
      </c>
      <c r="V223" s="13" t="str">
        <f t="shared" si="145"/>
        <v>ISO 6</v>
      </c>
      <c r="W223" s="13">
        <f t="shared" si="145"/>
        <v>120</v>
      </c>
      <c r="X223" s="16">
        <f t="shared" si="146"/>
        <v>54.445599999999992</v>
      </c>
      <c r="Y223" s="16">
        <f t="shared" si="147"/>
        <v>428.59576319999991</v>
      </c>
      <c r="Z223" s="16">
        <f t="shared" si="148"/>
        <v>857.19152639999982</v>
      </c>
      <c r="AA223" s="16">
        <f t="shared" si="149"/>
        <v>85.71915263999999</v>
      </c>
      <c r="AB223" s="16">
        <f t="shared" si="150"/>
        <v>0</v>
      </c>
      <c r="AC223" s="16">
        <f t="shared" si="151"/>
        <v>0</v>
      </c>
      <c r="AD223" s="16" t="e">
        <f t="shared" si="158"/>
        <v>#DIV/0!</v>
      </c>
      <c r="AE223" s="16" t="e">
        <f t="shared" si="153"/>
        <v>#DIV/0!</v>
      </c>
      <c r="AF223" s="16" t="e">
        <f t="shared" si="154"/>
        <v>#DIV/0!</v>
      </c>
      <c r="AG223" s="16" t="e">
        <f t="shared" si="155"/>
        <v>#DIV/0!</v>
      </c>
      <c r="AH223" s="838" t="s">
        <v>85</v>
      </c>
      <c r="AI223" s="17">
        <f t="shared" si="156"/>
        <v>0</v>
      </c>
      <c r="AJ223" s="17" t="e">
        <f t="shared" si="157"/>
        <v>#DIV/0!</v>
      </c>
      <c r="AK223" s="891"/>
      <c r="AL223" s="18"/>
      <c r="AM223" s="889"/>
      <c r="AN223" s="891"/>
      <c r="AO223" s="888"/>
      <c r="AP223" s="891"/>
      <c r="AQ223" s="891"/>
      <c r="AR223" s="889"/>
      <c r="AS223" s="888"/>
      <c r="AT223" s="888"/>
      <c r="AU223" s="890"/>
      <c r="AV223" s="888"/>
      <c r="AW223" s="888"/>
      <c r="AX223" s="888"/>
      <c r="AY223" s="887"/>
      <c r="AZ223" s="888"/>
    </row>
    <row r="224" spans="3:52" ht="18.600000000000001">
      <c r="C224" s="13">
        <f>IF(D224&lt;&gt;"",COUNTA($D$10:D224),"")</f>
        <v>185</v>
      </c>
      <c r="D224" s="14" t="s">
        <v>214</v>
      </c>
      <c r="E224" s="14">
        <v>2.2000000000000002</v>
      </c>
      <c r="F224" s="14">
        <v>2.8</v>
      </c>
      <c r="G224" s="14">
        <v>2.4</v>
      </c>
      <c r="H224" s="14">
        <v>2</v>
      </c>
      <c r="I224" s="14">
        <v>1</v>
      </c>
      <c r="J224" s="14">
        <v>1.75</v>
      </c>
      <c r="K224" s="14">
        <v>3</v>
      </c>
      <c r="L224" s="15">
        <v>0.1</v>
      </c>
      <c r="M224" s="15">
        <v>0</v>
      </c>
      <c r="N224" s="14">
        <v>24</v>
      </c>
      <c r="O224" s="14">
        <v>50</v>
      </c>
      <c r="P224" s="13">
        <v>45</v>
      </c>
      <c r="Q224" s="13">
        <v>85</v>
      </c>
      <c r="R224" s="13" t="s">
        <v>17</v>
      </c>
      <c r="S224" s="13">
        <v>120</v>
      </c>
      <c r="T224" s="13">
        <v>0</v>
      </c>
      <c r="U224" s="13">
        <v>100</v>
      </c>
      <c r="V224" s="13" t="str">
        <f t="shared" si="145"/>
        <v>ISO 6</v>
      </c>
      <c r="W224" s="13">
        <f t="shared" si="145"/>
        <v>120</v>
      </c>
      <c r="X224" s="16">
        <f t="shared" si="146"/>
        <v>66.281599999999997</v>
      </c>
      <c r="Y224" s="16">
        <f t="shared" si="147"/>
        <v>521.76875519999999</v>
      </c>
      <c r="Z224" s="16">
        <f t="shared" si="148"/>
        <v>1043.5375104</v>
      </c>
      <c r="AA224" s="16">
        <f t="shared" si="149"/>
        <v>104.35375104000001</v>
      </c>
      <c r="AB224" s="16">
        <f t="shared" si="150"/>
        <v>0</v>
      </c>
      <c r="AC224" s="16">
        <f t="shared" si="151"/>
        <v>0</v>
      </c>
      <c r="AD224" s="16" t="e">
        <f t="shared" si="158"/>
        <v>#DIV/0!</v>
      </c>
      <c r="AE224" s="16" t="e">
        <f t="shared" si="153"/>
        <v>#DIV/0!</v>
      </c>
      <c r="AF224" s="16" t="e">
        <f t="shared" si="154"/>
        <v>#DIV/0!</v>
      </c>
      <c r="AG224" s="16" t="e">
        <f t="shared" si="155"/>
        <v>#DIV/0!</v>
      </c>
      <c r="AH224" s="838" t="s">
        <v>85</v>
      </c>
      <c r="AI224" s="17">
        <f t="shared" si="156"/>
        <v>0</v>
      </c>
      <c r="AJ224" s="17" t="e">
        <f t="shared" si="157"/>
        <v>#DIV/0!</v>
      </c>
      <c r="AK224" s="891"/>
      <c r="AL224" s="18"/>
      <c r="AM224" s="889"/>
      <c r="AN224" s="891"/>
      <c r="AO224" s="888"/>
      <c r="AP224" s="891"/>
      <c r="AQ224" s="891"/>
      <c r="AR224" s="889"/>
      <c r="AS224" s="888"/>
      <c r="AT224" s="888"/>
      <c r="AU224" s="890"/>
      <c r="AV224" s="888"/>
      <c r="AW224" s="888"/>
      <c r="AX224" s="888"/>
      <c r="AY224" s="887"/>
      <c r="AZ224" s="888"/>
    </row>
    <row r="225" spans="3:52" ht="18.600000000000001">
      <c r="C225" s="13">
        <f>IF(D225&lt;&gt;"",COUNTA($D$10:D225),"")</f>
        <v>186</v>
      </c>
      <c r="D225" s="14" t="s">
        <v>215</v>
      </c>
      <c r="E225" s="14">
        <v>2.8</v>
      </c>
      <c r="F225" s="14">
        <v>2.4</v>
      </c>
      <c r="G225" s="14">
        <v>2.4</v>
      </c>
      <c r="H225" s="14">
        <v>2</v>
      </c>
      <c r="I225" s="14">
        <v>1</v>
      </c>
      <c r="J225" s="14">
        <v>1.75</v>
      </c>
      <c r="K225" s="14">
        <v>3</v>
      </c>
      <c r="L225" s="15">
        <v>0.1</v>
      </c>
      <c r="M225" s="15">
        <v>0</v>
      </c>
      <c r="N225" s="14">
        <v>24</v>
      </c>
      <c r="O225" s="14">
        <v>50</v>
      </c>
      <c r="P225" s="13">
        <v>45</v>
      </c>
      <c r="Q225" s="13">
        <v>85</v>
      </c>
      <c r="R225" s="13" t="s">
        <v>17</v>
      </c>
      <c r="S225" s="13">
        <v>120</v>
      </c>
      <c r="T225" s="13">
        <v>0</v>
      </c>
      <c r="U225" s="13">
        <v>100</v>
      </c>
      <c r="V225" s="13" t="str">
        <f t="shared" si="145"/>
        <v>ISO 6</v>
      </c>
      <c r="W225" s="13">
        <f t="shared" si="145"/>
        <v>120</v>
      </c>
      <c r="X225" s="16">
        <f t="shared" si="146"/>
        <v>72.307199999999995</v>
      </c>
      <c r="Y225" s="16">
        <f t="shared" si="147"/>
        <v>569.20227839999995</v>
      </c>
      <c r="Z225" s="16">
        <f t="shared" si="148"/>
        <v>1138.4045567999999</v>
      </c>
      <c r="AA225" s="16">
        <f t="shared" si="149"/>
        <v>113.84045567999999</v>
      </c>
      <c r="AB225" s="16">
        <f t="shared" si="150"/>
        <v>0</v>
      </c>
      <c r="AC225" s="16">
        <f t="shared" si="151"/>
        <v>0</v>
      </c>
      <c r="AD225" s="16" t="e">
        <f t="shared" si="158"/>
        <v>#DIV/0!</v>
      </c>
      <c r="AE225" s="16" t="e">
        <f t="shared" si="153"/>
        <v>#DIV/0!</v>
      </c>
      <c r="AF225" s="16" t="e">
        <f t="shared" si="154"/>
        <v>#DIV/0!</v>
      </c>
      <c r="AG225" s="16" t="e">
        <f t="shared" si="155"/>
        <v>#DIV/0!</v>
      </c>
      <c r="AH225" s="838" t="s">
        <v>85</v>
      </c>
      <c r="AI225" s="17">
        <f t="shared" si="156"/>
        <v>0</v>
      </c>
      <c r="AJ225" s="17" t="e">
        <f t="shared" si="157"/>
        <v>#DIV/0!</v>
      </c>
      <c r="AK225" s="891"/>
      <c r="AL225" s="18"/>
      <c r="AM225" s="889"/>
      <c r="AN225" s="891"/>
      <c r="AO225" s="888"/>
      <c r="AP225" s="891"/>
      <c r="AQ225" s="891"/>
      <c r="AR225" s="889"/>
      <c r="AS225" s="888"/>
      <c r="AT225" s="888"/>
      <c r="AU225" s="890"/>
      <c r="AV225" s="888"/>
      <c r="AW225" s="888"/>
      <c r="AX225" s="888"/>
      <c r="AY225" s="887"/>
      <c r="AZ225" s="888"/>
    </row>
    <row r="226" spans="3:52">
      <c r="C226" s="19"/>
      <c r="D226" s="19"/>
      <c r="E226" s="19"/>
      <c r="F226" s="19"/>
      <c r="G226" s="19"/>
      <c r="H226" s="19"/>
      <c r="I226" s="19"/>
      <c r="J226" s="19"/>
      <c r="K226" s="19"/>
      <c r="L226" s="19"/>
      <c r="M226" s="19"/>
      <c r="N226" s="19"/>
      <c r="O226" s="19"/>
      <c r="P226" s="19"/>
      <c r="Q226" s="19"/>
      <c r="R226" s="19"/>
      <c r="S226" s="19"/>
      <c r="T226" s="19"/>
      <c r="U226" s="19"/>
      <c r="V226" s="19"/>
      <c r="W226" s="19"/>
      <c r="X226" s="20">
        <f>SUM(X210:X225)</f>
        <v>1144.1108000000002</v>
      </c>
      <c r="Y226" s="20">
        <f t="shared" ref="Y226:AG226" si="159">SUM(Y210:Y225)</f>
        <v>9006.4402175999985</v>
      </c>
      <c r="Z226" s="20">
        <f t="shared" si="159"/>
        <v>18012.880435199997</v>
      </c>
      <c r="AA226" s="20">
        <f t="shared" si="159"/>
        <v>1801.2880435199995</v>
      </c>
      <c r="AB226" s="20">
        <f t="shared" si="159"/>
        <v>0</v>
      </c>
      <c r="AC226" s="20">
        <f t="shared" si="159"/>
        <v>0</v>
      </c>
      <c r="AD226" s="20" t="e">
        <f t="shared" si="159"/>
        <v>#DIV/0!</v>
      </c>
      <c r="AE226" s="20" t="e">
        <f t="shared" si="159"/>
        <v>#DIV/0!</v>
      </c>
      <c r="AF226" s="20" t="e">
        <f t="shared" si="159"/>
        <v>#DIV/0!</v>
      </c>
      <c r="AG226" s="20" t="e">
        <f t="shared" si="159"/>
        <v>#DIV/0!</v>
      </c>
      <c r="AH226" s="841"/>
      <c r="AI226" s="20">
        <f t="shared" ref="AI226:AJ226" si="160">SUM(AI210:AI225)</f>
        <v>0</v>
      </c>
      <c r="AJ226" s="20" t="e">
        <f t="shared" si="160"/>
        <v>#DIV/0!</v>
      </c>
      <c r="AK226" s="21"/>
      <c r="AL226" s="21"/>
      <c r="AM226" s="21"/>
      <c r="AN226" s="21"/>
      <c r="AO226" s="21"/>
      <c r="AP226" s="21"/>
      <c r="AQ226" s="21"/>
      <c r="AR226" s="21"/>
      <c r="AS226" s="21"/>
      <c r="AT226" s="21"/>
      <c r="AU226" s="21"/>
      <c r="AV226" s="21"/>
      <c r="AW226" s="21"/>
      <c r="AX226" s="21"/>
      <c r="AY226" s="21"/>
      <c r="AZ226" s="21"/>
    </row>
    <row r="227" spans="3:52">
      <c r="AH227" s="840"/>
    </row>
    <row r="228" spans="3:52" ht="26.1">
      <c r="C228" s="8" t="e">
        <f>"Zoning Area  AHU - " &amp; INT((ROW()-8)/20)+1 &amp; "  " &amp;IF(AQ230&gt;0,"Air-Conditioning System " &amp; IF(AH230="D","(DX)",IF(AH230="C","(Chilled Water)","")),IF(AND(N230="Amb",AQ230=0),"Ventilation System","Refer"))</f>
        <v>#DIV/0!</v>
      </c>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39"/>
      <c r="AI228" s="8"/>
      <c r="AJ228" s="8"/>
      <c r="AK228" s="8"/>
      <c r="AL228" s="8"/>
      <c r="AM228" s="8"/>
      <c r="AN228" s="8"/>
      <c r="AO228" s="8"/>
      <c r="AP228" s="8"/>
      <c r="AQ228" s="8"/>
      <c r="AR228" s="8"/>
      <c r="AS228" s="9" t="s">
        <v>221</v>
      </c>
      <c r="AT228" s="10"/>
      <c r="AU228" s="10"/>
      <c r="AV228" s="11"/>
      <c r="AW228" s="9" t="s">
        <v>222</v>
      </c>
      <c r="AX228" s="10"/>
      <c r="AY228" s="10"/>
      <c r="AZ228" s="11"/>
    </row>
    <row r="229" spans="3:52">
      <c r="C229" s="13">
        <f>IF(D229&lt;&gt;"",COUNTA($D$10:D229),"")</f>
        <v>187</v>
      </c>
      <c r="D229" s="5" t="s">
        <v>165</v>
      </c>
      <c r="E229" s="5" t="s">
        <v>166</v>
      </c>
      <c r="F229" s="5" t="s">
        <v>167</v>
      </c>
      <c r="G229" s="5" t="s">
        <v>168</v>
      </c>
      <c r="H229" s="5" t="s">
        <v>169</v>
      </c>
      <c r="I229" s="5" t="s">
        <v>170</v>
      </c>
      <c r="J229" s="5" t="s">
        <v>171</v>
      </c>
      <c r="K229" s="5" t="s">
        <v>172</v>
      </c>
      <c r="L229" s="5" t="s">
        <v>173</v>
      </c>
      <c r="M229" s="5" t="s">
        <v>174</v>
      </c>
      <c r="N229" s="5" t="s">
        <v>175</v>
      </c>
      <c r="O229" s="5" t="s">
        <v>176</v>
      </c>
      <c r="P229" s="5" t="s">
        <v>177</v>
      </c>
      <c r="Q229" s="5" t="s">
        <v>178</v>
      </c>
      <c r="R229" s="5" t="s">
        <v>199</v>
      </c>
      <c r="S229" s="5" t="s">
        <v>180</v>
      </c>
      <c r="T229" s="5" t="s">
        <v>223</v>
      </c>
      <c r="U229" s="5" t="s">
        <v>224</v>
      </c>
      <c r="V229" s="5" t="s">
        <v>199</v>
      </c>
      <c r="W229" s="5" t="s">
        <v>180</v>
      </c>
      <c r="X229" s="5" t="s">
        <v>225</v>
      </c>
      <c r="Y229" s="5" t="s">
        <v>226</v>
      </c>
      <c r="Z229" s="5" t="s">
        <v>227</v>
      </c>
      <c r="AA229" s="5" t="s">
        <v>228</v>
      </c>
      <c r="AB229" s="5" t="s">
        <v>229</v>
      </c>
      <c r="AC229" s="5" t="s">
        <v>230</v>
      </c>
      <c r="AD229" s="5" t="s">
        <v>231</v>
      </c>
      <c r="AE229" s="5" t="s">
        <v>232</v>
      </c>
      <c r="AF229" s="6" t="s">
        <v>233</v>
      </c>
      <c r="AG229" s="6" t="s">
        <v>234</v>
      </c>
      <c r="AH229" s="6" t="s">
        <v>235</v>
      </c>
      <c r="AI229" s="5" t="s">
        <v>236</v>
      </c>
      <c r="AJ229" s="5" t="s">
        <v>237</v>
      </c>
      <c r="AK229" s="5" t="s">
        <v>238</v>
      </c>
      <c r="AL229" s="5" t="s">
        <v>239</v>
      </c>
      <c r="AM229" s="5" t="s">
        <v>240</v>
      </c>
      <c r="AN229" s="5" t="s">
        <v>241</v>
      </c>
      <c r="AO229" s="5" t="s">
        <v>242</v>
      </c>
      <c r="AP229" s="5" t="s">
        <v>243</v>
      </c>
      <c r="AQ229" s="5" t="s">
        <v>244</v>
      </c>
      <c r="AR229" s="5" t="s">
        <v>245</v>
      </c>
      <c r="AS229" s="5" t="s">
        <v>246</v>
      </c>
      <c r="AT229" s="5" t="s">
        <v>247</v>
      </c>
      <c r="AU229" s="5" t="s">
        <v>248</v>
      </c>
      <c r="AV229" s="5" t="s">
        <v>249</v>
      </c>
      <c r="AW229" s="5" t="s">
        <v>250</v>
      </c>
      <c r="AX229" s="5" t="s">
        <v>251</v>
      </c>
      <c r="AY229" s="5" t="s">
        <v>252</v>
      </c>
      <c r="AZ229" s="5" t="s">
        <v>253</v>
      </c>
    </row>
    <row r="230" spans="3:52" ht="18.600000000000001">
      <c r="C230" s="13">
        <f>IF(D230&lt;&gt;"",COUNTA($D$10:D230),"")</f>
        <v>188</v>
      </c>
      <c r="D230" s="14" t="s">
        <v>200</v>
      </c>
      <c r="E230" s="14">
        <v>3</v>
      </c>
      <c r="F230" s="14">
        <v>3</v>
      </c>
      <c r="G230" s="14">
        <v>2.4</v>
      </c>
      <c r="H230" s="14">
        <v>1</v>
      </c>
      <c r="I230" s="14">
        <v>2</v>
      </c>
      <c r="J230" s="14">
        <v>1.75</v>
      </c>
      <c r="K230" s="14">
        <v>3</v>
      </c>
      <c r="L230" s="15">
        <v>0.1</v>
      </c>
      <c r="M230" s="15">
        <v>0</v>
      </c>
      <c r="N230" s="14">
        <v>24</v>
      </c>
      <c r="O230" s="14">
        <v>50</v>
      </c>
      <c r="P230" s="13">
        <v>45</v>
      </c>
      <c r="Q230" s="13">
        <v>85</v>
      </c>
      <c r="R230" s="13" t="s">
        <v>17</v>
      </c>
      <c r="S230" s="13">
        <v>120</v>
      </c>
      <c r="T230" s="13">
        <v>0</v>
      </c>
      <c r="U230" s="13">
        <v>100</v>
      </c>
      <c r="V230" s="13" t="str">
        <f>R230</f>
        <v>ISO 6</v>
      </c>
      <c r="W230" s="13">
        <f>S230</f>
        <v>120</v>
      </c>
      <c r="X230" s="16">
        <f>E230*F230*10.76</f>
        <v>96.84</v>
      </c>
      <c r="Y230" s="16">
        <f>X230*G230*3.28</f>
        <v>762.32447999999999</v>
      </c>
      <c r="Z230" s="16">
        <f>Y230*S230/60</f>
        <v>1524.64896</v>
      </c>
      <c r="AA230" s="16">
        <f>Z230*L230</f>
        <v>152.46489600000001</v>
      </c>
      <c r="AB230" s="16">
        <f>IF(N230="Amb",Z230,Z230*M230)</f>
        <v>0</v>
      </c>
      <c r="AC230" s="16">
        <f>IF(ISNUMBER(N230), (AA230*0.075*60/2.20462)*BP230/7000, "Ambient")</f>
        <v>0</v>
      </c>
      <c r="AD230" s="16" t="e">
        <f>IF(ISNUMBER(N230), CEILING(CF230/(0.68*BP230),25), "Ambient")</f>
        <v>#DIV/0!</v>
      </c>
      <c r="AE230" s="16" t="e">
        <f>CEILING(MAX((Z230+AA230),AD230),25)</f>
        <v>#DIV/0!</v>
      </c>
      <c r="AF230" s="16" t="e">
        <f>CEILING(IF(OR($R230="ISO 6",$R230="GRADE B",$R230="1K",$R230=1000),AE230*1/175,IF(OR($R230="ISO 5",$R230="GRADE A",$R230=100),AE230*1/100,IF(OR($R230="ISO 7",$R230="GRADE C",$R230="10K",$R230=10000),$AE230*1/250,IF(OR($R230="ISO 8",$R230="GRADE D",$R230="100K",$R230=100000),$AE230*1/250,IF(OR($R230="NC",$R230="20 Micron",$R230="5 Micron",$R230="N C"),$AE230*1/350,0))))),2)</f>
        <v>#DIV/0!</v>
      </c>
      <c r="AG230" s="16" t="e">
        <f>IF(ISNUMBER(N230), CEILING(MAX(AI230,AJ230),0.5), "Ambient")</f>
        <v>#DIV/0!</v>
      </c>
      <c r="AH230" s="838" t="s">
        <v>85</v>
      </c>
      <c r="AI230" s="17">
        <f>IF(ISNUMBER(N230), CEILING(CE230/12000,0.5), "Ambient")</f>
        <v>0</v>
      </c>
      <c r="AJ230" s="17" t="e">
        <f>IF(ISNUMBER(N230),CEILING(AE230/(IF(AH230="C",400,300)),0.5), "Ambient")</f>
        <v>#DIV/0!</v>
      </c>
      <c r="AK230" s="891" t="e">
        <f>CEILING(SUM(AE230:AE245),250)</f>
        <v>#DIV/0!</v>
      </c>
      <c r="AL230" s="18" t="s">
        <v>254</v>
      </c>
      <c r="AM230" s="889">
        <v>150</v>
      </c>
      <c r="AN230" s="891" t="e">
        <f>IF(AK230&lt;=1300,200,IF(AK230&lt;=1600,225,IF(AK230&lt;=2100,250,IF(AK230&lt;=2700,280,IF(AK230&lt;=3450,315,IF(AK230&lt;=4250,355,IF(AK230&lt;=5250,400,IF(AK230&lt;=6750,450,IF(AK230&lt;=8500,500,IF(AK230&lt;=10750,560,IF(AK230&lt;=13500,630,IF(AK230&lt;=17000,710,IF(AK230&lt;=21500,800,IF(AK230&lt;=27000,900,IF(AK230&lt;=34000,1000,IF(AK230&lt;=43000,1120,IF(AK230&lt;=49000,1200,IF(AK230&lt;=68000,1450,"Refer"))))))))))))))))))</f>
        <v>#DIV/0!</v>
      </c>
      <c r="AO230" s="888" t="e">
        <f>IF(AK230*AM230/(6356*0.7*0.9*1.1*25.4)&lt;=1,1,IF(AK230*AM230/(6356*0.7*0.9*1.1*25.4)&lt;=1.5,1.5,IF(AK230*AM230/(6356*0.7*0.9*1.1*25.4)&lt;=2,2,IF(AK230*AM230/(6356*0.7*0.9*1.1*25.4)&lt;=3,3,IF(AK230*AM230/(6356*0.7*0.9*1.1*25.4)&lt;=5,5,IF(AK230*AM230/(6356*0.7*0.9*1.1*25.4)&lt;=7.5,7.5,IF(AK230*AM230/(6356*0.7*0.9*1.1*25.4)&lt;=10,10,IF(AK230*AM230/(6356*0.7*0.9*1.1*25.4)&lt;=12.5,12.5,IF(AK230*AM230/(6356*0.7*0.9*1.1*25.4)&lt;=15,15,IF(AK230*AM230/(6356*0.7*0.9*1.1*25.4)&lt;=20,20,IF(AK230*AM230/(6356*0.7*0.9*1.1*25.4)&lt;=25,25,IF(AK230*AM230/(6356*0.7*0.9*1.1*25.4)&lt;=30,30,IF(AK230*AM230/(6356*0.7*0.9*1.1*25.4)&lt;=40,40,IF(AK230*AM230/(6356*0.7*0.9*1.1*25.4)&lt;=50,50,IF(AK230*AM230/(6356*0.7*0.9*1.1*25.4)&lt;=60,60,IF(AK230*AM230/(6356*0.7*0.9*1.1*25.4)&lt;=75,75,"Refer"))))))))))))))))</f>
        <v>#DIV/0!</v>
      </c>
      <c r="AP230" s="891" t="e">
        <f>IF(AND(AQ230=0, N230="Amb"), "Amb",IF((AL231-250)*(AL233-150)*10.76/(1000*1000) &gt;= MAX(AI246,AJ246), 4,IF((AL231-250)*(AL233-150)*10.76*1.5/(1000*1000) &gt;= MAX(AI246,AJ246), 6,IF((AL231-250)*(AL233-150)*10.76*2/(1000*1000) &gt;= MAX(AI246,AJ246), 8, 0))
 )
)</f>
        <v>#DIV/0!</v>
      </c>
      <c r="AQ230" s="891" t="e">
        <f>AG246</f>
        <v>#DIV/0!</v>
      </c>
      <c r="AR230" s="889">
        <f>_xlfn.SWITCH(TRIM(UPPER(R230)),"ISO 9", 3,"ISO 8", 4,"Grade D", 4,"Class 100,000", 4,"Class 100K", 4,"ISO 7", 3,"Grade C", 3,"Class 10,000", 3,"Class 10K", 3,"ISO 6", 3,"Class 1,000", 3,"Class 1K", 3,"ISO 5", 4,"Grade A", 4,"Grade B", 4,"Class 100", 4,"ISO 4", 3,"ISO 3", 4,"ISO 2", 4,"ISO 1", 4,"NCV20",1,"NCV-10",2,"NCV-5",3,"NCAC-10",1,"NCAC-5",2,"NCAC-1",3,3)</f>
        <v>3</v>
      </c>
      <c r="AS230" s="888" t="e">
        <f>MAX(AI246,AJ246)*24/6</f>
        <v>#DIV/0!</v>
      </c>
      <c r="AT230" s="888" t="e">
        <f>AS230*0.06309</f>
        <v>#DIV/0!</v>
      </c>
      <c r="AU230" s="890">
        <v>2</v>
      </c>
      <c r="AV230" s="888" t="e">
        <f>SQRT((4*AS230*0.00006309)/(3.14*AU230))*1000</f>
        <v>#DIV/0!</v>
      </c>
      <c r="AW230" s="888"/>
      <c r="AX230" s="888"/>
      <c r="AY230" s="887"/>
      <c r="AZ230" s="888"/>
    </row>
    <row r="231" spans="3:52" ht="18.600000000000001">
      <c r="C231" s="13">
        <f>IF(D231&lt;&gt;"",COUNTA($D$10:D231),"")</f>
        <v>189</v>
      </c>
      <c r="D231" s="14" t="s">
        <v>201</v>
      </c>
      <c r="E231" s="14">
        <v>1.8</v>
      </c>
      <c r="F231" s="14">
        <v>2.2000000000000002</v>
      </c>
      <c r="G231" s="14">
        <v>2.4</v>
      </c>
      <c r="H231" s="14">
        <v>2</v>
      </c>
      <c r="I231" s="14">
        <v>1</v>
      </c>
      <c r="J231" s="14">
        <v>1.75</v>
      </c>
      <c r="K231" s="14">
        <v>3</v>
      </c>
      <c r="L231" s="15">
        <v>0.1</v>
      </c>
      <c r="M231" s="15">
        <v>0</v>
      </c>
      <c r="N231" s="14">
        <v>24</v>
      </c>
      <c r="O231" s="14">
        <v>50</v>
      </c>
      <c r="P231" s="13">
        <v>45</v>
      </c>
      <c r="Q231" s="13">
        <v>85</v>
      </c>
      <c r="R231" s="13" t="s">
        <v>17</v>
      </c>
      <c r="S231" s="13">
        <v>120</v>
      </c>
      <c r="T231" s="13">
        <v>0</v>
      </c>
      <c r="U231" s="13">
        <v>100</v>
      </c>
      <c r="V231" s="13" t="str">
        <f t="shared" ref="V231:W245" si="161">R231</f>
        <v>ISO 6</v>
      </c>
      <c r="W231" s="13">
        <f t="shared" si="161"/>
        <v>120</v>
      </c>
      <c r="X231" s="16">
        <f t="shared" ref="X231:X245" si="162">E231*F231*10.76</f>
        <v>42.6096</v>
      </c>
      <c r="Y231" s="16">
        <f t="shared" ref="Y231:Y245" si="163">X231*G231*3.28</f>
        <v>335.4227712</v>
      </c>
      <c r="Z231" s="16">
        <f t="shared" ref="Z231:Z245" si="164">Y231*S231/60</f>
        <v>670.8455424</v>
      </c>
      <c r="AA231" s="16">
        <f t="shared" ref="AA231:AA245" si="165">Z231*L231</f>
        <v>67.084554240000003</v>
      </c>
      <c r="AB231" s="16">
        <f t="shared" ref="AB231:AB245" si="166">IF(N231="Amb",Z231,Z231*M231)</f>
        <v>0</v>
      </c>
      <c r="AC231" s="16">
        <f t="shared" ref="AC231:AC245" si="167">IF(ISNUMBER(N231), (AA231*0.075*60/2.20462)*BP231/7000, "Ambient")</f>
        <v>0</v>
      </c>
      <c r="AD231" s="16" t="e">
        <f t="shared" ref="AD231:AD237" si="168">IF(ISNUMBER(N231), CEILING(CF231/(0.68*BP231),25), "Ambient")</f>
        <v>#DIV/0!</v>
      </c>
      <c r="AE231" s="16" t="e">
        <f t="shared" ref="AE231:AE245" si="169">CEILING(MAX((Z231+AA231),AD231),25)</f>
        <v>#DIV/0!</v>
      </c>
      <c r="AF231" s="16" t="e">
        <f t="shared" ref="AF231:AF245" si="170">CEILING(IF(OR($R231="ISO 6",$R231="GRADE B",$R231="1K",$R231=1000),AE231*1/175,IF(OR($R231="ISO 5",$R231="GRADE A",$R231=100),AE231*1/100,IF(OR($R231="ISO 7",$R231="GRADE C",$R231="10K",$R231=10000),$AE231*1/250,IF(OR($R231="ISO 8",$R231="GRADE D",$R231="100K",$R231=100000),$AE231*1/250,IF(OR($R231="NC",$R231="20 Micron",$R231="5 Micron",$R231="N C"),$AE231*1/350,0))))),2)</f>
        <v>#DIV/0!</v>
      </c>
      <c r="AG231" s="16" t="e">
        <f t="shared" ref="AG231:AG245" si="171">IF(ISNUMBER(N231), CEILING(MAX(AI231,AJ231),0.5), "Ambient")</f>
        <v>#DIV/0!</v>
      </c>
      <c r="AH231" s="838" t="s">
        <v>85</v>
      </c>
      <c r="AI231" s="17">
        <f t="shared" ref="AI231:AI245" si="172">IF(ISNUMBER(N231), CEILING(CE231/12000,0.5), "Ambient")</f>
        <v>0</v>
      </c>
      <c r="AJ231" s="17" t="e">
        <f t="shared" ref="AJ231:AJ245" si="173">IF(ISNUMBER(N231),CEILING(AE231/(IF(AH231="C",400,300)),0.5), "Ambient")</f>
        <v>#DIV/0!</v>
      </c>
      <c r="AK231" s="891"/>
      <c r="AL231" s="18" t="e">
        <f>IF(AK230&lt;=2000,950,(IF(AK230&lt;=3000,1150,(IF(AK230&lt;=8000,1550,(IF(AK230&lt;=10000,1750,(IF(AK230&lt;=18000,2050,(IF(AK230&lt;=32000,2900,(IF(AK230&lt;=40000,3600,4000)))))))))))))</f>
        <v>#DIV/0!</v>
      </c>
      <c r="AM231" s="889"/>
      <c r="AN231" s="891"/>
      <c r="AO231" s="888"/>
      <c r="AP231" s="891"/>
      <c r="AQ231" s="891"/>
      <c r="AR231" s="889"/>
      <c r="AS231" s="888"/>
      <c r="AT231" s="888"/>
      <c r="AU231" s="890"/>
      <c r="AV231" s="888"/>
      <c r="AW231" s="888"/>
      <c r="AX231" s="888"/>
      <c r="AY231" s="887"/>
      <c r="AZ231" s="888"/>
    </row>
    <row r="232" spans="3:52" ht="18.600000000000001">
      <c r="C232" s="13">
        <f>IF(D232&lt;&gt;"",COUNTA($D$10:D232),"")</f>
        <v>190</v>
      </c>
      <c r="D232" s="14" t="s">
        <v>202</v>
      </c>
      <c r="E232" s="14">
        <v>1.5</v>
      </c>
      <c r="F232" s="14">
        <v>2.8</v>
      </c>
      <c r="G232" s="14">
        <v>2.4</v>
      </c>
      <c r="H232" s="14">
        <v>2</v>
      </c>
      <c r="I232" s="14">
        <v>3</v>
      </c>
      <c r="J232" s="14">
        <v>1.75</v>
      </c>
      <c r="K232" s="14">
        <v>3</v>
      </c>
      <c r="L232" s="15">
        <v>0.1</v>
      </c>
      <c r="M232" s="15">
        <v>0</v>
      </c>
      <c r="N232" s="14">
        <v>24</v>
      </c>
      <c r="O232" s="14">
        <v>50</v>
      </c>
      <c r="P232" s="13">
        <v>45</v>
      </c>
      <c r="Q232" s="13">
        <v>85</v>
      </c>
      <c r="R232" s="13" t="s">
        <v>17</v>
      </c>
      <c r="S232" s="13">
        <v>120</v>
      </c>
      <c r="T232" s="13">
        <v>0</v>
      </c>
      <c r="U232" s="13">
        <v>100</v>
      </c>
      <c r="V232" s="13" t="str">
        <f t="shared" si="161"/>
        <v>ISO 6</v>
      </c>
      <c r="W232" s="13">
        <f t="shared" si="161"/>
        <v>120</v>
      </c>
      <c r="X232" s="16">
        <f t="shared" si="162"/>
        <v>45.191999999999993</v>
      </c>
      <c r="Y232" s="16">
        <f t="shared" si="163"/>
        <v>355.75142399999993</v>
      </c>
      <c r="Z232" s="16">
        <f t="shared" si="164"/>
        <v>711.50284799999986</v>
      </c>
      <c r="AA232" s="16">
        <f t="shared" si="165"/>
        <v>71.150284799999994</v>
      </c>
      <c r="AB232" s="16">
        <f t="shared" si="166"/>
        <v>0</v>
      </c>
      <c r="AC232" s="16">
        <f t="shared" si="167"/>
        <v>0</v>
      </c>
      <c r="AD232" s="16" t="e">
        <f t="shared" si="168"/>
        <v>#DIV/0!</v>
      </c>
      <c r="AE232" s="16" t="e">
        <f t="shared" si="169"/>
        <v>#DIV/0!</v>
      </c>
      <c r="AF232" s="16" t="e">
        <f t="shared" si="170"/>
        <v>#DIV/0!</v>
      </c>
      <c r="AG232" s="16" t="e">
        <f t="shared" si="171"/>
        <v>#DIV/0!</v>
      </c>
      <c r="AH232" s="838" t="s">
        <v>85</v>
      </c>
      <c r="AI232" s="17">
        <f t="shared" si="172"/>
        <v>0</v>
      </c>
      <c r="AJ232" s="17" t="e">
        <f t="shared" si="173"/>
        <v>#DIV/0!</v>
      </c>
      <c r="AK232" s="891"/>
      <c r="AL232" s="18" t="s">
        <v>255</v>
      </c>
      <c r="AM232" s="889"/>
      <c r="AN232" s="891"/>
      <c r="AO232" s="888"/>
      <c r="AP232" s="891"/>
      <c r="AQ232" s="891"/>
      <c r="AR232" s="889"/>
      <c r="AS232" s="888"/>
      <c r="AT232" s="888"/>
      <c r="AU232" s="890"/>
      <c r="AV232" s="888"/>
      <c r="AW232" s="888"/>
      <c r="AX232" s="888"/>
      <c r="AY232" s="887"/>
      <c r="AZ232" s="888"/>
    </row>
    <row r="233" spans="3:52" ht="18.600000000000001">
      <c r="C233" s="13">
        <f>IF(D233&lt;&gt;"",COUNTA($D$10:D233),"")</f>
        <v>191</v>
      </c>
      <c r="D233" s="14" t="s">
        <v>203</v>
      </c>
      <c r="E233" s="14">
        <v>2.1</v>
      </c>
      <c r="F233" s="14">
        <v>3.5</v>
      </c>
      <c r="G233" s="14">
        <v>2.4</v>
      </c>
      <c r="H233" s="14">
        <v>0</v>
      </c>
      <c r="I233" s="14">
        <v>1</v>
      </c>
      <c r="J233" s="14">
        <v>1.75</v>
      </c>
      <c r="K233" s="14">
        <v>3</v>
      </c>
      <c r="L233" s="15">
        <v>0.1</v>
      </c>
      <c r="M233" s="15">
        <v>0</v>
      </c>
      <c r="N233" s="14">
        <v>24</v>
      </c>
      <c r="O233" s="14">
        <v>50</v>
      </c>
      <c r="P233" s="13">
        <v>45</v>
      </c>
      <c r="Q233" s="13">
        <v>85</v>
      </c>
      <c r="R233" s="13" t="s">
        <v>17</v>
      </c>
      <c r="S233" s="13">
        <v>120</v>
      </c>
      <c r="T233" s="13">
        <v>0</v>
      </c>
      <c r="U233" s="13">
        <v>100</v>
      </c>
      <c r="V233" s="13" t="str">
        <f t="shared" si="161"/>
        <v>ISO 6</v>
      </c>
      <c r="W233" s="13">
        <f t="shared" si="161"/>
        <v>120</v>
      </c>
      <c r="X233" s="16">
        <f t="shared" si="162"/>
        <v>79.085999999999999</v>
      </c>
      <c r="Y233" s="16">
        <f t="shared" si="163"/>
        <v>622.56499199999996</v>
      </c>
      <c r="Z233" s="16">
        <f t="shared" si="164"/>
        <v>1245.1299839999999</v>
      </c>
      <c r="AA233" s="16">
        <f t="shared" si="165"/>
        <v>124.5129984</v>
      </c>
      <c r="AB233" s="16">
        <f t="shared" si="166"/>
        <v>0</v>
      </c>
      <c r="AC233" s="16">
        <f t="shared" si="167"/>
        <v>0</v>
      </c>
      <c r="AD233" s="16" t="e">
        <f t="shared" si="168"/>
        <v>#DIV/0!</v>
      </c>
      <c r="AE233" s="16" t="e">
        <f t="shared" si="169"/>
        <v>#DIV/0!</v>
      </c>
      <c r="AF233" s="16" t="e">
        <f t="shared" si="170"/>
        <v>#DIV/0!</v>
      </c>
      <c r="AG233" s="16" t="e">
        <f t="shared" si="171"/>
        <v>#DIV/0!</v>
      </c>
      <c r="AH233" s="838" t="s">
        <v>85</v>
      </c>
      <c r="AI233" s="17">
        <f t="shared" si="172"/>
        <v>0</v>
      </c>
      <c r="AJ233" s="17" t="e">
        <f t="shared" si="173"/>
        <v>#DIV/0!</v>
      </c>
      <c r="AK233" s="891"/>
      <c r="AL233" s="18" t="e">
        <f>IF(AK230&lt;=2000,950,(IF(AK230&lt;=4000,1100,(IF(AK230&lt;=6000,1250,(IF(AK230&lt;=10000,1550,(IF(AK230&lt;=15000,1750,(IF(AK230&lt;=24000,2050,(IF(AK230&lt;=40000,2900,3600)))))))))))))</f>
        <v>#DIV/0!</v>
      </c>
      <c r="AM233" s="889"/>
      <c r="AN233" s="891"/>
      <c r="AO233" s="888"/>
      <c r="AP233" s="891"/>
      <c r="AQ233" s="891"/>
      <c r="AR233" s="889"/>
      <c r="AS233" s="888"/>
      <c r="AT233" s="888"/>
      <c r="AU233" s="890"/>
      <c r="AV233" s="888"/>
      <c r="AW233" s="888"/>
      <c r="AX233" s="888"/>
      <c r="AY233" s="887"/>
      <c r="AZ233" s="888"/>
    </row>
    <row r="234" spans="3:52" ht="18.600000000000001">
      <c r="C234" s="13">
        <f>IF(D234&lt;&gt;"",COUNTA($D$10:D234),"")</f>
        <v>192</v>
      </c>
      <c r="D234" s="14" t="s">
        <v>204</v>
      </c>
      <c r="E234" s="14">
        <v>2.7</v>
      </c>
      <c r="F234" s="14">
        <v>4</v>
      </c>
      <c r="G234" s="14">
        <v>2.4</v>
      </c>
      <c r="H234" s="14">
        <v>2</v>
      </c>
      <c r="I234" s="14">
        <v>1</v>
      </c>
      <c r="J234" s="14">
        <v>1.75</v>
      </c>
      <c r="K234" s="14">
        <v>3</v>
      </c>
      <c r="L234" s="15">
        <v>0.1</v>
      </c>
      <c r="M234" s="15">
        <v>0</v>
      </c>
      <c r="N234" s="14">
        <v>24</v>
      </c>
      <c r="O234" s="14">
        <v>50</v>
      </c>
      <c r="P234" s="13">
        <v>45</v>
      </c>
      <c r="Q234" s="13">
        <v>85</v>
      </c>
      <c r="R234" s="13" t="s">
        <v>17</v>
      </c>
      <c r="S234" s="13">
        <v>120</v>
      </c>
      <c r="T234" s="13">
        <v>0</v>
      </c>
      <c r="U234" s="13">
        <v>100</v>
      </c>
      <c r="V234" s="13" t="str">
        <f t="shared" si="161"/>
        <v>ISO 6</v>
      </c>
      <c r="W234" s="13">
        <f t="shared" si="161"/>
        <v>120</v>
      </c>
      <c r="X234" s="16">
        <f t="shared" si="162"/>
        <v>116.208</v>
      </c>
      <c r="Y234" s="16">
        <f t="shared" si="163"/>
        <v>914.78937599999995</v>
      </c>
      <c r="Z234" s="16">
        <f t="shared" si="164"/>
        <v>1829.5787519999999</v>
      </c>
      <c r="AA234" s="16">
        <f t="shared" si="165"/>
        <v>182.95787519999999</v>
      </c>
      <c r="AB234" s="16">
        <f t="shared" si="166"/>
        <v>0</v>
      </c>
      <c r="AC234" s="16">
        <f t="shared" si="167"/>
        <v>0</v>
      </c>
      <c r="AD234" s="16" t="e">
        <f t="shared" si="168"/>
        <v>#DIV/0!</v>
      </c>
      <c r="AE234" s="16" t="e">
        <f t="shared" si="169"/>
        <v>#DIV/0!</v>
      </c>
      <c r="AF234" s="16" t="e">
        <f t="shared" si="170"/>
        <v>#DIV/0!</v>
      </c>
      <c r="AG234" s="16" t="e">
        <f t="shared" si="171"/>
        <v>#DIV/0!</v>
      </c>
      <c r="AH234" s="838" t="s">
        <v>85</v>
      </c>
      <c r="AI234" s="17">
        <f t="shared" si="172"/>
        <v>0</v>
      </c>
      <c r="AJ234" s="17" t="e">
        <f t="shared" si="173"/>
        <v>#DIV/0!</v>
      </c>
      <c r="AK234" s="891"/>
      <c r="AL234" s="18" t="s">
        <v>256</v>
      </c>
      <c r="AM234" s="889"/>
      <c r="AN234" s="891"/>
      <c r="AO234" s="888"/>
      <c r="AP234" s="891"/>
      <c r="AQ234" s="891"/>
      <c r="AR234" s="889"/>
      <c r="AS234" s="888"/>
      <c r="AT234" s="888"/>
      <c r="AU234" s="890"/>
      <c r="AV234" s="888"/>
      <c r="AW234" s="888"/>
      <c r="AX234" s="888"/>
      <c r="AY234" s="887"/>
      <c r="AZ234" s="888"/>
    </row>
    <row r="235" spans="3:52" ht="18.600000000000001">
      <c r="C235" s="13">
        <f>IF(D235&lt;&gt;"",COUNTA($D$10:D235),"")</f>
        <v>193</v>
      </c>
      <c r="D235" s="14" t="s">
        <v>205</v>
      </c>
      <c r="E235" s="14">
        <v>3.8</v>
      </c>
      <c r="F235" s="14">
        <v>4.2</v>
      </c>
      <c r="G235" s="14">
        <v>2.4</v>
      </c>
      <c r="H235" s="14">
        <v>3</v>
      </c>
      <c r="I235" s="14">
        <v>3</v>
      </c>
      <c r="J235" s="14">
        <v>1.75</v>
      </c>
      <c r="K235" s="14">
        <v>3</v>
      </c>
      <c r="L235" s="15">
        <v>0.1</v>
      </c>
      <c r="M235" s="15">
        <v>0</v>
      </c>
      <c r="N235" s="14">
        <v>24</v>
      </c>
      <c r="O235" s="14">
        <v>50</v>
      </c>
      <c r="P235" s="13">
        <v>45</v>
      </c>
      <c r="Q235" s="13">
        <v>85</v>
      </c>
      <c r="R235" s="13" t="s">
        <v>17</v>
      </c>
      <c r="S235" s="13">
        <v>120</v>
      </c>
      <c r="T235" s="13">
        <v>0</v>
      </c>
      <c r="U235" s="13">
        <v>100</v>
      </c>
      <c r="V235" s="13" t="str">
        <f t="shared" si="161"/>
        <v>ISO 6</v>
      </c>
      <c r="W235" s="13">
        <f t="shared" si="161"/>
        <v>120</v>
      </c>
      <c r="X235" s="16">
        <f t="shared" si="162"/>
        <v>171.72959999999998</v>
      </c>
      <c r="Y235" s="16">
        <f t="shared" si="163"/>
        <v>1351.8554111999997</v>
      </c>
      <c r="Z235" s="16">
        <f t="shared" si="164"/>
        <v>2703.7108223999994</v>
      </c>
      <c r="AA235" s="16">
        <f t="shared" si="165"/>
        <v>270.37108223999996</v>
      </c>
      <c r="AB235" s="16">
        <f t="shared" si="166"/>
        <v>0</v>
      </c>
      <c r="AC235" s="16">
        <f t="shared" si="167"/>
        <v>0</v>
      </c>
      <c r="AD235" s="16" t="e">
        <f t="shared" si="168"/>
        <v>#DIV/0!</v>
      </c>
      <c r="AE235" s="16" t="e">
        <f t="shared" si="169"/>
        <v>#DIV/0!</v>
      </c>
      <c r="AF235" s="16" t="e">
        <f t="shared" si="170"/>
        <v>#DIV/0!</v>
      </c>
      <c r="AG235" s="16" t="e">
        <f t="shared" si="171"/>
        <v>#DIV/0!</v>
      </c>
      <c r="AH235" s="838" t="s">
        <v>85</v>
      </c>
      <c r="AI235" s="17">
        <f t="shared" si="172"/>
        <v>0</v>
      </c>
      <c r="AJ235" s="17" t="e">
        <f t="shared" si="173"/>
        <v>#DIV/0!</v>
      </c>
      <c r="AK235" s="891"/>
      <c r="AL235" s="18" t="e">
        <f>IF(AL239&lt;4000,AL239,AL239+400)</f>
        <v>#DIV/0!</v>
      </c>
      <c r="AM235" s="889"/>
      <c r="AN235" s="891"/>
      <c r="AO235" s="888"/>
      <c r="AP235" s="891"/>
      <c r="AQ235" s="891"/>
      <c r="AR235" s="889"/>
      <c r="AS235" s="888"/>
      <c r="AT235" s="888"/>
      <c r="AU235" s="890"/>
      <c r="AV235" s="888"/>
      <c r="AW235" s="888"/>
      <c r="AX235" s="888"/>
      <c r="AY235" s="887"/>
      <c r="AZ235" s="888"/>
    </row>
    <row r="236" spans="3:52" ht="18.600000000000001">
      <c r="C236" s="13">
        <f>IF(D236&lt;&gt;"",COUNTA($D$10:D236),"")</f>
        <v>194</v>
      </c>
      <c r="D236" s="14" t="s">
        <v>206</v>
      </c>
      <c r="E236" s="14">
        <v>3.1</v>
      </c>
      <c r="F236" s="14">
        <v>2.6</v>
      </c>
      <c r="G236" s="14">
        <v>2.4</v>
      </c>
      <c r="H236" s="14">
        <v>2</v>
      </c>
      <c r="I236" s="14">
        <v>1</v>
      </c>
      <c r="J236" s="14">
        <v>1.75</v>
      </c>
      <c r="K236" s="14">
        <v>3</v>
      </c>
      <c r="L236" s="15">
        <v>0.1</v>
      </c>
      <c r="M236" s="15">
        <v>0</v>
      </c>
      <c r="N236" s="14">
        <v>24</v>
      </c>
      <c r="O236" s="14">
        <v>50</v>
      </c>
      <c r="P236" s="13">
        <v>45</v>
      </c>
      <c r="Q236" s="13">
        <v>85</v>
      </c>
      <c r="R236" s="13" t="s">
        <v>17</v>
      </c>
      <c r="S236" s="13">
        <v>120</v>
      </c>
      <c r="T236" s="13">
        <v>0</v>
      </c>
      <c r="U236" s="13">
        <v>100</v>
      </c>
      <c r="V236" s="13" t="str">
        <f t="shared" si="161"/>
        <v>ISO 6</v>
      </c>
      <c r="W236" s="13">
        <f t="shared" si="161"/>
        <v>120</v>
      </c>
      <c r="X236" s="16">
        <f t="shared" si="162"/>
        <v>86.7256</v>
      </c>
      <c r="Y236" s="16">
        <f t="shared" si="163"/>
        <v>682.70392319999996</v>
      </c>
      <c r="Z236" s="16">
        <f t="shared" si="164"/>
        <v>1365.4078463999999</v>
      </c>
      <c r="AA236" s="16">
        <f t="shared" si="165"/>
        <v>136.54078464</v>
      </c>
      <c r="AB236" s="16">
        <f t="shared" si="166"/>
        <v>0</v>
      </c>
      <c r="AC236" s="16">
        <f t="shared" si="167"/>
        <v>0</v>
      </c>
      <c r="AD236" s="16" t="e">
        <f t="shared" si="168"/>
        <v>#DIV/0!</v>
      </c>
      <c r="AE236" s="16" t="e">
        <f t="shared" si="169"/>
        <v>#DIV/0!</v>
      </c>
      <c r="AF236" s="16" t="e">
        <f t="shared" si="170"/>
        <v>#DIV/0!</v>
      </c>
      <c r="AG236" s="16" t="e">
        <f t="shared" si="171"/>
        <v>#DIV/0!</v>
      </c>
      <c r="AH236" s="838" t="s">
        <v>85</v>
      </c>
      <c r="AI236" s="17">
        <f t="shared" si="172"/>
        <v>0</v>
      </c>
      <c r="AJ236" s="17" t="e">
        <f t="shared" si="173"/>
        <v>#DIV/0!</v>
      </c>
      <c r="AK236" s="891"/>
      <c r="AL236" s="18"/>
      <c r="AM236" s="889"/>
      <c r="AN236" s="891"/>
      <c r="AO236" s="888"/>
      <c r="AP236" s="891"/>
      <c r="AQ236" s="891"/>
      <c r="AR236" s="889"/>
      <c r="AS236" s="888"/>
      <c r="AT236" s="888"/>
      <c r="AU236" s="890"/>
      <c r="AV236" s="888"/>
      <c r="AW236" s="888"/>
      <c r="AX236" s="888"/>
      <c r="AY236" s="887"/>
      <c r="AZ236" s="888"/>
    </row>
    <row r="237" spans="3:52" ht="18.600000000000001">
      <c r="C237" s="13">
        <f>IF(D237&lt;&gt;"",COUNTA($D$10:D237),"")</f>
        <v>195</v>
      </c>
      <c r="D237" s="14" t="s">
        <v>207</v>
      </c>
      <c r="E237" s="14">
        <v>1.9</v>
      </c>
      <c r="F237" s="14">
        <v>2.4</v>
      </c>
      <c r="G237" s="14">
        <v>2.4</v>
      </c>
      <c r="H237" s="14">
        <v>3</v>
      </c>
      <c r="I237" s="14">
        <v>2</v>
      </c>
      <c r="J237" s="14">
        <v>1.75</v>
      </c>
      <c r="K237" s="14">
        <v>3</v>
      </c>
      <c r="L237" s="15">
        <v>0.1</v>
      </c>
      <c r="M237" s="15">
        <v>0</v>
      </c>
      <c r="N237" s="14">
        <v>24</v>
      </c>
      <c r="O237" s="14">
        <v>50</v>
      </c>
      <c r="P237" s="13">
        <v>45</v>
      </c>
      <c r="Q237" s="13">
        <v>85</v>
      </c>
      <c r="R237" s="13" t="s">
        <v>17</v>
      </c>
      <c r="S237" s="13">
        <v>120</v>
      </c>
      <c r="T237" s="13">
        <v>0</v>
      </c>
      <c r="U237" s="13">
        <v>100</v>
      </c>
      <c r="V237" s="13" t="str">
        <f t="shared" si="161"/>
        <v>ISO 6</v>
      </c>
      <c r="W237" s="13">
        <f t="shared" si="161"/>
        <v>120</v>
      </c>
      <c r="X237" s="16">
        <f t="shared" si="162"/>
        <v>49.065599999999996</v>
      </c>
      <c r="Y237" s="16">
        <f t="shared" si="163"/>
        <v>386.24440319999997</v>
      </c>
      <c r="Z237" s="16">
        <f t="shared" si="164"/>
        <v>772.48880639999993</v>
      </c>
      <c r="AA237" s="16">
        <f t="shared" si="165"/>
        <v>77.248880639999996</v>
      </c>
      <c r="AB237" s="16">
        <f t="shared" si="166"/>
        <v>0</v>
      </c>
      <c r="AC237" s="16">
        <f t="shared" si="167"/>
        <v>0</v>
      </c>
      <c r="AD237" s="16" t="e">
        <f t="shared" si="168"/>
        <v>#DIV/0!</v>
      </c>
      <c r="AE237" s="16" t="e">
        <f t="shared" si="169"/>
        <v>#DIV/0!</v>
      </c>
      <c r="AF237" s="16" t="e">
        <f t="shared" si="170"/>
        <v>#DIV/0!</v>
      </c>
      <c r="AG237" s="16" t="e">
        <f t="shared" si="171"/>
        <v>#DIV/0!</v>
      </c>
      <c r="AH237" s="838" t="s">
        <v>85</v>
      </c>
      <c r="AI237" s="17">
        <f t="shared" si="172"/>
        <v>0</v>
      </c>
      <c r="AJ237" s="17" t="e">
        <f t="shared" si="173"/>
        <v>#DIV/0!</v>
      </c>
      <c r="AK237" s="891"/>
      <c r="AL237" s="18"/>
      <c r="AM237" s="889"/>
      <c r="AN237" s="891"/>
      <c r="AO237" s="888"/>
      <c r="AP237" s="891"/>
      <c r="AQ237" s="891"/>
      <c r="AR237" s="889"/>
      <c r="AS237" s="888"/>
      <c r="AT237" s="888"/>
      <c r="AU237" s="890"/>
      <c r="AV237" s="888"/>
      <c r="AW237" s="888"/>
      <c r="AX237" s="888"/>
      <c r="AY237" s="887"/>
      <c r="AZ237" s="888"/>
    </row>
    <row r="238" spans="3:52" ht="18.600000000000001">
      <c r="C238" s="13">
        <f>IF(D238&lt;&gt;"",COUNTA($D$10:D238),"")</f>
        <v>196</v>
      </c>
      <c r="D238" s="14" t="s">
        <v>208</v>
      </c>
      <c r="E238" s="14">
        <v>3</v>
      </c>
      <c r="F238" s="14">
        <v>2.9</v>
      </c>
      <c r="G238" s="14">
        <v>2.4</v>
      </c>
      <c r="H238" s="14">
        <v>2</v>
      </c>
      <c r="I238" s="14">
        <v>1</v>
      </c>
      <c r="J238" s="14">
        <v>1.75</v>
      </c>
      <c r="K238" s="14">
        <v>3</v>
      </c>
      <c r="L238" s="15">
        <v>0.1</v>
      </c>
      <c r="M238" s="15">
        <v>0</v>
      </c>
      <c r="N238" s="14">
        <v>24</v>
      </c>
      <c r="O238" s="14">
        <v>50</v>
      </c>
      <c r="P238" s="13">
        <v>45</v>
      </c>
      <c r="Q238" s="13">
        <v>85</v>
      </c>
      <c r="R238" s="13" t="s">
        <v>17</v>
      </c>
      <c r="S238" s="13">
        <v>120</v>
      </c>
      <c r="T238" s="13">
        <v>0</v>
      </c>
      <c r="U238" s="13">
        <v>100</v>
      </c>
      <c r="V238" s="13" t="str">
        <f t="shared" si="161"/>
        <v>ISO 6</v>
      </c>
      <c r="W238" s="13">
        <f t="shared" si="161"/>
        <v>120</v>
      </c>
      <c r="X238" s="16">
        <f t="shared" si="162"/>
        <v>93.611999999999995</v>
      </c>
      <c r="Y238" s="16">
        <f t="shared" si="163"/>
        <v>736.91366399999993</v>
      </c>
      <c r="Z238" s="16">
        <f t="shared" si="164"/>
        <v>1473.8273279999999</v>
      </c>
      <c r="AA238" s="16">
        <f t="shared" si="165"/>
        <v>147.38273279999999</v>
      </c>
      <c r="AB238" s="16">
        <f t="shared" si="166"/>
        <v>0</v>
      </c>
      <c r="AC238" s="16">
        <f t="shared" si="167"/>
        <v>0</v>
      </c>
      <c r="AD238" s="16" t="e">
        <f>IF(ISNUMBER(N238), CEILING(CF238/(0.68*BP238),25), "Ambient")</f>
        <v>#DIV/0!</v>
      </c>
      <c r="AE238" s="16" t="e">
        <f t="shared" si="169"/>
        <v>#DIV/0!</v>
      </c>
      <c r="AF238" s="16" t="e">
        <f t="shared" si="170"/>
        <v>#DIV/0!</v>
      </c>
      <c r="AG238" s="16" t="e">
        <f t="shared" si="171"/>
        <v>#DIV/0!</v>
      </c>
      <c r="AH238" s="838" t="s">
        <v>85</v>
      </c>
      <c r="AI238" s="17">
        <f t="shared" si="172"/>
        <v>0</v>
      </c>
      <c r="AJ238" s="17" t="e">
        <f t="shared" si="173"/>
        <v>#DIV/0!</v>
      </c>
      <c r="AK238" s="891"/>
      <c r="AL238" s="18"/>
      <c r="AM238" s="889"/>
      <c r="AN238" s="891"/>
      <c r="AO238" s="888"/>
      <c r="AP238" s="891"/>
      <c r="AQ238" s="891"/>
      <c r="AR238" s="889"/>
      <c r="AS238" s="888"/>
      <c r="AT238" s="888"/>
      <c r="AU238" s="890"/>
      <c r="AV238" s="888"/>
      <c r="AW238" s="888"/>
      <c r="AX238" s="888"/>
      <c r="AY238" s="887"/>
      <c r="AZ238" s="888"/>
    </row>
    <row r="239" spans="3:52" ht="18.600000000000001">
      <c r="C239" s="13">
        <f>IF(D239&lt;&gt;"",COUNTA($D$10:D239),"")</f>
        <v>197</v>
      </c>
      <c r="D239" s="14" t="s">
        <v>209</v>
      </c>
      <c r="E239" s="14">
        <v>2.4</v>
      </c>
      <c r="F239" s="14">
        <v>2</v>
      </c>
      <c r="G239" s="14">
        <v>2.4</v>
      </c>
      <c r="H239" s="14">
        <v>2</v>
      </c>
      <c r="I239" s="14">
        <v>1</v>
      </c>
      <c r="J239" s="14">
        <v>1.75</v>
      </c>
      <c r="K239" s="14">
        <v>3</v>
      </c>
      <c r="L239" s="15">
        <v>0.1</v>
      </c>
      <c r="M239" s="15">
        <v>0</v>
      </c>
      <c r="N239" s="14">
        <v>24</v>
      </c>
      <c r="O239" s="14">
        <v>50</v>
      </c>
      <c r="P239" s="13">
        <v>45</v>
      </c>
      <c r="Q239" s="13">
        <v>85</v>
      </c>
      <c r="R239" s="13" t="s">
        <v>17</v>
      </c>
      <c r="S239" s="13">
        <v>120</v>
      </c>
      <c r="T239" s="13">
        <v>0</v>
      </c>
      <c r="U239" s="13">
        <v>100</v>
      </c>
      <c r="V239" s="13" t="str">
        <f t="shared" si="161"/>
        <v>ISO 6</v>
      </c>
      <c r="W239" s="13">
        <f t="shared" si="161"/>
        <v>120</v>
      </c>
      <c r="X239" s="16">
        <f t="shared" si="162"/>
        <v>51.647999999999996</v>
      </c>
      <c r="Y239" s="16">
        <f t="shared" si="163"/>
        <v>406.57305599999995</v>
      </c>
      <c r="Z239" s="16">
        <f t="shared" si="164"/>
        <v>813.1461119999999</v>
      </c>
      <c r="AA239" s="16">
        <f t="shared" si="165"/>
        <v>81.314611200000002</v>
      </c>
      <c r="AB239" s="16">
        <f t="shared" si="166"/>
        <v>0</v>
      </c>
      <c r="AC239" s="16">
        <f t="shared" si="167"/>
        <v>0</v>
      </c>
      <c r="AD239" s="16" t="e">
        <f t="shared" ref="AD239:AD245" si="174">IF(ISNUMBER(N239), CEILING(CF239/(0.68*BP239),25), "Ambient")</f>
        <v>#DIV/0!</v>
      </c>
      <c r="AE239" s="16" t="e">
        <f t="shared" si="169"/>
        <v>#DIV/0!</v>
      </c>
      <c r="AF239" s="16" t="e">
        <f t="shared" si="170"/>
        <v>#DIV/0!</v>
      </c>
      <c r="AG239" s="16" t="e">
        <f t="shared" si="171"/>
        <v>#DIV/0!</v>
      </c>
      <c r="AH239" s="838" t="s">
        <v>85</v>
      </c>
      <c r="AI239" s="17">
        <f t="shared" si="172"/>
        <v>0</v>
      </c>
      <c r="AJ239" s="17" t="e">
        <f t="shared" si="173"/>
        <v>#DIV/0!</v>
      </c>
      <c r="AK239" s="891"/>
      <c r="AL239" s="174" t="e">
        <f>IF(AN230&lt;=315,1600,(IF(AN230=355,1650,(IF(AN230=400,1650,(IF(AN230=450,1700,(IF(AN230=500,1700,(IF(AN230=560,1800,(IF(AN230=630,2000,(IF(AN230=710,2200,2500)))))))))))))))+IF(AR230=2,1800,(IF(AR230=3,2300,(IF(AR230=4,3300,0)))))+IF(AP230&lt;=4,600,(IF(AP230&lt;=6,800,(IF(AP230&lt;=8,1000,1200)))))</f>
        <v>#DIV/0!</v>
      </c>
      <c r="AM239" s="889"/>
      <c r="AN239" s="891"/>
      <c r="AO239" s="888"/>
      <c r="AP239" s="891"/>
      <c r="AQ239" s="891"/>
      <c r="AR239" s="889"/>
      <c r="AS239" s="888"/>
      <c r="AT239" s="888"/>
      <c r="AU239" s="890"/>
      <c r="AV239" s="888"/>
      <c r="AW239" s="888"/>
      <c r="AX239" s="888"/>
      <c r="AY239" s="887"/>
      <c r="AZ239" s="888"/>
    </row>
    <row r="240" spans="3:52" ht="18.600000000000001">
      <c r="C240" s="13">
        <f>IF(D240&lt;&gt;"",COUNTA($D$10:D240),"")</f>
        <v>198</v>
      </c>
      <c r="D240" s="14" t="s">
        <v>210</v>
      </c>
      <c r="E240" s="14">
        <v>2.1</v>
      </c>
      <c r="F240" s="14">
        <v>1.8</v>
      </c>
      <c r="G240" s="14">
        <v>2.4</v>
      </c>
      <c r="H240" s="14">
        <v>2</v>
      </c>
      <c r="I240" s="14">
        <v>1</v>
      </c>
      <c r="J240" s="14">
        <v>1.75</v>
      </c>
      <c r="K240" s="14">
        <v>3</v>
      </c>
      <c r="L240" s="15">
        <v>0.1</v>
      </c>
      <c r="M240" s="15">
        <v>0</v>
      </c>
      <c r="N240" s="14">
        <v>24</v>
      </c>
      <c r="O240" s="14">
        <v>50</v>
      </c>
      <c r="P240" s="13">
        <v>45</v>
      </c>
      <c r="Q240" s="13">
        <v>85</v>
      </c>
      <c r="R240" s="13" t="s">
        <v>17</v>
      </c>
      <c r="S240" s="13">
        <v>120</v>
      </c>
      <c r="T240" s="13">
        <v>0</v>
      </c>
      <c r="U240" s="13">
        <v>100</v>
      </c>
      <c r="V240" s="13" t="str">
        <f t="shared" si="161"/>
        <v>ISO 6</v>
      </c>
      <c r="W240" s="13">
        <f t="shared" si="161"/>
        <v>120</v>
      </c>
      <c r="X240" s="16">
        <f t="shared" si="162"/>
        <v>40.672800000000002</v>
      </c>
      <c r="Y240" s="16">
        <f t="shared" si="163"/>
        <v>320.17628159999998</v>
      </c>
      <c r="Z240" s="16">
        <f t="shared" si="164"/>
        <v>640.35256319999996</v>
      </c>
      <c r="AA240" s="16">
        <f t="shared" si="165"/>
        <v>64.035256320000002</v>
      </c>
      <c r="AB240" s="16">
        <f t="shared" si="166"/>
        <v>0</v>
      </c>
      <c r="AC240" s="16">
        <f t="shared" si="167"/>
        <v>0</v>
      </c>
      <c r="AD240" s="16" t="e">
        <f t="shared" si="174"/>
        <v>#DIV/0!</v>
      </c>
      <c r="AE240" s="16" t="e">
        <f t="shared" si="169"/>
        <v>#DIV/0!</v>
      </c>
      <c r="AF240" s="16" t="e">
        <f t="shared" si="170"/>
        <v>#DIV/0!</v>
      </c>
      <c r="AG240" s="16" t="e">
        <f t="shared" si="171"/>
        <v>#DIV/0!</v>
      </c>
      <c r="AH240" s="838" t="s">
        <v>85</v>
      </c>
      <c r="AI240" s="17">
        <f t="shared" si="172"/>
        <v>0</v>
      </c>
      <c r="AJ240" s="17" t="e">
        <f t="shared" si="173"/>
        <v>#DIV/0!</v>
      </c>
      <c r="AK240" s="891"/>
      <c r="AL240" s="18"/>
      <c r="AM240" s="889"/>
      <c r="AN240" s="891"/>
      <c r="AO240" s="888"/>
      <c r="AP240" s="891"/>
      <c r="AQ240" s="891"/>
      <c r="AR240" s="889"/>
      <c r="AS240" s="888"/>
      <c r="AT240" s="888"/>
      <c r="AU240" s="890"/>
      <c r="AV240" s="888"/>
      <c r="AW240" s="888"/>
      <c r="AX240" s="888"/>
      <c r="AY240" s="887"/>
      <c r="AZ240" s="888"/>
    </row>
    <row r="241" spans="3:52" ht="18.600000000000001">
      <c r="C241" s="13">
        <f>IF(D241&lt;&gt;"",COUNTA($D$10:D241),"")</f>
        <v>199</v>
      </c>
      <c r="D241" s="14" t="s">
        <v>211</v>
      </c>
      <c r="E241" s="14">
        <v>1.8</v>
      </c>
      <c r="F241" s="14">
        <v>1.9</v>
      </c>
      <c r="G241" s="14">
        <v>2.4</v>
      </c>
      <c r="H241" s="14">
        <v>2</v>
      </c>
      <c r="I241" s="14">
        <v>1</v>
      </c>
      <c r="J241" s="14">
        <v>1.75</v>
      </c>
      <c r="K241" s="14">
        <v>3</v>
      </c>
      <c r="L241" s="15">
        <v>0.1</v>
      </c>
      <c r="M241" s="15">
        <v>0</v>
      </c>
      <c r="N241" s="14">
        <v>24</v>
      </c>
      <c r="O241" s="14">
        <v>50</v>
      </c>
      <c r="P241" s="13">
        <v>45</v>
      </c>
      <c r="Q241" s="13">
        <v>85</v>
      </c>
      <c r="R241" s="13" t="s">
        <v>17</v>
      </c>
      <c r="S241" s="13">
        <v>120</v>
      </c>
      <c r="T241" s="13">
        <v>0</v>
      </c>
      <c r="U241" s="13">
        <v>100</v>
      </c>
      <c r="V241" s="13" t="str">
        <f t="shared" si="161"/>
        <v>ISO 6</v>
      </c>
      <c r="W241" s="13">
        <f t="shared" si="161"/>
        <v>120</v>
      </c>
      <c r="X241" s="16">
        <f t="shared" si="162"/>
        <v>36.799199999999999</v>
      </c>
      <c r="Y241" s="16">
        <f t="shared" si="163"/>
        <v>289.68330239999995</v>
      </c>
      <c r="Z241" s="16">
        <f t="shared" si="164"/>
        <v>579.36660479999989</v>
      </c>
      <c r="AA241" s="16">
        <f t="shared" si="165"/>
        <v>57.936660479999993</v>
      </c>
      <c r="AB241" s="16">
        <f t="shared" si="166"/>
        <v>0</v>
      </c>
      <c r="AC241" s="16">
        <f t="shared" si="167"/>
        <v>0</v>
      </c>
      <c r="AD241" s="16" t="e">
        <f t="shared" si="174"/>
        <v>#DIV/0!</v>
      </c>
      <c r="AE241" s="16" t="e">
        <f t="shared" si="169"/>
        <v>#DIV/0!</v>
      </c>
      <c r="AF241" s="16" t="e">
        <f t="shared" si="170"/>
        <v>#DIV/0!</v>
      </c>
      <c r="AG241" s="16" t="e">
        <f t="shared" si="171"/>
        <v>#DIV/0!</v>
      </c>
      <c r="AH241" s="838" t="s">
        <v>85</v>
      </c>
      <c r="AI241" s="17">
        <f t="shared" si="172"/>
        <v>0</v>
      </c>
      <c r="AJ241" s="17" t="e">
        <f t="shared" si="173"/>
        <v>#DIV/0!</v>
      </c>
      <c r="AK241" s="891"/>
      <c r="AL241" s="18"/>
      <c r="AM241" s="889"/>
      <c r="AN241" s="891"/>
      <c r="AO241" s="888"/>
      <c r="AP241" s="891"/>
      <c r="AQ241" s="891"/>
      <c r="AR241" s="889"/>
      <c r="AS241" s="888"/>
      <c r="AT241" s="888"/>
      <c r="AU241" s="890"/>
      <c r="AV241" s="888"/>
      <c r="AW241" s="888"/>
      <c r="AX241" s="888"/>
      <c r="AY241" s="887"/>
      <c r="AZ241" s="888"/>
    </row>
    <row r="242" spans="3:52" ht="18.600000000000001">
      <c r="C242" s="13">
        <f>IF(D242&lt;&gt;"",COUNTA($D$10:D242),"")</f>
        <v>200</v>
      </c>
      <c r="D242" s="14" t="s">
        <v>212</v>
      </c>
      <c r="E242" s="14">
        <v>1.9</v>
      </c>
      <c r="F242" s="14">
        <v>2</v>
      </c>
      <c r="G242" s="14">
        <v>2.4</v>
      </c>
      <c r="H242" s="14">
        <v>2</v>
      </c>
      <c r="I242" s="14">
        <v>1</v>
      </c>
      <c r="J242" s="14">
        <v>1.75</v>
      </c>
      <c r="K242" s="14">
        <v>3</v>
      </c>
      <c r="L242" s="15">
        <v>0.1</v>
      </c>
      <c r="M242" s="15">
        <v>0</v>
      </c>
      <c r="N242" s="14">
        <v>24</v>
      </c>
      <c r="O242" s="14">
        <v>50</v>
      </c>
      <c r="P242" s="13">
        <v>45</v>
      </c>
      <c r="Q242" s="13">
        <v>85</v>
      </c>
      <c r="R242" s="13" t="s">
        <v>17</v>
      </c>
      <c r="S242" s="13">
        <v>120</v>
      </c>
      <c r="T242" s="13">
        <v>0</v>
      </c>
      <c r="U242" s="13">
        <v>100</v>
      </c>
      <c r="V242" s="13" t="str">
        <f t="shared" si="161"/>
        <v>ISO 6</v>
      </c>
      <c r="W242" s="13">
        <f t="shared" si="161"/>
        <v>120</v>
      </c>
      <c r="X242" s="16">
        <f t="shared" si="162"/>
        <v>40.887999999999998</v>
      </c>
      <c r="Y242" s="16">
        <f t="shared" si="163"/>
        <v>321.87033599999995</v>
      </c>
      <c r="Z242" s="16">
        <f t="shared" si="164"/>
        <v>643.7406719999999</v>
      </c>
      <c r="AA242" s="16">
        <f t="shared" si="165"/>
        <v>64.374067199999999</v>
      </c>
      <c r="AB242" s="16">
        <f t="shared" si="166"/>
        <v>0</v>
      </c>
      <c r="AC242" s="16">
        <f t="shared" si="167"/>
        <v>0</v>
      </c>
      <c r="AD242" s="16" t="e">
        <f t="shared" si="174"/>
        <v>#DIV/0!</v>
      </c>
      <c r="AE242" s="16" t="e">
        <f t="shared" si="169"/>
        <v>#DIV/0!</v>
      </c>
      <c r="AF242" s="16" t="e">
        <f t="shared" si="170"/>
        <v>#DIV/0!</v>
      </c>
      <c r="AG242" s="16" t="e">
        <f t="shared" si="171"/>
        <v>#DIV/0!</v>
      </c>
      <c r="AH242" s="838" t="s">
        <v>85</v>
      </c>
      <c r="AI242" s="17">
        <f t="shared" si="172"/>
        <v>0</v>
      </c>
      <c r="AJ242" s="17" t="e">
        <f t="shared" si="173"/>
        <v>#DIV/0!</v>
      </c>
      <c r="AK242" s="891"/>
      <c r="AL242" s="18"/>
      <c r="AM242" s="889"/>
      <c r="AN242" s="891"/>
      <c r="AO242" s="888"/>
      <c r="AP242" s="891"/>
      <c r="AQ242" s="891"/>
      <c r="AR242" s="889"/>
      <c r="AS242" s="888"/>
      <c r="AT242" s="888"/>
      <c r="AU242" s="890"/>
      <c r="AV242" s="888"/>
      <c r="AW242" s="888"/>
      <c r="AX242" s="888"/>
      <c r="AY242" s="887"/>
      <c r="AZ242" s="888"/>
    </row>
    <row r="243" spans="3:52" ht="18.600000000000001">
      <c r="C243" s="13">
        <f>IF(D243&lt;&gt;"",COUNTA($D$10:D243),"")</f>
        <v>201</v>
      </c>
      <c r="D243" s="14" t="s">
        <v>213</v>
      </c>
      <c r="E243" s="14">
        <v>2.2999999999999998</v>
      </c>
      <c r="F243" s="14">
        <v>2.2000000000000002</v>
      </c>
      <c r="G243" s="14">
        <v>2.4</v>
      </c>
      <c r="H243" s="14">
        <v>2</v>
      </c>
      <c r="I243" s="14">
        <v>1</v>
      </c>
      <c r="J243" s="14">
        <v>1.75</v>
      </c>
      <c r="K243" s="14">
        <v>3</v>
      </c>
      <c r="L243" s="15">
        <v>0.1</v>
      </c>
      <c r="M243" s="15">
        <v>0</v>
      </c>
      <c r="N243" s="14">
        <v>24</v>
      </c>
      <c r="O243" s="14">
        <v>50</v>
      </c>
      <c r="P243" s="13">
        <v>45</v>
      </c>
      <c r="Q243" s="13">
        <v>85</v>
      </c>
      <c r="R243" s="13" t="s">
        <v>17</v>
      </c>
      <c r="S243" s="13">
        <v>120</v>
      </c>
      <c r="T243" s="13">
        <v>0</v>
      </c>
      <c r="U243" s="13">
        <v>100</v>
      </c>
      <c r="V243" s="13" t="str">
        <f t="shared" si="161"/>
        <v>ISO 6</v>
      </c>
      <c r="W243" s="13">
        <f t="shared" si="161"/>
        <v>120</v>
      </c>
      <c r="X243" s="16">
        <f t="shared" si="162"/>
        <v>54.445599999999992</v>
      </c>
      <c r="Y243" s="16">
        <f t="shared" si="163"/>
        <v>428.59576319999991</v>
      </c>
      <c r="Z243" s="16">
        <f t="shared" si="164"/>
        <v>857.19152639999982</v>
      </c>
      <c r="AA243" s="16">
        <f t="shared" si="165"/>
        <v>85.71915263999999</v>
      </c>
      <c r="AB243" s="16">
        <f t="shared" si="166"/>
        <v>0</v>
      </c>
      <c r="AC243" s="16">
        <f t="shared" si="167"/>
        <v>0</v>
      </c>
      <c r="AD243" s="16" t="e">
        <f t="shared" si="174"/>
        <v>#DIV/0!</v>
      </c>
      <c r="AE243" s="16" t="e">
        <f t="shared" si="169"/>
        <v>#DIV/0!</v>
      </c>
      <c r="AF243" s="16" t="e">
        <f t="shared" si="170"/>
        <v>#DIV/0!</v>
      </c>
      <c r="AG243" s="16" t="e">
        <f t="shared" si="171"/>
        <v>#DIV/0!</v>
      </c>
      <c r="AH243" s="838" t="s">
        <v>85</v>
      </c>
      <c r="AI243" s="17">
        <f t="shared" si="172"/>
        <v>0</v>
      </c>
      <c r="AJ243" s="17" t="e">
        <f t="shared" si="173"/>
        <v>#DIV/0!</v>
      </c>
      <c r="AK243" s="891"/>
      <c r="AL243" s="18"/>
      <c r="AM243" s="889"/>
      <c r="AN243" s="891"/>
      <c r="AO243" s="888"/>
      <c r="AP243" s="891"/>
      <c r="AQ243" s="891"/>
      <c r="AR243" s="889"/>
      <c r="AS243" s="888"/>
      <c r="AT243" s="888"/>
      <c r="AU243" s="890"/>
      <c r="AV243" s="888"/>
      <c r="AW243" s="888"/>
      <c r="AX243" s="888"/>
      <c r="AY243" s="887"/>
      <c r="AZ243" s="888"/>
    </row>
    <row r="244" spans="3:52" ht="18.600000000000001">
      <c r="C244" s="13">
        <f>IF(D244&lt;&gt;"",COUNTA($D$10:D244),"")</f>
        <v>202</v>
      </c>
      <c r="D244" s="14" t="s">
        <v>214</v>
      </c>
      <c r="E244" s="14">
        <v>2.2000000000000002</v>
      </c>
      <c r="F244" s="14">
        <v>2.8</v>
      </c>
      <c r="G244" s="14">
        <v>2.4</v>
      </c>
      <c r="H244" s="14">
        <v>2</v>
      </c>
      <c r="I244" s="14">
        <v>1</v>
      </c>
      <c r="J244" s="14">
        <v>1.75</v>
      </c>
      <c r="K244" s="14">
        <v>3</v>
      </c>
      <c r="L244" s="15">
        <v>0.1</v>
      </c>
      <c r="M244" s="15">
        <v>0</v>
      </c>
      <c r="N244" s="14">
        <v>24</v>
      </c>
      <c r="O244" s="14">
        <v>50</v>
      </c>
      <c r="P244" s="13">
        <v>45</v>
      </c>
      <c r="Q244" s="13">
        <v>85</v>
      </c>
      <c r="R244" s="13" t="s">
        <v>17</v>
      </c>
      <c r="S244" s="13">
        <v>120</v>
      </c>
      <c r="T244" s="13">
        <v>0</v>
      </c>
      <c r="U244" s="13">
        <v>100</v>
      </c>
      <c r="V244" s="13" t="str">
        <f t="shared" si="161"/>
        <v>ISO 6</v>
      </c>
      <c r="W244" s="13">
        <f t="shared" si="161"/>
        <v>120</v>
      </c>
      <c r="X244" s="16">
        <f t="shared" si="162"/>
        <v>66.281599999999997</v>
      </c>
      <c r="Y244" s="16">
        <f t="shared" si="163"/>
        <v>521.76875519999999</v>
      </c>
      <c r="Z244" s="16">
        <f t="shared" si="164"/>
        <v>1043.5375104</v>
      </c>
      <c r="AA244" s="16">
        <f t="shared" si="165"/>
        <v>104.35375104000001</v>
      </c>
      <c r="AB244" s="16">
        <f t="shared" si="166"/>
        <v>0</v>
      </c>
      <c r="AC244" s="16">
        <f t="shared" si="167"/>
        <v>0</v>
      </c>
      <c r="AD244" s="16" t="e">
        <f t="shared" si="174"/>
        <v>#DIV/0!</v>
      </c>
      <c r="AE244" s="16" t="e">
        <f t="shared" si="169"/>
        <v>#DIV/0!</v>
      </c>
      <c r="AF244" s="16" t="e">
        <f t="shared" si="170"/>
        <v>#DIV/0!</v>
      </c>
      <c r="AG244" s="16" t="e">
        <f t="shared" si="171"/>
        <v>#DIV/0!</v>
      </c>
      <c r="AH244" s="838" t="s">
        <v>85</v>
      </c>
      <c r="AI244" s="17">
        <f t="shared" si="172"/>
        <v>0</v>
      </c>
      <c r="AJ244" s="17" t="e">
        <f t="shared" si="173"/>
        <v>#DIV/0!</v>
      </c>
      <c r="AK244" s="891"/>
      <c r="AL244" s="18"/>
      <c r="AM244" s="889"/>
      <c r="AN244" s="891"/>
      <c r="AO244" s="888"/>
      <c r="AP244" s="891"/>
      <c r="AQ244" s="891"/>
      <c r="AR244" s="889"/>
      <c r="AS244" s="888"/>
      <c r="AT244" s="888"/>
      <c r="AU244" s="890"/>
      <c r="AV244" s="888"/>
      <c r="AW244" s="888"/>
      <c r="AX244" s="888"/>
      <c r="AY244" s="887"/>
      <c r="AZ244" s="888"/>
    </row>
    <row r="245" spans="3:52" ht="18.600000000000001">
      <c r="C245" s="13">
        <f>IF(D245&lt;&gt;"",COUNTA($D$10:D245),"")</f>
        <v>203</v>
      </c>
      <c r="D245" s="14" t="s">
        <v>215</v>
      </c>
      <c r="E245" s="14">
        <v>2.8</v>
      </c>
      <c r="F245" s="14">
        <v>2.4</v>
      </c>
      <c r="G245" s="14">
        <v>2.4</v>
      </c>
      <c r="H245" s="14">
        <v>2</v>
      </c>
      <c r="I245" s="14">
        <v>1</v>
      </c>
      <c r="J245" s="14">
        <v>1.75</v>
      </c>
      <c r="K245" s="14">
        <v>3</v>
      </c>
      <c r="L245" s="15">
        <v>0.1</v>
      </c>
      <c r="M245" s="15">
        <v>0</v>
      </c>
      <c r="N245" s="14">
        <v>24</v>
      </c>
      <c r="O245" s="14">
        <v>50</v>
      </c>
      <c r="P245" s="13">
        <v>45</v>
      </c>
      <c r="Q245" s="13">
        <v>85</v>
      </c>
      <c r="R245" s="13" t="s">
        <v>17</v>
      </c>
      <c r="S245" s="13">
        <v>120</v>
      </c>
      <c r="T245" s="13">
        <v>0</v>
      </c>
      <c r="U245" s="13">
        <v>100</v>
      </c>
      <c r="V245" s="13" t="str">
        <f t="shared" si="161"/>
        <v>ISO 6</v>
      </c>
      <c r="W245" s="13">
        <f t="shared" si="161"/>
        <v>120</v>
      </c>
      <c r="X245" s="16">
        <f t="shared" si="162"/>
        <v>72.307199999999995</v>
      </c>
      <c r="Y245" s="16">
        <f t="shared" si="163"/>
        <v>569.20227839999995</v>
      </c>
      <c r="Z245" s="16">
        <f t="shared" si="164"/>
        <v>1138.4045567999999</v>
      </c>
      <c r="AA245" s="16">
        <f t="shared" si="165"/>
        <v>113.84045567999999</v>
      </c>
      <c r="AB245" s="16">
        <f t="shared" si="166"/>
        <v>0</v>
      </c>
      <c r="AC245" s="16">
        <f t="shared" si="167"/>
        <v>0</v>
      </c>
      <c r="AD245" s="16" t="e">
        <f t="shared" si="174"/>
        <v>#DIV/0!</v>
      </c>
      <c r="AE245" s="16" t="e">
        <f t="shared" si="169"/>
        <v>#DIV/0!</v>
      </c>
      <c r="AF245" s="16" t="e">
        <f t="shared" si="170"/>
        <v>#DIV/0!</v>
      </c>
      <c r="AG245" s="16" t="e">
        <f t="shared" si="171"/>
        <v>#DIV/0!</v>
      </c>
      <c r="AH245" s="838" t="s">
        <v>85</v>
      </c>
      <c r="AI245" s="17">
        <f t="shared" si="172"/>
        <v>0</v>
      </c>
      <c r="AJ245" s="17" t="e">
        <f t="shared" si="173"/>
        <v>#DIV/0!</v>
      </c>
      <c r="AK245" s="891"/>
      <c r="AL245" s="18"/>
      <c r="AM245" s="889"/>
      <c r="AN245" s="891"/>
      <c r="AO245" s="888"/>
      <c r="AP245" s="891"/>
      <c r="AQ245" s="891"/>
      <c r="AR245" s="889"/>
      <c r="AS245" s="888"/>
      <c r="AT245" s="888"/>
      <c r="AU245" s="890"/>
      <c r="AV245" s="888"/>
      <c r="AW245" s="888"/>
      <c r="AX245" s="888"/>
      <c r="AY245" s="887"/>
      <c r="AZ245" s="888"/>
    </row>
    <row r="246" spans="3:52">
      <c r="C246" s="19"/>
      <c r="D246" s="19"/>
      <c r="E246" s="19"/>
      <c r="F246" s="19"/>
      <c r="G246" s="19"/>
      <c r="H246" s="19"/>
      <c r="I246" s="19"/>
      <c r="J246" s="19"/>
      <c r="K246" s="19"/>
      <c r="L246" s="19"/>
      <c r="M246" s="19"/>
      <c r="N246" s="19"/>
      <c r="O246" s="19"/>
      <c r="P246" s="19"/>
      <c r="Q246" s="19"/>
      <c r="R246" s="19"/>
      <c r="S246" s="19"/>
      <c r="T246" s="19"/>
      <c r="U246" s="19"/>
      <c r="V246" s="19"/>
      <c r="W246" s="19"/>
      <c r="X246" s="20">
        <f>SUM(X230:X245)</f>
        <v>1144.1108000000002</v>
      </c>
      <c r="Y246" s="20">
        <f t="shared" ref="Y246:AG246" si="175">SUM(Y230:Y245)</f>
        <v>9006.4402175999985</v>
      </c>
      <c r="Z246" s="20">
        <f t="shared" si="175"/>
        <v>18012.880435199997</v>
      </c>
      <c r="AA246" s="20">
        <f t="shared" si="175"/>
        <v>1801.2880435199995</v>
      </c>
      <c r="AB246" s="20">
        <f t="shared" si="175"/>
        <v>0</v>
      </c>
      <c r="AC246" s="20">
        <f t="shared" si="175"/>
        <v>0</v>
      </c>
      <c r="AD246" s="20" t="e">
        <f t="shared" si="175"/>
        <v>#DIV/0!</v>
      </c>
      <c r="AE246" s="20" t="e">
        <f t="shared" si="175"/>
        <v>#DIV/0!</v>
      </c>
      <c r="AF246" s="20" t="e">
        <f t="shared" si="175"/>
        <v>#DIV/0!</v>
      </c>
      <c r="AG246" s="20" t="e">
        <f t="shared" si="175"/>
        <v>#DIV/0!</v>
      </c>
      <c r="AH246" s="841"/>
      <c r="AI246" s="20">
        <f t="shared" ref="AI246:AJ246" si="176">SUM(AI230:AI245)</f>
        <v>0</v>
      </c>
      <c r="AJ246" s="20" t="e">
        <f t="shared" si="176"/>
        <v>#DIV/0!</v>
      </c>
      <c r="AK246" s="21"/>
      <c r="AL246" s="21"/>
      <c r="AM246" s="21"/>
      <c r="AN246" s="21"/>
      <c r="AO246" s="21"/>
      <c r="AP246" s="21"/>
      <c r="AQ246" s="21"/>
      <c r="AR246" s="21"/>
      <c r="AS246" s="21"/>
      <c r="AT246" s="21"/>
      <c r="AU246" s="21"/>
      <c r="AV246" s="21"/>
      <c r="AW246" s="21"/>
      <c r="AX246" s="21"/>
      <c r="AY246" s="21"/>
      <c r="AZ246" s="21"/>
    </row>
    <row r="247" spans="3:52">
      <c r="AH247" s="840"/>
    </row>
    <row r="248" spans="3:52" ht="26.1">
      <c r="C248" s="8" t="e">
        <f>"Zoning Area  AHU - " &amp; INT((ROW()-8)/20)+1 &amp; "  " &amp;IF(AQ250&gt;0,"Air-Conditioning System " &amp; IF(AH250="D","(DX)",IF(AH250="C","(Chilled Water)","")),IF(AND(N250="Amb",AQ250=0),"Ventilation System","Refer"))</f>
        <v>#DIV/0!</v>
      </c>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39"/>
      <c r="AI248" s="8"/>
      <c r="AJ248" s="8"/>
      <c r="AK248" s="8"/>
      <c r="AL248" s="8"/>
      <c r="AM248" s="8"/>
      <c r="AN248" s="8"/>
      <c r="AO248" s="8"/>
      <c r="AP248" s="8"/>
      <c r="AQ248" s="8"/>
      <c r="AR248" s="8"/>
      <c r="AS248" s="9" t="s">
        <v>221</v>
      </c>
      <c r="AT248" s="10"/>
      <c r="AU248" s="10"/>
      <c r="AV248" s="11"/>
      <c r="AW248" s="9" t="s">
        <v>222</v>
      </c>
      <c r="AX248" s="10"/>
      <c r="AY248" s="10"/>
      <c r="AZ248" s="11"/>
    </row>
    <row r="249" spans="3:52">
      <c r="C249" s="13">
        <f>IF(D249&lt;&gt;"",COUNTA($D$10:D249),"")</f>
        <v>204</v>
      </c>
      <c r="D249" s="5" t="s">
        <v>165</v>
      </c>
      <c r="E249" s="5" t="s">
        <v>166</v>
      </c>
      <c r="F249" s="5" t="s">
        <v>167</v>
      </c>
      <c r="G249" s="5" t="s">
        <v>168</v>
      </c>
      <c r="H249" s="5" t="s">
        <v>169</v>
      </c>
      <c r="I249" s="5" t="s">
        <v>170</v>
      </c>
      <c r="J249" s="5" t="s">
        <v>171</v>
      </c>
      <c r="K249" s="5" t="s">
        <v>172</v>
      </c>
      <c r="L249" s="5" t="s">
        <v>173</v>
      </c>
      <c r="M249" s="5" t="s">
        <v>174</v>
      </c>
      <c r="N249" s="5" t="s">
        <v>175</v>
      </c>
      <c r="O249" s="5" t="s">
        <v>176</v>
      </c>
      <c r="P249" s="5" t="s">
        <v>177</v>
      </c>
      <c r="Q249" s="5" t="s">
        <v>178</v>
      </c>
      <c r="R249" s="5" t="s">
        <v>199</v>
      </c>
      <c r="S249" s="5" t="s">
        <v>180</v>
      </c>
      <c r="T249" s="5" t="s">
        <v>223</v>
      </c>
      <c r="U249" s="5" t="s">
        <v>224</v>
      </c>
      <c r="V249" s="5" t="s">
        <v>199</v>
      </c>
      <c r="W249" s="5" t="s">
        <v>180</v>
      </c>
      <c r="X249" s="5" t="s">
        <v>225</v>
      </c>
      <c r="Y249" s="5" t="s">
        <v>226</v>
      </c>
      <c r="Z249" s="5" t="s">
        <v>227</v>
      </c>
      <c r="AA249" s="5" t="s">
        <v>228</v>
      </c>
      <c r="AB249" s="5" t="s">
        <v>229</v>
      </c>
      <c r="AC249" s="5" t="s">
        <v>230</v>
      </c>
      <c r="AD249" s="5" t="s">
        <v>231</v>
      </c>
      <c r="AE249" s="5" t="s">
        <v>232</v>
      </c>
      <c r="AF249" s="6" t="s">
        <v>233</v>
      </c>
      <c r="AG249" s="6" t="s">
        <v>234</v>
      </c>
      <c r="AH249" s="6" t="s">
        <v>235</v>
      </c>
      <c r="AI249" s="5" t="s">
        <v>236</v>
      </c>
      <c r="AJ249" s="5" t="s">
        <v>237</v>
      </c>
      <c r="AK249" s="5" t="s">
        <v>238</v>
      </c>
      <c r="AL249" s="5" t="s">
        <v>239</v>
      </c>
      <c r="AM249" s="5" t="s">
        <v>240</v>
      </c>
      <c r="AN249" s="5" t="s">
        <v>241</v>
      </c>
      <c r="AO249" s="5" t="s">
        <v>242</v>
      </c>
      <c r="AP249" s="5" t="s">
        <v>243</v>
      </c>
      <c r="AQ249" s="5" t="s">
        <v>244</v>
      </c>
      <c r="AR249" s="5" t="s">
        <v>245</v>
      </c>
      <c r="AS249" s="5" t="s">
        <v>246</v>
      </c>
      <c r="AT249" s="5" t="s">
        <v>247</v>
      </c>
      <c r="AU249" s="5" t="s">
        <v>248</v>
      </c>
      <c r="AV249" s="5" t="s">
        <v>249</v>
      </c>
      <c r="AW249" s="5" t="s">
        <v>250</v>
      </c>
      <c r="AX249" s="5" t="s">
        <v>251</v>
      </c>
      <c r="AY249" s="5" t="s">
        <v>252</v>
      </c>
      <c r="AZ249" s="5" t="s">
        <v>253</v>
      </c>
    </row>
    <row r="250" spans="3:52" ht="18.600000000000001">
      <c r="C250" s="13">
        <f>IF(D250&lt;&gt;"",COUNTA($D$10:D250),"")</f>
        <v>205</v>
      </c>
      <c r="D250" s="14" t="s">
        <v>200</v>
      </c>
      <c r="E250" s="14">
        <v>3</v>
      </c>
      <c r="F250" s="14">
        <v>3</v>
      </c>
      <c r="G250" s="14">
        <v>2.4</v>
      </c>
      <c r="H250" s="14">
        <v>1</v>
      </c>
      <c r="I250" s="14">
        <v>2</v>
      </c>
      <c r="J250" s="14">
        <v>1.75</v>
      </c>
      <c r="K250" s="14">
        <v>3</v>
      </c>
      <c r="L250" s="15">
        <v>0.1</v>
      </c>
      <c r="M250" s="15">
        <v>0</v>
      </c>
      <c r="N250" s="14">
        <v>24</v>
      </c>
      <c r="O250" s="14">
        <v>50</v>
      </c>
      <c r="P250" s="13">
        <v>45</v>
      </c>
      <c r="Q250" s="13">
        <v>85</v>
      </c>
      <c r="R250" s="13" t="s">
        <v>17</v>
      </c>
      <c r="S250" s="13">
        <v>120</v>
      </c>
      <c r="T250" s="13">
        <v>0</v>
      </c>
      <c r="U250" s="13">
        <v>100</v>
      </c>
      <c r="V250" s="13" t="str">
        <f>R250</f>
        <v>ISO 6</v>
      </c>
      <c r="W250" s="13">
        <f>S250</f>
        <v>120</v>
      </c>
      <c r="X250" s="16">
        <f>E250*F250*10.76</f>
        <v>96.84</v>
      </c>
      <c r="Y250" s="16">
        <f>X250*G250*3.28</f>
        <v>762.32447999999999</v>
      </c>
      <c r="Z250" s="16">
        <f>Y250*S250/60</f>
        <v>1524.64896</v>
      </c>
      <c r="AA250" s="16">
        <f>Z250*L250</f>
        <v>152.46489600000001</v>
      </c>
      <c r="AB250" s="16">
        <f>IF(N250="Amb",Z250,Z250*M250)</f>
        <v>0</v>
      </c>
      <c r="AC250" s="16">
        <f>IF(ISNUMBER(N250), (AA250*0.075*60/2.20462)*BP250/7000, "Ambient")</f>
        <v>0</v>
      </c>
      <c r="AD250" s="16" t="e">
        <f>IF(ISNUMBER(N250), CEILING(CF250/(0.68*BP250),25), "Ambient")</f>
        <v>#DIV/0!</v>
      </c>
      <c r="AE250" s="16" t="e">
        <f>CEILING(MAX((Z250+AA250),AD250),25)</f>
        <v>#DIV/0!</v>
      </c>
      <c r="AF250" s="16" t="e">
        <f>CEILING(IF(OR($R250="ISO 6",$R250="GRADE B",$R250="1K",$R250=1000),AE250*1/175,IF(OR($R250="ISO 5",$R250="GRADE A",$R250=100),AE250*1/100,IF(OR($R250="ISO 7",$R250="GRADE C",$R250="10K",$R250=10000),$AE250*1/250,IF(OR($R250="ISO 8",$R250="GRADE D",$R250="100K",$R250=100000),$AE250*1/250,IF(OR($R250="NC",$R250="20 Micron",$R250="5 Micron",$R250="N C"),$AE250*1/350,0))))),2)</f>
        <v>#DIV/0!</v>
      </c>
      <c r="AG250" s="16" t="e">
        <f>IF(ISNUMBER(N250), CEILING(MAX(AI250,AJ250),0.5), "Ambient")</f>
        <v>#DIV/0!</v>
      </c>
      <c r="AH250" s="838" t="s">
        <v>85</v>
      </c>
      <c r="AI250" s="17">
        <f>IF(ISNUMBER(N250), CEILING(CE250/12000,0.5), "Ambient")</f>
        <v>0</v>
      </c>
      <c r="AJ250" s="17" t="e">
        <f>IF(ISNUMBER(N250),CEILING(AE250/(IF(AH250="C",400,300)),0.5), "Ambient")</f>
        <v>#DIV/0!</v>
      </c>
      <c r="AK250" s="891" t="e">
        <f>CEILING(SUM(AE250:AE265),250)</f>
        <v>#DIV/0!</v>
      </c>
      <c r="AL250" s="18" t="s">
        <v>254</v>
      </c>
      <c r="AM250" s="889">
        <v>150</v>
      </c>
      <c r="AN250" s="891" t="e">
        <f>IF(AK250&lt;=1300,200,IF(AK250&lt;=1600,225,IF(AK250&lt;=2100,250,IF(AK250&lt;=2700,280,IF(AK250&lt;=3450,315,IF(AK250&lt;=4250,355,IF(AK250&lt;=5250,400,IF(AK250&lt;=6750,450,IF(AK250&lt;=8500,500,IF(AK250&lt;=10750,560,IF(AK250&lt;=13500,630,IF(AK250&lt;=17000,710,IF(AK250&lt;=21500,800,IF(AK250&lt;=27000,900,IF(AK250&lt;=34000,1000,IF(AK250&lt;=43000,1120,IF(AK250&lt;=49000,1200,IF(AK250&lt;=68000,1450,"Refer"))))))))))))))))))</f>
        <v>#DIV/0!</v>
      </c>
      <c r="AO250" s="888" t="e">
        <f>IF(AK250*AM250/(6356*0.7*0.9*1.1*25.4)&lt;=1,1,IF(AK250*AM250/(6356*0.7*0.9*1.1*25.4)&lt;=1.5,1.5,IF(AK250*AM250/(6356*0.7*0.9*1.1*25.4)&lt;=2,2,IF(AK250*AM250/(6356*0.7*0.9*1.1*25.4)&lt;=3,3,IF(AK250*AM250/(6356*0.7*0.9*1.1*25.4)&lt;=5,5,IF(AK250*AM250/(6356*0.7*0.9*1.1*25.4)&lt;=7.5,7.5,IF(AK250*AM250/(6356*0.7*0.9*1.1*25.4)&lt;=10,10,IF(AK250*AM250/(6356*0.7*0.9*1.1*25.4)&lt;=12.5,12.5,IF(AK250*AM250/(6356*0.7*0.9*1.1*25.4)&lt;=15,15,IF(AK250*AM250/(6356*0.7*0.9*1.1*25.4)&lt;=20,20,IF(AK250*AM250/(6356*0.7*0.9*1.1*25.4)&lt;=25,25,IF(AK250*AM250/(6356*0.7*0.9*1.1*25.4)&lt;=30,30,IF(AK250*AM250/(6356*0.7*0.9*1.1*25.4)&lt;=40,40,IF(AK250*AM250/(6356*0.7*0.9*1.1*25.4)&lt;=50,50,IF(AK250*AM250/(6356*0.7*0.9*1.1*25.4)&lt;=60,60,IF(AK250*AM250/(6356*0.7*0.9*1.1*25.4)&lt;=75,75,"Refer"))))))))))))))))</f>
        <v>#DIV/0!</v>
      </c>
      <c r="AP250" s="891" t="e">
        <f>IF(AND(AQ250=0, N250="Amb"), "Amb",IF((AL251-250)*(AL253-150)*10.76/(1000*1000) &gt;= MAX(AI266,AJ266), 4,IF((AL251-250)*(AL253-150)*10.76*1.5/(1000*1000) &gt;= MAX(AI266,AJ266), 6,IF((AL251-250)*(AL253-150)*10.76*2/(1000*1000) &gt;= MAX(AI266,AJ266), 8, 0))
 )
)</f>
        <v>#DIV/0!</v>
      </c>
      <c r="AQ250" s="891" t="e">
        <f>AG266</f>
        <v>#DIV/0!</v>
      </c>
      <c r="AR250" s="889">
        <f>_xlfn.SWITCH(TRIM(UPPER(R250)),"ISO 9", 3,"ISO 8", 4,"Grade D", 4,"Class 100,000", 4,"Class 100K", 4,"ISO 7", 3,"Grade C", 3,"Class 10,000", 3,"Class 10K", 3,"ISO 6", 3,"Class 1,000", 3,"Class 1K", 3,"ISO 5", 4,"Grade A", 4,"Grade B", 4,"Class 100", 4,"ISO 4", 3,"ISO 3", 4,"ISO 2", 4,"ISO 1", 4,"NCV20",1,"NCV-10",2,"NCV-5",3,"NCAC-10",1,"NCAC-5",2,"NCAC-1",3,3)</f>
        <v>3</v>
      </c>
      <c r="AS250" s="888" t="e">
        <f>MAX(AI266,AJ266)*24/6</f>
        <v>#DIV/0!</v>
      </c>
      <c r="AT250" s="888" t="e">
        <f>AS250*0.06309</f>
        <v>#DIV/0!</v>
      </c>
      <c r="AU250" s="890">
        <v>2</v>
      </c>
      <c r="AV250" s="888" t="e">
        <f>SQRT((4*AS250*0.00006309)/(3.14*AU250))*1000</f>
        <v>#DIV/0!</v>
      </c>
      <c r="AW250" s="888"/>
      <c r="AX250" s="888"/>
      <c r="AY250" s="887"/>
      <c r="AZ250" s="888"/>
    </row>
    <row r="251" spans="3:52" ht="18.600000000000001">
      <c r="C251" s="13">
        <f>IF(D251&lt;&gt;"",COUNTA($D$10:D251),"")</f>
        <v>206</v>
      </c>
      <c r="D251" s="14" t="s">
        <v>201</v>
      </c>
      <c r="E251" s="14">
        <v>1.8</v>
      </c>
      <c r="F251" s="14">
        <v>2.2000000000000002</v>
      </c>
      <c r="G251" s="14">
        <v>2.4</v>
      </c>
      <c r="H251" s="14">
        <v>2</v>
      </c>
      <c r="I251" s="14">
        <v>1</v>
      </c>
      <c r="J251" s="14">
        <v>1.75</v>
      </c>
      <c r="K251" s="14">
        <v>3</v>
      </c>
      <c r="L251" s="15">
        <v>0.1</v>
      </c>
      <c r="M251" s="15">
        <v>0</v>
      </c>
      <c r="N251" s="14">
        <v>24</v>
      </c>
      <c r="O251" s="14">
        <v>50</v>
      </c>
      <c r="P251" s="13">
        <v>45</v>
      </c>
      <c r="Q251" s="13">
        <v>85</v>
      </c>
      <c r="R251" s="13" t="s">
        <v>17</v>
      </c>
      <c r="S251" s="13">
        <v>120</v>
      </c>
      <c r="T251" s="13">
        <v>0</v>
      </c>
      <c r="U251" s="13">
        <v>100</v>
      </c>
      <c r="V251" s="13" t="str">
        <f t="shared" ref="V251:W265" si="177">R251</f>
        <v>ISO 6</v>
      </c>
      <c r="W251" s="13">
        <f t="shared" si="177"/>
        <v>120</v>
      </c>
      <c r="X251" s="16">
        <f t="shared" ref="X251:X265" si="178">E251*F251*10.76</f>
        <v>42.6096</v>
      </c>
      <c r="Y251" s="16">
        <f t="shared" ref="Y251:Y265" si="179">X251*G251*3.28</f>
        <v>335.4227712</v>
      </c>
      <c r="Z251" s="16">
        <f t="shared" ref="Z251:Z265" si="180">Y251*S251/60</f>
        <v>670.8455424</v>
      </c>
      <c r="AA251" s="16">
        <f t="shared" ref="AA251:AA265" si="181">Z251*L251</f>
        <v>67.084554240000003</v>
      </c>
      <c r="AB251" s="16">
        <f t="shared" ref="AB251:AB265" si="182">IF(N251="Amb",Z251,Z251*M251)</f>
        <v>0</v>
      </c>
      <c r="AC251" s="16">
        <f t="shared" ref="AC251:AC265" si="183">IF(ISNUMBER(N251), (AA251*0.075*60/2.20462)*BP251/7000, "Ambient")</f>
        <v>0</v>
      </c>
      <c r="AD251" s="16" t="e">
        <f t="shared" ref="AD251:AD257" si="184">IF(ISNUMBER(N251), CEILING(CF251/(0.68*BP251),25), "Ambient")</f>
        <v>#DIV/0!</v>
      </c>
      <c r="AE251" s="16" t="e">
        <f t="shared" ref="AE251:AE265" si="185">CEILING(MAX((Z251+AA251),AD251),25)</f>
        <v>#DIV/0!</v>
      </c>
      <c r="AF251" s="16" t="e">
        <f t="shared" ref="AF251:AF265" si="186">CEILING(IF(OR($R251="ISO 6",$R251="GRADE B",$R251="1K",$R251=1000),AE251*1/175,IF(OR($R251="ISO 5",$R251="GRADE A",$R251=100),AE251*1/100,IF(OR($R251="ISO 7",$R251="GRADE C",$R251="10K",$R251=10000),$AE251*1/250,IF(OR($R251="ISO 8",$R251="GRADE D",$R251="100K",$R251=100000),$AE251*1/250,IF(OR($R251="NC",$R251="20 Micron",$R251="5 Micron",$R251="N C"),$AE251*1/350,0))))),2)</f>
        <v>#DIV/0!</v>
      </c>
      <c r="AG251" s="16" t="e">
        <f t="shared" ref="AG251:AG265" si="187">IF(ISNUMBER(N251), CEILING(MAX(AI251,AJ251),0.5), "Ambient")</f>
        <v>#DIV/0!</v>
      </c>
      <c r="AH251" s="838" t="s">
        <v>85</v>
      </c>
      <c r="AI251" s="17">
        <f t="shared" ref="AI251:AI265" si="188">IF(ISNUMBER(N251), CEILING(CE251/12000,0.5), "Ambient")</f>
        <v>0</v>
      </c>
      <c r="AJ251" s="17" t="e">
        <f t="shared" ref="AJ251:AJ265" si="189">IF(ISNUMBER(N251),CEILING(AE251/(IF(AH251="C",400,300)),0.5), "Ambient")</f>
        <v>#DIV/0!</v>
      </c>
      <c r="AK251" s="891"/>
      <c r="AL251" s="18" t="e">
        <f>IF(AK250&lt;=2000,950,(IF(AK250&lt;=3000,1150,(IF(AK250&lt;=8000,1550,(IF(AK250&lt;=10000,1750,(IF(AK250&lt;=18000,2050,(IF(AK250&lt;=32000,2900,(IF(AK250&lt;=40000,3600,4000)))))))))))))</f>
        <v>#DIV/0!</v>
      </c>
      <c r="AM251" s="889"/>
      <c r="AN251" s="891"/>
      <c r="AO251" s="888"/>
      <c r="AP251" s="891"/>
      <c r="AQ251" s="891"/>
      <c r="AR251" s="889"/>
      <c r="AS251" s="888"/>
      <c r="AT251" s="888"/>
      <c r="AU251" s="890"/>
      <c r="AV251" s="888"/>
      <c r="AW251" s="888"/>
      <c r="AX251" s="888"/>
      <c r="AY251" s="887"/>
      <c r="AZ251" s="888"/>
    </row>
    <row r="252" spans="3:52" ht="18.600000000000001">
      <c r="C252" s="13">
        <f>IF(D252&lt;&gt;"",COUNTA($D$10:D252),"")</f>
        <v>207</v>
      </c>
      <c r="D252" s="14" t="s">
        <v>202</v>
      </c>
      <c r="E252" s="14">
        <v>1.5</v>
      </c>
      <c r="F252" s="14">
        <v>2.8</v>
      </c>
      <c r="G252" s="14">
        <v>2.4</v>
      </c>
      <c r="H252" s="14">
        <v>2</v>
      </c>
      <c r="I252" s="14">
        <v>3</v>
      </c>
      <c r="J252" s="14">
        <v>1.75</v>
      </c>
      <c r="K252" s="14">
        <v>3</v>
      </c>
      <c r="L252" s="15">
        <v>0.1</v>
      </c>
      <c r="M252" s="15">
        <v>0</v>
      </c>
      <c r="N252" s="14">
        <v>24</v>
      </c>
      <c r="O252" s="14">
        <v>50</v>
      </c>
      <c r="P252" s="13">
        <v>45</v>
      </c>
      <c r="Q252" s="13">
        <v>85</v>
      </c>
      <c r="R252" s="13" t="s">
        <v>17</v>
      </c>
      <c r="S252" s="13">
        <v>120</v>
      </c>
      <c r="T252" s="13">
        <v>0</v>
      </c>
      <c r="U252" s="13">
        <v>100</v>
      </c>
      <c r="V252" s="13" t="str">
        <f t="shared" si="177"/>
        <v>ISO 6</v>
      </c>
      <c r="W252" s="13">
        <f t="shared" si="177"/>
        <v>120</v>
      </c>
      <c r="X252" s="16">
        <f t="shared" si="178"/>
        <v>45.191999999999993</v>
      </c>
      <c r="Y252" s="16">
        <f t="shared" si="179"/>
        <v>355.75142399999993</v>
      </c>
      <c r="Z252" s="16">
        <f t="shared" si="180"/>
        <v>711.50284799999986</v>
      </c>
      <c r="AA252" s="16">
        <f t="shared" si="181"/>
        <v>71.150284799999994</v>
      </c>
      <c r="AB252" s="16">
        <f t="shared" si="182"/>
        <v>0</v>
      </c>
      <c r="AC252" s="16">
        <f t="shared" si="183"/>
        <v>0</v>
      </c>
      <c r="AD252" s="16" t="e">
        <f t="shared" si="184"/>
        <v>#DIV/0!</v>
      </c>
      <c r="AE252" s="16" t="e">
        <f t="shared" si="185"/>
        <v>#DIV/0!</v>
      </c>
      <c r="AF252" s="16" t="e">
        <f t="shared" si="186"/>
        <v>#DIV/0!</v>
      </c>
      <c r="AG252" s="16" t="e">
        <f t="shared" si="187"/>
        <v>#DIV/0!</v>
      </c>
      <c r="AH252" s="838" t="s">
        <v>85</v>
      </c>
      <c r="AI252" s="17">
        <f t="shared" si="188"/>
        <v>0</v>
      </c>
      <c r="AJ252" s="17" t="e">
        <f t="shared" si="189"/>
        <v>#DIV/0!</v>
      </c>
      <c r="AK252" s="891"/>
      <c r="AL252" s="18" t="s">
        <v>255</v>
      </c>
      <c r="AM252" s="889"/>
      <c r="AN252" s="891"/>
      <c r="AO252" s="888"/>
      <c r="AP252" s="891"/>
      <c r="AQ252" s="891"/>
      <c r="AR252" s="889"/>
      <c r="AS252" s="888"/>
      <c r="AT252" s="888"/>
      <c r="AU252" s="890"/>
      <c r="AV252" s="888"/>
      <c r="AW252" s="888"/>
      <c r="AX252" s="888"/>
      <c r="AY252" s="887"/>
      <c r="AZ252" s="888"/>
    </row>
    <row r="253" spans="3:52" ht="18.600000000000001">
      <c r="C253" s="13">
        <f>IF(D253&lt;&gt;"",COUNTA($D$10:D253),"")</f>
        <v>208</v>
      </c>
      <c r="D253" s="14" t="s">
        <v>203</v>
      </c>
      <c r="E253" s="14">
        <v>2.1</v>
      </c>
      <c r="F253" s="14">
        <v>3.5</v>
      </c>
      <c r="G253" s="14">
        <v>2.4</v>
      </c>
      <c r="H253" s="14">
        <v>0</v>
      </c>
      <c r="I253" s="14">
        <v>1</v>
      </c>
      <c r="J253" s="14">
        <v>1.75</v>
      </c>
      <c r="K253" s="14">
        <v>3</v>
      </c>
      <c r="L253" s="15">
        <v>0.1</v>
      </c>
      <c r="M253" s="15">
        <v>0</v>
      </c>
      <c r="N253" s="14">
        <v>24</v>
      </c>
      <c r="O253" s="14">
        <v>50</v>
      </c>
      <c r="P253" s="13">
        <v>45</v>
      </c>
      <c r="Q253" s="13">
        <v>85</v>
      </c>
      <c r="R253" s="13" t="s">
        <v>17</v>
      </c>
      <c r="S253" s="13">
        <v>120</v>
      </c>
      <c r="T253" s="13">
        <v>0</v>
      </c>
      <c r="U253" s="13">
        <v>100</v>
      </c>
      <c r="V253" s="13" t="str">
        <f t="shared" si="177"/>
        <v>ISO 6</v>
      </c>
      <c r="W253" s="13">
        <f t="shared" si="177"/>
        <v>120</v>
      </c>
      <c r="X253" s="16">
        <f t="shared" si="178"/>
        <v>79.085999999999999</v>
      </c>
      <c r="Y253" s="16">
        <f t="shared" si="179"/>
        <v>622.56499199999996</v>
      </c>
      <c r="Z253" s="16">
        <f t="shared" si="180"/>
        <v>1245.1299839999999</v>
      </c>
      <c r="AA253" s="16">
        <f t="shared" si="181"/>
        <v>124.5129984</v>
      </c>
      <c r="AB253" s="16">
        <f t="shared" si="182"/>
        <v>0</v>
      </c>
      <c r="AC253" s="16">
        <f t="shared" si="183"/>
        <v>0</v>
      </c>
      <c r="AD253" s="16" t="e">
        <f t="shared" si="184"/>
        <v>#DIV/0!</v>
      </c>
      <c r="AE253" s="16" t="e">
        <f t="shared" si="185"/>
        <v>#DIV/0!</v>
      </c>
      <c r="AF253" s="16" t="e">
        <f t="shared" si="186"/>
        <v>#DIV/0!</v>
      </c>
      <c r="AG253" s="16" t="e">
        <f t="shared" si="187"/>
        <v>#DIV/0!</v>
      </c>
      <c r="AH253" s="838" t="s">
        <v>85</v>
      </c>
      <c r="AI253" s="17">
        <f t="shared" si="188"/>
        <v>0</v>
      </c>
      <c r="AJ253" s="17" t="e">
        <f t="shared" si="189"/>
        <v>#DIV/0!</v>
      </c>
      <c r="AK253" s="891"/>
      <c r="AL253" s="18" t="e">
        <f>IF(AK250&lt;=2000,950,(IF(AK250&lt;=4000,1100,(IF(AK250&lt;=6000,1250,(IF(AK250&lt;=10000,1550,(IF(AK250&lt;=15000,1750,(IF(AK250&lt;=24000,2050,(IF(AK250&lt;=40000,2900,3600)))))))))))))</f>
        <v>#DIV/0!</v>
      </c>
      <c r="AM253" s="889"/>
      <c r="AN253" s="891"/>
      <c r="AO253" s="888"/>
      <c r="AP253" s="891"/>
      <c r="AQ253" s="891"/>
      <c r="AR253" s="889"/>
      <c r="AS253" s="888"/>
      <c r="AT253" s="888"/>
      <c r="AU253" s="890"/>
      <c r="AV253" s="888"/>
      <c r="AW253" s="888"/>
      <c r="AX253" s="888"/>
      <c r="AY253" s="887"/>
      <c r="AZ253" s="888"/>
    </row>
    <row r="254" spans="3:52" ht="18.600000000000001">
      <c r="C254" s="13">
        <f>IF(D254&lt;&gt;"",COUNTA($D$10:D254),"")</f>
        <v>209</v>
      </c>
      <c r="D254" s="14" t="s">
        <v>204</v>
      </c>
      <c r="E254" s="14">
        <v>2.7</v>
      </c>
      <c r="F254" s="14">
        <v>4</v>
      </c>
      <c r="G254" s="14">
        <v>2.4</v>
      </c>
      <c r="H254" s="14">
        <v>2</v>
      </c>
      <c r="I254" s="14">
        <v>1</v>
      </c>
      <c r="J254" s="14">
        <v>1.75</v>
      </c>
      <c r="K254" s="14">
        <v>3</v>
      </c>
      <c r="L254" s="15">
        <v>0.1</v>
      </c>
      <c r="M254" s="15">
        <v>0</v>
      </c>
      <c r="N254" s="14">
        <v>24</v>
      </c>
      <c r="O254" s="14">
        <v>50</v>
      </c>
      <c r="P254" s="13">
        <v>45</v>
      </c>
      <c r="Q254" s="13">
        <v>85</v>
      </c>
      <c r="R254" s="13" t="s">
        <v>17</v>
      </c>
      <c r="S254" s="13">
        <v>120</v>
      </c>
      <c r="T254" s="13">
        <v>0</v>
      </c>
      <c r="U254" s="13">
        <v>100</v>
      </c>
      <c r="V254" s="13" t="str">
        <f t="shared" si="177"/>
        <v>ISO 6</v>
      </c>
      <c r="W254" s="13">
        <f t="shared" si="177"/>
        <v>120</v>
      </c>
      <c r="X254" s="16">
        <f t="shared" si="178"/>
        <v>116.208</v>
      </c>
      <c r="Y254" s="16">
        <f t="shared" si="179"/>
        <v>914.78937599999995</v>
      </c>
      <c r="Z254" s="16">
        <f t="shared" si="180"/>
        <v>1829.5787519999999</v>
      </c>
      <c r="AA254" s="16">
        <f t="shared" si="181"/>
        <v>182.95787519999999</v>
      </c>
      <c r="AB254" s="16">
        <f t="shared" si="182"/>
        <v>0</v>
      </c>
      <c r="AC254" s="16">
        <f t="shared" si="183"/>
        <v>0</v>
      </c>
      <c r="AD254" s="16" t="e">
        <f t="shared" si="184"/>
        <v>#DIV/0!</v>
      </c>
      <c r="AE254" s="16" t="e">
        <f t="shared" si="185"/>
        <v>#DIV/0!</v>
      </c>
      <c r="AF254" s="16" t="e">
        <f t="shared" si="186"/>
        <v>#DIV/0!</v>
      </c>
      <c r="AG254" s="16" t="e">
        <f t="shared" si="187"/>
        <v>#DIV/0!</v>
      </c>
      <c r="AH254" s="838" t="s">
        <v>85</v>
      </c>
      <c r="AI254" s="17">
        <f t="shared" si="188"/>
        <v>0</v>
      </c>
      <c r="AJ254" s="17" t="e">
        <f t="shared" si="189"/>
        <v>#DIV/0!</v>
      </c>
      <c r="AK254" s="891"/>
      <c r="AL254" s="18" t="s">
        <v>256</v>
      </c>
      <c r="AM254" s="889"/>
      <c r="AN254" s="891"/>
      <c r="AO254" s="888"/>
      <c r="AP254" s="891"/>
      <c r="AQ254" s="891"/>
      <c r="AR254" s="889"/>
      <c r="AS254" s="888"/>
      <c r="AT254" s="888"/>
      <c r="AU254" s="890"/>
      <c r="AV254" s="888"/>
      <c r="AW254" s="888"/>
      <c r="AX254" s="888"/>
      <c r="AY254" s="887"/>
      <c r="AZ254" s="888"/>
    </row>
    <row r="255" spans="3:52" ht="18.600000000000001">
      <c r="C255" s="13">
        <f>IF(D255&lt;&gt;"",COUNTA($D$10:D255),"")</f>
        <v>210</v>
      </c>
      <c r="D255" s="14" t="s">
        <v>205</v>
      </c>
      <c r="E255" s="14">
        <v>3.8</v>
      </c>
      <c r="F255" s="14">
        <v>4.2</v>
      </c>
      <c r="G255" s="14">
        <v>2.4</v>
      </c>
      <c r="H255" s="14">
        <v>3</v>
      </c>
      <c r="I255" s="14">
        <v>3</v>
      </c>
      <c r="J255" s="14">
        <v>1.75</v>
      </c>
      <c r="K255" s="14">
        <v>3</v>
      </c>
      <c r="L255" s="15">
        <v>0.1</v>
      </c>
      <c r="M255" s="15">
        <v>0</v>
      </c>
      <c r="N255" s="14">
        <v>24</v>
      </c>
      <c r="O255" s="14">
        <v>50</v>
      </c>
      <c r="P255" s="13">
        <v>45</v>
      </c>
      <c r="Q255" s="13">
        <v>85</v>
      </c>
      <c r="R255" s="13" t="s">
        <v>17</v>
      </c>
      <c r="S255" s="13">
        <v>120</v>
      </c>
      <c r="T255" s="13">
        <v>0</v>
      </c>
      <c r="U255" s="13">
        <v>100</v>
      </c>
      <c r="V255" s="13" t="str">
        <f t="shared" si="177"/>
        <v>ISO 6</v>
      </c>
      <c r="W255" s="13">
        <f t="shared" si="177"/>
        <v>120</v>
      </c>
      <c r="X255" s="16">
        <f t="shared" si="178"/>
        <v>171.72959999999998</v>
      </c>
      <c r="Y255" s="16">
        <f t="shared" si="179"/>
        <v>1351.8554111999997</v>
      </c>
      <c r="Z255" s="16">
        <f t="shared" si="180"/>
        <v>2703.7108223999994</v>
      </c>
      <c r="AA255" s="16">
        <f t="shared" si="181"/>
        <v>270.37108223999996</v>
      </c>
      <c r="AB255" s="16">
        <f t="shared" si="182"/>
        <v>0</v>
      </c>
      <c r="AC255" s="16">
        <f t="shared" si="183"/>
        <v>0</v>
      </c>
      <c r="AD255" s="16" t="e">
        <f t="shared" si="184"/>
        <v>#DIV/0!</v>
      </c>
      <c r="AE255" s="16" t="e">
        <f t="shared" si="185"/>
        <v>#DIV/0!</v>
      </c>
      <c r="AF255" s="16" t="e">
        <f t="shared" si="186"/>
        <v>#DIV/0!</v>
      </c>
      <c r="AG255" s="16" t="e">
        <f t="shared" si="187"/>
        <v>#DIV/0!</v>
      </c>
      <c r="AH255" s="838" t="s">
        <v>85</v>
      </c>
      <c r="AI255" s="17">
        <f t="shared" si="188"/>
        <v>0</v>
      </c>
      <c r="AJ255" s="17" t="e">
        <f t="shared" si="189"/>
        <v>#DIV/0!</v>
      </c>
      <c r="AK255" s="891"/>
      <c r="AL255" s="18" t="e">
        <f>IF(AL259&lt;4000,AL259,AL259+400)</f>
        <v>#DIV/0!</v>
      </c>
      <c r="AM255" s="889"/>
      <c r="AN255" s="891"/>
      <c r="AO255" s="888"/>
      <c r="AP255" s="891"/>
      <c r="AQ255" s="891"/>
      <c r="AR255" s="889"/>
      <c r="AS255" s="888"/>
      <c r="AT255" s="888"/>
      <c r="AU255" s="890"/>
      <c r="AV255" s="888"/>
      <c r="AW255" s="888"/>
      <c r="AX255" s="888"/>
      <c r="AY255" s="887"/>
      <c r="AZ255" s="888"/>
    </row>
    <row r="256" spans="3:52" ht="18.600000000000001">
      <c r="C256" s="13">
        <f>IF(D256&lt;&gt;"",COUNTA($D$10:D256),"")</f>
        <v>211</v>
      </c>
      <c r="D256" s="14" t="s">
        <v>206</v>
      </c>
      <c r="E256" s="14">
        <v>3.1</v>
      </c>
      <c r="F256" s="14">
        <v>2.6</v>
      </c>
      <c r="G256" s="14">
        <v>2.4</v>
      </c>
      <c r="H256" s="14">
        <v>2</v>
      </c>
      <c r="I256" s="14">
        <v>1</v>
      </c>
      <c r="J256" s="14">
        <v>1.75</v>
      </c>
      <c r="K256" s="14">
        <v>3</v>
      </c>
      <c r="L256" s="15">
        <v>0.1</v>
      </c>
      <c r="M256" s="15">
        <v>0</v>
      </c>
      <c r="N256" s="14">
        <v>24</v>
      </c>
      <c r="O256" s="14">
        <v>50</v>
      </c>
      <c r="P256" s="13">
        <v>45</v>
      </c>
      <c r="Q256" s="13">
        <v>85</v>
      </c>
      <c r="R256" s="13" t="s">
        <v>17</v>
      </c>
      <c r="S256" s="13">
        <v>120</v>
      </c>
      <c r="T256" s="13">
        <v>0</v>
      </c>
      <c r="U256" s="13">
        <v>100</v>
      </c>
      <c r="V256" s="13" t="str">
        <f t="shared" si="177"/>
        <v>ISO 6</v>
      </c>
      <c r="W256" s="13">
        <f t="shared" si="177"/>
        <v>120</v>
      </c>
      <c r="X256" s="16">
        <f t="shared" si="178"/>
        <v>86.7256</v>
      </c>
      <c r="Y256" s="16">
        <f t="shared" si="179"/>
        <v>682.70392319999996</v>
      </c>
      <c r="Z256" s="16">
        <f t="shared" si="180"/>
        <v>1365.4078463999999</v>
      </c>
      <c r="AA256" s="16">
        <f t="shared" si="181"/>
        <v>136.54078464</v>
      </c>
      <c r="AB256" s="16">
        <f t="shared" si="182"/>
        <v>0</v>
      </c>
      <c r="AC256" s="16">
        <f t="shared" si="183"/>
        <v>0</v>
      </c>
      <c r="AD256" s="16" t="e">
        <f t="shared" si="184"/>
        <v>#DIV/0!</v>
      </c>
      <c r="AE256" s="16" t="e">
        <f t="shared" si="185"/>
        <v>#DIV/0!</v>
      </c>
      <c r="AF256" s="16" t="e">
        <f t="shared" si="186"/>
        <v>#DIV/0!</v>
      </c>
      <c r="AG256" s="16" t="e">
        <f t="shared" si="187"/>
        <v>#DIV/0!</v>
      </c>
      <c r="AH256" s="838" t="s">
        <v>85</v>
      </c>
      <c r="AI256" s="17">
        <f t="shared" si="188"/>
        <v>0</v>
      </c>
      <c r="AJ256" s="17" t="e">
        <f t="shared" si="189"/>
        <v>#DIV/0!</v>
      </c>
      <c r="AK256" s="891"/>
      <c r="AL256" s="18"/>
      <c r="AM256" s="889"/>
      <c r="AN256" s="891"/>
      <c r="AO256" s="888"/>
      <c r="AP256" s="891"/>
      <c r="AQ256" s="891"/>
      <c r="AR256" s="889"/>
      <c r="AS256" s="888"/>
      <c r="AT256" s="888"/>
      <c r="AU256" s="890"/>
      <c r="AV256" s="888"/>
      <c r="AW256" s="888"/>
      <c r="AX256" s="888"/>
      <c r="AY256" s="887"/>
      <c r="AZ256" s="888"/>
    </row>
    <row r="257" spans="3:52" ht="18.600000000000001">
      <c r="C257" s="13">
        <f>IF(D257&lt;&gt;"",COUNTA($D$10:D257),"")</f>
        <v>212</v>
      </c>
      <c r="D257" s="14" t="s">
        <v>207</v>
      </c>
      <c r="E257" s="14">
        <v>1.9</v>
      </c>
      <c r="F257" s="14">
        <v>2.4</v>
      </c>
      <c r="G257" s="14">
        <v>2.4</v>
      </c>
      <c r="H257" s="14">
        <v>3</v>
      </c>
      <c r="I257" s="14">
        <v>2</v>
      </c>
      <c r="J257" s="14">
        <v>1.75</v>
      </c>
      <c r="K257" s="14">
        <v>3</v>
      </c>
      <c r="L257" s="15">
        <v>0.1</v>
      </c>
      <c r="M257" s="15">
        <v>0</v>
      </c>
      <c r="N257" s="14">
        <v>24</v>
      </c>
      <c r="O257" s="14">
        <v>50</v>
      </c>
      <c r="P257" s="13">
        <v>45</v>
      </c>
      <c r="Q257" s="13">
        <v>85</v>
      </c>
      <c r="R257" s="13" t="s">
        <v>17</v>
      </c>
      <c r="S257" s="13">
        <v>120</v>
      </c>
      <c r="T257" s="13">
        <v>0</v>
      </c>
      <c r="U257" s="13">
        <v>100</v>
      </c>
      <c r="V257" s="13" t="str">
        <f t="shared" si="177"/>
        <v>ISO 6</v>
      </c>
      <c r="W257" s="13">
        <f t="shared" si="177"/>
        <v>120</v>
      </c>
      <c r="X257" s="16">
        <f t="shared" si="178"/>
        <v>49.065599999999996</v>
      </c>
      <c r="Y257" s="16">
        <f t="shared" si="179"/>
        <v>386.24440319999997</v>
      </c>
      <c r="Z257" s="16">
        <f t="shared" si="180"/>
        <v>772.48880639999993</v>
      </c>
      <c r="AA257" s="16">
        <f t="shared" si="181"/>
        <v>77.248880639999996</v>
      </c>
      <c r="AB257" s="16">
        <f t="shared" si="182"/>
        <v>0</v>
      </c>
      <c r="AC257" s="16">
        <f t="shared" si="183"/>
        <v>0</v>
      </c>
      <c r="AD257" s="16" t="e">
        <f t="shared" si="184"/>
        <v>#DIV/0!</v>
      </c>
      <c r="AE257" s="16" t="e">
        <f t="shared" si="185"/>
        <v>#DIV/0!</v>
      </c>
      <c r="AF257" s="16" t="e">
        <f t="shared" si="186"/>
        <v>#DIV/0!</v>
      </c>
      <c r="AG257" s="16" t="e">
        <f t="shared" si="187"/>
        <v>#DIV/0!</v>
      </c>
      <c r="AH257" s="838" t="s">
        <v>85</v>
      </c>
      <c r="AI257" s="17">
        <f t="shared" si="188"/>
        <v>0</v>
      </c>
      <c r="AJ257" s="17" t="e">
        <f t="shared" si="189"/>
        <v>#DIV/0!</v>
      </c>
      <c r="AK257" s="891"/>
      <c r="AL257" s="18"/>
      <c r="AM257" s="889"/>
      <c r="AN257" s="891"/>
      <c r="AO257" s="888"/>
      <c r="AP257" s="891"/>
      <c r="AQ257" s="891"/>
      <c r="AR257" s="889"/>
      <c r="AS257" s="888"/>
      <c r="AT257" s="888"/>
      <c r="AU257" s="890"/>
      <c r="AV257" s="888"/>
      <c r="AW257" s="888"/>
      <c r="AX257" s="888"/>
      <c r="AY257" s="887"/>
      <c r="AZ257" s="888"/>
    </row>
    <row r="258" spans="3:52" ht="18.600000000000001">
      <c r="C258" s="13">
        <f>IF(D258&lt;&gt;"",COUNTA($D$10:D258),"")</f>
        <v>213</v>
      </c>
      <c r="D258" s="14" t="s">
        <v>208</v>
      </c>
      <c r="E258" s="14">
        <v>3</v>
      </c>
      <c r="F258" s="14">
        <v>2.9</v>
      </c>
      <c r="G258" s="14">
        <v>2.4</v>
      </c>
      <c r="H258" s="14">
        <v>2</v>
      </c>
      <c r="I258" s="14">
        <v>1</v>
      </c>
      <c r="J258" s="14">
        <v>1.75</v>
      </c>
      <c r="K258" s="14">
        <v>3</v>
      </c>
      <c r="L258" s="15">
        <v>0.1</v>
      </c>
      <c r="M258" s="15">
        <v>0</v>
      </c>
      <c r="N258" s="14">
        <v>24</v>
      </c>
      <c r="O258" s="14">
        <v>50</v>
      </c>
      <c r="P258" s="13">
        <v>45</v>
      </c>
      <c r="Q258" s="13">
        <v>85</v>
      </c>
      <c r="R258" s="13" t="s">
        <v>17</v>
      </c>
      <c r="S258" s="13">
        <v>120</v>
      </c>
      <c r="T258" s="13">
        <v>0</v>
      </c>
      <c r="U258" s="13">
        <v>100</v>
      </c>
      <c r="V258" s="13" t="str">
        <f t="shared" si="177"/>
        <v>ISO 6</v>
      </c>
      <c r="W258" s="13">
        <f t="shared" si="177"/>
        <v>120</v>
      </c>
      <c r="X258" s="16">
        <f t="shared" si="178"/>
        <v>93.611999999999995</v>
      </c>
      <c r="Y258" s="16">
        <f t="shared" si="179"/>
        <v>736.91366399999993</v>
      </c>
      <c r="Z258" s="16">
        <f t="shared" si="180"/>
        <v>1473.8273279999999</v>
      </c>
      <c r="AA258" s="16">
        <f t="shared" si="181"/>
        <v>147.38273279999999</v>
      </c>
      <c r="AB258" s="16">
        <f t="shared" si="182"/>
        <v>0</v>
      </c>
      <c r="AC258" s="16">
        <f t="shared" si="183"/>
        <v>0</v>
      </c>
      <c r="AD258" s="16" t="e">
        <f>IF(ISNUMBER(N258), CEILING(CF258/(0.68*BP258),25), "Ambient")</f>
        <v>#DIV/0!</v>
      </c>
      <c r="AE258" s="16" t="e">
        <f t="shared" si="185"/>
        <v>#DIV/0!</v>
      </c>
      <c r="AF258" s="16" t="e">
        <f t="shared" si="186"/>
        <v>#DIV/0!</v>
      </c>
      <c r="AG258" s="16" t="e">
        <f t="shared" si="187"/>
        <v>#DIV/0!</v>
      </c>
      <c r="AH258" s="838" t="s">
        <v>85</v>
      </c>
      <c r="AI258" s="17">
        <f t="shared" si="188"/>
        <v>0</v>
      </c>
      <c r="AJ258" s="17" t="e">
        <f t="shared" si="189"/>
        <v>#DIV/0!</v>
      </c>
      <c r="AK258" s="891"/>
      <c r="AL258" s="18"/>
      <c r="AM258" s="889"/>
      <c r="AN258" s="891"/>
      <c r="AO258" s="888"/>
      <c r="AP258" s="891"/>
      <c r="AQ258" s="891"/>
      <c r="AR258" s="889"/>
      <c r="AS258" s="888"/>
      <c r="AT258" s="888"/>
      <c r="AU258" s="890"/>
      <c r="AV258" s="888"/>
      <c r="AW258" s="888"/>
      <c r="AX258" s="888"/>
      <c r="AY258" s="887"/>
      <c r="AZ258" s="888"/>
    </row>
    <row r="259" spans="3:52" ht="18.600000000000001">
      <c r="C259" s="13">
        <f>IF(D259&lt;&gt;"",COUNTA($D$10:D259),"")</f>
        <v>214</v>
      </c>
      <c r="D259" s="14" t="s">
        <v>209</v>
      </c>
      <c r="E259" s="14">
        <v>2.4</v>
      </c>
      <c r="F259" s="14">
        <v>2</v>
      </c>
      <c r="G259" s="14">
        <v>2.4</v>
      </c>
      <c r="H259" s="14">
        <v>2</v>
      </c>
      <c r="I259" s="14">
        <v>1</v>
      </c>
      <c r="J259" s="14">
        <v>1.75</v>
      </c>
      <c r="K259" s="14">
        <v>3</v>
      </c>
      <c r="L259" s="15">
        <v>0.1</v>
      </c>
      <c r="M259" s="15">
        <v>0</v>
      </c>
      <c r="N259" s="14">
        <v>24</v>
      </c>
      <c r="O259" s="14">
        <v>50</v>
      </c>
      <c r="P259" s="13">
        <v>45</v>
      </c>
      <c r="Q259" s="13">
        <v>85</v>
      </c>
      <c r="R259" s="13" t="s">
        <v>17</v>
      </c>
      <c r="S259" s="13">
        <v>120</v>
      </c>
      <c r="T259" s="13">
        <v>0</v>
      </c>
      <c r="U259" s="13">
        <v>100</v>
      </c>
      <c r="V259" s="13" t="str">
        <f t="shared" si="177"/>
        <v>ISO 6</v>
      </c>
      <c r="W259" s="13">
        <f t="shared" si="177"/>
        <v>120</v>
      </c>
      <c r="X259" s="16">
        <f t="shared" si="178"/>
        <v>51.647999999999996</v>
      </c>
      <c r="Y259" s="16">
        <f t="shared" si="179"/>
        <v>406.57305599999995</v>
      </c>
      <c r="Z259" s="16">
        <f t="shared" si="180"/>
        <v>813.1461119999999</v>
      </c>
      <c r="AA259" s="16">
        <f t="shared" si="181"/>
        <v>81.314611200000002</v>
      </c>
      <c r="AB259" s="16">
        <f t="shared" si="182"/>
        <v>0</v>
      </c>
      <c r="AC259" s="16">
        <f t="shared" si="183"/>
        <v>0</v>
      </c>
      <c r="AD259" s="16" t="e">
        <f t="shared" ref="AD259:AD265" si="190">IF(ISNUMBER(N259), CEILING(CF259/(0.68*BP259),25), "Ambient")</f>
        <v>#DIV/0!</v>
      </c>
      <c r="AE259" s="16" t="e">
        <f t="shared" si="185"/>
        <v>#DIV/0!</v>
      </c>
      <c r="AF259" s="16" t="e">
        <f t="shared" si="186"/>
        <v>#DIV/0!</v>
      </c>
      <c r="AG259" s="16" t="e">
        <f t="shared" si="187"/>
        <v>#DIV/0!</v>
      </c>
      <c r="AH259" s="838" t="s">
        <v>85</v>
      </c>
      <c r="AI259" s="17">
        <f t="shared" si="188"/>
        <v>0</v>
      </c>
      <c r="AJ259" s="17" t="e">
        <f t="shared" si="189"/>
        <v>#DIV/0!</v>
      </c>
      <c r="AK259" s="891"/>
      <c r="AL259" s="174" t="e">
        <f>IF(AN250&lt;=315,1600,(IF(AN250=355,1650,(IF(AN250=400,1650,(IF(AN250=450,1700,(IF(AN250=500,1700,(IF(AN250=560,1800,(IF(AN250=630,2000,(IF(AN250=710,2200,2500)))))))))))))))+IF(AR250=2,1800,(IF(AR250=3,2300,(IF(AR250=4,3300,0)))))+IF(AP250&lt;=4,600,(IF(AP250&lt;=6,800,(IF(AP250&lt;=8,1000,1200)))))</f>
        <v>#DIV/0!</v>
      </c>
      <c r="AM259" s="889"/>
      <c r="AN259" s="891"/>
      <c r="AO259" s="888"/>
      <c r="AP259" s="891"/>
      <c r="AQ259" s="891"/>
      <c r="AR259" s="889"/>
      <c r="AS259" s="888"/>
      <c r="AT259" s="888"/>
      <c r="AU259" s="890"/>
      <c r="AV259" s="888"/>
      <c r="AW259" s="888"/>
      <c r="AX259" s="888"/>
      <c r="AY259" s="887"/>
      <c r="AZ259" s="888"/>
    </row>
    <row r="260" spans="3:52" ht="18.600000000000001">
      <c r="C260" s="13">
        <f>IF(D260&lt;&gt;"",COUNTA($D$10:D260),"")</f>
        <v>215</v>
      </c>
      <c r="D260" s="14" t="s">
        <v>210</v>
      </c>
      <c r="E260" s="14">
        <v>2.1</v>
      </c>
      <c r="F260" s="14">
        <v>1.8</v>
      </c>
      <c r="G260" s="14">
        <v>2.4</v>
      </c>
      <c r="H260" s="14">
        <v>2</v>
      </c>
      <c r="I260" s="14">
        <v>1</v>
      </c>
      <c r="J260" s="14">
        <v>1.75</v>
      </c>
      <c r="K260" s="14">
        <v>3</v>
      </c>
      <c r="L260" s="15">
        <v>0.1</v>
      </c>
      <c r="M260" s="15">
        <v>0</v>
      </c>
      <c r="N260" s="14">
        <v>24</v>
      </c>
      <c r="O260" s="14">
        <v>50</v>
      </c>
      <c r="P260" s="13">
        <v>45</v>
      </c>
      <c r="Q260" s="13">
        <v>85</v>
      </c>
      <c r="R260" s="13" t="s">
        <v>17</v>
      </c>
      <c r="S260" s="13">
        <v>120</v>
      </c>
      <c r="T260" s="13">
        <v>0</v>
      </c>
      <c r="U260" s="13">
        <v>100</v>
      </c>
      <c r="V260" s="13" t="str">
        <f t="shared" si="177"/>
        <v>ISO 6</v>
      </c>
      <c r="W260" s="13">
        <f t="shared" si="177"/>
        <v>120</v>
      </c>
      <c r="X260" s="16">
        <f t="shared" si="178"/>
        <v>40.672800000000002</v>
      </c>
      <c r="Y260" s="16">
        <f t="shared" si="179"/>
        <v>320.17628159999998</v>
      </c>
      <c r="Z260" s="16">
        <f t="shared" si="180"/>
        <v>640.35256319999996</v>
      </c>
      <c r="AA260" s="16">
        <f t="shared" si="181"/>
        <v>64.035256320000002</v>
      </c>
      <c r="AB260" s="16">
        <f t="shared" si="182"/>
        <v>0</v>
      </c>
      <c r="AC260" s="16">
        <f t="shared" si="183"/>
        <v>0</v>
      </c>
      <c r="AD260" s="16" t="e">
        <f t="shared" si="190"/>
        <v>#DIV/0!</v>
      </c>
      <c r="AE260" s="16" t="e">
        <f t="shared" si="185"/>
        <v>#DIV/0!</v>
      </c>
      <c r="AF260" s="16" t="e">
        <f t="shared" si="186"/>
        <v>#DIV/0!</v>
      </c>
      <c r="AG260" s="16" t="e">
        <f t="shared" si="187"/>
        <v>#DIV/0!</v>
      </c>
      <c r="AH260" s="838" t="s">
        <v>85</v>
      </c>
      <c r="AI260" s="17">
        <f t="shared" si="188"/>
        <v>0</v>
      </c>
      <c r="AJ260" s="17" t="e">
        <f t="shared" si="189"/>
        <v>#DIV/0!</v>
      </c>
      <c r="AK260" s="891"/>
      <c r="AL260" s="18"/>
      <c r="AM260" s="889"/>
      <c r="AN260" s="891"/>
      <c r="AO260" s="888"/>
      <c r="AP260" s="891"/>
      <c r="AQ260" s="891"/>
      <c r="AR260" s="889"/>
      <c r="AS260" s="888"/>
      <c r="AT260" s="888"/>
      <c r="AU260" s="890"/>
      <c r="AV260" s="888"/>
      <c r="AW260" s="888"/>
      <c r="AX260" s="888"/>
      <c r="AY260" s="887"/>
      <c r="AZ260" s="888"/>
    </row>
    <row r="261" spans="3:52" ht="18.600000000000001">
      <c r="C261" s="13">
        <f>IF(D261&lt;&gt;"",COUNTA($D$10:D261),"")</f>
        <v>216</v>
      </c>
      <c r="D261" s="14" t="s">
        <v>211</v>
      </c>
      <c r="E261" s="14">
        <v>1.8</v>
      </c>
      <c r="F261" s="14">
        <v>1.9</v>
      </c>
      <c r="G261" s="14">
        <v>2.4</v>
      </c>
      <c r="H261" s="14">
        <v>2</v>
      </c>
      <c r="I261" s="14">
        <v>1</v>
      </c>
      <c r="J261" s="14">
        <v>1.75</v>
      </c>
      <c r="K261" s="14">
        <v>3</v>
      </c>
      <c r="L261" s="15">
        <v>0.1</v>
      </c>
      <c r="M261" s="15">
        <v>0</v>
      </c>
      <c r="N261" s="14">
        <v>24</v>
      </c>
      <c r="O261" s="14">
        <v>50</v>
      </c>
      <c r="P261" s="13">
        <v>45</v>
      </c>
      <c r="Q261" s="13">
        <v>85</v>
      </c>
      <c r="R261" s="13" t="s">
        <v>17</v>
      </c>
      <c r="S261" s="13">
        <v>120</v>
      </c>
      <c r="T261" s="13">
        <v>0</v>
      </c>
      <c r="U261" s="13">
        <v>100</v>
      </c>
      <c r="V261" s="13" t="str">
        <f t="shared" si="177"/>
        <v>ISO 6</v>
      </c>
      <c r="W261" s="13">
        <f t="shared" si="177"/>
        <v>120</v>
      </c>
      <c r="X261" s="16">
        <f t="shared" si="178"/>
        <v>36.799199999999999</v>
      </c>
      <c r="Y261" s="16">
        <f t="shared" si="179"/>
        <v>289.68330239999995</v>
      </c>
      <c r="Z261" s="16">
        <f t="shared" si="180"/>
        <v>579.36660479999989</v>
      </c>
      <c r="AA261" s="16">
        <f t="shared" si="181"/>
        <v>57.936660479999993</v>
      </c>
      <c r="AB261" s="16">
        <f t="shared" si="182"/>
        <v>0</v>
      </c>
      <c r="AC261" s="16">
        <f t="shared" si="183"/>
        <v>0</v>
      </c>
      <c r="AD261" s="16" t="e">
        <f t="shared" si="190"/>
        <v>#DIV/0!</v>
      </c>
      <c r="AE261" s="16" t="e">
        <f t="shared" si="185"/>
        <v>#DIV/0!</v>
      </c>
      <c r="AF261" s="16" t="e">
        <f t="shared" si="186"/>
        <v>#DIV/0!</v>
      </c>
      <c r="AG261" s="16" t="e">
        <f t="shared" si="187"/>
        <v>#DIV/0!</v>
      </c>
      <c r="AH261" s="838" t="s">
        <v>85</v>
      </c>
      <c r="AI261" s="17">
        <f t="shared" si="188"/>
        <v>0</v>
      </c>
      <c r="AJ261" s="17" t="e">
        <f t="shared" si="189"/>
        <v>#DIV/0!</v>
      </c>
      <c r="AK261" s="891"/>
      <c r="AL261" s="18"/>
      <c r="AM261" s="889"/>
      <c r="AN261" s="891"/>
      <c r="AO261" s="888"/>
      <c r="AP261" s="891"/>
      <c r="AQ261" s="891"/>
      <c r="AR261" s="889"/>
      <c r="AS261" s="888"/>
      <c r="AT261" s="888"/>
      <c r="AU261" s="890"/>
      <c r="AV261" s="888"/>
      <c r="AW261" s="888"/>
      <c r="AX261" s="888"/>
      <c r="AY261" s="887"/>
      <c r="AZ261" s="888"/>
    </row>
    <row r="262" spans="3:52" ht="18.600000000000001">
      <c r="C262" s="13">
        <f>IF(D262&lt;&gt;"",COUNTA($D$10:D262),"")</f>
        <v>217</v>
      </c>
      <c r="D262" s="14" t="s">
        <v>212</v>
      </c>
      <c r="E262" s="14">
        <v>1.9</v>
      </c>
      <c r="F262" s="14">
        <v>2</v>
      </c>
      <c r="G262" s="14">
        <v>2.4</v>
      </c>
      <c r="H262" s="14">
        <v>2</v>
      </c>
      <c r="I262" s="14">
        <v>1</v>
      </c>
      <c r="J262" s="14">
        <v>1.75</v>
      </c>
      <c r="K262" s="14">
        <v>3</v>
      </c>
      <c r="L262" s="15">
        <v>0.1</v>
      </c>
      <c r="M262" s="15">
        <v>0</v>
      </c>
      <c r="N262" s="14">
        <v>24</v>
      </c>
      <c r="O262" s="14">
        <v>50</v>
      </c>
      <c r="P262" s="13">
        <v>45</v>
      </c>
      <c r="Q262" s="13">
        <v>85</v>
      </c>
      <c r="R262" s="13" t="s">
        <v>17</v>
      </c>
      <c r="S262" s="13">
        <v>120</v>
      </c>
      <c r="T262" s="13">
        <v>0</v>
      </c>
      <c r="U262" s="13">
        <v>100</v>
      </c>
      <c r="V262" s="13" t="str">
        <f t="shared" si="177"/>
        <v>ISO 6</v>
      </c>
      <c r="W262" s="13">
        <f t="shared" si="177"/>
        <v>120</v>
      </c>
      <c r="X262" s="16">
        <f t="shared" si="178"/>
        <v>40.887999999999998</v>
      </c>
      <c r="Y262" s="16">
        <f t="shared" si="179"/>
        <v>321.87033599999995</v>
      </c>
      <c r="Z262" s="16">
        <f t="shared" si="180"/>
        <v>643.7406719999999</v>
      </c>
      <c r="AA262" s="16">
        <f t="shared" si="181"/>
        <v>64.374067199999999</v>
      </c>
      <c r="AB262" s="16">
        <f t="shared" si="182"/>
        <v>0</v>
      </c>
      <c r="AC262" s="16">
        <f t="shared" si="183"/>
        <v>0</v>
      </c>
      <c r="AD262" s="16" t="e">
        <f t="shared" si="190"/>
        <v>#DIV/0!</v>
      </c>
      <c r="AE262" s="16" t="e">
        <f t="shared" si="185"/>
        <v>#DIV/0!</v>
      </c>
      <c r="AF262" s="16" t="e">
        <f t="shared" si="186"/>
        <v>#DIV/0!</v>
      </c>
      <c r="AG262" s="16" t="e">
        <f t="shared" si="187"/>
        <v>#DIV/0!</v>
      </c>
      <c r="AH262" s="838" t="s">
        <v>85</v>
      </c>
      <c r="AI262" s="17">
        <f t="shared" si="188"/>
        <v>0</v>
      </c>
      <c r="AJ262" s="17" t="e">
        <f t="shared" si="189"/>
        <v>#DIV/0!</v>
      </c>
      <c r="AK262" s="891"/>
      <c r="AL262" s="18"/>
      <c r="AM262" s="889"/>
      <c r="AN262" s="891"/>
      <c r="AO262" s="888"/>
      <c r="AP262" s="891"/>
      <c r="AQ262" s="891"/>
      <c r="AR262" s="889"/>
      <c r="AS262" s="888"/>
      <c r="AT262" s="888"/>
      <c r="AU262" s="890"/>
      <c r="AV262" s="888"/>
      <c r="AW262" s="888"/>
      <c r="AX262" s="888"/>
      <c r="AY262" s="887"/>
      <c r="AZ262" s="888"/>
    </row>
    <row r="263" spans="3:52" ht="18.600000000000001">
      <c r="C263" s="13">
        <f>IF(D263&lt;&gt;"",COUNTA($D$10:D263),"")</f>
        <v>218</v>
      </c>
      <c r="D263" s="14" t="s">
        <v>213</v>
      </c>
      <c r="E263" s="14">
        <v>2.2999999999999998</v>
      </c>
      <c r="F263" s="14">
        <v>2.2000000000000002</v>
      </c>
      <c r="G263" s="14">
        <v>2.4</v>
      </c>
      <c r="H263" s="14">
        <v>2</v>
      </c>
      <c r="I263" s="14">
        <v>1</v>
      </c>
      <c r="J263" s="14">
        <v>1.75</v>
      </c>
      <c r="K263" s="14">
        <v>3</v>
      </c>
      <c r="L263" s="15">
        <v>0.1</v>
      </c>
      <c r="M263" s="15">
        <v>0</v>
      </c>
      <c r="N263" s="14">
        <v>24</v>
      </c>
      <c r="O263" s="14">
        <v>50</v>
      </c>
      <c r="P263" s="13">
        <v>45</v>
      </c>
      <c r="Q263" s="13">
        <v>85</v>
      </c>
      <c r="R263" s="13" t="s">
        <v>17</v>
      </c>
      <c r="S263" s="13">
        <v>120</v>
      </c>
      <c r="T263" s="13">
        <v>0</v>
      </c>
      <c r="U263" s="13">
        <v>100</v>
      </c>
      <c r="V263" s="13" t="str">
        <f t="shared" si="177"/>
        <v>ISO 6</v>
      </c>
      <c r="W263" s="13">
        <f t="shared" si="177"/>
        <v>120</v>
      </c>
      <c r="X263" s="16">
        <f t="shared" si="178"/>
        <v>54.445599999999992</v>
      </c>
      <c r="Y263" s="16">
        <f t="shared" si="179"/>
        <v>428.59576319999991</v>
      </c>
      <c r="Z263" s="16">
        <f t="shared" si="180"/>
        <v>857.19152639999982</v>
      </c>
      <c r="AA263" s="16">
        <f t="shared" si="181"/>
        <v>85.71915263999999</v>
      </c>
      <c r="AB263" s="16">
        <f t="shared" si="182"/>
        <v>0</v>
      </c>
      <c r="AC263" s="16">
        <f t="shared" si="183"/>
        <v>0</v>
      </c>
      <c r="AD263" s="16" t="e">
        <f t="shared" si="190"/>
        <v>#DIV/0!</v>
      </c>
      <c r="AE263" s="16" t="e">
        <f t="shared" si="185"/>
        <v>#DIV/0!</v>
      </c>
      <c r="AF263" s="16" t="e">
        <f t="shared" si="186"/>
        <v>#DIV/0!</v>
      </c>
      <c r="AG263" s="16" t="e">
        <f t="shared" si="187"/>
        <v>#DIV/0!</v>
      </c>
      <c r="AH263" s="838" t="s">
        <v>85</v>
      </c>
      <c r="AI263" s="17">
        <f t="shared" si="188"/>
        <v>0</v>
      </c>
      <c r="AJ263" s="17" t="e">
        <f t="shared" si="189"/>
        <v>#DIV/0!</v>
      </c>
      <c r="AK263" s="891"/>
      <c r="AL263" s="18"/>
      <c r="AM263" s="889"/>
      <c r="AN263" s="891"/>
      <c r="AO263" s="888"/>
      <c r="AP263" s="891"/>
      <c r="AQ263" s="891"/>
      <c r="AR263" s="889"/>
      <c r="AS263" s="888"/>
      <c r="AT263" s="888"/>
      <c r="AU263" s="890"/>
      <c r="AV263" s="888"/>
      <c r="AW263" s="888"/>
      <c r="AX263" s="888"/>
      <c r="AY263" s="887"/>
      <c r="AZ263" s="888"/>
    </row>
    <row r="264" spans="3:52" ht="18.600000000000001">
      <c r="C264" s="13">
        <f>IF(D264&lt;&gt;"",COUNTA($D$10:D264),"")</f>
        <v>219</v>
      </c>
      <c r="D264" s="14" t="s">
        <v>214</v>
      </c>
      <c r="E264" s="14">
        <v>2.2000000000000002</v>
      </c>
      <c r="F264" s="14">
        <v>2.8</v>
      </c>
      <c r="G264" s="14">
        <v>2.4</v>
      </c>
      <c r="H264" s="14">
        <v>2</v>
      </c>
      <c r="I264" s="14">
        <v>1</v>
      </c>
      <c r="J264" s="14">
        <v>1.75</v>
      </c>
      <c r="K264" s="14">
        <v>3</v>
      </c>
      <c r="L264" s="15">
        <v>0.1</v>
      </c>
      <c r="M264" s="15">
        <v>0</v>
      </c>
      <c r="N264" s="14">
        <v>24</v>
      </c>
      <c r="O264" s="14">
        <v>50</v>
      </c>
      <c r="P264" s="13">
        <v>45</v>
      </c>
      <c r="Q264" s="13">
        <v>85</v>
      </c>
      <c r="R264" s="13" t="s">
        <v>17</v>
      </c>
      <c r="S264" s="13">
        <v>120</v>
      </c>
      <c r="T264" s="13">
        <v>0</v>
      </c>
      <c r="U264" s="13">
        <v>100</v>
      </c>
      <c r="V264" s="13" t="str">
        <f t="shared" si="177"/>
        <v>ISO 6</v>
      </c>
      <c r="W264" s="13">
        <f t="shared" si="177"/>
        <v>120</v>
      </c>
      <c r="X264" s="16">
        <f t="shared" si="178"/>
        <v>66.281599999999997</v>
      </c>
      <c r="Y264" s="16">
        <f t="shared" si="179"/>
        <v>521.76875519999999</v>
      </c>
      <c r="Z264" s="16">
        <f t="shared" si="180"/>
        <v>1043.5375104</v>
      </c>
      <c r="AA264" s="16">
        <f t="shared" si="181"/>
        <v>104.35375104000001</v>
      </c>
      <c r="AB264" s="16">
        <f t="shared" si="182"/>
        <v>0</v>
      </c>
      <c r="AC264" s="16">
        <f t="shared" si="183"/>
        <v>0</v>
      </c>
      <c r="AD264" s="16" t="e">
        <f t="shared" si="190"/>
        <v>#DIV/0!</v>
      </c>
      <c r="AE264" s="16" t="e">
        <f t="shared" si="185"/>
        <v>#DIV/0!</v>
      </c>
      <c r="AF264" s="16" t="e">
        <f t="shared" si="186"/>
        <v>#DIV/0!</v>
      </c>
      <c r="AG264" s="16" t="e">
        <f t="shared" si="187"/>
        <v>#DIV/0!</v>
      </c>
      <c r="AH264" s="838" t="s">
        <v>85</v>
      </c>
      <c r="AI264" s="17">
        <f t="shared" si="188"/>
        <v>0</v>
      </c>
      <c r="AJ264" s="17" t="e">
        <f t="shared" si="189"/>
        <v>#DIV/0!</v>
      </c>
      <c r="AK264" s="891"/>
      <c r="AL264" s="18"/>
      <c r="AM264" s="889"/>
      <c r="AN264" s="891"/>
      <c r="AO264" s="888"/>
      <c r="AP264" s="891"/>
      <c r="AQ264" s="891"/>
      <c r="AR264" s="889"/>
      <c r="AS264" s="888"/>
      <c r="AT264" s="888"/>
      <c r="AU264" s="890"/>
      <c r="AV264" s="888"/>
      <c r="AW264" s="888"/>
      <c r="AX264" s="888"/>
      <c r="AY264" s="887"/>
      <c r="AZ264" s="888"/>
    </row>
    <row r="265" spans="3:52" ht="18.600000000000001">
      <c r="C265" s="13">
        <f>IF(D265&lt;&gt;"",COUNTA($D$10:D265),"")</f>
        <v>220</v>
      </c>
      <c r="D265" s="14" t="s">
        <v>215</v>
      </c>
      <c r="E265" s="14">
        <v>2.8</v>
      </c>
      <c r="F265" s="14">
        <v>2.4</v>
      </c>
      <c r="G265" s="14">
        <v>2.4</v>
      </c>
      <c r="H265" s="14">
        <v>2</v>
      </c>
      <c r="I265" s="14">
        <v>1</v>
      </c>
      <c r="J265" s="14">
        <v>1.75</v>
      </c>
      <c r="K265" s="14">
        <v>3</v>
      </c>
      <c r="L265" s="15">
        <v>0.1</v>
      </c>
      <c r="M265" s="15">
        <v>0</v>
      </c>
      <c r="N265" s="14">
        <v>24</v>
      </c>
      <c r="O265" s="14">
        <v>50</v>
      </c>
      <c r="P265" s="13">
        <v>45</v>
      </c>
      <c r="Q265" s="13">
        <v>85</v>
      </c>
      <c r="R265" s="13" t="s">
        <v>17</v>
      </c>
      <c r="S265" s="13">
        <v>120</v>
      </c>
      <c r="T265" s="13">
        <v>0</v>
      </c>
      <c r="U265" s="13">
        <v>100</v>
      </c>
      <c r="V265" s="13" t="str">
        <f t="shared" si="177"/>
        <v>ISO 6</v>
      </c>
      <c r="W265" s="13">
        <f t="shared" si="177"/>
        <v>120</v>
      </c>
      <c r="X265" s="16">
        <f t="shared" si="178"/>
        <v>72.307199999999995</v>
      </c>
      <c r="Y265" s="16">
        <f t="shared" si="179"/>
        <v>569.20227839999995</v>
      </c>
      <c r="Z265" s="16">
        <f t="shared" si="180"/>
        <v>1138.4045567999999</v>
      </c>
      <c r="AA265" s="16">
        <f t="shared" si="181"/>
        <v>113.84045567999999</v>
      </c>
      <c r="AB265" s="16">
        <f t="shared" si="182"/>
        <v>0</v>
      </c>
      <c r="AC265" s="16">
        <f t="shared" si="183"/>
        <v>0</v>
      </c>
      <c r="AD265" s="16" t="e">
        <f t="shared" si="190"/>
        <v>#DIV/0!</v>
      </c>
      <c r="AE265" s="16" t="e">
        <f t="shared" si="185"/>
        <v>#DIV/0!</v>
      </c>
      <c r="AF265" s="16" t="e">
        <f t="shared" si="186"/>
        <v>#DIV/0!</v>
      </c>
      <c r="AG265" s="16" t="e">
        <f t="shared" si="187"/>
        <v>#DIV/0!</v>
      </c>
      <c r="AH265" s="838" t="s">
        <v>85</v>
      </c>
      <c r="AI265" s="17">
        <f t="shared" si="188"/>
        <v>0</v>
      </c>
      <c r="AJ265" s="17" t="e">
        <f t="shared" si="189"/>
        <v>#DIV/0!</v>
      </c>
      <c r="AK265" s="891"/>
      <c r="AL265" s="18"/>
      <c r="AM265" s="889"/>
      <c r="AN265" s="891"/>
      <c r="AO265" s="888"/>
      <c r="AP265" s="891"/>
      <c r="AQ265" s="891"/>
      <c r="AR265" s="889"/>
      <c r="AS265" s="888"/>
      <c r="AT265" s="888"/>
      <c r="AU265" s="890"/>
      <c r="AV265" s="888"/>
      <c r="AW265" s="888"/>
      <c r="AX265" s="888"/>
      <c r="AY265" s="887"/>
      <c r="AZ265" s="888"/>
    </row>
    <row r="266" spans="3:52">
      <c r="C266" s="19"/>
      <c r="D266" s="19"/>
      <c r="E266" s="19"/>
      <c r="F266" s="19"/>
      <c r="G266" s="19"/>
      <c r="H266" s="19"/>
      <c r="I266" s="19"/>
      <c r="J266" s="19"/>
      <c r="K266" s="19"/>
      <c r="L266" s="19"/>
      <c r="M266" s="19"/>
      <c r="N266" s="19"/>
      <c r="O266" s="19"/>
      <c r="P266" s="19"/>
      <c r="Q266" s="19"/>
      <c r="R266" s="19"/>
      <c r="S266" s="19"/>
      <c r="T266" s="19"/>
      <c r="U266" s="19"/>
      <c r="V266" s="19"/>
      <c r="W266" s="19"/>
      <c r="X266" s="20">
        <f>SUM(X250:X265)</f>
        <v>1144.1108000000002</v>
      </c>
      <c r="Y266" s="20">
        <f t="shared" ref="Y266:AG266" si="191">SUM(Y250:Y265)</f>
        <v>9006.4402175999985</v>
      </c>
      <c r="Z266" s="20">
        <f t="shared" si="191"/>
        <v>18012.880435199997</v>
      </c>
      <c r="AA266" s="20">
        <f t="shared" si="191"/>
        <v>1801.2880435199995</v>
      </c>
      <c r="AB266" s="20">
        <f t="shared" si="191"/>
        <v>0</v>
      </c>
      <c r="AC266" s="20">
        <f t="shared" si="191"/>
        <v>0</v>
      </c>
      <c r="AD266" s="20" t="e">
        <f t="shared" si="191"/>
        <v>#DIV/0!</v>
      </c>
      <c r="AE266" s="20" t="e">
        <f t="shared" si="191"/>
        <v>#DIV/0!</v>
      </c>
      <c r="AF266" s="20" t="e">
        <f t="shared" si="191"/>
        <v>#DIV/0!</v>
      </c>
      <c r="AG266" s="20" t="e">
        <f t="shared" si="191"/>
        <v>#DIV/0!</v>
      </c>
      <c r="AH266" s="841"/>
      <c r="AI266" s="20">
        <f t="shared" ref="AI266:AJ266" si="192">SUM(AI250:AI265)</f>
        <v>0</v>
      </c>
      <c r="AJ266" s="20" t="e">
        <f t="shared" si="192"/>
        <v>#DIV/0!</v>
      </c>
      <c r="AK266" s="21"/>
      <c r="AL266" s="21"/>
      <c r="AM266" s="21"/>
      <c r="AN266" s="21"/>
      <c r="AO266" s="21"/>
      <c r="AP266" s="21"/>
      <c r="AQ266" s="21"/>
      <c r="AR266" s="21"/>
      <c r="AS266" s="21"/>
      <c r="AT266" s="21"/>
      <c r="AU266" s="21"/>
      <c r="AV266" s="21"/>
      <c r="AW266" s="21"/>
      <c r="AX266" s="21"/>
      <c r="AY266" s="21"/>
      <c r="AZ266" s="21"/>
    </row>
    <row r="267" spans="3:52">
      <c r="AH267" s="840"/>
    </row>
    <row r="268" spans="3:52" ht="26.1">
      <c r="C268" s="8" t="e">
        <f>"Zoning Area  AHU - " &amp; INT((ROW()-8)/20)+1 &amp; "  " &amp;IF(AQ270&gt;0,"Air-Conditioning System " &amp; IF(AH270="D","(DX)",IF(AH270="C","(Chilled Water)","")),IF(AND(N270="Amb",AQ270=0),"Ventilation System","Refer"))</f>
        <v>#DIV/0!</v>
      </c>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39"/>
      <c r="AI268" s="8"/>
      <c r="AJ268" s="8"/>
      <c r="AK268" s="8"/>
      <c r="AL268" s="8"/>
      <c r="AM268" s="8"/>
      <c r="AN268" s="8"/>
      <c r="AO268" s="8"/>
      <c r="AP268" s="8"/>
      <c r="AQ268" s="8"/>
      <c r="AR268" s="8"/>
      <c r="AS268" s="9" t="s">
        <v>221</v>
      </c>
      <c r="AT268" s="10"/>
      <c r="AU268" s="10"/>
      <c r="AV268" s="11"/>
      <c r="AW268" s="9" t="s">
        <v>222</v>
      </c>
      <c r="AX268" s="10"/>
      <c r="AY268" s="10"/>
      <c r="AZ268" s="11"/>
    </row>
    <row r="269" spans="3:52">
      <c r="C269" s="13">
        <f>IF(D269&lt;&gt;"",COUNTA($D$10:D269),"")</f>
        <v>221</v>
      </c>
      <c r="D269" s="5" t="s">
        <v>165</v>
      </c>
      <c r="E269" s="5" t="s">
        <v>166</v>
      </c>
      <c r="F269" s="5" t="s">
        <v>167</v>
      </c>
      <c r="G269" s="5" t="s">
        <v>168</v>
      </c>
      <c r="H269" s="5" t="s">
        <v>169</v>
      </c>
      <c r="I269" s="5" t="s">
        <v>170</v>
      </c>
      <c r="J269" s="5" t="s">
        <v>171</v>
      </c>
      <c r="K269" s="5" t="s">
        <v>172</v>
      </c>
      <c r="L269" s="5" t="s">
        <v>173</v>
      </c>
      <c r="M269" s="5" t="s">
        <v>174</v>
      </c>
      <c r="N269" s="5" t="s">
        <v>175</v>
      </c>
      <c r="O269" s="5" t="s">
        <v>176</v>
      </c>
      <c r="P269" s="5" t="s">
        <v>177</v>
      </c>
      <c r="Q269" s="5" t="s">
        <v>178</v>
      </c>
      <c r="R269" s="5" t="s">
        <v>199</v>
      </c>
      <c r="S269" s="5" t="s">
        <v>180</v>
      </c>
      <c r="T269" s="5" t="s">
        <v>223</v>
      </c>
      <c r="U269" s="5" t="s">
        <v>224</v>
      </c>
      <c r="V269" s="5" t="s">
        <v>199</v>
      </c>
      <c r="W269" s="5" t="s">
        <v>180</v>
      </c>
      <c r="X269" s="5" t="s">
        <v>225</v>
      </c>
      <c r="Y269" s="5" t="s">
        <v>226</v>
      </c>
      <c r="Z269" s="5" t="s">
        <v>227</v>
      </c>
      <c r="AA269" s="5" t="s">
        <v>228</v>
      </c>
      <c r="AB269" s="5" t="s">
        <v>229</v>
      </c>
      <c r="AC269" s="5" t="s">
        <v>230</v>
      </c>
      <c r="AD269" s="5" t="s">
        <v>231</v>
      </c>
      <c r="AE269" s="5" t="s">
        <v>232</v>
      </c>
      <c r="AF269" s="6" t="s">
        <v>233</v>
      </c>
      <c r="AG269" s="6" t="s">
        <v>234</v>
      </c>
      <c r="AH269" s="6" t="s">
        <v>235</v>
      </c>
      <c r="AI269" s="5" t="s">
        <v>236</v>
      </c>
      <c r="AJ269" s="5" t="s">
        <v>237</v>
      </c>
      <c r="AK269" s="5" t="s">
        <v>238</v>
      </c>
      <c r="AL269" s="5" t="s">
        <v>239</v>
      </c>
      <c r="AM269" s="5" t="s">
        <v>240</v>
      </c>
      <c r="AN269" s="5" t="s">
        <v>241</v>
      </c>
      <c r="AO269" s="5" t="s">
        <v>242</v>
      </c>
      <c r="AP269" s="5" t="s">
        <v>243</v>
      </c>
      <c r="AQ269" s="5" t="s">
        <v>244</v>
      </c>
      <c r="AR269" s="5" t="s">
        <v>245</v>
      </c>
      <c r="AS269" s="5" t="s">
        <v>246</v>
      </c>
      <c r="AT269" s="5" t="s">
        <v>247</v>
      </c>
      <c r="AU269" s="5" t="s">
        <v>248</v>
      </c>
      <c r="AV269" s="5" t="s">
        <v>249</v>
      </c>
      <c r="AW269" s="5" t="s">
        <v>250</v>
      </c>
      <c r="AX269" s="5" t="s">
        <v>251</v>
      </c>
      <c r="AY269" s="5" t="s">
        <v>252</v>
      </c>
      <c r="AZ269" s="5" t="s">
        <v>253</v>
      </c>
    </row>
    <row r="270" spans="3:52" ht="18.600000000000001">
      <c r="C270" s="13">
        <f>IF(D270&lt;&gt;"",COUNTA($D$10:D270),"")</f>
        <v>222</v>
      </c>
      <c r="D270" s="14" t="s">
        <v>200</v>
      </c>
      <c r="E270" s="14">
        <v>3</v>
      </c>
      <c r="F270" s="14">
        <v>3</v>
      </c>
      <c r="G270" s="14">
        <v>2.4</v>
      </c>
      <c r="H270" s="14">
        <v>1</v>
      </c>
      <c r="I270" s="14">
        <v>2</v>
      </c>
      <c r="J270" s="14">
        <v>1.75</v>
      </c>
      <c r="K270" s="14">
        <v>3</v>
      </c>
      <c r="L270" s="15">
        <v>0.1</v>
      </c>
      <c r="M270" s="15">
        <v>0</v>
      </c>
      <c r="N270" s="14">
        <v>24</v>
      </c>
      <c r="O270" s="14">
        <v>50</v>
      </c>
      <c r="P270" s="13">
        <v>45</v>
      </c>
      <c r="Q270" s="13">
        <v>85</v>
      </c>
      <c r="R270" s="13" t="s">
        <v>17</v>
      </c>
      <c r="S270" s="13">
        <v>120</v>
      </c>
      <c r="T270" s="13">
        <v>0</v>
      </c>
      <c r="U270" s="13">
        <v>100</v>
      </c>
      <c r="V270" s="13" t="str">
        <f>R270</f>
        <v>ISO 6</v>
      </c>
      <c r="W270" s="13">
        <f>S270</f>
        <v>120</v>
      </c>
      <c r="X270" s="16">
        <f>E270*F270*10.76</f>
        <v>96.84</v>
      </c>
      <c r="Y270" s="16">
        <f>X270*G270*3.28</f>
        <v>762.32447999999999</v>
      </c>
      <c r="Z270" s="16">
        <f>Y270*S270/60</f>
        <v>1524.64896</v>
      </c>
      <c r="AA270" s="16">
        <f>Z270*L270</f>
        <v>152.46489600000001</v>
      </c>
      <c r="AB270" s="16">
        <f>IF(N270="Amb",Z270,Z270*M270)</f>
        <v>0</v>
      </c>
      <c r="AC270" s="16">
        <f>IF(ISNUMBER(N270), (AA270*0.075*60/2.20462)*BP270/7000, "Ambient")</f>
        <v>0</v>
      </c>
      <c r="AD270" s="16" t="e">
        <f>IF(ISNUMBER(N270), CEILING(CF270/(0.68*BP270),25), "Ambient")</f>
        <v>#DIV/0!</v>
      </c>
      <c r="AE270" s="16" t="e">
        <f>CEILING(MAX((Z270+AA270),AD270),25)</f>
        <v>#DIV/0!</v>
      </c>
      <c r="AF270" s="16" t="e">
        <f>CEILING(IF(OR($R270="ISO 6",$R270="GRADE B",$R270="1K",$R270=1000),AE270*1/175,IF(OR($R270="ISO 5",$R270="GRADE A",$R270=100),AE270*1/100,IF(OR($R270="ISO 7",$R270="GRADE C",$R270="10K",$R270=10000),$AE270*1/250,IF(OR($R270="ISO 8",$R270="GRADE D",$R270="100K",$R270=100000),$AE270*1/250,IF(OR($R270="NC",$R270="20 Micron",$R270="5 Micron",$R270="N C"),$AE270*1/350,0))))),2)</f>
        <v>#DIV/0!</v>
      </c>
      <c r="AG270" s="16" t="e">
        <f>IF(ISNUMBER(N270), CEILING(MAX(AI270,AJ270),0.5), "Ambient")</f>
        <v>#DIV/0!</v>
      </c>
      <c r="AH270" s="838" t="s">
        <v>85</v>
      </c>
      <c r="AI270" s="17">
        <f>IF(ISNUMBER(N270), CEILING(CE270/12000,0.5), "Ambient")</f>
        <v>0</v>
      </c>
      <c r="AJ270" s="17" t="e">
        <f>IF(ISNUMBER(N270),CEILING(AE270/(IF(AH270="C",400,300)),0.5), "Ambient")</f>
        <v>#DIV/0!</v>
      </c>
      <c r="AK270" s="891" t="e">
        <f>CEILING(SUM(AE270:AE285),250)</f>
        <v>#DIV/0!</v>
      </c>
      <c r="AL270" s="18" t="s">
        <v>254</v>
      </c>
      <c r="AM270" s="889">
        <v>150</v>
      </c>
      <c r="AN270" s="891" t="e">
        <f>IF(AK270&lt;=1300,200,IF(AK270&lt;=1600,225,IF(AK270&lt;=2100,250,IF(AK270&lt;=2700,280,IF(AK270&lt;=3450,315,IF(AK270&lt;=4250,355,IF(AK270&lt;=5250,400,IF(AK270&lt;=6750,450,IF(AK270&lt;=8500,500,IF(AK270&lt;=10750,560,IF(AK270&lt;=13500,630,IF(AK270&lt;=17000,710,IF(AK270&lt;=21500,800,IF(AK270&lt;=27000,900,IF(AK270&lt;=34000,1000,IF(AK270&lt;=43000,1120,IF(AK270&lt;=49000,1200,IF(AK270&lt;=68000,1450,"Refer"))))))))))))))))))</f>
        <v>#DIV/0!</v>
      </c>
      <c r="AO270" s="888" t="e">
        <f>IF(AK270*AM270/(6356*0.7*0.9*1.1*25.4)&lt;=1,1,IF(AK270*AM270/(6356*0.7*0.9*1.1*25.4)&lt;=1.5,1.5,IF(AK270*AM270/(6356*0.7*0.9*1.1*25.4)&lt;=2,2,IF(AK270*AM270/(6356*0.7*0.9*1.1*25.4)&lt;=3,3,IF(AK270*AM270/(6356*0.7*0.9*1.1*25.4)&lt;=5,5,IF(AK270*AM270/(6356*0.7*0.9*1.1*25.4)&lt;=7.5,7.5,IF(AK270*AM270/(6356*0.7*0.9*1.1*25.4)&lt;=10,10,IF(AK270*AM270/(6356*0.7*0.9*1.1*25.4)&lt;=12.5,12.5,IF(AK270*AM270/(6356*0.7*0.9*1.1*25.4)&lt;=15,15,IF(AK270*AM270/(6356*0.7*0.9*1.1*25.4)&lt;=20,20,IF(AK270*AM270/(6356*0.7*0.9*1.1*25.4)&lt;=25,25,IF(AK270*AM270/(6356*0.7*0.9*1.1*25.4)&lt;=30,30,IF(AK270*AM270/(6356*0.7*0.9*1.1*25.4)&lt;=40,40,IF(AK270*AM270/(6356*0.7*0.9*1.1*25.4)&lt;=50,50,IF(AK270*AM270/(6356*0.7*0.9*1.1*25.4)&lt;=60,60,IF(AK270*AM270/(6356*0.7*0.9*1.1*25.4)&lt;=75,75,"Refer"))))))))))))))))</f>
        <v>#DIV/0!</v>
      </c>
      <c r="AP270" s="891" t="e">
        <f>IF(AND(AQ270=0, N270="Amb"), "Amb",IF((AL271-250)*(AL273-150)*10.76/(1000*1000) &gt;= MAX(AI286,AJ286), 4,IF((AL271-250)*(AL273-150)*10.76*1.5/(1000*1000) &gt;= MAX(AI286,AJ286), 6,IF((AL271-250)*(AL273-150)*10.76*2/(1000*1000) &gt;= MAX(AI286,AJ286), 8, 0))
 )
)</f>
        <v>#DIV/0!</v>
      </c>
      <c r="AQ270" s="891" t="e">
        <f>AG286</f>
        <v>#DIV/0!</v>
      </c>
      <c r="AR270" s="889">
        <f>_xlfn.SWITCH(TRIM(UPPER(R270)),"ISO 9", 3,"ISO 8", 4,"Grade D", 4,"Class 100,000", 4,"Class 100K", 4,"ISO 7", 3,"Grade C", 3,"Class 10,000", 3,"Class 10K", 3,"ISO 6", 3,"Class 1,000", 3,"Class 1K", 3,"ISO 5", 4,"Grade A", 4,"Grade B", 4,"Class 100", 4,"ISO 4", 3,"ISO 3", 4,"ISO 2", 4,"ISO 1", 4,"NCV20",1,"NCV-10",2,"NCV-5",3,"NCAC-10",1,"NCAC-5",2,"NCAC-1",3,3)</f>
        <v>3</v>
      </c>
      <c r="AS270" s="888" t="e">
        <f>MAX(AI286,AJ286)*24/6</f>
        <v>#DIV/0!</v>
      </c>
      <c r="AT270" s="888" t="e">
        <f>AS270*0.06309</f>
        <v>#DIV/0!</v>
      </c>
      <c r="AU270" s="890">
        <v>2</v>
      </c>
      <c r="AV270" s="888" t="e">
        <f>SQRT((4*AS270*0.00006309)/(3.14*AU270))*1000</f>
        <v>#DIV/0!</v>
      </c>
      <c r="AW270" s="888"/>
      <c r="AX270" s="888"/>
      <c r="AY270" s="887"/>
      <c r="AZ270" s="888"/>
    </row>
    <row r="271" spans="3:52" ht="18.600000000000001">
      <c r="C271" s="13">
        <f>IF(D271&lt;&gt;"",COUNTA($D$10:D271),"")</f>
        <v>223</v>
      </c>
      <c r="D271" s="14" t="s">
        <v>201</v>
      </c>
      <c r="E271" s="14">
        <v>1.8</v>
      </c>
      <c r="F271" s="14">
        <v>2.2000000000000002</v>
      </c>
      <c r="G271" s="14">
        <v>2.4</v>
      </c>
      <c r="H271" s="14">
        <v>2</v>
      </c>
      <c r="I271" s="14">
        <v>1</v>
      </c>
      <c r="J271" s="14">
        <v>1.75</v>
      </c>
      <c r="K271" s="14">
        <v>3</v>
      </c>
      <c r="L271" s="15">
        <v>0.1</v>
      </c>
      <c r="M271" s="15">
        <v>0</v>
      </c>
      <c r="N271" s="14">
        <v>24</v>
      </c>
      <c r="O271" s="14">
        <v>50</v>
      </c>
      <c r="P271" s="13">
        <v>45</v>
      </c>
      <c r="Q271" s="13">
        <v>85</v>
      </c>
      <c r="R271" s="13" t="s">
        <v>17</v>
      </c>
      <c r="S271" s="13">
        <v>120</v>
      </c>
      <c r="T271" s="13">
        <v>0</v>
      </c>
      <c r="U271" s="13">
        <v>100</v>
      </c>
      <c r="V271" s="13" t="str">
        <f t="shared" ref="V271:W285" si="193">R271</f>
        <v>ISO 6</v>
      </c>
      <c r="W271" s="13">
        <f t="shared" si="193"/>
        <v>120</v>
      </c>
      <c r="X271" s="16">
        <f t="shared" ref="X271:X285" si="194">E271*F271*10.76</f>
        <v>42.6096</v>
      </c>
      <c r="Y271" s="16">
        <f t="shared" ref="Y271:Y285" si="195">X271*G271*3.28</f>
        <v>335.4227712</v>
      </c>
      <c r="Z271" s="16">
        <f t="shared" ref="Z271:Z285" si="196">Y271*S271/60</f>
        <v>670.8455424</v>
      </c>
      <c r="AA271" s="16">
        <f t="shared" ref="AA271:AA285" si="197">Z271*L271</f>
        <v>67.084554240000003</v>
      </c>
      <c r="AB271" s="16">
        <f t="shared" ref="AB271:AB285" si="198">IF(N271="Amb",Z271,Z271*M271)</f>
        <v>0</v>
      </c>
      <c r="AC271" s="16">
        <f t="shared" ref="AC271:AC285" si="199">IF(ISNUMBER(N271), (AA271*0.075*60/2.20462)*BP271/7000, "Ambient")</f>
        <v>0</v>
      </c>
      <c r="AD271" s="16" t="e">
        <f t="shared" ref="AD271:AD277" si="200">IF(ISNUMBER(N271), CEILING(CF271/(0.68*BP271),25), "Ambient")</f>
        <v>#DIV/0!</v>
      </c>
      <c r="AE271" s="16" t="e">
        <f t="shared" ref="AE271:AE285" si="201">CEILING(MAX((Z271+AA271),AD271),25)</f>
        <v>#DIV/0!</v>
      </c>
      <c r="AF271" s="16" t="e">
        <f t="shared" ref="AF271:AF285" si="202">CEILING(IF(OR($R271="ISO 6",$R271="GRADE B",$R271="1K",$R271=1000),AE271*1/175,IF(OR($R271="ISO 5",$R271="GRADE A",$R271=100),AE271*1/100,IF(OR($R271="ISO 7",$R271="GRADE C",$R271="10K",$R271=10000),$AE271*1/250,IF(OR($R271="ISO 8",$R271="GRADE D",$R271="100K",$R271=100000),$AE271*1/250,IF(OR($R271="NC",$R271="20 Micron",$R271="5 Micron",$R271="N C"),$AE271*1/350,0))))),2)</f>
        <v>#DIV/0!</v>
      </c>
      <c r="AG271" s="16" t="e">
        <f t="shared" ref="AG271:AG285" si="203">IF(ISNUMBER(N271), CEILING(MAX(AI271,AJ271),0.5), "Ambient")</f>
        <v>#DIV/0!</v>
      </c>
      <c r="AH271" s="838" t="s">
        <v>85</v>
      </c>
      <c r="AI271" s="17">
        <f t="shared" ref="AI271:AI285" si="204">IF(ISNUMBER(N271), CEILING(CE271/12000,0.5), "Ambient")</f>
        <v>0</v>
      </c>
      <c r="AJ271" s="17" t="e">
        <f t="shared" ref="AJ271:AJ285" si="205">IF(ISNUMBER(N271),CEILING(AE271/(IF(AH271="C",400,300)),0.5), "Ambient")</f>
        <v>#DIV/0!</v>
      </c>
      <c r="AK271" s="891"/>
      <c r="AL271" s="18" t="e">
        <f>IF(AK270&lt;=2000,950,(IF(AK270&lt;=3000,1150,(IF(AK270&lt;=8000,1550,(IF(AK270&lt;=10000,1750,(IF(AK270&lt;=18000,2050,(IF(AK270&lt;=32000,2900,(IF(AK270&lt;=40000,3600,4000)))))))))))))</f>
        <v>#DIV/0!</v>
      </c>
      <c r="AM271" s="889"/>
      <c r="AN271" s="891"/>
      <c r="AO271" s="888"/>
      <c r="AP271" s="891"/>
      <c r="AQ271" s="891"/>
      <c r="AR271" s="889"/>
      <c r="AS271" s="888"/>
      <c r="AT271" s="888"/>
      <c r="AU271" s="890"/>
      <c r="AV271" s="888"/>
      <c r="AW271" s="888"/>
      <c r="AX271" s="888"/>
      <c r="AY271" s="887"/>
      <c r="AZ271" s="888"/>
    </row>
    <row r="272" spans="3:52" ht="18.600000000000001">
      <c r="C272" s="13">
        <f>IF(D272&lt;&gt;"",COUNTA($D$10:D272),"")</f>
        <v>224</v>
      </c>
      <c r="D272" s="14" t="s">
        <v>202</v>
      </c>
      <c r="E272" s="14">
        <v>1.5</v>
      </c>
      <c r="F272" s="14">
        <v>2.8</v>
      </c>
      <c r="G272" s="14">
        <v>2.4</v>
      </c>
      <c r="H272" s="14">
        <v>2</v>
      </c>
      <c r="I272" s="14">
        <v>3</v>
      </c>
      <c r="J272" s="14">
        <v>1.75</v>
      </c>
      <c r="K272" s="14">
        <v>3</v>
      </c>
      <c r="L272" s="15">
        <v>0.1</v>
      </c>
      <c r="M272" s="15">
        <v>0</v>
      </c>
      <c r="N272" s="14">
        <v>24</v>
      </c>
      <c r="O272" s="14">
        <v>50</v>
      </c>
      <c r="P272" s="13">
        <v>45</v>
      </c>
      <c r="Q272" s="13">
        <v>85</v>
      </c>
      <c r="R272" s="13" t="s">
        <v>17</v>
      </c>
      <c r="S272" s="13">
        <v>120</v>
      </c>
      <c r="T272" s="13">
        <v>0</v>
      </c>
      <c r="U272" s="13">
        <v>100</v>
      </c>
      <c r="V272" s="13" t="str">
        <f t="shared" si="193"/>
        <v>ISO 6</v>
      </c>
      <c r="W272" s="13">
        <f t="shared" si="193"/>
        <v>120</v>
      </c>
      <c r="X272" s="16">
        <f t="shared" si="194"/>
        <v>45.191999999999993</v>
      </c>
      <c r="Y272" s="16">
        <f t="shared" si="195"/>
        <v>355.75142399999993</v>
      </c>
      <c r="Z272" s="16">
        <f t="shared" si="196"/>
        <v>711.50284799999986</v>
      </c>
      <c r="AA272" s="16">
        <f t="shared" si="197"/>
        <v>71.150284799999994</v>
      </c>
      <c r="AB272" s="16">
        <f t="shared" si="198"/>
        <v>0</v>
      </c>
      <c r="AC272" s="16">
        <f t="shared" si="199"/>
        <v>0</v>
      </c>
      <c r="AD272" s="16" t="e">
        <f t="shared" si="200"/>
        <v>#DIV/0!</v>
      </c>
      <c r="AE272" s="16" t="e">
        <f t="shared" si="201"/>
        <v>#DIV/0!</v>
      </c>
      <c r="AF272" s="16" t="e">
        <f t="shared" si="202"/>
        <v>#DIV/0!</v>
      </c>
      <c r="AG272" s="16" t="e">
        <f t="shared" si="203"/>
        <v>#DIV/0!</v>
      </c>
      <c r="AH272" s="838" t="s">
        <v>85</v>
      </c>
      <c r="AI272" s="17">
        <f t="shared" si="204"/>
        <v>0</v>
      </c>
      <c r="AJ272" s="17" t="e">
        <f t="shared" si="205"/>
        <v>#DIV/0!</v>
      </c>
      <c r="AK272" s="891"/>
      <c r="AL272" s="18" t="s">
        <v>255</v>
      </c>
      <c r="AM272" s="889"/>
      <c r="AN272" s="891"/>
      <c r="AO272" s="888"/>
      <c r="AP272" s="891"/>
      <c r="AQ272" s="891"/>
      <c r="AR272" s="889"/>
      <c r="AS272" s="888"/>
      <c r="AT272" s="888"/>
      <c r="AU272" s="890"/>
      <c r="AV272" s="888"/>
      <c r="AW272" s="888"/>
      <c r="AX272" s="888"/>
      <c r="AY272" s="887"/>
      <c r="AZ272" s="888"/>
    </row>
    <row r="273" spans="3:52" ht="18.600000000000001">
      <c r="C273" s="13">
        <f>IF(D273&lt;&gt;"",COUNTA($D$10:D273),"")</f>
        <v>225</v>
      </c>
      <c r="D273" s="14" t="s">
        <v>203</v>
      </c>
      <c r="E273" s="14">
        <v>2.1</v>
      </c>
      <c r="F273" s="14">
        <v>3.5</v>
      </c>
      <c r="G273" s="14">
        <v>2.4</v>
      </c>
      <c r="H273" s="14">
        <v>0</v>
      </c>
      <c r="I273" s="14">
        <v>1</v>
      </c>
      <c r="J273" s="14">
        <v>1.75</v>
      </c>
      <c r="K273" s="14">
        <v>3</v>
      </c>
      <c r="L273" s="15">
        <v>0.1</v>
      </c>
      <c r="M273" s="15">
        <v>0</v>
      </c>
      <c r="N273" s="14">
        <v>24</v>
      </c>
      <c r="O273" s="14">
        <v>50</v>
      </c>
      <c r="P273" s="13">
        <v>45</v>
      </c>
      <c r="Q273" s="13">
        <v>85</v>
      </c>
      <c r="R273" s="13" t="s">
        <v>17</v>
      </c>
      <c r="S273" s="13">
        <v>120</v>
      </c>
      <c r="T273" s="13">
        <v>0</v>
      </c>
      <c r="U273" s="13">
        <v>100</v>
      </c>
      <c r="V273" s="13" t="str">
        <f t="shared" si="193"/>
        <v>ISO 6</v>
      </c>
      <c r="W273" s="13">
        <f t="shared" si="193"/>
        <v>120</v>
      </c>
      <c r="X273" s="16">
        <f t="shared" si="194"/>
        <v>79.085999999999999</v>
      </c>
      <c r="Y273" s="16">
        <f t="shared" si="195"/>
        <v>622.56499199999996</v>
      </c>
      <c r="Z273" s="16">
        <f t="shared" si="196"/>
        <v>1245.1299839999999</v>
      </c>
      <c r="AA273" s="16">
        <f t="shared" si="197"/>
        <v>124.5129984</v>
      </c>
      <c r="AB273" s="16">
        <f t="shared" si="198"/>
        <v>0</v>
      </c>
      <c r="AC273" s="16">
        <f t="shared" si="199"/>
        <v>0</v>
      </c>
      <c r="AD273" s="16" t="e">
        <f t="shared" si="200"/>
        <v>#DIV/0!</v>
      </c>
      <c r="AE273" s="16" t="e">
        <f t="shared" si="201"/>
        <v>#DIV/0!</v>
      </c>
      <c r="AF273" s="16" t="e">
        <f t="shared" si="202"/>
        <v>#DIV/0!</v>
      </c>
      <c r="AG273" s="16" t="e">
        <f t="shared" si="203"/>
        <v>#DIV/0!</v>
      </c>
      <c r="AH273" s="838" t="s">
        <v>85</v>
      </c>
      <c r="AI273" s="17">
        <f t="shared" si="204"/>
        <v>0</v>
      </c>
      <c r="AJ273" s="17" t="e">
        <f t="shared" si="205"/>
        <v>#DIV/0!</v>
      </c>
      <c r="AK273" s="891"/>
      <c r="AL273" s="18" t="e">
        <f>IF(AK270&lt;=2000,950,(IF(AK270&lt;=4000,1100,(IF(AK270&lt;=6000,1250,(IF(AK270&lt;=10000,1550,(IF(AK270&lt;=15000,1750,(IF(AK270&lt;=24000,2050,(IF(AK270&lt;=40000,2900,3600)))))))))))))</f>
        <v>#DIV/0!</v>
      </c>
      <c r="AM273" s="889"/>
      <c r="AN273" s="891"/>
      <c r="AO273" s="888"/>
      <c r="AP273" s="891"/>
      <c r="AQ273" s="891"/>
      <c r="AR273" s="889"/>
      <c r="AS273" s="888"/>
      <c r="AT273" s="888"/>
      <c r="AU273" s="890"/>
      <c r="AV273" s="888"/>
      <c r="AW273" s="888"/>
      <c r="AX273" s="888"/>
      <c r="AY273" s="887"/>
      <c r="AZ273" s="888"/>
    </row>
    <row r="274" spans="3:52" ht="18.600000000000001">
      <c r="C274" s="13">
        <f>IF(D274&lt;&gt;"",COUNTA($D$10:D274),"")</f>
        <v>226</v>
      </c>
      <c r="D274" s="14" t="s">
        <v>204</v>
      </c>
      <c r="E274" s="14">
        <v>2.7</v>
      </c>
      <c r="F274" s="14">
        <v>4</v>
      </c>
      <c r="G274" s="14">
        <v>2.4</v>
      </c>
      <c r="H274" s="14">
        <v>2</v>
      </c>
      <c r="I274" s="14">
        <v>1</v>
      </c>
      <c r="J274" s="14">
        <v>1.75</v>
      </c>
      <c r="K274" s="14">
        <v>3</v>
      </c>
      <c r="L274" s="15">
        <v>0.1</v>
      </c>
      <c r="M274" s="15">
        <v>0</v>
      </c>
      <c r="N274" s="14">
        <v>24</v>
      </c>
      <c r="O274" s="14">
        <v>50</v>
      </c>
      <c r="P274" s="13">
        <v>45</v>
      </c>
      <c r="Q274" s="13">
        <v>85</v>
      </c>
      <c r="R274" s="13" t="s">
        <v>17</v>
      </c>
      <c r="S274" s="13">
        <v>120</v>
      </c>
      <c r="T274" s="13">
        <v>0</v>
      </c>
      <c r="U274" s="13">
        <v>100</v>
      </c>
      <c r="V274" s="13" t="str">
        <f t="shared" si="193"/>
        <v>ISO 6</v>
      </c>
      <c r="W274" s="13">
        <f t="shared" si="193"/>
        <v>120</v>
      </c>
      <c r="X274" s="16">
        <f t="shared" si="194"/>
        <v>116.208</v>
      </c>
      <c r="Y274" s="16">
        <f t="shared" si="195"/>
        <v>914.78937599999995</v>
      </c>
      <c r="Z274" s="16">
        <f t="shared" si="196"/>
        <v>1829.5787519999999</v>
      </c>
      <c r="AA274" s="16">
        <f t="shared" si="197"/>
        <v>182.95787519999999</v>
      </c>
      <c r="AB274" s="16">
        <f t="shared" si="198"/>
        <v>0</v>
      </c>
      <c r="AC274" s="16">
        <f t="shared" si="199"/>
        <v>0</v>
      </c>
      <c r="AD274" s="16" t="e">
        <f t="shared" si="200"/>
        <v>#DIV/0!</v>
      </c>
      <c r="AE274" s="16" t="e">
        <f t="shared" si="201"/>
        <v>#DIV/0!</v>
      </c>
      <c r="AF274" s="16" t="e">
        <f t="shared" si="202"/>
        <v>#DIV/0!</v>
      </c>
      <c r="AG274" s="16" t="e">
        <f t="shared" si="203"/>
        <v>#DIV/0!</v>
      </c>
      <c r="AH274" s="838" t="s">
        <v>85</v>
      </c>
      <c r="AI274" s="17">
        <f t="shared" si="204"/>
        <v>0</v>
      </c>
      <c r="AJ274" s="17" t="e">
        <f t="shared" si="205"/>
        <v>#DIV/0!</v>
      </c>
      <c r="AK274" s="891"/>
      <c r="AL274" s="18" t="s">
        <v>256</v>
      </c>
      <c r="AM274" s="889"/>
      <c r="AN274" s="891"/>
      <c r="AO274" s="888"/>
      <c r="AP274" s="891"/>
      <c r="AQ274" s="891"/>
      <c r="AR274" s="889"/>
      <c r="AS274" s="888"/>
      <c r="AT274" s="888"/>
      <c r="AU274" s="890"/>
      <c r="AV274" s="888"/>
      <c r="AW274" s="888"/>
      <c r="AX274" s="888"/>
      <c r="AY274" s="887"/>
      <c r="AZ274" s="888"/>
    </row>
    <row r="275" spans="3:52" ht="18.600000000000001">
      <c r="C275" s="13">
        <f>IF(D275&lt;&gt;"",COUNTA($D$10:D275),"")</f>
        <v>227</v>
      </c>
      <c r="D275" s="14" t="s">
        <v>205</v>
      </c>
      <c r="E275" s="14">
        <v>3.8</v>
      </c>
      <c r="F275" s="14">
        <v>4.2</v>
      </c>
      <c r="G275" s="14">
        <v>2.4</v>
      </c>
      <c r="H275" s="14">
        <v>3</v>
      </c>
      <c r="I275" s="14">
        <v>3</v>
      </c>
      <c r="J275" s="14">
        <v>1.75</v>
      </c>
      <c r="K275" s="14">
        <v>3</v>
      </c>
      <c r="L275" s="15">
        <v>0.1</v>
      </c>
      <c r="M275" s="15">
        <v>0</v>
      </c>
      <c r="N275" s="14">
        <v>24</v>
      </c>
      <c r="O275" s="14">
        <v>50</v>
      </c>
      <c r="P275" s="13">
        <v>45</v>
      </c>
      <c r="Q275" s="13">
        <v>85</v>
      </c>
      <c r="R275" s="13" t="s">
        <v>17</v>
      </c>
      <c r="S275" s="13">
        <v>120</v>
      </c>
      <c r="T275" s="13">
        <v>0</v>
      </c>
      <c r="U275" s="13">
        <v>100</v>
      </c>
      <c r="V275" s="13" t="str">
        <f t="shared" si="193"/>
        <v>ISO 6</v>
      </c>
      <c r="W275" s="13">
        <f t="shared" si="193"/>
        <v>120</v>
      </c>
      <c r="X275" s="16">
        <f t="shared" si="194"/>
        <v>171.72959999999998</v>
      </c>
      <c r="Y275" s="16">
        <f t="shared" si="195"/>
        <v>1351.8554111999997</v>
      </c>
      <c r="Z275" s="16">
        <f t="shared" si="196"/>
        <v>2703.7108223999994</v>
      </c>
      <c r="AA275" s="16">
        <f t="shared" si="197"/>
        <v>270.37108223999996</v>
      </c>
      <c r="AB275" s="16">
        <f t="shared" si="198"/>
        <v>0</v>
      </c>
      <c r="AC275" s="16">
        <f t="shared" si="199"/>
        <v>0</v>
      </c>
      <c r="AD275" s="16" t="e">
        <f t="shared" si="200"/>
        <v>#DIV/0!</v>
      </c>
      <c r="AE275" s="16" t="e">
        <f t="shared" si="201"/>
        <v>#DIV/0!</v>
      </c>
      <c r="AF275" s="16" t="e">
        <f t="shared" si="202"/>
        <v>#DIV/0!</v>
      </c>
      <c r="AG275" s="16" t="e">
        <f t="shared" si="203"/>
        <v>#DIV/0!</v>
      </c>
      <c r="AH275" s="838" t="s">
        <v>85</v>
      </c>
      <c r="AI275" s="17">
        <f t="shared" si="204"/>
        <v>0</v>
      </c>
      <c r="AJ275" s="17" t="e">
        <f t="shared" si="205"/>
        <v>#DIV/0!</v>
      </c>
      <c r="AK275" s="891"/>
      <c r="AL275" s="18" t="e">
        <f>IF(AL279&lt;4000,AL279,AL279+400)</f>
        <v>#DIV/0!</v>
      </c>
      <c r="AM275" s="889"/>
      <c r="AN275" s="891"/>
      <c r="AO275" s="888"/>
      <c r="AP275" s="891"/>
      <c r="AQ275" s="891"/>
      <c r="AR275" s="889"/>
      <c r="AS275" s="888"/>
      <c r="AT275" s="888"/>
      <c r="AU275" s="890"/>
      <c r="AV275" s="888"/>
      <c r="AW275" s="888"/>
      <c r="AX275" s="888"/>
      <c r="AY275" s="887"/>
      <c r="AZ275" s="888"/>
    </row>
    <row r="276" spans="3:52" ht="18.600000000000001">
      <c r="C276" s="13">
        <f>IF(D276&lt;&gt;"",COUNTA($D$10:D276),"")</f>
        <v>228</v>
      </c>
      <c r="D276" s="14" t="s">
        <v>206</v>
      </c>
      <c r="E276" s="14">
        <v>3.1</v>
      </c>
      <c r="F276" s="14">
        <v>2.6</v>
      </c>
      <c r="G276" s="14">
        <v>2.4</v>
      </c>
      <c r="H276" s="14">
        <v>2</v>
      </c>
      <c r="I276" s="14">
        <v>1</v>
      </c>
      <c r="J276" s="14">
        <v>1.75</v>
      </c>
      <c r="K276" s="14">
        <v>3</v>
      </c>
      <c r="L276" s="15">
        <v>0.1</v>
      </c>
      <c r="M276" s="15">
        <v>0</v>
      </c>
      <c r="N276" s="14">
        <v>24</v>
      </c>
      <c r="O276" s="14">
        <v>50</v>
      </c>
      <c r="P276" s="13">
        <v>45</v>
      </c>
      <c r="Q276" s="13">
        <v>85</v>
      </c>
      <c r="R276" s="13" t="s">
        <v>17</v>
      </c>
      <c r="S276" s="13">
        <v>120</v>
      </c>
      <c r="T276" s="13">
        <v>0</v>
      </c>
      <c r="U276" s="13">
        <v>100</v>
      </c>
      <c r="V276" s="13" t="str">
        <f t="shared" si="193"/>
        <v>ISO 6</v>
      </c>
      <c r="W276" s="13">
        <f t="shared" si="193"/>
        <v>120</v>
      </c>
      <c r="X276" s="16">
        <f t="shared" si="194"/>
        <v>86.7256</v>
      </c>
      <c r="Y276" s="16">
        <f t="shared" si="195"/>
        <v>682.70392319999996</v>
      </c>
      <c r="Z276" s="16">
        <f t="shared" si="196"/>
        <v>1365.4078463999999</v>
      </c>
      <c r="AA276" s="16">
        <f t="shared" si="197"/>
        <v>136.54078464</v>
      </c>
      <c r="AB276" s="16">
        <f t="shared" si="198"/>
        <v>0</v>
      </c>
      <c r="AC276" s="16">
        <f t="shared" si="199"/>
        <v>0</v>
      </c>
      <c r="AD276" s="16" t="e">
        <f t="shared" si="200"/>
        <v>#DIV/0!</v>
      </c>
      <c r="AE276" s="16" t="e">
        <f t="shared" si="201"/>
        <v>#DIV/0!</v>
      </c>
      <c r="AF276" s="16" t="e">
        <f t="shared" si="202"/>
        <v>#DIV/0!</v>
      </c>
      <c r="AG276" s="16" t="e">
        <f t="shared" si="203"/>
        <v>#DIV/0!</v>
      </c>
      <c r="AH276" s="838" t="s">
        <v>85</v>
      </c>
      <c r="AI276" s="17">
        <f t="shared" si="204"/>
        <v>0</v>
      </c>
      <c r="AJ276" s="17" t="e">
        <f t="shared" si="205"/>
        <v>#DIV/0!</v>
      </c>
      <c r="AK276" s="891"/>
      <c r="AL276" s="18"/>
      <c r="AM276" s="889"/>
      <c r="AN276" s="891"/>
      <c r="AO276" s="888"/>
      <c r="AP276" s="891"/>
      <c r="AQ276" s="891"/>
      <c r="AR276" s="889"/>
      <c r="AS276" s="888"/>
      <c r="AT276" s="888"/>
      <c r="AU276" s="890"/>
      <c r="AV276" s="888"/>
      <c r="AW276" s="888"/>
      <c r="AX276" s="888"/>
      <c r="AY276" s="887"/>
      <c r="AZ276" s="888"/>
    </row>
    <row r="277" spans="3:52" ht="18.600000000000001">
      <c r="C277" s="13">
        <f>IF(D277&lt;&gt;"",COUNTA($D$10:D277),"")</f>
        <v>229</v>
      </c>
      <c r="D277" s="14" t="s">
        <v>207</v>
      </c>
      <c r="E277" s="14">
        <v>1.9</v>
      </c>
      <c r="F277" s="14">
        <v>2.4</v>
      </c>
      <c r="G277" s="14">
        <v>2.4</v>
      </c>
      <c r="H277" s="14">
        <v>3</v>
      </c>
      <c r="I277" s="14">
        <v>2</v>
      </c>
      <c r="J277" s="14">
        <v>1.75</v>
      </c>
      <c r="K277" s="14">
        <v>3</v>
      </c>
      <c r="L277" s="15">
        <v>0.1</v>
      </c>
      <c r="M277" s="15">
        <v>0</v>
      </c>
      <c r="N277" s="14">
        <v>24</v>
      </c>
      <c r="O277" s="14">
        <v>50</v>
      </c>
      <c r="P277" s="13">
        <v>45</v>
      </c>
      <c r="Q277" s="13">
        <v>85</v>
      </c>
      <c r="R277" s="13" t="s">
        <v>17</v>
      </c>
      <c r="S277" s="13">
        <v>120</v>
      </c>
      <c r="T277" s="13">
        <v>0</v>
      </c>
      <c r="U277" s="13">
        <v>100</v>
      </c>
      <c r="V277" s="13" t="str">
        <f t="shared" si="193"/>
        <v>ISO 6</v>
      </c>
      <c r="W277" s="13">
        <f t="shared" si="193"/>
        <v>120</v>
      </c>
      <c r="X277" s="16">
        <f t="shared" si="194"/>
        <v>49.065599999999996</v>
      </c>
      <c r="Y277" s="16">
        <f t="shared" si="195"/>
        <v>386.24440319999997</v>
      </c>
      <c r="Z277" s="16">
        <f t="shared" si="196"/>
        <v>772.48880639999993</v>
      </c>
      <c r="AA277" s="16">
        <f t="shared" si="197"/>
        <v>77.248880639999996</v>
      </c>
      <c r="AB277" s="16">
        <f t="shared" si="198"/>
        <v>0</v>
      </c>
      <c r="AC277" s="16">
        <f t="shared" si="199"/>
        <v>0</v>
      </c>
      <c r="AD277" s="16" t="e">
        <f t="shared" si="200"/>
        <v>#DIV/0!</v>
      </c>
      <c r="AE277" s="16" t="e">
        <f t="shared" si="201"/>
        <v>#DIV/0!</v>
      </c>
      <c r="AF277" s="16" t="e">
        <f t="shared" si="202"/>
        <v>#DIV/0!</v>
      </c>
      <c r="AG277" s="16" t="e">
        <f t="shared" si="203"/>
        <v>#DIV/0!</v>
      </c>
      <c r="AH277" s="838" t="s">
        <v>85</v>
      </c>
      <c r="AI277" s="17">
        <f t="shared" si="204"/>
        <v>0</v>
      </c>
      <c r="AJ277" s="17" t="e">
        <f t="shared" si="205"/>
        <v>#DIV/0!</v>
      </c>
      <c r="AK277" s="891"/>
      <c r="AL277" s="18"/>
      <c r="AM277" s="889"/>
      <c r="AN277" s="891"/>
      <c r="AO277" s="888"/>
      <c r="AP277" s="891"/>
      <c r="AQ277" s="891"/>
      <c r="AR277" s="889"/>
      <c r="AS277" s="888"/>
      <c r="AT277" s="888"/>
      <c r="AU277" s="890"/>
      <c r="AV277" s="888"/>
      <c r="AW277" s="888"/>
      <c r="AX277" s="888"/>
      <c r="AY277" s="887"/>
      <c r="AZ277" s="888"/>
    </row>
    <row r="278" spans="3:52" ht="18.600000000000001">
      <c r="C278" s="13">
        <f>IF(D278&lt;&gt;"",COUNTA($D$10:D278),"")</f>
        <v>230</v>
      </c>
      <c r="D278" s="14" t="s">
        <v>208</v>
      </c>
      <c r="E278" s="14">
        <v>3</v>
      </c>
      <c r="F278" s="14">
        <v>2.9</v>
      </c>
      <c r="G278" s="14">
        <v>2.4</v>
      </c>
      <c r="H278" s="14">
        <v>2</v>
      </c>
      <c r="I278" s="14">
        <v>1</v>
      </c>
      <c r="J278" s="14">
        <v>1.75</v>
      </c>
      <c r="K278" s="14">
        <v>3</v>
      </c>
      <c r="L278" s="15">
        <v>0.1</v>
      </c>
      <c r="M278" s="15">
        <v>0</v>
      </c>
      <c r="N278" s="14">
        <v>24</v>
      </c>
      <c r="O278" s="14">
        <v>50</v>
      </c>
      <c r="P278" s="13">
        <v>45</v>
      </c>
      <c r="Q278" s="13">
        <v>85</v>
      </c>
      <c r="R278" s="13" t="s">
        <v>17</v>
      </c>
      <c r="S278" s="13">
        <v>120</v>
      </c>
      <c r="T278" s="13">
        <v>0</v>
      </c>
      <c r="U278" s="13">
        <v>100</v>
      </c>
      <c r="V278" s="13" t="str">
        <f t="shared" si="193"/>
        <v>ISO 6</v>
      </c>
      <c r="W278" s="13">
        <f t="shared" si="193"/>
        <v>120</v>
      </c>
      <c r="X278" s="16">
        <f t="shared" si="194"/>
        <v>93.611999999999995</v>
      </c>
      <c r="Y278" s="16">
        <f t="shared" si="195"/>
        <v>736.91366399999993</v>
      </c>
      <c r="Z278" s="16">
        <f t="shared" si="196"/>
        <v>1473.8273279999999</v>
      </c>
      <c r="AA278" s="16">
        <f t="shared" si="197"/>
        <v>147.38273279999999</v>
      </c>
      <c r="AB278" s="16">
        <f t="shared" si="198"/>
        <v>0</v>
      </c>
      <c r="AC278" s="16">
        <f t="shared" si="199"/>
        <v>0</v>
      </c>
      <c r="AD278" s="16" t="e">
        <f>IF(ISNUMBER(N278), CEILING(CF278/(0.68*BP278),25), "Ambient")</f>
        <v>#DIV/0!</v>
      </c>
      <c r="AE278" s="16" t="e">
        <f t="shared" si="201"/>
        <v>#DIV/0!</v>
      </c>
      <c r="AF278" s="16" t="e">
        <f t="shared" si="202"/>
        <v>#DIV/0!</v>
      </c>
      <c r="AG278" s="16" t="e">
        <f t="shared" si="203"/>
        <v>#DIV/0!</v>
      </c>
      <c r="AH278" s="838" t="s">
        <v>85</v>
      </c>
      <c r="AI278" s="17">
        <f t="shared" si="204"/>
        <v>0</v>
      </c>
      <c r="AJ278" s="17" t="e">
        <f t="shared" si="205"/>
        <v>#DIV/0!</v>
      </c>
      <c r="AK278" s="891"/>
      <c r="AL278" s="18"/>
      <c r="AM278" s="889"/>
      <c r="AN278" s="891"/>
      <c r="AO278" s="888"/>
      <c r="AP278" s="891"/>
      <c r="AQ278" s="891"/>
      <c r="AR278" s="889"/>
      <c r="AS278" s="888"/>
      <c r="AT278" s="888"/>
      <c r="AU278" s="890"/>
      <c r="AV278" s="888"/>
      <c r="AW278" s="888"/>
      <c r="AX278" s="888"/>
      <c r="AY278" s="887"/>
      <c r="AZ278" s="888"/>
    </row>
    <row r="279" spans="3:52" ht="18.600000000000001">
      <c r="C279" s="13">
        <f>IF(D279&lt;&gt;"",COUNTA($D$10:D279),"")</f>
        <v>231</v>
      </c>
      <c r="D279" s="14" t="s">
        <v>209</v>
      </c>
      <c r="E279" s="14">
        <v>2.4</v>
      </c>
      <c r="F279" s="14">
        <v>2</v>
      </c>
      <c r="G279" s="14">
        <v>2.4</v>
      </c>
      <c r="H279" s="14">
        <v>2</v>
      </c>
      <c r="I279" s="14">
        <v>1</v>
      </c>
      <c r="J279" s="14">
        <v>1.75</v>
      </c>
      <c r="K279" s="14">
        <v>3</v>
      </c>
      <c r="L279" s="15">
        <v>0.1</v>
      </c>
      <c r="M279" s="15">
        <v>0</v>
      </c>
      <c r="N279" s="14">
        <v>24</v>
      </c>
      <c r="O279" s="14">
        <v>50</v>
      </c>
      <c r="P279" s="13">
        <v>45</v>
      </c>
      <c r="Q279" s="13">
        <v>85</v>
      </c>
      <c r="R279" s="13" t="s">
        <v>17</v>
      </c>
      <c r="S279" s="13">
        <v>120</v>
      </c>
      <c r="T279" s="13">
        <v>0</v>
      </c>
      <c r="U279" s="13">
        <v>100</v>
      </c>
      <c r="V279" s="13" t="str">
        <f t="shared" si="193"/>
        <v>ISO 6</v>
      </c>
      <c r="W279" s="13">
        <f t="shared" si="193"/>
        <v>120</v>
      </c>
      <c r="X279" s="16">
        <f t="shared" si="194"/>
        <v>51.647999999999996</v>
      </c>
      <c r="Y279" s="16">
        <f t="shared" si="195"/>
        <v>406.57305599999995</v>
      </c>
      <c r="Z279" s="16">
        <f t="shared" si="196"/>
        <v>813.1461119999999</v>
      </c>
      <c r="AA279" s="16">
        <f t="shared" si="197"/>
        <v>81.314611200000002</v>
      </c>
      <c r="AB279" s="16">
        <f t="shared" si="198"/>
        <v>0</v>
      </c>
      <c r="AC279" s="16">
        <f t="shared" si="199"/>
        <v>0</v>
      </c>
      <c r="AD279" s="16" t="e">
        <f t="shared" ref="AD279:AD285" si="206">IF(ISNUMBER(N279), CEILING(CF279/(0.68*BP279),25), "Ambient")</f>
        <v>#DIV/0!</v>
      </c>
      <c r="AE279" s="16" t="e">
        <f t="shared" si="201"/>
        <v>#DIV/0!</v>
      </c>
      <c r="AF279" s="16" t="e">
        <f t="shared" si="202"/>
        <v>#DIV/0!</v>
      </c>
      <c r="AG279" s="16" t="e">
        <f t="shared" si="203"/>
        <v>#DIV/0!</v>
      </c>
      <c r="AH279" s="838" t="s">
        <v>85</v>
      </c>
      <c r="AI279" s="17">
        <f t="shared" si="204"/>
        <v>0</v>
      </c>
      <c r="AJ279" s="17" t="e">
        <f t="shared" si="205"/>
        <v>#DIV/0!</v>
      </c>
      <c r="AK279" s="891"/>
      <c r="AL279" s="174" t="e">
        <f>IF(AN270&lt;=315,1600,(IF(AN270=355,1650,(IF(AN270=400,1650,(IF(AN270=450,1700,(IF(AN270=500,1700,(IF(AN270=560,1800,(IF(AN270=630,2000,(IF(AN270=710,2200,2500)))))))))))))))+IF(AR270=2,1800,(IF(AR270=3,2300,(IF(AR270=4,3300,0)))))+IF(AP270&lt;=4,600,(IF(AP270&lt;=6,800,(IF(AP270&lt;=8,1000,1200)))))</f>
        <v>#DIV/0!</v>
      </c>
      <c r="AM279" s="889"/>
      <c r="AN279" s="891"/>
      <c r="AO279" s="888"/>
      <c r="AP279" s="891"/>
      <c r="AQ279" s="891"/>
      <c r="AR279" s="889"/>
      <c r="AS279" s="888"/>
      <c r="AT279" s="888"/>
      <c r="AU279" s="890"/>
      <c r="AV279" s="888"/>
      <c r="AW279" s="888"/>
      <c r="AX279" s="888"/>
      <c r="AY279" s="887"/>
      <c r="AZ279" s="888"/>
    </row>
    <row r="280" spans="3:52" ht="18.600000000000001">
      <c r="C280" s="13">
        <f>IF(D280&lt;&gt;"",COUNTA($D$10:D280),"")</f>
        <v>232</v>
      </c>
      <c r="D280" s="14" t="s">
        <v>210</v>
      </c>
      <c r="E280" s="14">
        <v>2.1</v>
      </c>
      <c r="F280" s="14">
        <v>1.8</v>
      </c>
      <c r="G280" s="14">
        <v>2.4</v>
      </c>
      <c r="H280" s="14">
        <v>2</v>
      </c>
      <c r="I280" s="14">
        <v>1</v>
      </c>
      <c r="J280" s="14">
        <v>1.75</v>
      </c>
      <c r="K280" s="14">
        <v>3</v>
      </c>
      <c r="L280" s="15">
        <v>0.1</v>
      </c>
      <c r="M280" s="15">
        <v>0</v>
      </c>
      <c r="N280" s="14">
        <v>24</v>
      </c>
      <c r="O280" s="14">
        <v>50</v>
      </c>
      <c r="P280" s="13">
        <v>45</v>
      </c>
      <c r="Q280" s="13">
        <v>85</v>
      </c>
      <c r="R280" s="13" t="s">
        <v>17</v>
      </c>
      <c r="S280" s="13">
        <v>120</v>
      </c>
      <c r="T280" s="13">
        <v>0</v>
      </c>
      <c r="U280" s="13">
        <v>100</v>
      </c>
      <c r="V280" s="13" t="str">
        <f t="shared" si="193"/>
        <v>ISO 6</v>
      </c>
      <c r="W280" s="13">
        <f t="shared" si="193"/>
        <v>120</v>
      </c>
      <c r="X280" s="16">
        <f t="shared" si="194"/>
        <v>40.672800000000002</v>
      </c>
      <c r="Y280" s="16">
        <f t="shared" si="195"/>
        <v>320.17628159999998</v>
      </c>
      <c r="Z280" s="16">
        <f t="shared" si="196"/>
        <v>640.35256319999996</v>
      </c>
      <c r="AA280" s="16">
        <f t="shared" si="197"/>
        <v>64.035256320000002</v>
      </c>
      <c r="AB280" s="16">
        <f t="shared" si="198"/>
        <v>0</v>
      </c>
      <c r="AC280" s="16">
        <f t="shared" si="199"/>
        <v>0</v>
      </c>
      <c r="AD280" s="16" t="e">
        <f t="shared" si="206"/>
        <v>#DIV/0!</v>
      </c>
      <c r="AE280" s="16" t="e">
        <f t="shared" si="201"/>
        <v>#DIV/0!</v>
      </c>
      <c r="AF280" s="16" t="e">
        <f t="shared" si="202"/>
        <v>#DIV/0!</v>
      </c>
      <c r="AG280" s="16" t="e">
        <f t="shared" si="203"/>
        <v>#DIV/0!</v>
      </c>
      <c r="AH280" s="838" t="s">
        <v>85</v>
      </c>
      <c r="AI280" s="17">
        <f t="shared" si="204"/>
        <v>0</v>
      </c>
      <c r="AJ280" s="17" t="e">
        <f t="shared" si="205"/>
        <v>#DIV/0!</v>
      </c>
      <c r="AK280" s="891"/>
      <c r="AL280" s="18"/>
      <c r="AM280" s="889"/>
      <c r="AN280" s="891"/>
      <c r="AO280" s="888"/>
      <c r="AP280" s="891"/>
      <c r="AQ280" s="891"/>
      <c r="AR280" s="889"/>
      <c r="AS280" s="888"/>
      <c r="AT280" s="888"/>
      <c r="AU280" s="890"/>
      <c r="AV280" s="888"/>
      <c r="AW280" s="888"/>
      <c r="AX280" s="888"/>
      <c r="AY280" s="887"/>
      <c r="AZ280" s="888"/>
    </row>
    <row r="281" spans="3:52" ht="18.600000000000001">
      <c r="C281" s="13">
        <f>IF(D281&lt;&gt;"",COUNTA($D$10:D281),"")</f>
        <v>233</v>
      </c>
      <c r="D281" s="14" t="s">
        <v>211</v>
      </c>
      <c r="E281" s="14">
        <v>1.8</v>
      </c>
      <c r="F281" s="14">
        <v>1.9</v>
      </c>
      <c r="G281" s="14">
        <v>2.4</v>
      </c>
      <c r="H281" s="14">
        <v>2</v>
      </c>
      <c r="I281" s="14">
        <v>1</v>
      </c>
      <c r="J281" s="14">
        <v>1.75</v>
      </c>
      <c r="K281" s="14">
        <v>3</v>
      </c>
      <c r="L281" s="15">
        <v>0.1</v>
      </c>
      <c r="M281" s="15">
        <v>0</v>
      </c>
      <c r="N281" s="14">
        <v>24</v>
      </c>
      <c r="O281" s="14">
        <v>50</v>
      </c>
      <c r="P281" s="13">
        <v>45</v>
      </c>
      <c r="Q281" s="13">
        <v>85</v>
      </c>
      <c r="R281" s="13" t="s">
        <v>17</v>
      </c>
      <c r="S281" s="13">
        <v>120</v>
      </c>
      <c r="T281" s="13">
        <v>0</v>
      </c>
      <c r="U281" s="13">
        <v>100</v>
      </c>
      <c r="V281" s="13" t="str">
        <f t="shared" si="193"/>
        <v>ISO 6</v>
      </c>
      <c r="W281" s="13">
        <f t="shared" si="193"/>
        <v>120</v>
      </c>
      <c r="X281" s="16">
        <f t="shared" si="194"/>
        <v>36.799199999999999</v>
      </c>
      <c r="Y281" s="16">
        <f t="shared" si="195"/>
        <v>289.68330239999995</v>
      </c>
      <c r="Z281" s="16">
        <f t="shared" si="196"/>
        <v>579.36660479999989</v>
      </c>
      <c r="AA281" s="16">
        <f t="shared" si="197"/>
        <v>57.936660479999993</v>
      </c>
      <c r="AB281" s="16">
        <f t="shared" si="198"/>
        <v>0</v>
      </c>
      <c r="AC281" s="16">
        <f t="shared" si="199"/>
        <v>0</v>
      </c>
      <c r="AD281" s="16" t="e">
        <f t="shared" si="206"/>
        <v>#DIV/0!</v>
      </c>
      <c r="AE281" s="16" t="e">
        <f t="shared" si="201"/>
        <v>#DIV/0!</v>
      </c>
      <c r="AF281" s="16" t="e">
        <f t="shared" si="202"/>
        <v>#DIV/0!</v>
      </c>
      <c r="AG281" s="16" t="e">
        <f t="shared" si="203"/>
        <v>#DIV/0!</v>
      </c>
      <c r="AH281" s="838" t="s">
        <v>85</v>
      </c>
      <c r="AI281" s="17">
        <f t="shared" si="204"/>
        <v>0</v>
      </c>
      <c r="AJ281" s="17" t="e">
        <f t="shared" si="205"/>
        <v>#DIV/0!</v>
      </c>
      <c r="AK281" s="891"/>
      <c r="AL281" s="18"/>
      <c r="AM281" s="889"/>
      <c r="AN281" s="891"/>
      <c r="AO281" s="888"/>
      <c r="AP281" s="891"/>
      <c r="AQ281" s="891"/>
      <c r="AR281" s="889"/>
      <c r="AS281" s="888"/>
      <c r="AT281" s="888"/>
      <c r="AU281" s="890"/>
      <c r="AV281" s="888"/>
      <c r="AW281" s="888"/>
      <c r="AX281" s="888"/>
      <c r="AY281" s="887"/>
      <c r="AZ281" s="888"/>
    </row>
    <row r="282" spans="3:52" ht="18.600000000000001">
      <c r="C282" s="13">
        <f>IF(D282&lt;&gt;"",COUNTA($D$10:D282),"")</f>
        <v>234</v>
      </c>
      <c r="D282" s="14" t="s">
        <v>212</v>
      </c>
      <c r="E282" s="14">
        <v>1.9</v>
      </c>
      <c r="F282" s="14">
        <v>2</v>
      </c>
      <c r="G282" s="14">
        <v>2.4</v>
      </c>
      <c r="H282" s="14">
        <v>2</v>
      </c>
      <c r="I282" s="14">
        <v>1</v>
      </c>
      <c r="J282" s="14">
        <v>1.75</v>
      </c>
      <c r="K282" s="14">
        <v>3</v>
      </c>
      <c r="L282" s="15">
        <v>0.1</v>
      </c>
      <c r="M282" s="15">
        <v>0</v>
      </c>
      <c r="N282" s="14">
        <v>24</v>
      </c>
      <c r="O282" s="14">
        <v>50</v>
      </c>
      <c r="P282" s="13">
        <v>45</v>
      </c>
      <c r="Q282" s="13">
        <v>85</v>
      </c>
      <c r="R282" s="13" t="s">
        <v>17</v>
      </c>
      <c r="S282" s="13">
        <v>120</v>
      </c>
      <c r="T282" s="13">
        <v>0</v>
      </c>
      <c r="U282" s="13">
        <v>100</v>
      </c>
      <c r="V282" s="13" t="str">
        <f t="shared" si="193"/>
        <v>ISO 6</v>
      </c>
      <c r="W282" s="13">
        <f t="shared" si="193"/>
        <v>120</v>
      </c>
      <c r="X282" s="16">
        <f t="shared" si="194"/>
        <v>40.887999999999998</v>
      </c>
      <c r="Y282" s="16">
        <f t="shared" si="195"/>
        <v>321.87033599999995</v>
      </c>
      <c r="Z282" s="16">
        <f t="shared" si="196"/>
        <v>643.7406719999999</v>
      </c>
      <c r="AA282" s="16">
        <f t="shared" si="197"/>
        <v>64.374067199999999</v>
      </c>
      <c r="AB282" s="16">
        <f t="shared" si="198"/>
        <v>0</v>
      </c>
      <c r="AC282" s="16">
        <f t="shared" si="199"/>
        <v>0</v>
      </c>
      <c r="AD282" s="16" t="e">
        <f t="shared" si="206"/>
        <v>#DIV/0!</v>
      </c>
      <c r="AE282" s="16" t="e">
        <f t="shared" si="201"/>
        <v>#DIV/0!</v>
      </c>
      <c r="AF282" s="16" t="e">
        <f t="shared" si="202"/>
        <v>#DIV/0!</v>
      </c>
      <c r="AG282" s="16" t="e">
        <f t="shared" si="203"/>
        <v>#DIV/0!</v>
      </c>
      <c r="AH282" s="838" t="s">
        <v>85</v>
      </c>
      <c r="AI282" s="17">
        <f t="shared" si="204"/>
        <v>0</v>
      </c>
      <c r="AJ282" s="17" t="e">
        <f t="shared" si="205"/>
        <v>#DIV/0!</v>
      </c>
      <c r="AK282" s="891"/>
      <c r="AL282" s="18"/>
      <c r="AM282" s="889"/>
      <c r="AN282" s="891"/>
      <c r="AO282" s="888"/>
      <c r="AP282" s="891"/>
      <c r="AQ282" s="891"/>
      <c r="AR282" s="889"/>
      <c r="AS282" s="888"/>
      <c r="AT282" s="888"/>
      <c r="AU282" s="890"/>
      <c r="AV282" s="888"/>
      <c r="AW282" s="888"/>
      <c r="AX282" s="888"/>
      <c r="AY282" s="887"/>
      <c r="AZ282" s="888"/>
    </row>
    <row r="283" spans="3:52" ht="18.600000000000001">
      <c r="C283" s="13">
        <f>IF(D283&lt;&gt;"",COUNTA($D$10:D283),"")</f>
        <v>235</v>
      </c>
      <c r="D283" s="14" t="s">
        <v>213</v>
      </c>
      <c r="E283" s="14">
        <v>2.2999999999999998</v>
      </c>
      <c r="F283" s="14">
        <v>2.2000000000000002</v>
      </c>
      <c r="G283" s="14">
        <v>2.4</v>
      </c>
      <c r="H283" s="14">
        <v>2</v>
      </c>
      <c r="I283" s="14">
        <v>1</v>
      </c>
      <c r="J283" s="14">
        <v>1.75</v>
      </c>
      <c r="K283" s="14">
        <v>3</v>
      </c>
      <c r="L283" s="15">
        <v>0.1</v>
      </c>
      <c r="M283" s="15">
        <v>0</v>
      </c>
      <c r="N283" s="14">
        <v>24</v>
      </c>
      <c r="O283" s="14">
        <v>50</v>
      </c>
      <c r="P283" s="13">
        <v>45</v>
      </c>
      <c r="Q283" s="13">
        <v>85</v>
      </c>
      <c r="R283" s="13" t="s">
        <v>17</v>
      </c>
      <c r="S283" s="13">
        <v>120</v>
      </c>
      <c r="T283" s="13">
        <v>0</v>
      </c>
      <c r="U283" s="13">
        <v>100</v>
      </c>
      <c r="V283" s="13" t="str">
        <f t="shared" si="193"/>
        <v>ISO 6</v>
      </c>
      <c r="W283" s="13">
        <f t="shared" si="193"/>
        <v>120</v>
      </c>
      <c r="X283" s="16">
        <f t="shared" si="194"/>
        <v>54.445599999999992</v>
      </c>
      <c r="Y283" s="16">
        <f t="shared" si="195"/>
        <v>428.59576319999991</v>
      </c>
      <c r="Z283" s="16">
        <f t="shared" si="196"/>
        <v>857.19152639999982</v>
      </c>
      <c r="AA283" s="16">
        <f t="shared" si="197"/>
        <v>85.71915263999999</v>
      </c>
      <c r="AB283" s="16">
        <f t="shared" si="198"/>
        <v>0</v>
      </c>
      <c r="AC283" s="16">
        <f t="shared" si="199"/>
        <v>0</v>
      </c>
      <c r="AD283" s="16" t="e">
        <f t="shared" si="206"/>
        <v>#DIV/0!</v>
      </c>
      <c r="AE283" s="16" t="e">
        <f t="shared" si="201"/>
        <v>#DIV/0!</v>
      </c>
      <c r="AF283" s="16" t="e">
        <f t="shared" si="202"/>
        <v>#DIV/0!</v>
      </c>
      <c r="AG283" s="16" t="e">
        <f t="shared" si="203"/>
        <v>#DIV/0!</v>
      </c>
      <c r="AH283" s="838" t="s">
        <v>85</v>
      </c>
      <c r="AI283" s="17">
        <f t="shared" si="204"/>
        <v>0</v>
      </c>
      <c r="AJ283" s="17" t="e">
        <f t="shared" si="205"/>
        <v>#DIV/0!</v>
      </c>
      <c r="AK283" s="891"/>
      <c r="AL283" s="18"/>
      <c r="AM283" s="889"/>
      <c r="AN283" s="891"/>
      <c r="AO283" s="888"/>
      <c r="AP283" s="891"/>
      <c r="AQ283" s="891"/>
      <c r="AR283" s="889"/>
      <c r="AS283" s="888"/>
      <c r="AT283" s="888"/>
      <c r="AU283" s="890"/>
      <c r="AV283" s="888"/>
      <c r="AW283" s="888"/>
      <c r="AX283" s="888"/>
      <c r="AY283" s="887"/>
      <c r="AZ283" s="888"/>
    </row>
    <row r="284" spans="3:52" ht="18.600000000000001">
      <c r="C284" s="13">
        <f>IF(D284&lt;&gt;"",COUNTA($D$10:D284),"")</f>
        <v>236</v>
      </c>
      <c r="D284" s="14" t="s">
        <v>214</v>
      </c>
      <c r="E284" s="14">
        <v>2.2000000000000002</v>
      </c>
      <c r="F284" s="14">
        <v>2.8</v>
      </c>
      <c r="G284" s="14">
        <v>2.4</v>
      </c>
      <c r="H284" s="14">
        <v>2</v>
      </c>
      <c r="I284" s="14">
        <v>1</v>
      </c>
      <c r="J284" s="14">
        <v>1.75</v>
      </c>
      <c r="K284" s="14">
        <v>3</v>
      </c>
      <c r="L284" s="15">
        <v>0.1</v>
      </c>
      <c r="M284" s="15">
        <v>0</v>
      </c>
      <c r="N284" s="14">
        <v>24</v>
      </c>
      <c r="O284" s="14">
        <v>50</v>
      </c>
      <c r="P284" s="13">
        <v>45</v>
      </c>
      <c r="Q284" s="13">
        <v>85</v>
      </c>
      <c r="R284" s="13" t="s">
        <v>17</v>
      </c>
      <c r="S284" s="13">
        <v>120</v>
      </c>
      <c r="T284" s="13">
        <v>0</v>
      </c>
      <c r="U284" s="13">
        <v>100</v>
      </c>
      <c r="V284" s="13" t="str">
        <f t="shared" si="193"/>
        <v>ISO 6</v>
      </c>
      <c r="W284" s="13">
        <f t="shared" si="193"/>
        <v>120</v>
      </c>
      <c r="X284" s="16">
        <f t="shared" si="194"/>
        <v>66.281599999999997</v>
      </c>
      <c r="Y284" s="16">
        <f t="shared" si="195"/>
        <v>521.76875519999999</v>
      </c>
      <c r="Z284" s="16">
        <f t="shared" si="196"/>
        <v>1043.5375104</v>
      </c>
      <c r="AA284" s="16">
        <f t="shared" si="197"/>
        <v>104.35375104000001</v>
      </c>
      <c r="AB284" s="16">
        <f t="shared" si="198"/>
        <v>0</v>
      </c>
      <c r="AC284" s="16">
        <f t="shared" si="199"/>
        <v>0</v>
      </c>
      <c r="AD284" s="16" t="e">
        <f t="shared" si="206"/>
        <v>#DIV/0!</v>
      </c>
      <c r="AE284" s="16" t="e">
        <f t="shared" si="201"/>
        <v>#DIV/0!</v>
      </c>
      <c r="AF284" s="16" t="e">
        <f t="shared" si="202"/>
        <v>#DIV/0!</v>
      </c>
      <c r="AG284" s="16" t="e">
        <f t="shared" si="203"/>
        <v>#DIV/0!</v>
      </c>
      <c r="AH284" s="838" t="s">
        <v>85</v>
      </c>
      <c r="AI284" s="17">
        <f t="shared" si="204"/>
        <v>0</v>
      </c>
      <c r="AJ284" s="17" t="e">
        <f t="shared" si="205"/>
        <v>#DIV/0!</v>
      </c>
      <c r="AK284" s="891"/>
      <c r="AL284" s="18"/>
      <c r="AM284" s="889"/>
      <c r="AN284" s="891"/>
      <c r="AO284" s="888"/>
      <c r="AP284" s="891"/>
      <c r="AQ284" s="891"/>
      <c r="AR284" s="889"/>
      <c r="AS284" s="888"/>
      <c r="AT284" s="888"/>
      <c r="AU284" s="890"/>
      <c r="AV284" s="888"/>
      <c r="AW284" s="888"/>
      <c r="AX284" s="888"/>
      <c r="AY284" s="887"/>
      <c r="AZ284" s="888"/>
    </row>
    <row r="285" spans="3:52" ht="18.600000000000001">
      <c r="C285" s="13">
        <f>IF(D285&lt;&gt;"",COUNTA($D$10:D285),"")</f>
        <v>237</v>
      </c>
      <c r="D285" s="14" t="s">
        <v>215</v>
      </c>
      <c r="E285" s="14">
        <v>2.8</v>
      </c>
      <c r="F285" s="14">
        <v>2.4</v>
      </c>
      <c r="G285" s="14">
        <v>2.4</v>
      </c>
      <c r="H285" s="14">
        <v>2</v>
      </c>
      <c r="I285" s="14">
        <v>1</v>
      </c>
      <c r="J285" s="14">
        <v>1.75</v>
      </c>
      <c r="K285" s="14">
        <v>3</v>
      </c>
      <c r="L285" s="15">
        <v>0.1</v>
      </c>
      <c r="M285" s="15">
        <v>0</v>
      </c>
      <c r="N285" s="14">
        <v>24</v>
      </c>
      <c r="O285" s="14">
        <v>50</v>
      </c>
      <c r="P285" s="13">
        <v>45</v>
      </c>
      <c r="Q285" s="13">
        <v>85</v>
      </c>
      <c r="R285" s="13" t="s">
        <v>17</v>
      </c>
      <c r="S285" s="13">
        <v>120</v>
      </c>
      <c r="T285" s="13">
        <v>0</v>
      </c>
      <c r="U285" s="13">
        <v>100</v>
      </c>
      <c r="V285" s="13" t="str">
        <f t="shared" si="193"/>
        <v>ISO 6</v>
      </c>
      <c r="W285" s="13">
        <f t="shared" si="193"/>
        <v>120</v>
      </c>
      <c r="X285" s="16">
        <f t="shared" si="194"/>
        <v>72.307199999999995</v>
      </c>
      <c r="Y285" s="16">
        <f t="shared" si="195"/>
        <v>569.20227839999995</v>
      </c>
      <c r="Z285" s="16">
        <f t="shared" si="196"/>
        <v>1138.4045567999999</v>
      </c>
      <c r="AA285" s="16">
        <f t="shared" si="197"/>
        <v>113.84045567999999</v>
      </c>
      <c r="AB285" s="16">
        <f t="shared" si="198"/>
        <v>0</v>
      </c>
      <c r="AC285" s="16">
        <f t="shared" si="199"/>
        <v>0</v>
      </c>
      <c r="AD285" s="16" t="e">
        <f t="shared" si="206"/>
        <v>#DIV/0!</v>
      </c>
      <c r="AE285" s="16" t="e">
        <f t="shared" si="201"/>
        <v>#DIV/0!</v>
      </c>
      <c r="AF285" s="16" t="e">
        <f t="shared" si="202"/>
        <v>#DIV/0!</v>
      </c>
      <c r="AG285" s="16" t="e">
        <f t="shared" si="203"/>
        <v>#DIV/0!</v>
      </c>
      <c r="AH285" s="838" t="s">
        <v>85</v>
      </c>
      <c r="AI285" s="17">
        <f t="shared" si="204"/>
        <v>0</v>
      </c>
      <c r="AJ285" s="17" t="e">
        <f t="shared" si="205"/>
        <v>#DIV/0!</v>
      </c>
      <c r="AK285" s="891"/>
      <c r="AL285" s="18"/>
      <c r="AM285" s="889"/>
      <c r="AN285" s="891"/>
      <c r="AO285" s="888"/>
      <c r="AP285" s="891"/>
      <c r="AQ285" s="891"/>
      <c r="AR285" s="889"/>
      <c r="AS285" s="888"/>
      <c r="AT285" s="888"/>
      <c r="AU285" s="890"/>
      <c r="AV285" s="888"/>
      <c r="AW285" s="888"/>
      <c r="AX285" s="888"/>
      <c r="AY285" s="887"/>
      <c r="AZ285" s="888"/>
    </row>
    <row r="286" spans="3:52">
      <c r="C286" s="19"/>
      <c r="D286" s="19"/>
      <c r="E286" s="19"/>
      <c r="F286" s="19"/>
      <c r="G286" s="19"/>
      <c r="H286" s="19"/>
      <c r="I286" s="19"/>
      <c r="J286" s="19"/>
      <c r="K286" s="19"/>
      <c r="L286" s="19"/>
      <c r="M286" s="19"/>
      <c r="N286" s="19"/>
      <c r="O286" s="19"/>
      <c r="P286" s="19"/>
      <c r="Q286" s="19"/>
      <c r="R286" s="19"/>
      <c r="S286" s="19"/>
      <c r="T286" s="19"/>
      <c r="U286" s="19"/>
      <c r="V286" s="19"/>
      <c r="W286" s="19"/>
      <c r="X286" s="20">
        <f>SUM(X270:X285)</f>
        <v>1144.1108000000002</v>
      </c>
      <c r="Y286" s="20">
        <f t="shared" ref="Y286:AG286" si="207">SUM(Y270:Y285)</f>
        <v>9006.4402175999985</v>
      </c>
      <c r="Z286" s="20">
        <f t="shared" si="207"/>
        <v>18012.880435199997</v>
      </c>
      <c r="AA286" s="20">
        <f t="shared" si="207"/>
        <v>1801.2880435199995</v>
      </c>
      <c r="AB286" s="20">
        <f t="shared" si="207"/>
        <v>0</v>
      </c>
      <c r="AC286" s="20">
        <f t="shared" si="207"/>
        <v>0</v>
      </c>
      <c r="AD286" s="20" t="e">
        <f t="shared" si="207"/>
        <v>#DIV/0!</v>
      </c>
      <c r="AE286" s="20" t="e">
        <f t="shared" si="207"/>
        <v>#DIV/0!</v>
      </c>
      <c r="AF286" s="20" t="e">
        <f t="shared" si="207"/>
        <v>#DIV/0!</v>
      </c>
      <c r="AG286" s="20" t="e">
        <f t="shared" si="207"/>
        <v>#DIV/0!</v>
      </c>
      <c r="AH286" s="841"/>
      <c r="AI286" s="20">
        <f t="shared" ref="AI286:AJ286" si="208">SUM(AI270:AI285)</f>
        <v>0</v>
      </c>
      <c r="AJ286" s="20" t="e">
        <f t="shared" si="208"/>
        <v>#DIV/0!</v>
      </c>
      <c r="AK286" s="21"/>
      <c r="AL286" s="21"/>
      <c r="AM286" s="21"/>
      <c r="AN286" s="21"/>
      <c r="AO286" s="21"/>
      <c r="AP286" s="21"/>
      <c r="AQ286" s="21"/>
      <c r="AR286" s="21"/>
      <c r="AS286" s="21"/>
      <c r="AT286" s="21"/>
      <c r="AU286" s="21"/>
      <c r="AV286" s="21"/>
      <c r="AW286" s="21"/>
      <c r="AX286" s="21"/>
      <c r="AY286" s="21"/>
      <c r="AZ286" s="21"/>
    </row>
    <row r="287" spans="3:52">
      <c r="AH287" s="840"/>
    </row>
    <row r="288" spans="3:52" ht="26.1">
      <c r="C288" s="8" t="e">
        <f>"Zoning Area  AHU - " &amp; INT((ROW()-8)/20)+1 &amp; "  " &amp;IF(AQ290&gt;0,"Air-Conditioning System " &amp; IF(AH290="D","(DX)",IF(AH290="C","(Chilled Water)","")),IF(AND(N290="Amb",AQ290=0),"Ventilation System","Refer"))</f>
        <v>#DIV/0!</v>
      </c>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39"/>
      <c r="AI288" s="8"/>
      <c r="AJ288" s="8"/>
      <c r="AK288" s="8"/>
      <c r="AL288" s="8"/>
      <c r="AM288" s="8"/>
      <c r="AN288" s="8"/>
      <c r="AO288" s="8"/>
      <c r="AP288" s="8"/>
      <c r="AQ288" s="8"/>
      <c r="AR288" s="8"/>
      <c r="AS288" s="9" t="s">
        <v>221</v>
      </c>
      <c r="AT288" s="10"/>
      <c r="AU288" s="10"/>
      <c r="AV288" s="11"/>
      <c r="AW288" s="9" t="s">
        <v>222</v>
      </c>
      <c r="AX288" s="10"/>
      <c r="AY288" s="10"/>
      <c r="AZ288" s="11"/>
    </row>
    <row r="289" spans="3:52">
      <c r="C289" s="13">
        <f>IF(D289&lt;&gt;"",COUNTA($D$10:D289),"")</f>
        <v>238</v>
      </c>
      <c r="D289" s="5" t="s">
        <v>165</v>
      </c>
      <c r="E289" s="5" t="s">
        <v>166</v>
      </c>
      <c r="F289" s="5" t="s">
        <v>167</v>
      </c>
      <c r="G289" s="5" t="s">
        <v>168</v>
      </c>
      <c r="H289" s="5" t="s">
        <v>169</v>
      </c>
      <c r="I289" s="5" t="s">
        <v>170</v>
      </c>
      <c r="J289" s="5" t="s">
        <v>171</v>
      </c>
      <c r="K289" s="5" t="s">
        <v>172</v>
      </c>
      <c r="L289" s="5" t="s">
        <v>173</v>
      </c>
      <c r="M289" s="5" t="s">
        <v>174</v>
      </c>
      <c r="N289" s="5" t="s">
        <v>175</v>
      </c>
      <c r="O289" s="5" t="s">
        <v>176</v>
      </c>
      <c r="P289" s="5" t="s">
        <v>177</v>
      </c>
      <c r="Q289" s="5" t="s">
        <v>178</v>
      </c>
      <c r="R289" s="5" t="s">
        <v>199</v>
      </c>
      <c r="S289" s="5" t="s">
        <v>180</v>
      </c>
      <c r="T289" s="5" t="s">
        <v>223</v>
      </c>
      <c r="U289" s="5" t="s">
        <v>224</v>
      </c>
      <c r="V289" s="5" t="s">
        <v>199</v>
      </c>
      <c r="W289" s="5" t="s">
        <v>180</v>
      </c>
      <c r="X289" s="5" t="s">
        <v>225</v>
      </c>
      <c r="Y289" s="5" t="s">
        <v>226</v>
      </c>
      <c r="Z289" s="5" t="s">
        <v>227</v>
      </c>
      <c r="AA289" s="5" t="s">
        <v>228</v>
      </c>
      <c r="AB289" s="5" t="s">
        <v>229</v>
      </c>
      <c r="AC289" s="5" t="s">
        <v>230</v>
      </c>
      <c r="AD289" s="5" t="s">
        <v>231</v>
      </c>
      <c r="AE289" s="5" t="s">
        <v>232</v>
      </c>
      <c r="AF289" s="6" t="s">
        <v>233</v>
      </c>
      <c r="AG289" s="6" t="s">
        <v>234</v>
      </c>
      <c r="AH289" s="6" t="s">
        <v>235</v>
      </c>
      <c r="AI289" s="5" t="s">
        <v>236</v>
      </c>
      <c r="AJ289" s="5" t="s">
        <v>237</v>
      </c>
      <c r="AK289" s="5" t="s">
        <v>238</v>
      </c>
      <c r="AL289" s="5" t="s">
        <v>239</v>
      </c>
      <c r="AM289" s="5" t="s">
        <v>240</v>
      </c>
      <c r="AN289" s="5" t="s">
        <v>241</v>
      </c>
      <c r="AO289" s="5" t="s">
        <v>242</v>
      </c>
      <c r="AP289" s="5" t="s">
        <v>243</v>
      </c>
      <c r="AQ289" s="5" t="s">
        <v>244</v>
      </c>
      <c r="AR289" s="5" t="s">
        <v>245</v>
      </c>
      <c r="AS289" s="5" t="s">
        <v>246</v>
      </c>
      <c r="AT289" s="5" t="s">
        <v>247</v>
      </c>
      <c r="AU289" s="5" t="s">
        <v>248</v>
      </c>
      <c r="AV289" s="5" t="s">
        <v>249</v>
      </c>
      <c r="AW289" s="5" t="s">
        <v>250</v>
      </c>
      <c r="AX289" s="5" t="s">
        <v>251</v>
      </c>
      <c r="AY289" s="5" t="s">
        <v>252</v>
      </c>
      <c r="AZ289" s="5" t="s">
        <v>253</v>
      </c>
    </row>
    <row r="290" spans="3:52" ht="18.600000000000001">
      <c r="C290" s="13">
        <f>IF(D290&lt;&gt;"",COUNTA($D$10:D290),"")</f>
        <v>239</v>
      </c>
      <c r="D290" s="14" t="s">
        <v>200</v>
      </c>
      <c r="E290" s="14">
        <v>3</v>
      </c>
      <c r="F290" s="14">
        <v>3</v>
      </c>
      <c r="G290" s="14">
        <v>2.4</v>
      </c>
      <c r="H290" s="14">
        <v>1</v>
      </c>
      <c r="I290" s="14">
        <v>2</v>
      </c>
      <c r="J290" s="14">
        <v>1.75</v>
      </c>
      <c r="K290" s="14">
        <v>3</v>
      </c>
      <c r="L290" s="15">
        <v>0.1</v>
      </c>
      <c r="M290" s="15">
        <v>0</v>
      </c>
      <c r="N290" s="14">
        <v>24</v>
      </c>
      <c r="O290" s="14">
        <v>50</v>
      </c>
      <c r="P290" s="13">
        <v>45</v>
      </c>
      <c r="Q290" s="13">
        <v>85</v>
      </c>
      <c r="R290" s="13" t="s">
        <v>17</v>
      </c>
      <c r="S290" s="13">
        <v>120</v>
      </c>
      <c r="T290" s="13">
        <v>0</v>
      </c>
      <c r="U290" s="13">
        <v>100</v>
      </c>
      <c r="V290" s="13" t="str">
        <f>R290</f>
        <v>ISO 6</v>
      </c>
      <c r="W290" s="13">
        <f>S290</f>
        <v>120</v>
      </c>
      <c r="X290" s="16">
        <f>E290*F290*10.76</f>
        <v>96.84</v>
      </c>
      <c r="Y290" s="16">
        <f>X290*G290*3.28</f>
        <v>762.32447999999999</v>
      </c>
      <c r="Z290" s="16">
        <f>Y290*S290/60</f>
        <v>1524.64896</v>
      </c>
      <c r="AA290" s="16">
        <f>Z290*L290</f>
        <v>152.46489600000001</v>
      </c>
      <c r="AB290" s="16">
        <f>IF(N290="Amb",Z290,Z290*M290)</f>
        <v>0</v>
      </c>
      <c r="AC290" s="16">
        <f>IF(ISNUMBER(N290), (AA290*0.075*60/2.20462)*BP290/7000, "Ambient")</f>
        <v>0</v>
      </c>
      <c r="AD290" s="16" t="e">
        <f>IF(ISNUMBER(N290), CEILING(CF290/(0.68*BP290),25), "Ambient")</f>
        <v>#DIV/0!</v>
      </c>
      <c r="AE290" s="16" t="e">
        <f>CEILING(MAX((Z290+AA290),AD290),25)</f>
        <v>#DIV/0!</v>
      </c>
      <c r="AF290" s="16" t="e">
        <f>CEILING(IF(OR($R290="ISO 6",$R290="GRADE B",$R290="1K",$R290=1000),AE290*1/175,IF(OR($R290="ISO 5",$R290="GRADE A",$R290=100),AE290*1/100,IF(OR($R290="ISO 7",$R290="GRADE C",$R290="10K",$R290=10000),$AE290*1/250,IF(OR($R290="ISO 8",$R290="GRADE D",$R290="100K",$R290=100000),$AE290*1/250,IF(OR($R290="NC",$R290="20 Micron",$R290="5 Micron",$R290="N C"),$AE290*1/350,0))))),2)</f>
        <v>#DIV/0!</v>
      </c>
      <c r="AG290" s="16" t="e">
        <f>IF(ISNUMBER(N290), CEILING(MAX(AI290,AJ290),0.5), "Ambient")</f>
        <v>#DIV/0!</v>
      </c>
      <c r="AH290" s="838" t="s">
        <v>85</v>
      </c>
      <c r="AI290" s="17">
        <f>IF(ISNUMBER(N290), CEILING(CE290/12000,0.5), "Ambient")</f>
        <v>0</v>
      </c>
      <c r="AJ290" s="17" t="e">
        <f>IF(ISNUMBER(N290),CEILING(AE290/(IF(AH290="C",400,300)),0.5), "Ambient")</f>
        <v>#DIV/0!</v>
      </c>
      <c r="AK290" s="891" t="e">
        <f>CEILING(SUM(AE290:AE305),250)</f>
        <v>#DIV/0!</v>
      </c>
      <c r="AL290" s="18" t="s">
        <v>254</v>
      </c>
      <c r="AM290" s="889">
        <v>150</v>
      </c>
      <c r="AN290" s="891" t="e">
        <f>IF(AK290&lt;=1300,200,IF(AK290&lt;=1600,225,IF(AK290&lt;=2100,250,IF(AK290&lt;=2700,280,IF(AK290&lt;=3450,315,IF(AK290&lt;=4250,355,IF(AK290&lt;=5250,400,IF(AK290&lt;=6750,450,IF(AK290&lt;=8500,500,IF(AK290&lt;=10750,560,IF(AK290&lt;=13500,630,IF(AK290&lt;=17000,710,IF(AK290&lt;=21500,800,IF(AK290&lt;=27000,900,IF(AK290&lt;=34000,1000,IF(AK290&lt;=43000,1120,IF(AK290&lt;=49000,1200,IF(AK290&lt;=68000,1450,"Refer"))))))))))))))))))</f>
        <v>#DIV/0!</v>
      </c>
      <c r="AO290" s="888" t="e">
        <f>IF(AK290*AM290/(6356*0.7*0.9*1.1*25.4)&lt;=1,1,IF(AK290*AM290/(6356*0.7*0.9*1.1*25.4)&lt;=1.5,1.5,IF(AK290*AM290/(6356*0.7*0.9*1.1*25.4)&lt;=2,2,IF(AK290*AM290/(6356*0.7*0.9*1.1*25.4)&lt;=3,3,IF(AK290*AM290/(6356*0.7*0.9*1.1*25.4)&lt;=5,5,IF(AK290*AM290/(6356*0.7*0.9*1.1*25.4)&lt;=7.5,7.5,IF(AK290*AM290/(6356*0.7*0.9*1.1*25.4)&lt;=10,10,IF(AK290*AM290/(6356*0.7*0.9*1.1*25.4)&lt;=12.5,12.5,IF(AK290*AM290/(6356*0.7*0.9*1.1*25.4)&lt;=15,15,IF(AK290*AM290/(6356*0.7*0.9*1.1*25.4)&lt;=20,20,IF(AK290*AM290/(6356*0.7*0.9*1.1*25.4)&lt;=25,25,IF(AK290*AM290/(6356*0.7*0.9*1.1*25.4)&lt;=30,30,IF(AK290*AM290/(6356*0.7*0.9*1.1*25.4)&lt;=40,40,IF(AK290*AM290/(6356*0.7*0.9*1.1*25.4)&lt;=50,50,IF(AK290*AM290/(6356*0.7*0.9*1.1*25.4)&lt;=60,60,IF(AK290*AM290/(6356*0.7*0.9*1.1*25.4)&lt;=75,75,"Refer"))))))))))))))))</f>
        <v>#DIV/0!</v>
      </c>
      <c r="AP290" s="891" t="e">
        <f>IF(AND(AQ290=0, N290="Amb"), "Amb",IF((AL291-250)*(AL293-150)*10.76/(1000*1000) &gt;= MAX(AI306,AJ306), 4,IF((AL291-250)*(AL293-150)*10.76*1.5/(1000*1000) &gt;= MAX(AI306,AJ306), 6,IF((AL291-250)*(AL293-150)*10.76*2/(1000*1000) &gt;= MAX(AI306,AJ306), 8, 0))
 )
)</f>
        <v>#DIV/0!</v>
      </c>
      <c r="AQ290" s="891" t="e">
        <f>AG306</f>
        <v>#DIV/0!</v>
      </c>
      <c r="AR290" s="889">
        <f>_xlfn.SWITCH(TRIM(UPPER(R290)),"ISO 9", 3,"ISO 8", 4,"Grade D", 4,"Class 100,000", 4,"Class 100K", 4,"ISO 7", 3,"Grade C", 3,"Class 10,000", 3,"Class 10K", 3,"ISO 6", 3,"Class 1,000", 3,"Class 1K", 3,"ISO 5", 4,"Grade A", 4,"Grade B", 4,"Class 100", 4,"ISO 4", 3,"ISO 3", 4,"ISO 2", 4,"ISO 1", 4,"NCV20",1,"NCV-10",2,"NCV-5",3,"NCAC-10",1,"NCAC-5",2,"NCAC-1",3,3)</f>
        <v>3</v>
      </c>
      <c r="AS290" s="888" t="e">
        <f>MAX(AI306,AJ306)*24/6</f>
        <v>#DIV/0!</v>
      </c>
      <c r="AT290" s="888" t="e">
        <f>AS290*0.06309</f>
        <v>#DIV/0!</v>
      </c>
      <c r="AU290" s="890">
        <v>2</v>
      </c>
      <c r="AV290" s="888" t="e">
        <f>SQRT((4*AS290*0.00006309)/(3.14*AU290))*1000</f>
        <v>#DIV/0!</v>
      </c>
      <c r="AW290" s="888"/>
      <c r="AX290" s="888"/>
      <c r="AY290" s="887"/>
      <c r="AZ290" s="888"/>
    </row>
    <row r="291" spans="3:52" ht="18.600000000000001">
      <c r="C291" s="13">
        <f>IF(D291&lt;&gt;"",COUNTA($D$10:D291),"")</f>
        <v>240</v>
      </c>
      <c r="D291" s="14" t="s">
        <v>201</v>
      </c>
      <c r="E291" s="14">
        <v>1.8</v>
      </c>
      <c r="F291" s="14">
        <v>2.2000000000000002</v>
      </c>
      <c r="G291" s="14">
        <v>2.4</v>
      </c>
      <c r="H291" s="14">
        <v>2</v>
      </c>
      <c r="I291" s="14">
        <v>1</v>
      </c>
      <c r="J291" s="14">
        <v>1.75</v>
      </c>
      <c r="K291" s="14">
        <v>3</v>
      </c>
      <c r="L291" s="15">
        <v>0.1</v>
      </c>
      <c r="M291" s="15">
        <v>0</v>
      </c>
      <c r="N291" s="14">
        <v>24</v>
      </c>
      <c r="O291" s="14">
        <v>50</v>
      </c>
      <c r="P291" s="13">
        <v>45</v>
      </c>
      <c r="Q291" s="13">
        <v>85</v>
      </c>
      <c r="R291" s="13" t="s">
        <v>17</v>
      </c>
      <c r="S291" s="13">
        <v>120</v>
      </c>
      <c r="T291" s="13">
        <v>0</v>
      </c>
      <c r="U291" s="13">
        <v>100</v>
      </c>
      <c r="V291" s="13" t="str">
        <f t="shared" ref="V291:W305" si="209">R291</f>
        <v>ISO 6</v>
      </c>
      <c r="W291" s="13">
        <f t="shared" si="209"/>
        <v>120</v>
      </c>
      <c r="X291" s="16">
        <f t="shared" ref="X291:X305" si="210">E291*F291*10.76</f>
        <v>42.6096</v>
      </c>
      <c r="Y291" s="16">
        <f t="shared" ref="Y291:Y305" si="211">X291*G291*3.28</f>
        <v>335.4227712</v>
      </c>
      <c r="Z291" s="16">
        <f t="shared" ref="Z291:Z305" si="212">Y291*S291/60</f>
        <v>670.8455424</v>
      </c>
      <c r="AA291" s="16">
        <f t="shared" ref="AA291:AA305" si="213">Z291*L291</f>
        <v>67.084554240000003</v>
      </c>
      <c r="AB291" s="16">
        <f t="shared" ref="AB291:AB305" si="214">IF(N291="Amb",Z291,Z291*M291)</f>
        <v>0</v>
      </c>
      <c r="AC291" s="16">
        <f t="shared" ref="AC291:AC305" si="215">IF(ISNUMBER(N291), (AA291*0.075*60/2.20462)*BP291/7000, "Ambient")</f>
        <v>0</v>
      </c>
      <c r="AD291" s="16" t="e">
        <f t="shared" ref="AD291:AD297" si="216">IF(ISNUMBER(N291), CEILING(CF291/(0.68*BP291),25), "Ambient")</f>
        <v>#DIV/0!</v>
      </c>
      <c r="AE291" s="16" t="e">
        <f t="shared" ref="AE291:AE305" si="217">CEILING(MAX((Z291+AA291),AD291),25)</f>
        <v>#DIV/0!</v>
      </c>
      <c r="AF291" s="16" t="e">
        <f t="shared" ref="AF291:AF305" si="218">CEILING(IF(OR($R291="ISO 6",$R291="GRADE B",$R291="1K",$R291=1000),AE291*1/175,IF(OR($R291="ISO 5",$R291="GRADE A",$R291=100),AE291*1/100,IF(OR($R291="ISO 7",$R291="GRADE C",$R291="10K",$R291=10000),$AE291*1/250,IF(OR($R291="ISO 8",$R291="GRADE D",$R291="100K",$R291=100000),$AE291*1/250,IF(OR($R291="NC",$R291="20 Micron",$R291="5 Micron",$R291="N C"),$AE291*1/350,0))))),2)</f>
        <v>#DIV/0!</v>
      </c>
      <c r="AG291" s="16" t="e">
        <f t="shared" ref="AG291:AG305" si="219">IF(ISNUMBER(N291), CEILING(MAX(AI291,AJ291),0.5), "Ambient")</f>
        <v>#DIV/0!</v>
      </c>
      <c r="AH291" s="838" t="s">
        <v>85</v>
      </c>
      <c r="AI291" s="17">
        <f t="shared" ref="AI291:AI305" si="220">IF(ISNUMBER(N291), CEILING(CE291/12000,0.5), "Ambient")</f>
        <v>0</v>
      </c>
      <c r="AJ291" s="17" t="e">
        <f t="shared" ref="AJ291:AJ305" si="221">IF(ISNUMBER(N291),CEILING(AE291/(IF(AH291="C",400,300)),0.5), "Ambient")</f>
        <v>#DIV/0!</v>
      </c>
      <c r="AK291" s="891"/>
      <c r="AL291" s="18" t="e">
        <f>IF(AK290&lt;=2000,950,(IF(AK290&lt;=3000,1150,(IF(AK290&lt;=8000,1550,(IF(AK290&lt;=10000,1750,(IF(AK290&lt;=18000,2050,(IF(AK290&lt;=32000,2900,(IF(AK290&lt;=40000,3600,4000)))))))))))))</f>
        <v>#DIV/0!</v>
      </c>
      <c r="AM291" s="889"/>
      <c r="AN291" s="891"/>
      <c r="AO291" s="888"/>
      <c r="AP291" s="891"/>
      <c r="AQ291" s="891"/>
      <c r="AR291" s="889"/>
      <c r="AS291" s="888"/>
      <c r="AT291" s="888"/>
      <c r="AU291" s="890"/>
      <c r="AV291" s="888"/>
      <c r="AW291" s="888"/>
      <c r="AX291" s="888"/>
      <c r="AY291" s="887"/>
      <c r="AZ291" s="888"/>
    </row>
    <row r="292" spans="3:52" ht="18.600000000000001">
      <c r="C292" s="13">
        <f>IF(D292&lt;&gt;"",COUNTA($D$10:D292),"")</f>
        <v>241</v>
      </c>
      <c r="D292" s="14" t="s">
        <v>202</v>
      </c>
      <c r="E292" s="14">
        <v>1.5</v>
      </c>
      <c r="F292" s="14">
        <v>2.8</v>
      </c>
      <c r="G292" s="14">
        <v>2.4</v>
      </c>
      <c r="H292" s="14">
        <v>2</v>
      </c>
      <c r="I292" s="14">
        <v>3</v>
      </c>
      <c r="J292" s="14">
        <v>1.75</v>
      </c>
      <c r="K292" s="14">
        <v>3</v>
      </c>
      <c r="L292" s="15">
        <v>0.1</v>
      </c>
      <c r="M292" s="15">
        <v>0</v>
      </c>
      <c r="N292" s="14">
        <v>24</v>
      </c>
      <c r="O292" s="14">
        <v>50</v>
      </c>
      <c r="P292" s="13">
        <v>45</v>
      </c>
      <c r="Q292" s="13">
        <v>85</v>
      </c>
      <c r="R292" s="13" t="s">
        <v>17</v>
      </c>
      <c r="S292" s="13">
        <v>120</v>
      </c>
      <c r="T292" s="13">
        <v>0</v>
      </c>
      <c r="U292" s="13">
        <v>100</v>
      </c>
      <c r="V292" s="13" t="str">
        <f t="shared" si="209"/>
        <v>ISO 6</v>
      </c>
      <c r="W292" s="13">
        <f t="shared" si="209"/>
        <v>120</v>
      </c>
      <c r="X292" s="16">
        <f t="shared" si="210"/>
        <v>45.191999999999993</v>
      </c>
      <c r="Y292" s="16">
        <f t="shared" si="211"/>
        <v>355.75142399999993</v>
      </c>
      <c r="Z292" s="16">
        <f t="shared" si="212"/>
        <v>711.50284799999986</v>
      </c>
      <c r="AA292" s="16">
        <f t="shared" si="213"/>
        <v>71.150284799999994</v>
      </c>
      <c r="AB292" s="16">
        <f t="shared" si="214"/>
        <v>0</v>
      </c>
      <c r="AC292" s="16">
        <f t="shared" si="215"/>
        <v>0</v>
      </c>
      <c r="AD292" s="16" t="e">
        <f t="shared" si="216"/>
        <v>#DIV/0!</v>
      </c>
      <c r="AE292" s="16" t="e">
        <f t="shared" si="217"/>
        <v>#DIV/0!</v>
      </c>
      <c r="AF292" s="16" t="e">
        <f t="shared" si="218"/>
        <v>#DIV/0!</v>
      </c>
      <c r="AG292" s="16" t="e">
        <f t="shared" si="219"/>
        <v>#DIV/0!</v>
      </c>
      <c r="AH292" s="838" t="s">
        <v>85</v>
      </c>
      <c r="AI292" s="17">
        <f t="shared" si="220"/>
        <v>0</v>
      </c>
      <c r="AJ292" s="17" t="e">
        <f t="shared" si="221"/>
        <v>#DIV/0!</v>
      </c>
      <c r="AK292" s="891"/>
      <c r="AL292" s="18" t="s">
        <v>255</v>
      </c>
      <c r="AM292" s="889"/>
      <c r="AN292" s="891"/>
      <c r="AO292" s="888"/>
      <c r="AP292" s="891"/>
      <c r="AQ292" s="891"/>
      <c r="AR292" s="889"/>
      <c r="AS292" s="888"/>
      <c r="AT292" s="888"/>
      <c r="AU292" s="890"/>
      <c r="AV292" s="888"/>
      <c r="AW292" s="888"/>
      <c r="AX292" s="888"/>
      <c r="AY292" s="887"/>
      <c r="AZ292" s="888"/>
    </row>
    <row r="293" spans="3:52" ht="18.600000000000001">
      <c r="C293" s="13">
        <f>IF(D293&lt;&gt;"",COUNTA($D$10:D293),"")</f>
        <v>242</v>
      </c>
      <c r="D293" s="14" t="s">
        <v>203</v>
      </c>
      <c r="E293" s="14">
        <v>2.1</v>
      </c>
      <c r="F293" s="14">
        <v>3.5</v>
      </c>
      <c r="G293" s="14">
        <v>2.4</v>
      </c>
      <c r="H293" s="14">
        <v>0</v>
      </c>
      <c r="I293" s="14">
        <v>1</v>
      </c>
      <c r="J293" s="14">
        <v>1.75</v>
      </c>
      <c r="K293" s="14">
        <v>3</v>
      </c>
      <c r="L293" s="15">
        <v>0.1</v>
      </c>
      <c r="M293" s="15">
        <v>0</v>
      </c>
      <c r="N293" s="14">
        <v>24</v>
      </c>
      <c r="O293" s="14">
        <v>50</v>
      </c>
      <c r="P293" s="13">
        <v>45</v>
      </c>
      <c r="Q293" s="13">
        <v>85</v>
      </c>
      <c r="R293" s="13" t="s">
        <v>17</v>
      </c>
      <c r="S293" s="13">
        <v>120</v>
      </c>
      <c r="T293" s="13">
        <v>0</v>
      </c>
      <c r="U293" s="13">
        <v>100</v>
      </c>
      <c r="V293" s="13" t="str">
        <f t="shared" si="209"/>
        <v>ISO 6</v>
      </c>
      <c r="W293" s="13">
        <f t="shared" si="209"/>
        <v>120</v>
      </c>
      <c r="X293" s="16">
        <f t="shared" si="210"/>
        <v>79.085999999999999</v>
      </c>
      <c r="Y293" s="16">
        <f t="shared" si="211"/>
        <v>622.56499199999996</v>
      </c>
      <c r="Z293" s="16">
        <f t="shared" si="212"/>
        <v>1245.1299839999999</v>
      </c>
      <c r="AA293" s="16">
        <f t="shared" si="213"/>
        <v>124.5129984</v>
      </c>
      <c r="AB293" s="16">
        <f t="shared" si="214"/>
        <v>0</v>
      </c>
      <c r="AC293" s="16">
        <f t="shared" si="215"/>
        <v>0</v>
      </c>
      <c r="AD293" s="16" t="e">
        <f t="shared" si="216"/>
        <v>#DIV/0!</v>
      </c>
      <c r="AE293" s="16" t="e">
        <f t="shared" si="217"/>
        <v>#DIV/0!</v>
      </c>
      <c r="AF293" s="16" t="e">
        <f t="shared" si="218"/>
        <v>#DIV/0!</v>
      </c>
      <c r="AG293" s="16" t="e">
        <f t="shared" si="219"/>
        <v>#DIV/0!</v>
      </c>
      <c r="AH293" s="838" t="s">
        <v>85</v>
      </c>
      <c r="AI293" s="17">
        <f t="shared" si="220"/>
        <v>0</v>
      </c>
      <c r="AJ293" s="17" t="e">
        <f t="shared" si="221"/>
        <v>#DIV/0!</v>
      </c>
      <c r="AK293" s="891"/>
      <c r="AL293" s="18" t="e">
        <f>IF(AK290&lt;=2000,950,(IF(AK290&lt;=4000,1100,(IF(AK290&lt;=6000,1250,(IF(AK290&lt;=10000,1550,(IF(AK290&lt;=15000,1750,(IF(AK290&lt;=24000,2050,(IF(AK290&lt;=40000,2900,3600)))))))))))))</f>
        <v>#DIV/0!</v>
      </c>
      <c r="AM293" s="889"/>
      <c r="AN293" s="891"/>
      <c r="AO293" s="888"/>
      <c r="AP293" s="891"/>
      <c r="AQ293" s="891"/>
      <c r="AR293" s="889"/>
      <c r="AS293" s="888"/>
      <c r="AT293" s="888"/>
      <c r="AU293" s="890"/>
      <c r="AV293" s="888"/>
      <c r="AW293" s="888"/>
      <c r="AX293" s="888"/>
      <c r="AY293" s="887"/>
      <c r="AZ293" s="888"/>
    </row>
    <row r="294" spans="3:52" ht="18.600000000000001">
      <c r="C294" s="13">
        <f>IF(D294&lt;&gt;"",COUNTA($D$10:D294),"")</f>
        <v>243</v>
      </c>
      <c r="D294" s="14" t="s">
        <v>204</v>
      </c>
      <c r="E294" s="14">
        <v>2.7</v>
      </c>
      <c r="F294" s="14">
        <v>4</v>
      </c>
      <c r="G294" s="14">
        <v>2.4</v>
      </c>
      <c r="H294" s="14">
        <v>2</v>
      </c>
      <c r="I294" s="14">
        <v>1</v>
      </c>
      <c r="J294" s="14">
        <v>1.75</v>
      </c>
      <c r="K294" s="14">
        <v>3</v>
      </c>
      <c r="L294" s="15">
        <v>0.1</v>
      </c>
      <c r="M294" s="15">
        <v>0</v>
      </c>
      <c r="N294" s="14">
        <v>24</v>
      </c>
      <c r="O294" s="14">
        <v>50</v>
      </c>
      <c r="P294" s="13">
        <v>45</v>
      </c>
      <c r="Q294" s="13">
        <v>85</v>
      </c>
      <c r="R294" s="13" t="s">
        <v>17</v>
      </c>
      <c r="S294" s="13">
        <v>120</v>
      </c>
      <c r="T294" s="13">
        <v>0</v>
      </c>
      <c r="U294" s="13">
        <v>100</v>
      </c>
      <c r="V294" s="13" t="str">
        <f t="shared" si="209"/>
        <v>ISO 6</v>
      </c>
      <c r="W294" s="13">
        <f t="shared" si="209"/>
        <v>120</v>
      </c>
      <c r="X294" s="16">
        <f t="shared" si="210"/>
        <v>116.208</v>
      </c>
      <c r="Y294" s="16">
        <f t="shared" si="211"/>
        <v>914.78937599999995</v>
      </c>
      <c r="Z294" s="16">
        <f t="shared" si="212"/>
        <v>1829.5787519999999</v>
      </c>
      <c r="AA294" s="16">
        <f t="shared" si="213"/>
        <v>182.95787519999999</v>
      </c>
      <c r="AB294" s="16">
        <f t="shared" si="214"/>
        <v>0</v>
      </c>
      <c r="AC294" s="16">
        <f t="shared" si="215"/>
        <v>0</v>
      </c>
      <c r="AD294" s="16" t="e">
        <f t="shared" si="216"/>
        <v>#DIV/0!</v>
      </c>
      <c r="AE294" s="16" t="e">
        <f t="shared" si="217"/>
        <v>#DIV/0!</v>
      </c>
      <c r="AF294" s="16" t="e">
        <f t="shared" si="218"/>
        <v>#DIV/0!</v>
      </c>
      <c r="AG294" s="16" t="e">
        <f t="shared" si="219"/>
        <v>#DIV/0!</v>
      </c>
      <c r="AH294" s="838" t="s">
        <v>85</v>
      </c>
      <c r="AI294" s="17">
        <f t="shared" si="220"/>
        <v>0</v>
      </c>
      <c r="AJ294" s="17" t="e">
        <f t="shared" si="221"/>
        <v>#DIV/0!</v>
      </c>
      <c r="AK294" s="891"/>
      <c r="AL294" s="18" t="s">
        <v>256</v>
      </c>
      <c r="AM294" s="889"/>
      <c r="AN294" s="891"/>
      <c r="AO294" s="888"/>
      <c r="AP294" s="891"/>
      <c r="AQ294" s="891"/>
      <c r="AR294" s="889"/>
      <c r="AS294" s="888"/>
      <c r="AT294" s="888"/>
      <c r="AU294" s="890"/>
      <c r="AV294" s="888"/>
      <c r="AW294" s="888"/>
      <c r="AX294" s="888"/>
      <c r="AY294" s="887"/>
      <c r="AZ294" s="888"/>
    </row>
    <row r="295" spans="3:52" ht="18.600000000000001">
      <c r="C295" s="13">
        <f>IF(D295&lt;&gt;"",COUNTA($D$10:D295),"")</f>
        <v>244</v>
      </c>
      <c r="D295" s="14" t="s">
        <v>205</v>
      </c>
      <c r="E295" s="14">
        <v>3.8</v>
      </c>
      <c r="F295" s="14">
        <v>4.2</v>
      </c>
      <c r="G295" s="14">
        <v>2.4</v>
      </c>
      <c r="H295" s="14">
        <v>3</v>
      </c>
      <c r="I295" s="14">
        <v>3</v>
      </c>
      <c r="J295" s="14">
        <v>1.75</v>
      </c>
      <c r="K295" s="14">
        <v>3</v>
      </c>
      <c r="L295" s="15">
        <v>0.1</v>
      </c>
      <c r="M295" s="15">
        <v>0</v>
      </c>
      <c r="N295" s="14">
        <v>24</v>
      </c>
      <c r="O295" s="14">
        <v>50</v>
      </c>
      <c r="P295" s="13">
        <v>45</v>
      </c>
      <c r="Q295" s="13">
        <v>85</v>
      </c>
      <c r="R295" s="13" t="s">
        <v>17</v>
      </c>
      <c r="S295" s="13">
        <v>120</v>
      </c>
      <c r="T295" s="13">
        <v>0</v>
      </c>
      <c r="U295" s="13">
        <v>100</v>
      </c>
      <c r="V295" s="13" t="str">
        <f t="shared" si="209"/>
        <v>ISO 6</v>
      </c>
      <c r="W295" s="13">
        <f t="shared" si="209"/>
        <v>120</v>
      </c>
      <c r="X295" s="16">
        <f t="shared" si="210"/>
        <v>171.72959999999998</v>
      </c>
      <c r="Y295" s="16">
        <f t="shared" si="211"/>
        <v>1351.8554111999997</v>
      </c>
      <c r="Z295" s="16">
        <f t="shared" si="212"/>
        <v>2703.7108223999994</v>
      </c>
      <c r="AA295" s="16">
        <f t="shared" si="213"/>
        <v>270.37108223999996</v>
      </c>
      <c r="AB295" s="16">
        <f t="shared" si="214"/>
        <v>0</v>
      </c>
      <c r="AC295" s="16">
        <f t="shared" si="215"/>
        <v>0</v>
      </c>
      <c r="AD295" s="16" t="e">
        <f t="shared" si="216"/>
        <v>#DIV/0!</v>
      </c>
      <c r="AE295" s="16" t="e">
        <f t="shared" si="217"/>
        <v>#DIV/0!</v>
      </c>
      <c r="AF295" s="16" t="e">
        <f t="shared" si="218"/>
        <v>#DIV/0!</v>
      </c>
      <c r="AG295" s="16" t="e">
        <f t="shared" si="219"/>
        <v>#DIV/0!</v>
      </c>
      <c r="AH295" s="838" t="s">
        <v>85</v>
      </c>
      <c r="AI295" s="17">
        <f t="shared" si="220"/>
        <v>0</v>
      </c>
      <c r="AJ295" s="17" t="e">
        <f t="shared" si="221"/>
        <v>#DIV/0!</v>
      </c>
      <c r="AK295" s="891"/>
      <c r="AL295" s="18" t="e">
        <f>IF(AL299&lt;4000,AL299,AL299+400)</f>
        <v>#DIV/0!</v>
      </c>
      <c r="AM295" s="889"/>
      <c r="AN295" s="891"/>
      <c r="AO295" s="888"/>
      <c r="AP295" s="891"/>
      <c r="AQ295" s="891"/>
      <c r="AR295" s="889"/>
      <c r="AS295" s="888"/>
      <c r="AT295" s="888"/>
      <c r="AU295" s="890"/>
      <c r="AV295" s="888"/>
      <c r="AW295" s="888"/>
      <c r="AX295" s="888"/>
      <c r="AY295" s="887"/>
      <c r="AZ295" s="888"/>
    </row>
    <row r="296" spans="3:52" ht="18.600000000000001">
      <c r="C296" s="13">
        <f>IF(D296&lt;&gt;"",COUNTA($D$10:D296),"")</f>
        <v>245</v>
      </c>
      <c r="D296" s="14" t="s">
        <v>206</v>
      </c>
      <c r="E296" s="14">
        <v>3.1</v>
      </c>
      <c r="F296" s="14">
        <v>2.6</v>
      </c>
      <c r="G296" s="14">
        <v>2.4</v>
      </c>
      <c r="H296" s="14">
        <v>2</v>
      </c>
      <c r="I296" s="14">
        <v>1</v>
      </c>
      <c r="J296" s="14">
        <v>1.75</v>
      </c>
      <c r="K296" s="14">
        <v>3</v>
      </c>
      <c r="L296" s="15">
        <v>0.1</v>
      </c>
      <c r="M296" s="15">
        <v>0</v>
      </c>
      <c r="N296" s="14">
        <v>24</v>
      </c>
      <c r="O296" s="14">
        <v>50</v>
      </c>
      <c r="P296" s="13">
        <v>45</v>
      </c>
      <c r="Q296" s="13">
        <v>85</v>
      </c>
      <c r="R296" s="13" t="s">
        <v>17</v>
      </c>
      <c r="S296" s="13">
        <v>120</v>
      </c>
      <c r="T296" s="13">
        <v>0</v>
      </c>
      <c r="U296" s="13">
        <v>100</v>
      </c>
      <c r="V296" s="13" t="str">
        <f t="shared" si="209"/>
        <v>ISO 6</v>
      </c>
      <c r="W296" s="13">
        <f t="shared" si="209"/>
        <v>120</v>
      </c>
      <c r="X296" s="16">
        <f t="shared" si="210"/>
        <v>86.7256</v>
      </c>
      <c r="Y296" s="16">
        <f t="shared" si="211"/>
        <v>682.70392319999996</v>
      </c>
      <c r="Z296" s="16">
        <f t="shared" si="212"/>
        <v>1365.4078463999999</v>
      </c>
      <c r="AA296" s="16">
        <f t="shared" si="213"/>
        <v>136.54078464</v>
      </c>
      <c r="AB296" s="16">
        <f t="shared" si="214"/>
        <v>0</v>
      </c>
      <c r="AC296" s="16">
        <f t="shared" si="215"/>
        <v>0</v>
      </c>
      <c r="AD296" s="16" t="e">
        <f t="shared" si="216"/>
        <v>#DIV/0!</v>
      </c>
      <c r="AE296" s="16" t="e">
        <f t="shared" si="217"/>
        <v>#DIV/0!</v>
      </c>
      <c r="AF296" s="16" t="e">
        <f t="shared" si="218"/>
        <v>#DIV/0!</v>
      </c>
      <c r="AG296" s="16" t="e">
        <f t="shared" si="219"/>
        <v>#DIV/0!</v>
      </c>
      <c r="AH296" s="838" t="s">
        <v>85</v>
      </c>
      <c r="AI296" s="17">
        <f t="shared" si="220"/>
        <v>0</v>
      </c>
      <c r="AJ296" s="17" t="e">
        <f t="shared" si="221"/>
        <v>#DIV/0!</v>
      </c>
      <c r="AK296" s="891"/>
      <c r="AL296" s="18"/>
      <c r="AM296" s="889"/>
      <c r="AN296" s="891"/>
      <c r="AO296" s="888"/>
      <c r="AP296" s="891"/>
      <c r="AQ296" s="891"/>
      <c r="AR296" s="889"/>
      <c r="AS296" s="888"/>
      <c r="AT296" s="888"/>
      <c r="AU296" s="890"/>
      <c r="AV296" s="888"/>
      <c r="AW296" s="888"/>
      <c r="AX296" s="888"/>
      <c r="AY296" s="887"/>
      <c r="AZ296" s="888"/>
    </row>
    <row r="297" spans="3:52" ht="18.600000000000001">
      <c r="C297" s="13">
        <f>IF(D297&lt;&gt;"",COUNTA($D$10:D297),"")</f>
        <v>246</v>
      </c>
      <c r="D297" s="14" t="s">
        <v>207</v>
      </c>
      <c r="E297" s="14">
        <v>1.9</v>
      </c>
      <c r="F297" s="14">
        <v>2.4</v>
      </c>
      <c r="G297" s="14">
        <v>2.4</v>
      </c>
      <c r="H297" s="14">
        <v>3</v>
      </c>
      <c r="I297" s="14">
        <v>2</v>
      </c>
      <c r="J297" s="14">
        <v>1.75</v>
      </c>
      <c r="K297" s="14">
        <v>3</v>
      </c>
      <c r="L297" s="15">
        <v>0.1</v>
      </c>
      <c r="M297" s="15">
        <v>0</v>
      </c>
      <c r="N297" s="14">
        <v>24</v>
      </c>
      <c r="O297" s="14">
        <v>50</v>
      </c>
      <c r="P297" s="13">
        <v>45</v>
      </c>
      <c r="Q297" s="13">
        <v>85</v>
      </c>
      <c r="R297" s="13" t="s">
        <v>17</v>
      </c>
      <c r="S297" s="13">
        <v>120</v>
      </c>
      <c r="T297" s="13">
        <v>0</v>
      </c>
      <c r="U297" s="13">
        <v>100</v>
      </c>
      <c r="V297" s="13" t="str">
        <f t="shared" si="209"/>
        <v>ISO 6</v>
      </c>
      <c r="W297" s="13">
        <f t="shared" si="209"/>
        <v>120</v>
      </c>
      <c r="X297" s="16">
        <f t="shared" si="210"/>
        <v>49.065599999999996</v>
      </c>
      <c r="Y297" s="16">
        <f t="shared" si="211"/>
        <v>386.24440319999997</v>
      </c>
      <c r="Z297" s="16">
        <f t="shared" si="212"/>
        <v>772.48880639999993</v>
      </c>
      <c r="AA297" s="16">
        <f t="shared" si="213"/>
        <v>77.248880639999996</v>
      </c>
      <c r="AB297" s="16">
        <f t="shared" si="214"/>
        <v>0</v>
      </c>
      <c r="AC297" s="16">
        <f t="shared" si="215"/>
        <v>0</v>
      </c>
      <c r="AD297" s="16" t="e">
        <f t="shared" si="216"/>
        <v>#DIV/0!</v>
      </c>
      <c r="AE297" s="16" t="e">
        <f t="shared" si="217"/>
        <v>#DIV/0!</v>
      </c>
      <c r="AF297" s="16" t="e">
        <f t="shared" si="218"/>
        <v>#DIV/0!</v>
      </c>
      <c r="AG297" s="16" t="e">
        <f t="shared" si="219"/>
        <v>#DIV/0!</v>
      </c>
      <c r="AH297" s="838" t="s">
        <v>85</v>
      </c>
      <c r="AI297" s="17">
        <f t="shared" si="220"/>
        <v>0</v>
      </c>
      <c r="AJ297" s="17" t="e">
        <f t="shared" si="221"/>
        <v>#DIV/0!</v>
      </c>
      <c r="AK297" s="891"/>
      <c r="AL297" s="18"/>
      <c r="AM297" s="889"/>
      <c r="AN297" s="891"/>
      <c r="AO297" s="888"/>
      <c r="AP297" s="891"/>
      <c r="AQ297" s="891"/>
      <c r="AR297" s="889"/>
      <c r="AS297" s="888"/>
      <c r="AT297" s="888"/>
      <c r="AU297" s="890"/>
      <c r="AV297" s="888"/>
      <c r="AW297" s="888"/>
      <c r="AX297" s="888"/>
      <c r="AY297" s="887"/>
      <c r="AZ297" s="888"/>
    </row>
    <row r="298" spans="3:52" ht="18.600000000000001">
      <c r="C298" s="13">
        <f>IF(D298&lt;&gt;"",COUNTA($D$10:D298),"")</f>
        <v>247</v>
      </c>
      <c r="D298" s="14" t="s">
        <v>208</v>
      </c>
      <c r="E298" s="14">
        <v>3</v>
      </c>
      <c r="F298" s="14">
        <v>2.9</v>
      </c>
      <c r="G298" s="14">
        <v>2.4</v>
      </c>
      <c r="H298" s="14">
        <v>2</v>
      </c>
      <c r="I298" s="14">
        <v>1</v>
      </c>
      <c r="J298" s="14">
        <v>1.75</v>
      </c>
      <c r="K298" s="14">
        <v>3</v>
      </c>
      <c r="L298" s="15">
        <v>0.1</v>
      </c>
      <c r="M298" s="15">
        <v>0</v>
      </c>
      <c r="N298" s="14">
        <v>24</v>
      </c>
      <c r="O298" s="14">
        <v>50</v>
      </c>
      <c r="P298" s="13">
        <v>45</v>
      </c>
      <c r="Q298" s="13">
        <v>85</v>
      </c>
      <c r="R298" s="13" t="s">
        <v>17</v>
      </c>
      <c r="S298" s="13">
        <v>120</v>
      </c>
      <c r="T298" s="13">
        <v>0</v>
      </c>
      <c r="U298" s="13">
        <v>100</v>
      </c>
      <c r="V298" s="13" t="str">
        <f t="shared" si="209"/>
        <v>ISO 6</v>
      </c>
      <c r="W298" s="13">
        <f t="shared" si="209"/>
        <v>120</v>
      </c>
      <c r="X298" s="16">
        <f t="shared" si="210"/>
        <v>93.611999999999995</v>
      </c>
      <c r="Y298" s="16">
        <f t="shared" si="211"/>
        <v>736.91366399999993</v>
      </c>
      <c r="Z298" s="16">
        <f t="shared" si="212"/>
        <v>1473.8273279999999</v>
      </c>
      <c r="AA298" s="16">
        <f t="shared" si="213"/>
        <v>147.38273279999999</v>
      </c>
      <c r="AB298" s="16">
        <f t="shared" si="214"/>
        <v>0</v>
      </c>
      <c r="AC298" s="16">
        <f t="shared" si="215"/>
        <v>0</v>
      </c>
      <c r="AD298" s="16" t="e">
        <f>IF(ISNUMBER(N298), CEILING(CF298/(0.68*BP298),25), "Ambient")</f>
        <v>#DIV/0!</v>
      </c>
      <c r="AE298" s="16" t="e">
        <f t="shared" si="217"/>
        <v>#DIV/0!</v>
      </c>
      <c r="AF298" s="16" t="e">
        <f t="shared" si="218"/>
        <v>#DIV/0!</v>
      </c>
      <c r="AG298" s="16" t="e">
        <f t="shared" si="219"/>
        <v>#DIV/0!</v>
      </c>
      <c r="AH298" s="838" t="s">
        <v>85</v>
      </c>
      <c r="AI298" s="17">
        <f t="shared" si="220"/>
        <v>0</v>
      </c>
      <c r="AJ298" s="17" t="e">
        <f t="shared" si="221"/>
        <v>#DIV/0!</v>
      </c>
      <c r="AK298" s="891"/>
      <c r="AL298" s="18"/>
      <c r="AM298" s="889"/>
      <c r="AN298" s="891"/>
      <c r="AO298" s="888"/>
      <c r="AP298" s="891"/>
      <c r="AQ298" s="891"/>
      <c r="AR298" s="889"/>
      <c r="AS298" s="888"/>
      <c r="AT298" s="888"/>
      <c r="AU298" s="890"/>
      <c r="AV298" s="888"/>
      <c r="AW298" s="888"/>
      <c r="AX298" s="888"/>
      <c r="AY298" s="887"/>
      <c r="AZ298" s="888"/>
    </row>
    <row r="299" spans="3:52" ht="18.600000000000001">
      <c r="C299" s="13">
        <f>IF(D299&lt;&gt;"",COUNTA($D$10:D299),"")</f>
        <v>248</v>
      </c>
      <c r="D299" s="14" t="s">
        <v>209</v>
      </c>
      <c r="E299" s="14">
        <v>2.4</v>
      </c>
      <c r="F299" s="14">
        <v>2</v>
      </c>
      <c r="G299" s="14">
        <v>2.4</v>
      </c>
      <c r="H299" s="14">
        <v>2</v>
      </c>
      <c r="I299" s="14">
        <v>1</v>
      </c>
      <c r="J299" s="14">
        <v>1.75</v>
      </c>
      <c r="K299" s="14">
        <v>3</v>
      </c>
      <c r="L299" s="15">
        <v>0.1</v>
      </c>
      <c r="M299" s="15">
        <v>0</v>
      </c>
      <c r="N299" s="14">
        <v>24</v>
      </c>
      <c r="O299" s="14">
        <v>50</v>
      </c>
      <c r="P299" s="13">
        <v>45</v>
      </c>
      <c r="Q299" s="13">
        <v>85</v>
      </c>
      <c r="R299" s="13" t="s">
        <v>17</v>
      </c>
      <c r="S299" s="13">
        <v>120</v>
      </c>
      <c r="T299" s="13">
        <v>0</v>
      </c>
      <c r="U299" s="13">
        <v>100</v>
      </c>
      <c r="V299" s="13" t="str">
        <f t="shared" si="209"/>
        <v>ISO 6</v>
      </c>
      <c r="W299" s="13">
        <f t="shared" si="209"/>
        <v>120</v>
      </c>
      <c r="X299" s="16">
        <f t="shared" si="210"/>
        <v>51.647999999999996</v>
      </c>
      <c r="Y299" s="16">
        <f t="shared" si="211"/>
        <v>406.57305599999995</v>
      </c>
      <c r="Z299" s="16">
        <f t="shared" si="212"/>
        <v>813.1461119999999</v>
      </c>
      <c r="AA299" s="16">
        <f t="shared" si="213"/>
        <v>81.314611200000002</v>
      </c>
      <c r="AB299" s="16">
        <f t="shared" si="214"/>
        <v>0</v>
      </c>
      <c r="AC299" s="16">
        <f t="shared" si="215"/>
        <v>0</v>
      </c>
      <c r="AD299" s="16" t="e">
        <f t="shared" ref="AD299:AD305" si="222">IF(ISNUMBER(N299), CEILING(CF299/(0.68*BP299),25), "Ambient")</f>
        <v>#DIV/0!</v>
      </c>
      <c r="AE299" s="16" t="e">
        <f t="shared" si="217"/>
        <v>#DIV/0!</v>
      </c>
      <c r="AF299" s="16" t="e">
        <f t="shared" si="218"/>
        <v>#DIV/0!</v>
      </c>
      <c r="AG299" s="16" t="e">
        <f t="shared" si="219"/>
        <v>#DIV/0!</v>
      </c>
      <c r="AH299" s="838" t="s">
        <v>85</v>
      </c>
      <c r="AI299" s="17">
        <f t="shared" si="220"/>
        <v>0</v>
      </c>
      <c r="AJ299" s="17" t="e">
        <f t="shared" si="221"/>
        <v>#DIV/0!</v>
      </c>
      <c r="AK299" s="891"/>
      <c r="AL299" s="174" t="e">
        <f>IF(AN290&lt;=315,1600,(IF(AN290=355,1650,(IF(AN290=400,1650,(IF(AN290=450,1700,(IF(AN290=500,1700,(IF(AN290=560,1800,(IF(AN290=630,2000,(IF(AN290=710,2200,2500)))))))))))))))+IF(AR290=2,1800,(IF(AR290=3,2300,(IF(AR290=4,3300,0)))))+IF(AP290&lt;=4,600,(IF(AP290&lt;=6,800,(IF(AP290&lt;=8,1000,1200)))))</f>
        <v>#DIV/0!</v>
      </c>
      <c r="AM299" s="889"/>
      <c r="AN299" s="891"/>
      <c r="AO299" s="888"/>
      <c r="AP299" s="891"/>
      <c r="AQ299" s="891"/>
      <c r="AR299" s="889"/>
      <c r="AS299" s="888"/>
      <c r="AT299" s="888"/>
      <c r="AU299" s="890"/>
      <c r="AV299" s="888"/>
      <c r="AW299" s="888"/>
      <c r="AX299" s="888"/>
      <c r="AY299" s="887"/>
      <c r="AZ299" s="888"/>
    </row>
    <row r="300" spans="3:52" ht="18.600000000000001">
      <c r="C300" s="13">
        <f>IF(D300&lt;&gt;"",COUNTA($D$10:D300),"")</f>
        <v>249</v>
      </c>
      <c r="D300" s="14" t="s">
        <v>210</v>
      </c>
      <c r="E300" s="14">
        <v>2.1</v>
      </c>
      <c r="F300" s="14">
        <v>1.8</v>
      </c>
      <c r="G300" s="14">
        <v>2.4</v>
      </c>
      <c r="H300" s="14">
        <v>2</v>
      </c>
      <c r="I300" s="14">
        <v>1</v>
      </c>
      <c r="J300" s="14">
        <v>1.75</v>
      </c>
      <c r="K300" s="14">
        <v>3</v>
      </c>
      <c r="L300" s="15">
        <v>0.1</v>
      </c>
      <c r="M300" s="15">
        <v>0</v>
      </c>
      <c r="N300" s="14">
        <v>24</v>
      </c>
      <c r="O300" s="14">
        <v>50</v>
      </c>
      <c r="P300" s="13">
        <v>45</v>
      </c>
      <c r="Q300" s="13">
        <v>85</v>
      </c>
      <c r="R300" s="13" t="s">
        <v>17</v>
      </c>
      <c r="S300" s="13">
        <v>120</v>
      </c>
      <c r="T300" s="13">
        <v>0</v>
      </c>
      <c r="U300" s="13">
        <v>100</v>
      </c>
      <c r="V300" s="13" t="str">
        <f t="shared" si="209"/>
        <v>ISO 6</v>
      </c>
      <c r="W300" s="13">
        <f t="shared" si="209"/>
        <v>120</v>
      </c>
      <c r="X300" s="16">
        <f t="shared" si="210"/>
        <v>40.672800000000002</v>
      </c>
      <c r="Y300" s="16">
        <f t="shared" si="211"/>
        <v>320.17628159999998</v>
      </c>
      <c r="Z300" s="16">
        <f t="shared" si="212"/>
        <v>640.35256319999996</v>
      </c>
      <c r="AA300" s="16">
        <f t="shared" si="213"/>
        <v>64.035256320000002</v>
      </c>
      <c r="AB300" s="16">
        <f t="shared" si="214"/>
        <v>0</v>
      </c>
      <c r="AC300" s="16">
        <f t="shared" si="215"/>
        <v>0</v>
      </c>
      <c r="AD300" s="16" t="e">
        <f t="shared" si="222"/>
        <v>#DIV/0!</v>
      </c>
      <c r="AE300" s="16" t="e">
        <f t="shared" si="217"/>
        <v>#DIV/0!</v>
      </c>
      <c r="AF300" s="16" t="e">
        <f t="shared" si="218"/>
        <v>#DIV/0!</v>
      </c>
      <c r="AG300" s="16" t="e">
        <f t="shared" si="219"/>
        <v>#DIV/0!</v>
      </c>
      <c r="AH300" s="838" t="s">
        <v>85</v>
      </c>
      <c r="AI300" s="17">
        <f t="shared" si="220"/>
        <v>0</v>
      </c>
      <c r="AJ300" s="17" t="e">
        <f t="shared" si="221"/>
        <v>#DIV/0!</v>
      </c>
      <c r="AK300" s="891"/>
      <c r="AL300" s="18"/>
      <c r="AM300" s="889"/>
      <c r="AN300" s="891"/>
      <c r="AO300" s="888"/>
      <c r="AP300" s="891"/>
      <c r="AQ300" s="891"/>
      <c r="AR300" s="889"/>
      <c r="AS300" s="888"/>
      <c r="AT300" s="888"/>
      <c r="AU300" s="890"/>
      <c r="AV300" s="888"/>
      <c r="AW300" s="888"/>
      <c r="AX300" s="888"/>
      <c r="AY300" s="887"/>
      <c r="AZ300" s="888"/>
    </row>
    <row r="301" spans="3:52" ht="18.600000000000001">
      <c r="C301" s="13">
        <f>IF(D301&lt;&gt;"",COUNTA($D$10:D301),"")</f>
        <v>250</v>
      </c>
      <c r="D301" s="14" t="s">
        <v>211</v>
      </c>
      <c r="E301" s="14">
        <v>1.8</v>
      </c>
      <c r="F301" s="14">
        <v>1.9</v>
      </c>
      <c r="G301" s="14">
        <v>2.4</v>
      </c>
      <c r="H301" s="14">
        <v>2</v>
      </c>
      <c r="I301" s="14">
        <v>1</v>
      </c>
      <c r="J301" s="14">
        <v>1.75</v>
      </c>
      <c r="K301" s="14">
        <v>3</v>
      </c>
      <c r="L301" s="15">
        <v>0.1</v>
      </c>
      <c r="M301" s="15">
        <v>0</v>
      </c>
      <c r="N301" s="14">
        <v>24</v>
      </c>
      <c r="O301" s="14">
        <v>50</v>
      </c>
      <c r="P301" s="13">
        <v>45</v>
      </c>
      <c r="Q301" s="13">
        <v>85</v>
      </c>
      <c r="R301" s="13" t="s">
        <v>17</v>
      </c>
      <c r="S301" s="13">
        <v>120</v>
      </c>
      <c r="T301" s="13">
        <v>0</v>
      </c>
      <c r="U301" s="13">
        <v>100</v>
      </c>
      <c r="V301" s="13" t="str">
        <f t="shared" si="209"/>
        <v>ISO 6</v>
      </c>
      <c r="W301" s="13">
        <f t="shared" si="209"/>
        <v>120</v>
      </c>
      <c r="X301" s="16">
        <f t="shared" si="210"/>
        <v>36.799199999999999</v>
      </c>
      <c r="Y301" s="16">
        <f t="shared" si="211"/>
        <v>289.68330239999995</v>
      </c>
      <c r="Z301" s="16">
        <f t="shared" si="212"/>
        <v>579.36660479999989</v>
      </c>
      <c r="AA301" s="16">
        <f t="shared" si="213"/>
        <v>57.936660479999993</v>
      </c>
      <c r="AB301" s="16">
        <f t="shared" si="214"/>
        <v>0</v>
      </c>
      <c r="AC301" s="16">
        <f t="shared" si="215"/>
        <v>0</v>
      </c>
      <c r="AD301" s="16" t="e">
        <f t="shared" si="222"/>
        <v>#DIV/0!</v>
      </c>
      <c r="AE301" s="16" t="e">
        <f t="shared" si="217"/>
        <v>#DIV/0!</v>
      </c>
      <c r="AF301" s="16" t="e">
        <f t="shared" si="218"/>
        <v>#DIV/0!</v>
      </c>
      <c r="AG301" s="16" t="e">
        <f t="shared" si="219"/>
        <v>#DIV/0!</v>
      </c>
      <c r="AH301" s="838" t="s">
        <v>85</v>
      </c>
      <c r="AI301" s="17">
        <f t="shared" si="220"/>
        <v>0</v>
      </c>
      <c r="AJ301" s="17" t="e">
        <f t="shared" si="221"/>
        <v>#DIV/0!</v>
      </c>
      <c r="AK301" s="891"/>
      <c r="AL301" s="18"/>
      <c r="AM301" s="889"/>
      <c r="AN301" s="891"/>
      <c r="AO301" s="888"/>
      <c r="AP301" s="891"/>
      <c r="AQ301" s="891"/>
      <c r="AR301" s="889"/>
      <c r="AS301" s="888"/>
      <c r="AT301" s="888"/>
      <c r="AU301" s="890"/>
      <c r="AV301" s="888"/>
      <c r="AW301" s="888"/>
      <c r="AX301" s="888"/>
      <c r="AY301" s="887"/>
      <c r="AZ301" s="888"/>
    </row>
    <row r="302" spans="3:52" ht="18.600000000000001">
      <c r="C302" s="13">
        <f>IF(D302&lt;&gt;"",COUNTA($D$10:D302),"")</f>
        <v>251</v>
      </c>
      <c r="D302" s="14" t="s">
        <v>212</v>
      </c>
      <c r="E302" s="14">
        <v>1.9</v>
      </c>
      <c r="F302" s="14">
        <v>2</v>
      </c>
      <c r="G302" s="14">
        <v>2.4</v>
      </c>
      <c r="H302" s="14">
        <v>2</v>
      </c>
      <c r="I302" s="14">
        <v>1</v>
      </c>
      <c r="J302" s="14">
        <v>1.75</v>
      </c>
      <c r="K302" s="14">
        <v>3</v>
      </c>
      <c r="L302" s="15">
        <v>0.1</v>
      </c>
      <c r="M302" s="15">
        <v>0</v>
      </c>
      <c r="N302" s="14">
        <v>24</v>
      </c>
      <c r="O302" s="14">
        <v>50</v>
      </c>
      <c r="P302" s="13">
        <v>45</v>
      </c>
      <c r="Q302" s="13">
        <v>85</v>
      </c>
      <c r="R302" s="13" t="s">
        <v>17</v>
      </c>
      <c r="S302" s="13">
        <v>120</v>
      </c>
      <c r="T302" s="13">
        <v>0</v>
      </c>
      <c r="U302" s="13">
        <v>100</v>
      </c>
      <c r="V302" s="13" t="str">
        <f t="shared" si="209"/>
        <v>ISO 6</v>
      </c>
      <c r="W302" s="13">
        <f t="shared" si="209"/>
        <v>120</v>
      </c>
      <c r="X302" s="16">
        <f t="shared" si="210"/>
        <v>40.887999999999998</v>
      </c>
      <c r="Y302" s="16">
        <f t="shared" si="211"/>
        <v>321.87033599999995</v>
      </c>
      <c r="Z302" s="16">
        <f t="shared" si="212"/>
        <v>643.7406719999999</v>
      </c>
      <c r="AA302" s="16">
        <f t="shared" si="213"/>
        <v>64.374067199999999</v>
      </c>
      <c r="AB302" s="16">
        <f t="shared" si="214"/>
        <v>0</v>
      </c>
      <c r="AC302" s="16">
        <f t="shared" si="215"/>
        <v>0</v>
      </c>
      <c r="AD302" s="16" t="e">
        <f t="shared" si="222"/>
        <v>#DIV/0!</v>
      </c>
      <c r="AE302" s="16" t="e">
        <f t="shared" si="217"/>
        <v>#DIV/0!</v>
      </c>
      <c r="AF302" s="16" t="e">
        <f t="shared" si="218"/>
        <v>#DIV/0!</v>
      </c>
      <c r="AG302" s="16" t="e">
        <f t="shared" si="219"/>
        <v>#DIV/0!</v>
      </c>
      <c r="AH302" s="838" t="s">
        <v>85</v>
      </c>
      <c r="AI302" s="17">
        <f t="shared" si="220"/>
        <v>0</v>
      </c>
      <c r="AJ302" s="17" t="e">
        <f t="shared" si="221"/>
        <v>#DIV/0!</v>
      </c>
      <c r="AK302" s="891"/>
      <c r="AL302" s="18"/>
      <c r="AM302" s="889"/>
      <c r="AN302" s="891"/>
      <c r="AO302" s="888"/>
      <c r="AP302" s="891"/>
      <c r="AQ302" s="891"/>
      <c r="AR302" s="889"/>
      <c r="AS302" s="888"/>
      <c r="AT302" s="888"/>
      <c r="AU302" s="890"/>
      <c r="AV302" s="888"/>
      <c r="AW302" s="888"/>
      <c r="AX302" s="888"/>
      <c r="AY302" s="887"/>
      <c r="AZ302" s="888"/>
    </row>
    <row r="303" spans="3:52" ht="18.600000000000001">
      <c r="C303" s="13">
        <f>IF(D303&lt;&gt;"",COUNTA($D$10:D303),"")</f>
        <v>252</v>
      </c>
      <c r="D303" s="14" t="s">
        <v>213</v>
      </c>
      <c r="E303" s="14">
        <v>2.2999999999999998</v>
      </c>
      <c r="F303" s="14">
        <v>2.2000000000000002</v>
      </c>
      <c r="G303" s="14">
        <v>2.4</v>
      </c>
      <c r="H303" s="14">
        <v>2</v>
      </c>
      <c r="I303" s="14">
        <v>1</v>
      </c>
      <c r="J303" s="14">
        <v>1.75</v>
      </c>
      <c r="K303" s="14">
        <v>3</v>
      </c>
      <c r="L303" s="15">
        <v>0.1</v>
      </c>
      <c r="M303" s="15">
        <v>0</v>
      </c>
      <c r="N303" s="14">
        <v>24</v>
      </c>
      <c r="O303" s="14">
        <v>50</v>
      </c>
      <c r="P303" s="13">
        <v>45</v>
      </c>
      <c r="Q303" s="13">
        <v>85</v>
      </c>
      <c r="R303" s="13" t="s">
        <v>17</v>
      </c>
      <c r="S303" s="13">
        <v>120</v>
      </c>
      <c r="T303" s="13">
        <v>0</v>
      </c>
      <c r="U303" s="13">
        <v>100</v>
      </c>
      <c r="V303" s="13" t="str">
        <f t="shared" si="209"/>
        <v>ISO 6</v>
      </c>
      <c r="W303" s="13">
        <f t="shared" si="209"/>
        <v>120</v>
      </c>
      <c r="X303" s="16">
        <f t="shared" si="210"/>
        <v>54.445599999999992</v>
      </c>
      <c r="Y303" s="16">
        <f t="shared" si="211"/>
        <v>428.59576319999991</v>
      </c>
      <c r="Z303" s="16">
        <f t="shared" si="212"/>
        <v>857.19152639999982</v>
      </c>
      <c r="AA303" s="16">
        <f t="shared" si="213"/>
        <v>85.71915263999999</v>
      </c>
      <c r="AB303" s="16">
        <f t="shared" si="214"/>
        <v>0</v>
      </c>
      <c r="AC303" s="16">
        <f t="shared" si="215"/>
        <v>0</v>
      </c>
      <c r="AD303" s="16" t="e">
        <f t="shared" si="222"/>
        <v>#DIV/0!</v>
      </c>
      <c r="AE303" s="16" t="e">
        <f t="shared" si="217"/>
        <v>#DIV/0!</v>
      </c>
      <c r="AF303" s="16" t="e">
        <f t="shared" si="218"/>
        <v>#DIV/0!</v>
      </c>
      <c r="AG303" s="16" t="e">
        <f t="shared" si="219"/>
        <v>#DIV/0!</v>
      </c>
      <c r="AH303" s="838" t="s">
        <v>85</v>
      </c>
      <c r="AI303" s="17">
        <f t="shared" si="220"/>
        <v>0</v>
      </c>
      <c r="AJ303" s="17" t="e">
        <f t="shared" si="221"/>
        <v>#DIV/0!</v>
      </c>
      <c r="AK303" s="891"/>
      <c r="AL303" s="18"/>
      <c r="AM303" s="889"/>
      <c r="AN303" s="891"/>
      <c r="AO303" s="888"/>
      <c r="AP303" s="891"/>
      <c r="AQ303" s="891"/>
      <c r="AR303" s="889"/>
      <c r="AS303" s="888"/>
      <c r="AT303" s="888"/>
      <c r="AU303" s="890"/>
      <c r="AV303" s="888"/>
      <c r="AW303" s="888"/>
      <c r="AX303" s="888"/>
      <c r="AY303" s="887"/>
      <c r="AZ303" s="888"/>
    </row>
    <row r="304" spans="3:52" ht="18.600000000000001">
      <c r="C304" s="13">
        <f>IF(D304&lt;&gt;"",COUNTA($D$10:D304),"")</f>
        <v>253</v>
      </c>
      <c r="D304" s="14" t="s">
        <v>214</v>
      </c>
      <c r="E304" s="14">
        <v>2.2000000000000002</v>
      </c>
      <c r="F304" s="14">
        <v>2.8</v>
      </c>
      <c r="G304" s="14">
        <v>2.4</v>
      </c>
      <c r="H304" s="14">
        <v>2</v>
      </c>
      <c r="I304" s="14">
        <v>1</v>
      </c>
      <c r="J304" s="14">
        <v>1.75</v>
      </c>
      <c r="K304" s="14">
        <v>3</v>
      </c>
      <c r="L304" s="15">
        <v>0.1</v>
      </c>
      <c r="M304" s="15">
        <v>0</v>
      </c>
      <c r="N304" s="14">
        <v>24</v>
      </c>
      <c r="O304" s="14">
        <v>50</v>
      </c>
      <c r="P304" s="13">
        <v>45</v>
      </c>
      <c r="Q304" s="13">
        <v>85</v>
      </c>
      <c r="R304" s="13" t="s">
        <v>17</v>
      </c>
      <c r="S304" s="13">
        <v>120</v>
      </c>
      <c r="T304" s="13">
        <v>0</v>
      </c>
      <c r="U304" s="13">
        <v>100</v>
      </c>
      <c r="V304" s="13" t="str">
        <f t="shared" si="209"/>
        <v>ISO 6</v>
      </c>
      <c r="W304" s="13">
        <f t="shared" si="209"/>
        <v>120</v>
      </c>
      <c r="X304" s="16">
        <f t="shared" si="210"/>
        <v>66.281599999999997</v>
      </c>
      <c r="Y304" s="16">
        <f t="shared" si="211"/>
        <v>521.76875519999999</v>
      </c>
      <c r="Z304" s="16">
        <f t="shared" si="212"/>
        <v>1043.5375104</v>
      </c>
      <c r="AA304" s="16">
        <f t="shared" si="213"/>
        <v>104.35375104000001</v>
      </c>
      <c r="AB304" s="16">
        <f t="shared" si="214"/>
        <v>0</v>
      </c>
      <c r="AC304" s="16">
        <f t="shared" si="215"/>
        <v>0</v>
      </c>
      <c r="AD304" s="16" t="e">
        <f t="shared" si="222"/>
        <v>#DIV/0!</v>
      </c>
      <c r="AE304" s="16" t="e">
        <f t="shared" si="217"/>
        <v>#DIV/0!</v>
      </c>
      <c r="AF304" s="16" t="e">
        <f t="shared" si="218"/>
        <v>#DIV/0!</v>
      </c>
      <c r="AG304" s="16" t="e">
        <f t="shared" si="219"/>
        <v>#DIV/0!</v>
      </c>
      <c r="AH304" s="838" t="s">
        <v>85</v>
      </c>
      <c r="AI304" s="17">
        <f t="shared" si="220"/>
        <v>0</v>
      </c>
      <c r="AJ304" s="17" t="e">
        <f t="shared" si="221"/>
        <v>#DIV/0!</v>
      </c>
      <c r="AK304" s="891"/>
      <c r="AL304" s="18"/>
      <c r="AM304" s="889"/>
      <c r="AN304" s="891"/>
      <c r="AO304" s="888"/>
      <c r="AP304" s="891"/>
      <c r="AQ304" s="891"/>
      <c r="AR304" s="889"/>
      <c r="AS304" s="888"/>
      <c r="AT304" s="888"/>
      <c r="AU304" s="890"/>
      <c r="AV304" s="888"/>
      <c r="AW304" s="888"/>
      <c r="AX304" s="888"/>
      <c r="AY304" s="887"/>
      <c r="AZ304" s="888"/>
    </row>
    <row r="305" spans="3:52" ht="18.600000000000001">
      <c r="C305" s="13">
        <f>IF(D305&lt;&gt;"",COUNTA($D$10:D305),"")</f>
        <v>254</v>
      </c>
      <c r="D305" s="14" t="s">
        <v>215</v>
      </c>
      <c r="E305" s="14">
        <v>2.8</v>
      </c>
      <c r="F305" s="14">
        <v>2.4</v>
      </c>
      <c r="G305" s="14">
        <v>2.4</v>
      </c>
      <c r="H305" s="14">
        <v>2</v>
      </c>
      <c r="I305" s="14">
        <v>1</v>
      </c>
      <c r="J305" s="14">
        <v>1.75</v>
      </c>
      <c r="K305" s="14">
        <v>3</v>
      </c>
      <c r="L305" s="15">
        <v>0.1</v>
      </c>
      <c r="M305" s="15">
        <v>0</v>
      </c>
      <c r="N305" s="14">
        <v>24</v>
      </c>
      <c r="O305" s="14">
        <v>50</v>
      </c>
      <c r="P305" s="13">
        <v>45</v>
      </c>
      <c r="Q305" s="13">
        <v>85</v>
      </c>
      <c r="R305" s="13" t="s">
        <v>17</v>
      </c>
      <c r="S305" s="13">
        <v>120</v>
      </c>
      <c r="T305" s="13">
        <v>0</v>
      </c>
      <c r="U305" s="13">
        <v>100</v>
      </c>
      <c r="V305" s="13" t="str">
        <f t="shared" si="209"/>
        <v>ISO 6</v>
      </c>
      <c r="W305" s="13">
        <f t="shared" si="209"/>
        <v>120</v>
      </c>
      <c r="X305" s="16">
        <f t="shared" si="210"/>
        <v>72.307199999999995</v>
      </c>
      <c r="Y305" s="16">
        <f t="shared" si="211"/>
        <v>569.20227839999995</v>
      </c>
      <c r="Z305" s="16">
        <f t="shared" si="212"/>
        <v>1138.4045567999999</v>
      </c>
      <c r="AA305" s="16">
        <f t="shared" si="213"/>
        <v>113.84045567999999</v>
      </c>
      <c r="AB305" s="16">
        <f t="shared" si="214"/>
        <v>0</v>
      </c>
      <c r="AC305" s="16">
        <f t="shared" si="215"/>
        <v>0</v>
      </c>
      <c r="AD305" s="16" t="e">
        <f t="shared" si="222"/>
        <v>#DIV/0!</v>
      </c>
      <c r="AE305" s="16" t="e">
        <f t="shared" si="217"/>
        <v>#DIV/0!</v>
      </c>
      <c r="AF305" s="16" t="e">
        <f t="shared" si="218"/>
        <v>#DIV/0!</v>
      </c>
      <c r="AG305" s="16" t="e">
        <f t="shared" si="219"/>
        <v>#DIV/0!</v>
      </c>
      <c r="AH305" s="838" t="s">
        <v>85</v>
      </c>
      <c r="AI305" s="17">
        <f t="shared" si="220"/>
        <v>0</v>
      </c>
      <c r="AJ305" s="17" t="e">
        <f t="shared" si="221"/>
        <v>#DIV/0!</v>
      </c>
      <c r="AK305" s="891"/>
      <c r="AL305" s="18"/>
      <c r="AM305" s="889"/>
      <c r="AN305" s="891"/>
      <c r="AO305" s="888"/>
      <c r="AP305" s="891"/>
      <c r="AQ305" s="891"/>
      <c r="AR305" s="889"/>
      <c r="AS305" s="888"/>
      <c r="AT305" s="888"/>
      <c r="AU305" s="890"/>
      <c r="AV305" s="888"/>
      <c r="AW305" s="888"/>
      <c r="AX305" s="888"/>
      <c r="AY305" s="887"/>
      <c r="AZ305" s="888"/>
    </row>
    <row r="306" spans="3:52">
      <c r="C306" s="19"/>
      <c r="D306" s="19"/>
      <c r="E306" s="19"/>
      <c r="F306" s="19"/>
      <c r="G306" s="19"/>
      <c r="H306" s="19"/>
      <c r="I306" s="19"/>
      <c r="J306" s="19"/>
      <c r="K306" s="19"/>
      <c r="L306" s="19"/>
      <c r="M306" s="19"/>
      <c r="N306" s="19"/>
      <c r="O306" s="19"/>
      <c r="P306" s="19"/>
      <c r="Q306" s="19"/>
      <c r="R306" s="19"/>
      <c r="S306" s="19"/>
      <c r="T306" s="19"/>
      <c r="U306" s="19"/>
      <c r="V306" s="19"/>
      <c r="W306" s="19"/>
      <c r="X306" s="20">
        <f>SUM(X290:X305)</f>
        <v>1144.1108000000002</v>
      </c>
      <c r="Y306" s="20">
        <f t="shared" ref="Y306:AG306" si="223">SUM(Y290:Y305)</f>
        <v>9006.4402175999985</v>
      </c>
      <c r="Z306" s="20">
        <f t="shared" si="223"/>
        <v>18012.880435199997</v>
      </c>
      <c r="AA306" s="20">
        <f t="shared" si="223"/>
        <v>1801.2880435199995</v>
      </c>
      <c r="AB306" s="20">
        <f t="shared" si="223"/>
        <v>0</v>
      </c>
      <c r="AC306" s="20">
        <f t="shared" si="223"/>
        <v>0</v>
      </c>
      <c r="AD306" s="20" t="e">
        <f t="shared" si="223"/>
        <v>#DIV/0!</v>
      </c>
      <c r="AE306" s="20" t="e">
        <f t="shared" si="223"/>
        <v>#DIV/0!</v>
      </c>
      <c r="AF306" s="20" t="e">
        <f t="shared" si="223"/>
        <v>#DIV/0!</v>
      </c>
      <c r="AG306" s="20" t="e">
        <f t="shared" si="223"/>
        <v>#DIV/0!</v>
      </c>
      <c r="AH306" s="841"/>
      <c r="AI306" s="20">
        <f t="shared" ref="AI306:AJ306" si="224">SUM(AI290:AI305)</f>
        <v>0</v>
      </c>
      <c r="AJ306" s="20" t="e">
        <f t="shared" si="224"/>
        <v>#DIV/0!</v>
      </c>
      <c r="AK306" s="21"/>
      <c r="AL306" s="21"/>
      <c r="AM306" s="21"/>
      <c r="AN306" s="21"/>
      <c r="AO306" s="21"/>
      <c r="AP306" s="21"/>
      <c r="AQ306" s="21"/>
      <c r="AR306" s="21"/>
      <c r="AS306" s="21"/>
      <c r="AT306" s="21"/>
      <c r="AU306" s="21"/>
      <c r="AV306" s="21"/>
      <c r="AW306" s="21"/>
      <c r="AX306" s="21"/>
      <c r="AY306" s="21"/>
      <c r="AZ306" s="21"/>
    </row>
    <row r="307" spans="3:52">
      <c r="AH307" s="840"/>
    </row>
    <row r="308" spans="3:52" ht="26.1">
      <c r="C308" s="8" t="str">
        <f>"Zoning Area  AHU - " &amp; INT((ROW()-8)/20)+1 &amp; "  " &amp;IF(AQ310&gt;0,"Air-Conditioning System " &amp; IF(AH310="D","(DX)",IF(AH310="C","(Chilled Water)","")),IF(AND(N310="Amb",AQ310=0),"Ventilation System","Refer"))</f>
        <v>Zoning Area  AHU - 16  Ventilation System</v>
      </c>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39"/>
      <c r="AI308" s="8"/>
      <c r="AJ308" s="8"/>
      <c r="AK308" s="8"/>
      <c r="AL308" s="8"/>
      <c r="AM308" s="8"/>
      <c r="AN308" s="8"/>
      <c r="AO308" s="8"/>
      <c r="AP308" s="8"/>
      <c r="AQ308" s="8"/>
      <c r="AR308" s="8"/>
      <c r="AS308" s="9" t="s">
        <v>221</v>
      </c>
      <c r="AT308" s="10"/>
      <c r="AU308" s="10"/>
      <c r="AV308" s="11"/>
      <c r="AW308" s="9" t="s">
        <v>222</v>
      </c>
      <c r="AX308" s="10"/>
      <c r="AY308" s="10"/>
      <c r="AZ308" s="11"/>
    </row>
    <row r="309" spans="3:52">
      <c r="C309" s="13">
        <f>IF(D309&lt;&gt;"",COUNTA($D$10:D309),"")</f>
        <v>255</v>
      </c>
      <c r="D309" s="5" t="s">
        <v>165</v>
      </c>
      <c r="E309" s="5" t="s">
        <v>166</v>
      </c>
      <c r="F309" s="5" t="s">
        <v>167</v>
      </c>
      <c r="G309" s="5" t="s">
        <v>168</v>
      </c>
      <c r="H309" s="5" t="s">
        <v>169</v>
      </c>
      <c r="I309" s="5" t="s">
        <v>170</v>
      </c>
      <c r="J309" s="5" t="s">
        <v>171</v>
      </c>
      <c r="K309" s="5" t="s">
        <v>172</v>
      </c>
      <c r="L309" s="5" t="s">
        <v>173</v>
      </c>
      <c r="M309" s="5" t="s">
        <v>174</v>
      </c>
      <c r="N309" s="5" t="s">
        <v>175</v>
      </c>
      <c r="O309" s="5" t="s">
        <v>176</v>
      </c>
      <c r="P309" s="5" t="s">
        <v>177</v>
      </c>
      <c r="Q309" s="5" t="s">
        <v>178</v>
      </c>
      <c r="R309" s="5" t="s">
        <v>199</v>
      </c>
      <c r="S309" s="5" t="s">
        <v>180</v>
      </c>
      <c r="T309" s="5" t="s">
        <v>223</v>
      </c>
      <c r="U309" s="5" t="s">
        <v>224</v>
      </c>
      <c r="V309" s="5" t="s">
        <v>199</v>
      </c>
      <c r="W309" s="5" t="s">
        <v>180</v>
      </c>
      <c r="X309" s="5" t="s">
        <v>225</v>
      </c>
      <c r="Y309" s="5" t="s">
        <v>226</v>
      </c>
      <c r="Z309" s="5" t="s">
        <v>227</v>
      </c>
      <c r="AA309" s="5" t="s">
        <v>228</v>
      </c>
      <c r="AB309" s="5" t="s">
        <v>229</v>
      </c>
      <c r="AC309" s="5" t="s">
        <v>230</v>
      </c>
      <c r="AD309" s="5" t="s">
        <v>231</v>
      </c>
      <c r="AE309" s="5" t="s">
        <v>232</v>
      </c>
      <c r="AF309" s="6" t="s">
        <v>233</v>
      </c>
      <c r="AG309" s="6" t="s">
        <v>234</v>
      </c>
      <c r="AH309" s="6" t="s">
        <v>235</v>
      </c>
      <c r="AI309" s="5" t="s">
        <v>236</v>
      </c>
      <c r="AJ309" s="5" t="s">
        <v>237</v>
      </c>
      <c r="AK309" s="5" t="s">
        <v>238</v>
      </c>
      <c r="AL309" s="5" t="s">
        <v>239</v>
      </c>
      <c r="AM309" s="5" t="s">
        <v>240</v>
      </c>
      <c r="AN309" s="5" t="s">
        <v>241</v>
      </c>
      <c r="AO309" s="5" t="s">
        <v>242</v>
      </c>
      <c r="AP309" s="5" t="s">
        <v>243</v>
      </c>
      <c r="AQ309" s="5" t="s">
        <v>244</v>
      </c>
      <c r="AR309" s="5" t="s">
        <v>245</v>
      </c>
      <c r="AS309" s="5" t="s">
        <v>246</v>
      </c>
      <c r="AT309" s="5" t="s">
        <v>247</v>
      </c>
      <c r="AU309" s="5" t="s">
        <v>248</v>
      </c>
      <c r="AV309" s="5" t="s">
        <v>249</v>
      </c>
      <c r="AW309" s="5" t="s">
        <v>250</v>
      </c>
      <c r="AX309" s="5" t="s">
        <v>251</v>
      </c>
      <c r="AY309" s="5" t="s">
        <v>252</v>
      </c>
      <c r="AZ309" s="5" t="s">
        <v>253</v>
      </c>
    </row>
    <row r="310" spans="3:52" ht="18.600000000000001">
      <c r="C310" s="13">
        <f>IF(D310&lt;&gt;"",COUNTA($D$10:D310),"")</f>
        <v>256</v>
      </c>
      <c r="D310" s="14" t="s">
        <v>200</v>
      </c>
      <c r="E310" s="14">
        <v>3</v>
      </c>
      <c r="F310" s="14">
        <v>3</v>
      </c>
      <c r="G310" s="14">
        <v>2.4</v>
      </c>
      <c r="H310" s="14">
        <v>1</v>
      </c>
      <c r="I310" s="14">
        <v>2</v>
      </c>
      <c r="J310" s="14">
        <v>1.75</v>
      </c>
      <c r="K310" s="14">
        <v>3</v>
      </c>
      <c r="L310" s="15">
        <v>0.1</v>
      </c>
      <c r="M310" s="15">
        <v>0</v>
      </c>
      <c r="N310" s="14" t="s">
        <v>220</v>
      </c>
      <c r="O310" s="14">
        <v>50</v>
      </c>
      <c r="P310" s="13">
        <v>45</v>
      </c>
      <c r="Q310" s="13">
        <v>85</v>
      </c>
      <c r="R310" s="13" t="s">
        <v>17</v>
      </c>
      <c r="S310" s="13">
        <v>120</v>
      </c>
      <c r="T310" s="13">
        <v>0</v>
      </c>
      <c r="U310" s="13">
        <v>100</v>
      </c>
      <c r="V310" s="13" t="str">
        <f>R310</f>
        <v>ISO 6</v>
      </c>
      <c r="W310" s="13">
        <f>S310</f>
        <v>120</v>
      </c>
      <c r="X310" s="16">
        <f>E310*F310*10.76</f>
        <v>96.84</v>
      </c>
      <c r="Y310" s="16">
        <f>X310*G310*3.28</f>
        <v>762.32447999999999</v>
      </c>
      <c r="Z310" s="16">
        <f>Y310*S310/60</f>
        <v>1524.64896</v>
      </c>
      <c r="AA310" s="16">
        <f>Z310*L310</f>
        <v>152.46489600000001</v>
      </c>
      <c r="AB310" s="16">
        <f>IF(N310="Amb",Z310,Z310*M310)</f>
        <v>1524.64896</v>
      </c>
      <c r="AC310" s="16" t="str">
        <f>IF(ISNUMBER(N310), (AA310*0.075*60/2.20462)*BP310/7000, "Ambient")</f>
        <v>Ambient</v>
      </c>
      <c r="AD310" s="16" t="str">
        <f>IF(ISNUMBER(N310), CEILING(CF310/(0.68*BP310),25), "Ambient")</f>
        <v>Ambient</v>
      </c>
      <c r="AE310" s="16">
        <f>CEILING(MAX((Z310+AA310),AD310),25)</f>
        <v>1700</v>
      </c>
      <c r="AF310" s="16">
        <f>CEILING(IF(OR($R310="ISO 6",$R310="GRADE B",$R310="1K",$R310=1000),AE310*1/175,IF(OR($R310="ISO 5",$R310="GRADE A",$R310=100),AE310*1/100,IF(OR($R310="ISO 7",$R310="GRADE C",$R310="10K",$R310=10000),$AE310*1/250,IF(OR($R310="ISO 8",$R310="GRADE D",$R310="100K",$R310=100000),$AE310*1/250,IF(OR($R310="NC",$R310="20 Micron",$R310="5 Micron",$R310="N C"),$AE310*1/350,0))))),2)</f>
        <v>10</v>
      </c>
      <c r="AG310" s="16" t="str">
        <f>IF(ISNUMBER(N310), CEILING(MAX(AI310,AJ310),0.5), "Ambient")</f>
        <v>Ambient</v>
      </c>
      <c r="AH310" s="838" t="s">
        <v>85</v>
      </c>
      <c r="AI310" s="17" t="str">
        <f>IF(ISNUMBER(N310), CEILING(CE310/12000,0.5), "Ambient")</f>
        <v>Ambient</v>
      </c>
      <c r="AJ310" s="17" t="str">
        <f>IF(ISNUMBER(N310),CEILING(AE310/(IF(AH310="C",400,300)),0.5), "Ambient")</f>
        <v>Ambient</v>
      </c>
      <c r="AK310" s="891">
        <f>CEILING(SUM(AE310:AE325),250)</f>
        <v>20000</v>
      </c>
      <c r="AL310" s="18" t="s">
        <v>254</v>
      </c>
      <c r="AM310" s="889">
        <v>150</v>
      </c>
      <c r="AN310" s="891">
        <f>IF(AK310&lt;=1300,200,IF(AK310&lt;=1600,225,IF(AK310&lt;=2100,250,IF(AK310&lt;=2700,280,IF(AK310&lt;=3450,315,IF(AK310&lt;=4250,355,IF(AK310&lt;=5250,400,IF(AK310&lt;=6750,450,IF(AK310&lt;=8500,500,IF(AK310&lt;=10750,560,IF(AK310&lt;=13500,630,IF(AK310&lt;=17000,710,IF(AK310&lt;=21500,800,IF(AK310&lt;=27000,900,IF(AK310&lt;=34000,1000,IF(AK310&lt;=43000,1120,IF(AK310&lt;=49000,1200,IF(AK310&lt;=68000,1450,"Refer"))))))))))))))))))</f>
        <v>800</v>
      </c>
      <c r="AO310" s="888">
        <f>IF(AK310*AM310/(6356*0.7*0.9*1.1*25.4)&lt;=1,1,IF(AK310*AM310/(6356*0.7*0.9*1.1*25.4)&lt;=1.5,1.5,IF(AK310*AM310/(6356*0.7*0.9*1.1*25.4)&lt;=2,2,IF(AK310*AM310/(6356*0.7*0.9*1.1*25.4)&lt;=3,3,IF(AK310*AM310/(6356*0.7*0.9*1.1*25.4)&lt;=5,5,IF(AK310*AM310/(6356*0.7*0.9*1.1*25.4)&lt;=7.5,7.5,IF(AK310*AM310/(6356*0.7*0.9*1.1*25.4)&lt;=10,10,IF(AK310*AM310/(6356*0.7*0.9*1.1*25.4)&lt;=12.5,12.5,IF(AK310*AM310/(6356*0.7*0.9*1.1*25.4)&lt;=15,15,IF(AK310*AM310/(6356*0.7*0.9*1.1*25.4)&lt;=20,20,IF(AK310*AM310/(6356*0.7*0.9*1.1*25.4)&lt;=25,25,IF(AK310*AM310/(6356*0.7*0.9*1.1*25.4)&lt;=30,30,IF(AK310*AM310/(6356*0.7*0.9*1.1*25.4)&lt;=40,40,IF(AK310*AM310/(6356*0.7*0.9*1.1*25.4)&lt;=50,50,IF(AK310*AM310/(6356*0.7*0.9*1.1*25.4)&lt;=60,60,IF(AK310*AM310/(6356*0.7*0.9*1.1*25.4)&lt;=75,75,"Refer"))))))))))))))))</f>
        <v>30</v>
      </c>
      <c r="AP310" s="891" t="str">
        <f>IF(AND(AQ310=0, N310="Amb"), "Amb",IF((AL311-250)*(AL313-150)*10.76/(1000*1000) &gt;= MAX(AI326,AJ326), 4,IF((AL311-250)*(AL313-150)*10.76*1.5/(1000*1000) &gt;= MAX(AI326,AJ326), 6,IF((AL311-250)*(AL313-150)*10.76*2/(1000*1000) &gt;= MAX(AI326,AJ326), 8, 0))
 )
)</f>
        <v>Amb</v>
      </c>
      <c r="AQ310" s="891">
        <f>AG326</f>
        <v>0</v>
      </c>
      <c r="AR310" s="889">
        <f>_xlfn.SWITCH(TRIM(UPPER(R310)),"ISO 9", 3,"ISO 8", 4,"Grade D", 4,"Class 100,000", 4,"Class 100K", 4,"ISO 7", 3,"Grade C", 3,"Class 10,000", 3,"Class 10K", 3,"ISO 6", 3,"Class 1,000", 3,"Class 1K", 3,"ISO 5", 4,"Grade A", 4,"Grade B", 4,"Class 100", 4,"ISO 4", 3,"ISO 3", 4,"ISO 2", 4,"ISO 1", 4,"NCV20",1,"NCV-10",2,"NCV-5",3,"NCAC-10",1,"NCAC-5",2,"NCAC-1",3,3)</f>
        <v>3</v>
      </c>
      <c r="AS310" s="888">
        <f>MAX(AI326,AJ326)*24/6</f>
        <v>0</v>
      </c>
      <c r="AT310" s="888">
        <f>AS310*0.06309</f>
        <v>0</v>
      </c>
      <c r="AU310" s="890">
        <v>2</v>
      </c>
      <c r="AV310" s="888">
        <f>SQRT((4*AS310*0.00006309)/(3.14*AU310))*1000</f>
        <v>0</v>
      </c>
      <c r="AW310" s="888"/>
      <c r="AX310" s="888"/>
      <c r="AY310" s="887"/>
      <c r="AZ310" s="888"/>
    </row>
    <row r="311" spans="3:52" ht="18.600000000000001">
      <c r="C311" s="13">
        <f>IF(D311&lt;&gt;"",COUNTA($D$10:D311),"")</f>
        <v>257</v>
      </c>
      <c r="D311" s="14" t="s">
        <v>201</v>
      </c>
      <c r="E311" s="14">
        <v>1.8</v>
      </c>
      <c r="F311" s="14">
        <v>2.2000000000000002</v>
      </c>
      <c r="G311" s="14">
        <v>2.4</v>
      </c>
      <c r="H311" s="14">
        <v>2</v>
      </c>
      <c r="I311" s="14">
        <v>1</v>
      </c>
      <c r="J311" s="14">
        <v>1.75</v>
      </c>
      <c r="K311" s="14">
        <v>3</v>
      </c>
      <c r="L311" s="15">
        <v>0.1</v>
      </c>
      <c r="M311" s="15">
        <v>0</v>
      </c>
      <c r="N311" s="14" t="s">
        <v>220</v>
      </c>
      <c r="O311" s="14">
        <v>50</v>
      </c>
      <c r="P311" s="13">
        <v>45</v>
      </c>
      <c r="Q311" s="13">
        <v>85</v>
      </c>
      <c r="R311" s="13" t="s">
        <v>17</v>
      </c>
      <c r="S311" s="13">
        <v>120</v>
      </c>
      <c r="T311" s="13">
        <v>0</v>
      </c>
      <c r="U311" s="13">
        <v>100</v>
      </c>
      <c r="V311" s="13" t="str">
        <f t="shared" ref="V311:W325" si="225">R311</f>
        <v>ISO 6</v>
      </c>
      <c r="W311" s="13">
        <f t="shared" si="225"/>
        <v>120</v>
      </c>
      <c r="X311" s="16">
        <f t="shared" ref="X311:X325" si="226">E311*F311*10.76</f>
        <v>42.6096</v>
      </c>
      <c r="Y311" s="16">
        <f t="shared" ref="Y311:Y325" si="227">X311*G311*3.28</f>
        <v>335.4227712</v>
      </c>
      <c r="Z311" s="16">
        <f t="shared" ref="Z311:Z325" si="228">Y311*S311/60</f>
        <v>670.8455424</v>
      </c>
      <c r="AA311" s="16">
        <f t="shared" ref="AA311:AA325" si="229">Z311*L311</f>
        <v>67.084554240000003</v>
      </c>
      <c r="AB311" s="16">
        <f t="shared" ref="AB311:AB325" si="230">IF(N311="Amb",Z311,Z311*M311)</f>
        <v>670.8455424</v>
      </c>
      <c r="AC311" s="16" t="str">
        <f t="shared" ref="AC311:AC325" si="231">IF(ISNUMBER(N311), (AA311*0.075*60/2.20462)*BP311/7000, "Ambient")</f>
        <v>Ambient</v>
      </c>
      <c r="AD311" s="16" t="str">
        <f t="shared" ref="AD311:AD317" si="232">IF(ISNUMBER(N311), CEILING(CF311/(0.68*BP311),25), "Ambient")</f>
        <v>Ambient</v>
      </c>
      <c r="AE311" s="16">
        <f t="shared" ref="AE311:AE325" si="233">CEILING(MAX((Z311+AA311),AD311),25)</f>
        <v>750</v>
      </c>
      <c r="AF311" s="16">
        <f t="shared" ref="AF311:AF325" si="234">CEILING(IF(OR($R311="ISO 6",$R311="GRADE B",$R311="1K",$R311=1000),AE311*1/175,IF(OR($R311="ISO 5",$R311="GRADE A",$R311=100),AE311*1/100,IF(OR($R311="ISO 7",$R311="GRADE C",$R311="10K",$R311=10000),$AE311*1/250,IF(OR($R311="ISO 8",$R311="GRADE D",$R311="100K",$R311=100000),$AE311*1/250,IF(OR($R311="NC",$R311="20 Micron",$R311="5 Micron",$R311="N C"),$AE311*1/350,0))))),2)</f>
        <v>6</v>
      </c>
      <c r="AG311" s="16" t="str">
        <f t="shared" ref="AG311:AG325" si="235">IF(ISNUMBER(N311), CEILING(MAX(AI311,AJ311),0.5), "Ambient")</f>
        <v>Ambient</v>
      </c>
      <c r="AH311" s="838" t="s">
        <v>85</v>
      </c>
      <c r="AI311" s="17" t="str">
        <f t="shared" ref="AI311:AI325" si="236">IF(ISNUMBER(N311), CEILING(CE311/12000,0.5), "Ambient")</f>
        <v>Ambient</v>
      </c>
      <c r="AJ311" s="17" t="str">
        <f t="shared" ref="AJ311:AJ325" si="237">IF(ISNUMBER(N311),CEILING(AE311/(IF(AH311="C",400,300)),0.5), "Ambient")</f>
        <v>Ambient</v>
      </c>
      <c r="AK311" s="891"/>
      <c r="AL311" s="18">
        <f>IF(AK310&lt;=2000,950,(IF(AK310&lt;=3000,1150,(IF(AK310&lt;=8000,1550,(IF(AK310&lt;=10000,1750,(IF(AK310&lt;=18000,2050,(IF(AK310&lt;=32000,2900,(IF(AK310&lt;=40000,3600,4000)))))))))))))</f>
        <v>2900</v>
      </c>
      <c r="AM311" s="889"/>
      <c r="AN311" s="891"/>
      <c r="AO311" s="888"/>
      <c r="AP311" s="891"/>
      <c r="AQ311" s="891"/>
      <c r="AR311" s="889"/>
      <c r="AS311" s="888"/>
      <c r="AT311" s="888"/>
      <c r="AU311" s="890"/>
      <c r="AV311" s="888"/>
      <c r="AW311" s="888"/>
      <c r="AX311" s="888"/>
      <c r="AY311" s="887"/>
      <c r="AZ311" s="888"/>
    </row>
    <row r="312" spans="3:52" ht="18.600000000000001">
      <c r="C312" s="13">
        <f>IF(D312&lt;&gt;"",COUNTA($D$10:D312),"")</f>
        <v>258</v>
      </c>
      <c r="D312" s="14" t="s">
        <v>202</v>
      </c>
      <c r="E312" s="14">
        <v>1.5</v>
      </c>
      <c r="F312" s="14">
        <v>2.8</v>
      </c>
      <c r="G312" s="14">
        <v>2.4</v>
      </c>
      <c r="H312" s="14">
        <v>2</v>
      </c>
      <c r="I312" s="14">
        <v>3</v>
      </c>
      <c r="J312" s="14">
        <v>1.75</v>
      </c>
      <c r="K312" s="14">
        <v>3</v>
      </c>
      <c r="L312" s="15">
        <v>0.1</v>
      </c>
      <c r="M312" s="15">
        <v>0</v>
      </c>
      <c r="N312" s="14" t="s">
        <v>220</v>
      </c>
      <c r="O312" s="14">
        <v>50</v>
      </c>
      <c r="P312" s="13">
        <v>45</v>
      </c>
      <c r="Q312" s="13">
        <v>85</v>
      </c>
      <c r="R312" s="13" t="s">
        <v>17</v>
      </c>
      <c r="S312" s="13">
        <v>120</v>
      </c>
      <c r="T312" s="13">
        <v>0</v>
      </c>
      <c r="U312" s="13">
        <v>100</v>
      </c>
      <c r="V312" s="13" t="str">
        <f t="shared" si="225"/>
        <v>ISO 6</v>
      </c>
      <c r="W312" s="13">
        <f t="shared" si="225"/>
        <v>120</v>
      </c>
      <c r="X312" s="16">
        <f t="shared" si="226"/>
        <v>45.191999999999993</v>
      </c>
      <c r="Y312" s="16">
        <f t="shared" si="227"/>
        <v>355.75142399999993</v>
      </c>
      <c r="Z312" s="16">
        <f t="shared" si="228"/>
        <v>711.50284799999986</v>
      </c>
      <c r="AA312" s="16">
        <f t="shared" si="229"/>
        <v>71.150284799999994</v>
      </c>
      <c r="AB312" s="16">
        <f t="shared" si="230"/>
        <v>711.50284799999986</v>
      </c>
      <c r="AC312" s="16" t="str">
        <f t="shared" si="231"/>
        <v>Ambient</v>
      </c>
      <c r="AD312" s="16" t="str">
        <f t="shared" si="232"/>
        <v>Ambient</v>
      </c>
      <c r="AE312" s="16">
        <f t="shared" si="233"/>
        <v>800</v>
      </c>
      <c r="AF312" s="16">
        <f t="shared" si="234"/>
        <v>6</v>
      </c>
      <c r="AG312" s="16" t="str">
        <f t="shared" si="235"/>
        <v>Ambient</v>
      </c>
      <c r="AH312" s="838" t="s">
        <v>85</v>
      </c>
      <c r="AI312" s="17" t="str">
        <f t="shared" si="236"/>
        <v>Ambient</v>
      </c>
      <c r="AJ312" s="17" t="str">
        <f t="shared" si="237"/>
        <v>Ambient</v>
      </c>
      <c r="AK312" s="891"/>
      <c r="AL312" s="18" t="s">
        <v>255</v>
      </c>
      <c r="AM312" s="889"/>
      <c r="AN312" s="891"/>
      <c r="AO312" s="888"/>
      <c r="AP312" s="891"/>
      <c r="AQ312" s="891"/>
      <c r="AR312" s="889"/>
      <c r="AS312" s="888"/>
      <c r="AT312" s="888"/>
      <c r="AU312" s="890"/>
      <c r="AV312" s="888"/>
      <c r="AW312" s="888"/>
      <c r="AX312" s="888"/>
      <c r="AY312" s="887"/>
      <c r="AZ312" s="888"/>
    </row>
    <row r="313" spans="3:52" ht="18.600000000000001">
      <c r="C313" s="13">
        <f>IF(D313&lt;&gt;"",COUNTA($D$10:D313),"")</f>
        <v>259</v>
      </c>
      <c r="D313" s="14" t="s">
        <v>203</v>
      </c>
      <c r="E313" s="14">
        <v>2.1</v>
      </c>
      <c r="F313" s="14">
        <v>3.5</v>
      </c>
      <c r="G313" s="14">
        <v>2.4</v>
      </c>
      <c r="H313" s="14">
        <v>0</v>
      </c>
      <c r="I313" s="14">
        <v>1</v>
      </c>
      <c r="J313" s="14">
        <v>1.75</v>
      </c>
      <c r="K313" s="14">
        <v>3</v>
      </c>
      <c r="L313" s="15">
        <v>0.1</v>
      </c>
      <c r="M313" s="15">
        <v>0</v>
      </c>
      <c r="N313" s="14" t="s">
        <v>220</v>
      </c>
      <c r="O313" s="14">
        <v>50</v>
      </c>
      <c r="P313" s="13">
        <v>45</v>
      </c>
      <c r="Q313" s="13">
        <v>85</v>
      </c>
      <c r="R313" s="13" t="s">
        <v>17</v>
      </c>
      <c r="S313" s="13">
        <v>120</v>
      </c>
      <c r="T313" s="13">
        <v>0</v>
      </c>
      <c r="U313" s="13">
        <v>100</v>
      </c>
      <c r="V313" s="13" t="str">
        <f t="shared" si="225"/>
        <v>ISO 6</v>
      </c>
      <c r="W313" s="13">
        <f t="shared" si="225"/>
        <v>120</v>
      </c>
      <c r="X313" s="16">
        <f t="shared" si="226"/>
        <v>79.085999999999999</v>
      </c>
      <c r="Y313" s="16">
        <f t="shared" si="227"/>
        <v>622.56499199999996</v>
      </c>
      <c r="Z313" s="16">
        <f t="shared" si="228"/>
        <v>1245.1299839999999</v>
      </c>
      <c r="AA313" s="16">
        <f t="shared" si="229"/>
        <v>124.5129984</v>
      </c>
      <c r="AB313" s="16">
        <f t="shared" si="230"/>
        <v>1245.1299839999999</v>
      </c>
      <c r="AC313" s="16" t="str">
        <f t="shared" si="231"/>
        <v>Ambient</v>
      </c>
      <c r="AD313" s="16" t="str">
        <f t="shared" si="232"/>
        <v>Ambient</v>
      </c>
      <c r="AE313" s="16">
        <f t="shared" si="233"/>
        <v>1375</v>
      </c>
      <c r="AF313" s="16">
        <f t="shared" si="234"/>
        <v>8</v>
      </c>
      <c r="AG313" s="16" t="str">
        <f t="shared" si="235"/>
        <v>Ambient</v>
      </c>
      <c r="AH313" s="838" t="s">
        <v>85</v>
      </c>
      <c r="AI313" s="17" t="str">
        <f t="shared" si="236"/>
        <v>Ambient</v>
      </c>
      <c r="AJ313" s="17" t="str">
        <f t="shared" si="237"/>
        <v>Ambient</v>
      </c>
      <c r="AK313" s="891"/>
      <c r="AL313" s="18">
        <f>IF(AK310&lt;=2000,950,(IF(AK310&lt;=4000,1100,(IF(AK310&lt;=6000,1250,(IF(AK310&lt;=10000,1550,(IF(AK310&lt;=15000,1750,(IF(AK310&lt;=24000,2050,(IF(AK310&lt;=40000,2900,3600)))))))))))))</f>
        <v>2050</v>
      </c>
      <c r="AM313" s="889"/>
      <c r="AN313" s="891"/>
      <c r="AO313" s="888"/>
      <c r="AP313" s="891"/>
      <c r="AQ313" s="891"/>
      <c r="AR313" s="889"/>
      <c r="AS313" s="888"/>
      <c r="AT313" s="888"/>
      <c r="AU313" s="890"/>
      <c r="AV313" s="888"/>
      <c r="AW313" s="888"/>
      <c r="AX313" s="888"/>
      <c r="AY313" s="887"/>
      <c r="AZ313" s="888"/>
    </row>
    <row r="314" spans="3:52" ht="18.600000000000001">
      <c r="C314" s="13">
        <f>IF(D314&lt;&gt;"",COUNTA($D$10:D314),"")</f>
        <v>260</v>
      </c>
      <c r="D314" s="14" t="s">
        <v>204</v>
      </c>
      <c r="E314" s="14">
        <v>2.7</v>
      </c>
      <c r="F314" s="14">
        <v>4</v>
      </c>
      <c r="G314" s="14">
        <v>2.4</v>
      </c>
      <c r="H314" s="14">
        <v>2</v>
      </c>
      <c r="I314" s="14">
        <v>1</v>
      </c>
      <c r="J314" s="14">
        <v>1.75</v>
      </c>
      <c r="K314" s="14">
        <v>3</v>
      </c>
      <c r="L314" s="15">
        <v>0.1</v>
      </c>
      <c r="M314" s="15">
        <v>0</v>
      </c>
      <c r="N314" s="14" t="s">
        <v>220</v>
      </c>
      <c r="O314" s="14">
        <v>50</v>
      </c>
      <c r="P314" s="13">
        <v>45</v>
      </c>
      <c r="Q314" s="13">
        <v>85</v>
      </c>
      <c r="R314" s="13" t="s">
        <v>17</v>
      </c>
      <c r="S314" s="13">
        <v>120</v>
      </c>
      <c r="T314" s="13">
        <v>0</v>
      </c>
      <c r="U314" s="13">
        <v>100</v>
      </c>
      <c r="V314" s="13" t="str">
        <f t="shared" si="225"/>
        <v>ISO 6</v>
      </c>
      <c r="W314" s="13">
        <f t="shared" si="225"/>
        <v>120</v>
      </c>
      <c r="X314" s="16">
        <f t="shared" si="226"/>
        <v>116.208</v>
      </c>
      <c r="Y314" s="16">
        <f t="shared" si="227"/>
        <v>914.78937599999995</v>
      </c>
      <c r="Z314" s="16">
        <f t="shared" si="228"/>
        <v>1829.5787519999999</v>
      </c>
      <c r="AA314" s="16">
        <f t="shared" si="229"/>
        <v>182.95787519999999</v>
      </c>
      <c r="AB314" s="16">
        <f t="shared" si="230"/>
        <v>1829.5787519999999</v>
      </c>
      <c r="AC314" s="16" t="str">
        <f t="shared" si="231"/>
        <v>Ambient</v>
      </c>
      <c r="AD314" s="16" t="str">
        <f t="shared" si="232"/>
        <v>Ambient</v>
      </c>
      <c r="AE314" s="16">
        <f t="shared" si="233"/>
        <v>2025</v>
      </c>
      <c r="AF314" s="16">
        <f t="shared" si="234"/>
        <v>12</v>
      </c>
      <c r="AG314" s="16" t="str">
        <f t="shared" si="235"/>
        <v>Ambient</v>
      </c>
      <c r="AH314" s="838" t="s">
        <v>85</v>
      </c>
      <c r="AI314" s="17" t="str">
        <f t="shared" si="236"/>
        <v>Ambient</v>
      </c>
      <c r="AJ314" s="17" t="str">
        <f t="shared" si="237"/>
        <v>Ambient</v>
      </c>
      <c r="AK314" s="891"/>
      <c r="AL314" s="18" t="s">
        <v>256</v>
      </c>
      <c r="AM314" s="889"/>
      <c r="AN314" s="891"/>
      <c r="AO314" s="888"/>
      <c r="AP314" s="891"/>
      <c r="AQ314" s="891"/>
      <c r="AR314" s="889"/>
      <c r="AS314" s="888"/>
      <c r="AT314" s="888"/>
      <c r="AU314" s="890"/>
      <c r="AV314" s="888"/>
      <c r="AW314" s="888"/>
      <c r="AX314" s="888"/>
      <c r="AY314" s="887"/>
      <c r="AZ314" s="888"/>
    </row>
    <row r="315" spans="3:52" ht="18.600000000000001">
      <c r="C315" s="13">
        <f>IF(D315&lt;&gt;"",COUNTA($D$10:D315),"")</f>
        <v>261</v>
      </c>
      <c r="D315" s="14" t="s">
        <v>205</v>
      </c>
      <c r="E315" s="14">
        <v>3.8</v>
      </c>
      <c r="F315" s="14">
        <v>4.2</v>
      </c>
      <c r="G315" s="14">
        <v>2.4</v>
      </c>
      <c r="H315" s="14">
        <v>3</v>
      </c>
      <c r="I315" s="14">
        <v>3</v>
      </c>
      <c r="J315" s="14">
        <v>1.75</v>
      </c>
      <c r="K315" s="14">
        <v>3</v>
      </c>
      <c r="L315" s="15">
        <v>0.1</v>
      </c>
      <c r="M315" s="15">
        <v>0</v>
      </c>
      <c r="N315" s="14" t="s">
        <v>220</v>
      </c>
      <c r="O315" s="14">
        <v>50</v>
      </c>
      <c r="P315" s="13">
        <v>45</v>
      </c>
      <c r="Q315" s="13">
        <v>85</v>
      </c>
      <c r="R315" s="13" t="s">
        <v>17</v>
      </c>
      <c r="S315" s="13">
        <v>120</v>
      </c>
      <c r="T315" s="13">
        <v>0</v>
      </c>
      <c r="U315" s="13">
        <v>100</v>
      </c>
      <c r="V315" s="13" t="str">
        <f t="shared" si="225"/>
        <v>ISO 6</v>
      </c>
      <c r="W315" s="13">
        <f t="shared" si="225"/>
        <v>120</v>
      </c>
      <c r="X315" s="16">
        <f t="shared" si="226"/>
        <v>171.72959999999998</v>
      </c>
      <c r="Y315" s="16">
        <f t="shared" si="227"/>
        <v>1351.8554111999997</v>
      </c>
      <c r="Z315" s="16">
        <f t="shared" si="228"/>
        <v>2703.7108223999994</v>
      </c>
      <c r="AA315" s="16">
        <f t="shared" si="229"/>
        <v>270.37108223999996</v>
      </c>
      <c r="AB315" s="16">
        <f t="shared" si="230"/>
        <v>2703.7108223999994</v>
      </c>
      <c r="AC315" s="16" t="str">
        <f t="shared" si="231"/>
        <v>Ambient</v>
      </c>
      <c r="AD315" s="16" t="str">
        <f t="shared" si="232"/>
        <v>Ambient</v>
      </c>
      <c r="AE315" s="16">
        <f t="shared" si="233"/>
        <v>2975</v>
      </c>
      <c r="AF315" s="16">
        <f t="shared" si="234"/>
        <v>18</v>
      </c>
      <c r="AG315" s="16" t="str">
        <f t="shared" si="235"/>
        <v>Ambient</v>
      </c>
      <c r="AH315" s="838" t="s">
        <v>85</v>
      </c>
      <c r="AI315" s="17" t="str">
        <f t="shared" si="236"/>
        <v>Ambient</v>
      </c>
      <c r="AJ315" s="17" t="str">
        <f t="shared" si="237"/>
        <v>Ambient</v>
      </c>
      <c r="AK315" s="891"/>
      <c r="AL315" s="18">
        <f>IF(AL319&lt;4000,AL319,AL319+400)</f>
        <v>6400</v>
      </c>
      <c r="AM315" s="889"/>
      <c r="AN315" s="891"/>
      <c r="AO315" s="888"/>
      <c r="AP315" s="891"/>
      <c r="AQ315" s="891"/>
      <c r="AR315" s="889"/>
      <c r="AS315" s="888"/>
      <c r="AT315" s="888"/>
      <c r="AU315" s="890"/>
      <c r="AV315" s="888"/>
      <c r="AW315" s="888"/>
      <c r="AX315" s="888"/>
      <c r="AY315" s="887"/>
      <c r="AZ315" s="888"/>
    </row>
    <row r="316" spans="3:52" ht="18.600000000000001">
      <c r="C316" s="13">
        <f>IF(D316&lt;&gt;"",COUNTA($D$10:D316),"")</f>
        <v>262</v>
      </c>
      <c r="D316" s="14" t="s">
        <v>206</v>
      </c>
      <c r="E316" s="14">
        <v>3.1</v>
      </c>
      <c r="F316" s="14">
        <v>2.6</v>
      </c>
      <c r="G316" s="14">
        <v>2.4</v>
      </c>
      <c r="H316" s="14">
        <v>2</v>
      </c>
      <c r="I316" s="14">
        <v>1</v>
      </c>
      <c r="J316" s="14">
        <v>1.75</v>
      </c>
      <c r="K316" s="14">
        <v>3</v>
      </c>
      <c r="L316" s="15">
        <v>0.1</v>
      </c>
      <c r="M316" s="15">
        <v>0</v>
      </c>
      <c r="N316" s="14" t="s">
        <v>220</v>
      </c>
      <c r="O316" s="14">
        <v>50</v>
      </c>
      <c r="P316" s="13">
        <v>45</v>
      </c>
      <c r="Q316" s="13">
        <v>85</v>
      </c>
      <c r="R316" s="13" t="s">
        <v>17</v>
      </c>
      <c r="S316" s="13">
        <v>120</v>
      </c>
      <c r="T316" s="13">
        <v>0</v>
      </c>
      <c r="U316" s="13">
        <v>100</v>
      </c>
      <c r="V316" s="13" t="str">
        <f t="shared" si="225"/>
        <v>ISO 6</v>
      </c>
      <c r="W316" s="13">
        <f t="shared" si="225"/>
        <v>120</v>
      </c>
      <c r="X316" s="16">
        <f t="shared" si="226"/>
        <v>86.7256</v>
      </c>
      <c r="Y316" s="16">
        <f t="shared" si="227"/>
        <v>682.70392319999996</v>
      </c>
      <c r="Z316" s="16">
        <f t="shared" si="228"/>
        <v>1365.4078463999999</v>
      </c>
      <c r="AA316" s="16">
        <f t="shared" si="229"/>
        <v>136.54078464</v>
      </c>
      <c r="AB316" s="16">
        <f t="shared" si="230"/>
        <v>1365.4078463999999</v>
      </c>
      <c r="AC316" s="16" t="str">
        <f t="shared" si="231"/>
        <v>Ambient</v>
      </c>
      <c r="AD316" s="16" t="str">
        <f t="shared" si="232"/>
        <v>Ambient</v>
      </c>
      <c r="AE316" s="16">
        <f t="shared" si="233"/>
        <v>1525</v>
      </c>
      <c r="AF316" s="16">
        <f t="shared" si="234"/>
        <v>10</v>
      </c>
      <c r="AG316" s="16" t="str">
        <f t="shared" si="235"/>
        <v>Ambient</v>
      </c>
      <c r="AH316" s="838" t="s">
        <v>85</v>
      </c>
      <c r="AI316" s="17" t="str">
        <f t="shared" si="236"/>
        <v>Ambient</v>
      </c>
      <c r="AJ316" s="17" t="str">
        <f t="shared" si="237"/>
        <v>Ambient</v>
      </c>
      <c r="AK316" s="891"/>
      <c r="AL316" s="18"/>
      <c r="AM316" s="889"/>
      <c r="AN316" s="891"/>
      <c r="AO316" s="888"/>
      <c r="AP316" s="891"/>
      <c r="AQ316" s="891"/>
      <c r="AR316" s="889"/>
      <c r="AS316" s="888"/>
      <c r="AT316" s="888"/>
      <c r="AU316" s="890"/>
      <c r="AV316" s="888"/>
      <c r="AW316" s="888"/>
      <c r="AX316" s="888"/>
      <c r="AY316" s="887"/>
      <c r="AZ316" s="888"/>
    </row>
    <row r="317" spans="3:52" ht="18.600000000000001">
      <c r="C317" s="13">
        <f>IF(D317&lt;&gt;"",COUNTA($D$10:D317),"")</f>
        <v>263</v>
      </c>
      <c r="D317" s="14" t="s">
        <v>207</v>
      </c>
      <c r="E317" s="14">
        <v>1.9</v>
      </c>
      <c r="F317" s="14">
        <v>2.4</v>
      </c>
      <c r="G317" s="14">
        <v>2.4</v>
      </c>
      <c r="H317" s="14">
        <v>3</v>
      </c>
      <c r="I317" s="14">
        <v>2</v>
      </c>
      <c r="J317" s="14">
        <v>1.75</v>
      </c>
      <c r="K317" s="14">
        <v>3</v>
      </c>
      <c r="L317" s="15">
        <v>0.1</v>
      </c>
      <c r="M317" s="15">
        <v>0</v>
      </c>
      <c r="N317" s="14" t="s">
        <v>220</v>
      </c>
      <c r="O317" s="14">
        <v>50</v>
      </c>
      <c r="P317" s="13">
        <v>45</v>
      </c>
      <c r="Q317" s="13">
        <v>85</v>
      </c>
      <c r="R317" s="13" t="s">
        <v>17</v>
      </c>
      <c r="S317" s="13">
        <v>120</v>
      </c>
      <c r="T317" s="13">
        <v>0</v>
      </c>
      <c r="U317" s="13">
        <v>100</v>
      </c>
      <c r="V317" s="13" t="str">
        <f t="shared" si="225"/>
        <v>ISO 6</v>
      </c>
      <c r="W317" s="13">
        <f t="shared" si="225"/>
        <v>120</v>
      </c>
      <c r="X317" s="16">
        <f t="shared" si="226"/>
        <v>49.065599999999996</v>
      </c>
      <c r="Y317" s="16">
        <f t="shared" si="227"/>
        <v>386.24440319999997</v>
      </c>
      <c r="Z317" s="16">
        <f t="shared" si="228"/>
        <v>772.48880639999993</v>
      </c>
      <c r="AA317" s="16">
        <f t="shared" si="229"/>
        <v>77.248880639999996</v>
      </c>
      <c r="AB317" s="16">
        <f t="shared" si="230"/>
        <v>772.48880639999993</v>
      </c>
      <c r="AC317" s="16" t="str">
        <f t="shared" si="231"/>
        <v>Ambient</v>
      </c>
      <c r="AD317" s="16" t="str">
        <f t="shared" si="232"/>
        <v>Ambient</v>
      </c>
      <c r="AE317" s="16">
        <f t="shared" si="233"/>
        <v>850</v>
      </c>
      <c r="AF317" s="16">
        <f t="shared" si="234"/>
        <v>6</v>
      </c>
      <c r="AG317" s="16" t="str">
        <f t="shared" si="235"/>
        <v>Ambient</v>
      </c>
      <c r="AH317" s="838" t="s">
        <v>85</v>
      </c>
      <c r="AI317" s="17" t="str">
        <f t="shared" si="236"/>
        <v>Ambient</v>
      </c>
      <c r="AJ317" s="17" t="str">
        <f t="shared" si="237"/>
        <v>Ambient</v>
      </c>
      <c r="AK317" s="891"/>
      <c r="AL317" s="18"/>
      <c r="AM317" s="889"/>
      <c r="AN317" s="891"/>
      <c r="AO317" s="888"/>
      <c r="AP317" s="891"/>
      <c r="AQ317" s="891"/>
      <c r="AR317" s="889"/>
      <c r="AS317" s="888"/>
      <c r="AT317" s="888"/>
      <c r="AU317" s="890"/>
      <c r="AV317" s="888"/>
      <c r="AW317" s="888"/>
      <c r="AX317" s="888"/>
      <c r="AY317" s="887"/>
      <c r="AZ317" s="888"/>
    </row>
    <row r="318" spans="3:52" ht="18.600000000000001">
      <c r="C318" s="13">
        <f>IF(D318&lt;&gt;"",COUNTA($D$10:D318),"")</f>
        <v>264</v>
      </c>
      <c r="D318" s="14" t="s">
        <v>208</v>
      </c>
      <c r="E318" s="14">
        <v>3</v>
      </c>
      <c r="F318" s="14">
        <v>2.9</v>
      </c>
      <c r="G318" s="14">
        <v>2.4</v>
      </c>
      <c r="H318" s="14">
        <v>2</v>
      </c>
      <c r="I318" s="14">
        <v>1</v>
      </c>
      <c r="J318" s="14">
        <v>1.75</v>
      </c>
      <c r="K318" s="14">
        <v>3</v>
      </c>
      <c r="L318" s="15">
        <v>0.1</v>
      </c>
      <c r="M318" s="15">
        <v>0</v>
      </c>
      <c r="N318" s="14" t="s">
        <v>220</v>
      </c>
      <c r="O318" s="14">
        <v>50</v>
      </c>
      <c r="P318" s="13">
        <v>45</v>
      </c>
      <c r="Q318" s="13">
        <v>85</v>
      </c>
      <c r="R318" s="13" t="s">
        <v>17</v>
      </c>
      <c r="S318" s="13">
        <v>120</v>
      </c>
      <c r="T318" s="13">
        <v>0</v>
      </c>
      <c r="U318" s="13">
        <v>100</v>
      </c>
      <c r="V318" s="13" t="str">
        <f t="shared" si="225"/>
        <v>ISO 6</v>
      </c>
      <c r="W318" s="13">
        <f t="shared" si="225"/>
        <v>120</v>
      </c>
      <c r="X318" s="16">
        <f t="shared" si="226"/>
        <v>93.611999999999995</v>
      </c>
      <c r="Y318" s="16">
        <f t="shared" si="227"/>
        <v>736.91366399999993</v>
      </c>
      <c r="Z318" s="16">
        <f t="shared" si="228"/>
        <v>1473.8273279999999</v>
      </c>
      <c r="AA318" s="16">
        <f t="shared" si="229"/>
        <v>147.38273279999999</v>
      </c>
      <c r="AB318" s="16">
        <f t="shared" si="230"/>
        <v>1473.8273279999999</v>
      </c>
      <c r="AC318" s="16" t="str">
        <f t="shared" si="231"/>
        <v>Ambient</v>
      </c>
      <c r="AD318" s="16" t="str">
        <f>IF(ISNUMBER(N318), CEILING(CF318/(0.68*BP318),25), "Ambient")</f>
        <v>Ambient</v>
      </c>
      <c r="AE318" s="16">
        <f t="shared" si="233"/>
        <v>1625</v>
      </c>
      <c r="AF318" s="16">
        <f t="shared" si="234"/>
        <v>10</v>
      </c>
      <c r="AG318" s="16" t="str">
        <f t="shared" si="235"/>
        <v>Ambient</v>
      </c>
      <c r="AH318" s="838" t="s">
        <v>85</v>
      </c>
      <c r="AI318" s="17" t="str">
        <f t="shared" si="236"/>
        <v>Ambient</v>
      </c>
      <c r="AJ318" s="17" t="str">
        <f t="shared" si="237"/>
        <v>Ambient</v>
      </c>
      <c r="AK318" s="891"/>
      <c r="AL318" s="18"/>
      <c r="AM318" s="889"/>
      <c r="AN318" s="891"/>
      <c r="AO318" s="888"/>
      <c r="AP318" s="891"/>
      <c r="AQ318" s="891"/>
      <c r="AR318" s="889"/>
      <c r="AS318" s="888"/>
      <c r="AT318" s="888"/>
      <c r="AU318" s="890"/>
      <c r="AV318" s="888"/>
      <c r="AW318" s="888"/>
      <c r="AX318" s="888"/>
      <c r="AY318" s="887"/>
      <c r="AZ318" s="888"/>
    </row>
    <row r="319" spans="3:52" ht="18.600000000000001">
      <c r="C319" s="13">
        <f>IF(D319&lt;&gt;"",COUNTA($D$10:D319),"")</f>
        <v>265</v>
      </c>
      <c r="D319" s="14" t="s">
        <v>209</v>
      </c>
      <c r="E319" s="14">
        <v>2.4</v>
      </c>
      <c r="F319" s="14">
        <v>2</v>
      </c>
      <c r="G319" s="14">
        <v>2.4</v>
      </c>
      <c r="H319" s="14">
        <v>2</v>
      </c>
      <c r="I319" s="14">
        <v>1</v>
      </c>
      <c r="J319" s="14">
        <v>1.75</v>
      </c>
      <c r="K319" s="14">
        <v>3</v>
      </c>
      <c r="L319" s="15">
        <v>0.1</v>
      </c>
      <c r="M319" s="15">
        <v>0</v>
      </c>
      <c r="N319" s="14" t="s">
        <v>220</v>
      </c>
      <c r="O319" s="14">
        <v>50</v>
      </c>
      <c r="P319" s="13">
        <v>45</v>
      </c>
      <c r="Q319" s="13">
        <v>85</v>
      </c>
      <c r="R319" s="13" t="s">
        <v>17</v>
      </c>
      <c r="S319" s="13">
        <v>120</v>
      </c>
      <c r="T319" s="13">
        <v>0</v>
      </c>
      <c r="U319" s="13">
        <v>100</v>
      </c>
      <c r="V319" s="13" t="str">
        <f t="shared" si="225"/>
        <v>ISO 6</v>
      </c>
      <c r="W319" s="13">
        <f t="shared" si="225"/>
        <v>120</v>
      </c>
      <c r="X319" s="16">
        <f t="shared" si="226"/>
        <v>51.647999999999996</v>
      </c>
      <c r="Y319" s="16">
        <f t="shared" si="227"/>
        <v>406.57305599999995</v>
      </c>
      <c r="Z319" s="16">
        <f t="shared" si="228"/>
        <v>813.1461119999999</v>
      </c>
      <c r="AA319" s="16">
        <f t="shared" si="229"/>
        <v>81.314611200000002</v>
      </c>
      <c r="AB319" s="16">
        <f t="shared" si="230"/>
        <v>813.1461119999999</v>
      </c>
      <c r="AC319" s="16" t="str">
        <f t="shared" si="231"/>
        <v>Ambient</v>
      </c>
      <c r="AD319" s="16" t="str">
        <f t="shared" ref="AD319:AD325" si="238">IF(ISNUMBER(N319), CEILING(CF319/(0.68*BP319),25), "Ambient")</f>
        <v>Ambient</v>
      </c>
      <c r="AE319" s="16">
        <f t="shared" si="233"/>
        <v>900</v>
      </c>
      <c r="AF319" s="16">
        <f t="shared" si="234"/>
        <v>6</v>
      </c>
      <c r="AG319" s="16" t="str">
        <f t="shared" si="235"/>
        <v>Ambient</v>
      </c>
      <c r="AH319" s="838" t="s">
        <v>85</v>
      </c>
      <c r="AI319" s="17" t="str">
        <f t="shared" si="236"/>
        <v>Ambient</v>
      </c>
      <c r="AJ319" s="17" t="str">
        <f t="shared" si="237"/>
        <v>Ambient</v>
      </c>
      <c r="AK319" s="891"/>
      <c r="AL319" s="174">
        <f>IF(AN310&lt;=315,1600,(IF(AN310=355,1650,(IF(AN310=400,1650,(IF(AN310=450,1700,(IF(AN310=500,1700,(IF(AN310=560,1800,(IF(AN310=630,2000,(IF(AN310=710,2200,2500)))))))))))))))+IF(AR310=2,1800,(IF(AR310=3,2300,(IF(AR310=4,3300,0)))))+IF(AP310&lt;=4,600,(IF(AP310&lt;=6,800,(IF(AP310&lt;=8,1000,1200)))))</f>
        <v>6000</v>
      </c>
      <c r="AM319" s="889"/>
      <c r="AN319" s="891"/>
      <c r="AO319" s="888"/>
      <c r="AP319" s="891"/>
      <c r="AQ319" s="891"/>
      <c r="AR319" s="889"/>
      <c r="AS319" s="888"/>
      <c r="AT319" s="888"/>
      <c r="AU319" s="890"/>
      <c r="AV319" s="888"/>
      <c r="AW319" s="888"/>
      <c r="AX319" s="888"/>
      <c r="AY319" s="887"/>
      <c r="AZ319" s="888"/>
    </row>
    <row r="320" spans="3:52" ht="18.600000000000001">
      <c r="C320" s="13">
        <f>IF(D320&lt;&gt;"",COUNTA($D$10:D320),"")</f>
        <v>266</v>
      </c>
      <c r="D320" s="14" t="s">
        <v>210</v>
      </c>
      <c r="E320" s="14">
        <v>2.1</v>
      </c>
      <c r="F320" s="14">
        <v>1.8</v>
      </c>
      <c r="G320" s="14">
        <v>2.4</v>
      </c>
      <c r="H320" s="14">
        <v>2</v>
      </c>
      <c r="I320" s="14">
        <v>1</v>
      </c>
      <c r="J320" s="14">
        <v>1.75</v>
      </c>
      <c r="K320" s="14">
        <v>3</v>
      </c>
      <c r="L320" s="15">
        <v>0.1</v>
      </c>
      <c r="M320" s="15">
        <v>0</v>
      </c>
      <c r="N320" s="14" t="s">
        <v>220</v>
      </c>
      <c r="O320" s="14">
        <v>50</v>
      </c>
      <c r="P320" s="13">
        <v>45</v>
      </c>
      <c r="Q320" s="13">
        <v>85</v>
      </c>
      <c r="R320" s="13" t="s">
        <v>17</v>
      </c>
      <c r="S320" s="13">
        <v>120</v>
      </c>
      <c r="T320" s="13">
        <v>0</v>
      </c>
      <c r="U320" s="13">
        <v>100</v>
      </c>
      <c r="V320" s="13" t="str">
        <f t="shared" si="225"/>
        <v>ISO 6</v>
      </c>
      <c r="W320" s="13">
        <f t="shared" si="225"/>
        <v>120</v>
      </c>
      <c r="X320" s="16">
        <f t="shared" si="226"/>
        <v>40.672800000000002</v>
      </c>
      <c r="Y320" s="16">
        <f t="shared" si="227"/>
        <v>320.17628159999998</v>
      </c>
      <c r="Z320" s="16">
        <f t="shared" si="228"/>
        <v>640.35256319999996</v>
      </c>
      <c r="AA320" s="16">
        <f t="shared" si="229"/>
        <v>64.035256320000002</v>
      </c>
      <c r="AB320" s="16">
        <f t="shared" si="230"/>
        <v>640.35256319999996</v>
      </c>
      <c r="AC320" s="16" t="str">
        <f t="shared" si="231"/>
        <v>Ambient</v>
      </c>
      <c r="AD320" s="16" t="str">
        <f t="shared" si="238"/>
        <v>Ambient</v>
      </c>
      <c r="AE320" s="16">
        <f t="shared" si="233"/>
        <v>725</v>
      </c>
      <c r="AF320" s="16">
        <f t="shared" si="234"/>
        <v>6</v>
      </c>
      <c r="AG320" s="16" t="str">
        <f t="shared" si="235"/>
        <v>Ambient</v>
      </c>
      <c r="AH320" s="838" t="s">
        <v>85</v>
      </c>
      <c r="AI320" s="17" t="str">
        <f t="shared" si="236"/>
        <v>Ambient</v>
      </c>
      <c r="AJ320" s="17" t="str">
        <f t="shared" si="237"/>
        <v>Ambient</v>
      </c>
      <c r="AK320" s="891"/>
      <c r="AL320" s="18"/>
      <c r="AM320" s="889"/>
      <c r="AN320" s="891"/>
      <c r="AO320" s="888"/>
      <c r="AP320" s="891"/>
      <c r="AQ320" s="891"/>
      <c r="AR320" s="889"/>
      <c r="AS320" s="888"/>
      <c r="AT320" s="888"/>
      <c r="AU320" s="890"/>
      <c r="AV320" s="888"/>
      <c r="AW320" s="888"/>
      <c r="AX320" s="888"/>
      <c r="AY320" s="887"/>
      <c r="AZ320" s="888"/>
    </row>
    <row r="321" spans="3:52" ht="18.600000000000001">
      <c r="C321" s="13">
        <f>IF(D321&lt;&gt;"",COUNTA($D$10:D321),"")</f>
        <v>267</v>
      </c>
      <c r="D321" s="14" t="s">
        <v>211</v>
      </c>
      <c r="E321" s="14">
        <v>1.8</v>
      </c>
      <c r="F321" s="14">
        <v>1.9</v>
      </c>
      <c r="G321" s="14">
        <v>2.4</v>
      </c>
      <c r="H321" s="14">
        <v>2</v>
      </c>
      <c r="I321" s="14">
        <v>1</v>
      </c>
      <c r="J321" s="14">
        <v>1.75</v>
      </c>
      <c r="K321" s="14">
        <v>3</v>
      </c>
      <c r="L321" s="15">
        <v>0.1</v>
      </c>
      <c r="M321" s="15">
        <v>0</v>
      </c>
      <c r="N321" s="14" t="s">
        <v>220</v>
      </c>
      <c r="O321" s="14">
        <v>50</v>
      </c>
      <c r="P321" s="13">
        <v>45</v>
      </c>
      <c r="Q321" s="13">
        <v>85</v>
      </c>
      <c r="R321" s="13" t="s">
        <v>17</v>
      </c>
      <c r="S321" s="13">
        <v>120</v>
      </c>
      <c r="T321" s="13">
        <v>0</v>
      </c>
      <c r="U321" s="13">
        <v>100</v>
      </c>
      <c r="V321" s="13" t="str">
        <f t="shared" si="225"/>
        <v>ISO 6</v>
      </c>
      <c r="W321" s="13">
        <f t="shared" si="225"/>
        <v>120</v>
      </c>
      <c r="X321" s="16">
        <f t="shared" si="226"/>
        <v>36.799199999999999</v>
      </c>
      <c r="Y321" s="16">
        <f t="shared" si="227"/>
        <v>289.68330239999995</v>
      </c>
      <c r="Z321" s="16">
        <f t="shared" si="228"/>
        <v>579.36660479999989</v>
      </c>
      <c r="AA321" s="16">
        <f t="shared" si="229"/>
        <v>57.936660479999993</v>
      </c>
      <c r="AB321" s="16">
        <f t="shared" si="230"/>
        <v>579.36660479999989</v>
      </c>
      <c r="AC321" s="16" t="str">
        <f t="shared" si="231"/>
        <v>Ambient</v>
      </c>
      <c r="AD321" s="16" t="str">
        <f t="shared" si="238"/>
        <v>Ambient</v>
      </c>
      <c r="AE321" s="16">
        <f t="shared" si="233"/>
        <v>650</v>
      </c>
      <c r="AF321" s="16">
        <f t="shared" si="234"/>
        <v>4</v>
      </c>
      <c r="AG321" s="16" t="str">
        <f t="shared" si="235"/>
        <v>Ambient</v>
      </c>
      <c r="AH321" s="838" t="s">
        <v>85</v>
      </c>
      <c r="AI321" s="17" t="str">
        <f t="shared" si="236"/>
        <v>Ambient</v>
      </c>
      <c r="AJ321" s="17" t="str">
        <f t="shared" si="237"/>
        <v>Ambient</v>
      </c>
      <c r="AK321" s="891"/>
      <c r="AL321" s="18"/>
      <c r="AM321" s="889"/>
      <c r="AN321" s="891"/>
      <c r="AO321" s="888"/>
      <c r="AP321" s="891"/>
      <c r="AQ321" s="891"/>
      <c r="AR321" s="889"/>
      <c r="AS321" s="888"/>
      <c r="AT321" s="888"/>
      <c r="AU321" s="890"/>
      <c r="AV321" s="888"/>
      <c r="AW321" s="888"/>
      <c r="AX321" s="888"/>
      <c r="AY321" s="887"/>
      <c r="AZ321" s="888"/>
    </row>
    <row r="322" spans="3:52" ht="18.600000000000001">
      <c r="C322" s="13">
        <f>IF(D322&lt;&gt;"",COUNTA($D$10:D322),"")</f>
        <v>268</v>
      </c>
      <c r="D322" s="14" t="s">
        <v>212</v>
      </c>
      <c r="E322" s="14">
        <v>1.9</v>
      </c>
      <c r="F322" s="14">
        <v>2</v>
      </c>
      <c r="G322" s="14">
        <v>2.4</v>
      </c>
      <c r="H322" s="14">
        <v>2</v>
      </c>
      <c r="I322" s="14">
        <v>1</v>
      </c>
      <c r="J322" s="14">
        <v>1.75</v>
      </c>
      <c r="K322" s="14">
        <v>3</v>
      </c>
      <c r="L322" s="15">
        <v>0.1</v>
      </c>
      <c r="M322" s="15">
        <v>0</v>
      </c>
      <c r="N322" s="14" t="s">
        <v>220</v>
      </c>
      <c r="O322" s="14">
        <v>50</v>
      </c>
      <c r="P322" s="13">
        <v>45</v>
      </c>
      <c r="Q322" s="13">
        <v>85</v>
      </c>
      <c r="R322" s="13" t="s">
        <v>17</v>
      </c>
      <c r="S322" s="13">
        <v>120</v>
      </c>
      <c r="T322" s="13">
        <v>0</v>
      </c>
      <c r="U322" s="13">
        <v>100</v>
      </c>
      <c r="V322" s="13" t="str">
        <f t="shared" si="225"/>
        <v>ISO 6</v>
      </c>
      <c r="W322" s="13">
        <f t="shared" si="225"/>
        <v>120</v>
      </c>
      <c r="X322" s="16">
        <f t="shared" si="226"/>
        <v>40.887999999999998</v>
      </c>
      <c r="Y322" s="16">
        <f t="shared" si="227"/>
        <v>321.87033599999995</v>
      </c>
      <c r="Z322" s="16">
        <f t="shared" si="228"/>
        <v>643.7406719999999</v>
      </c>
      <c r="AA322" s="16">
        <f t="shared" si="229"/>
        <v>64.374067199999999</v>
      </c>
      <c r="AB322" s="16">
        <f t="shared" si="230"/>
        <v>643.7406719999999</v>
      </c>
      <c r="AC322" s="16" t="str">
        <f t="shared" si="231"/>
        <v>Ambient</v>
      </c>
      <c r="AD322" s="16" t="str">
        <f t="shared" si="238"/>
        <v>Ambient</v>
      </c>
      <c r="AE322" s="16">
        <f t="shared" si="233"/>
        <v>725</v>
      </c>
      <c r="AF322" s="16">
        <f t="shared" si="234"/>
        <v>6</v>
      </c>
      <c r="AG322" s="16" t="str">
        <f t="shared" si="235"/>
        <v>Ambient</v>
      </c>
      <c r="AH322" s="838" t="s">
        <v>85</v>
      </c>
      <c r="AI322" s="17" t="str">
        <f t="shared" si="236"/>
        <v>Ambient</v>
      </c>
      <c r="AJ322" s="17" t="str">
        <f t="shared" si="237"/>
        <v>Ambient</v>
      </c>
      <c r="AK322" s="891"/>
      <c r="AL322" s="18"/>
      <c r="AM322" s="889"/>
      <c r="AN322" s="891"/>
      <c r="AO322" s="888"/>
      <c r="AP322" s="891"/>
      <c r="AQ322" s="891"/>
      <c r="AR322" s="889"/>
      <c r="AS322" s="888"/>
      <c r="AT322" s="888"/>
      <c r="AU322" s="890"/>
      <c r="AV322" s="888"/>
      <c r="AW322" s="888"/>
      <c r="AX322" s="888"/>
      <c r="AY322" s="887"/>
      <c r="AZ322" s="888"/>
    </row>
    <row r="323" spans="3:52" ht="18.600000000000001">
      <c r="C323" s="13">
        <f>IF(D323&lt;&gt;"",COUNTA($D$10:D323),"")</f>
        <v>269</v>
      </c>
      <c r="D323" s="14" t="s">
        <v>213</v>
      </c>
      <c r="E323" s="14">
        <v>2.2999999999999998</v>
      </c>
      <c r="F323" s="14">
        <v>2.2000000000000002</v>
      </c>
      <c r="G323" s="14">
        <v>2.4</v>
      </c>
      <c r="H323" s="14">
        <v>2</v>
      </c>
      <c r="I323" s="14">
        <v>1</v>
      </c>
      <c r="J323" s="14">
        <v>1.75</v>
      </c>
      <c r="K323" s="14">
        <v>3</v>
      </c>
      <c r="L323" s="15">
        <v>0.1</v>
      </c>
      <c r="M323" s="15">
        <v>0</v>
      </c>
      <c r="N323" s="14" t="s">
        <v>220</v>
      </c>
      <c r="O323" s="14">
        <v>50</v>
      </c>
      <c r="P323" s="13">
        <v>45</v>
      </c>
      <c r="Q323" s="13">
        <v>85</v>
      </c>
      <c r="R323" s="13" t="s">
        <v>17</v>
      </c>
      <c r="S323" s="13">
        <v>120</v>
      </c>
      <c r="T323" s="13">
        <v>0</v>
      </c>
      <c r="U323" s="13">
        <v>100</v>
      </c>
      <c r="V323" s="13" t="str">
        <f t="shared" si="225"/>
        <v>ISO 6</v>
      </c>
      <c r="W323" s="13">
        <f t="shared" si="225"/>
        <v>120</v>
      </c>
      <c r="X323" s="16">
        <f t="shared" si="226"/>
        <v>54.445599999999992</v>
      </c>
      <c r="Y323" s="16">
        <f t="shared" si="227"/>
        <v>428.59576319999991</v>
      </c>
      <c r="Z323" s="16">
        <f t="shared" si="228"/>
        <v>857.19152639999982</v>
      </c>
      <c r="AA323" s="16">
        <f t="shared" si="229"/>
        <v>85.71915263999999</v>
      </c>
      <c r="AB323" s="16">
        <f t="shared" si="230"/>
        <v>857.19152639999982</v>
      </c>
      <c r="AC323" s="16" t="str">
        <f t="shared" si="231"/>
        <v>Ambient</v>
      </c>
      <c r="AD323" s="16" t="str">
        <f t="shared" si="238"/>
        <v>Ambient</v>
      </c>
      <c r="AE323" s="16">
        <f t="shared" si="233"/>
        <v>950</v>
      </c>
      <c r="AF323" s="16">
        <f t="shared" si="234"/>
        <v>6</v>
      </c>
      <c r="AG323" s="16" t="str">
        <f t="shared" si="235"/>
        <v>Ambient</v>
      </c>
      <c r="AH323" s="838" t="s">
        <v>85</v>
      </c>
      <c r="AI323" s="17" t="str">
        <f t="shared" si="236"/>
        <v>Ambient</v>
      </c>
      <c r="AJ323" s="17" t="str">
        <f t="shared" si="237"/>
        <v>Ambient</v>
      </c>
      <c r="AK323" s="891"/>
      <c r="AL323" s="18"/>
      <c r="AM323" s="889"/>
      <c r="AN323" s="891"/>
      <c r="AO323" s="888"/>
      <c r="AP323" s="891"/>
      <c r="AQ323" s="891"/>
      <c r="AR323" s="889"/>
      <c r="AS323" s="888"/>
      <c r="AT323" s="888"/>
      <c r="AU323" s="890"/>
      <c r="AV323" s="888"/>
      <c r="AW323" s="888"/>
      <c r="AX323" s="888"/>
      <c r="AY323" s="887"/>
      <c r="AZ323" s="888"/>
    </row>
    <row r="324" spans="3:52" ht="18.600000000000001">
      <c r="C324" s="13">
        <f>IF(D324&lt;&gt;"",COUNTA($D$10:D324),"")</f>
        <v>270</v>
      </c>
      <c r="D324" s="14" t="s">
        <v>214</v>
      </c>
      <c r="E324" s="14">
        <v>2.2000000000000002</v>
      </c>
      <c r="F324" s="14">
        <v>2.8</v>
      </c>
      <c r="G324" s="14">
        <v>2.4</v>
      </c>
      <c r="H324" s="14">
        <v>2</v>
      </c>
      <c r="I324" s="14">
        <v>1</v>
      </c>
      <c r="J324" s="14">
        <v>1.75</v>
      </c>
      <c r="K324" s="14">
        <v>3</v>
      </c>
      <c r="L324" s="15">
        <v>0.1</v>
      </c>
      <c r="M324" s="15">
        <v>0</v>
      </c>
      <c r="N324" s="14" t="s">
        <v>220</v>
      </c>
      <c r="O324" s="14">
        <v>50</v>
      </c>
      <c r="P324" s="13">
        <v>45</v>
      </c>
      <c r="Q324" s="13">
        <v>85</v>
      </c>
      <c r="R324" s="13" t="s">
        <v>17</v>
      </c>
      <c r="S324" s="13">
        <v>120</v>
      </c>
      <c r="T324" s="13">
        <v>0</v>
      </c>
      <c r="U324" s="13">
        <v>100</v>
      </c>
      <c r="V324" s="13" t="str">
        <f t="shared" si="225"/>
        <v>ISO 6</v>
      </c>
      <c r="W324" s="13">
        <f t="shared" si="225"/>
        <v>120</v>
      </c>
      <c r="X324" s="16">
        <f t="shared" si="226"/>
        <v>66.281599999999997</v>
      </c>
      <c r="Y324" s="16">
        <f t="shared" si="227"/>
        <v>521.76875519999999</v>
      </c>
      <c r="Z324" s="16">
        <f t="shared" si="228"/>
        <v>1043.5375104</v>
      </c>
      <c r="AA324" s="16">
        <f t="shared" si="229"/>
        <v>104.35375104000001</v>
      </c>
      <c r="AB324" s="16">
        <f t="shared" si="230"/>
        <v>1043.5375104</v>
      </c>
      <c r="AC324" s="16" t="str">
        <f t="shared" si="231"/>
        <v>Ambient</v>
      </c>
      <c r="AD324" s="16" t="str">
        <f t="shared" si="238"/>
        <v>Ambient</v>
      </c>
      <c r="AE324" s="16">
        <f t="shared" si="233"/>
        <v>1150</v>
      </c>
      <c r="AF324" s="16">
        <f t="shared" si="234"/>
        <v>8</v>
      </c>
      <c r="AG324" s="16" t="str">
        <f t="shared" si="235"/>
        <v>Ambient</v>
      </c>
      <c r="AH324" s="838" t="s">
        <v>85</v>
      </c>
      <c r="AI324" s="17" t="str">
        <f t="shared" si="236"/>
        <v>Ambient</v>
      </c>
      <c r="AJ324" s="17" t="str">
        <f t="shared" si="237"/>
        <v>Ambient</v>
      </c>
      <c r="AK324" s="891"/>
      <c r="AL324" s="18"/>
      <c r="AM324" s="889"/>
      <c r="AN324" s="891"/>
      <c r="AO324" s="888"/>
      <c r="AP324" s="891"/>
      <c r="AQ324" s="891"/>
      <c r="AR324" s="889"/>
      <c r="AS324" s="888"/>
      <c r="AT324" s="888"/>
      <c r="AU324" s="890"/>
      <c r="AV324" s="888"/>
      <c r="AW324" s="888"/>
      <c r="AX324" s="888"/>
      <c r="AY324" s="887"/>
      <c r="AZ324" s="888"/>
    </row>
    <row r="325" spans="3:52" ht="18.600000000000001">
      <c r="C325" s="13">
        <f>IF(D325&lt;&gt;"",COUNTA($D$10:D325),"")</f>
        <v>271</v>
      </c>
      <c r="D325" s="14" t="s">
        <v>215</v>
      </c>
      <c r="E325" s="14">
        <v>2.8</v>
      </c>
      <c r="F325" s="14">
        <v>2.4</v>
      </c>
      <c r="G325" s="14">
        <v>2.4</v>
      </c>
      <c r="H325" s="14">
        <v>2</v>
      </c>
      <c r="I325" s="14">
        <v>1</v>
      </c>
      <c r="J325" s="14">
        <v>1.75</v>
      </c>
      <c r="K325" s="14">
        <v>3</v>
      </c>
      <c r="L325" s="15">
        <v>0.1</v>
      </c>
      <c r="M325" s="15">
        <v>0</v>
      </c>
      <c r="N325" s="14" t="s">
        <v>220</v>
      </c>
      <c r="O325" s="14">
        <v>50</v>
      </c>
      <c r="P325" s="13">
        <v>45</v>
      </c>
      <c r="Q325" s="13">
        <v>85</v>
      </c>
      <c r="R325" s="13" t="s">
        <v>17</v>
      </c>
      <c r="S325" s="13">
        <v>120</v>
      </c>
      <c r="T325" s="13">
        <v>0</v>
      </c>
      <c r="U325" s="13">
        <v>100</v>
      </c>
      <c r="V325" s="13" t="str">
        <f t="shared" si="225"/>
        <v>ISO 6</v>
      </c>
      <c r="W325" s="13">
        <f t="shared" si="225"/>
        <v>120</v>
      </c>
      <c r="X325" s="16">
        <f t="shared" si="226"/>
        <v>72.307199999999995</v>
      </c>
      <c r="Y325" s="16">
        <f t="shared" si="227"/>
        <v>569.20227839999995</v>
      </c>
      <c r="Z325" s="16">
        <f t="shared" si="228"/>
        <v>1138.4045567999999</v>
      </c>
      <c r="AA325" s="16">
        <f t="shared" si="229"/>
        <v>113.84045567999999</v>
      </c>
      <c r="AB325" s="16">
        <f t="shared" si="230"/>
        <v>1138.4045567999999</v>
      </c>
      <c r="AC325" s="16" t="str">
        <f t="shared" si="231"/>
        <v>Ambient</v>
      </c>
      <c r="AD325" s="16" t="str">
        <f t="shared" si="238"/>
        <v>Ambient</v>
      </c>
      <c r="AE325" s="16">
        <f t="shared" si="233"/>
        <v>1275</v>
      </c>
      <c r="AF325" s="16">
        <f t="shared" si="234"/>
        <v>8</v>
      </c>
      <c r="AG325" s="16" t="str">
        <f t="shared" si="235"/>
        <v>Ambient</v>
      </c>
      <c r="AH325" s="838" t="s">
        <v>85</v>
      </c>
      <c r="AI325" s="17" t="str">
        <f t="shared" si="236"/>
        <v>Ambient</v>
      </c>
      <c r="AJ325" s="17" t="str">
        <f t="shared" si="237"/>
        <v>Ambient</v>
      </c>
      <c r="AK325" s="891"/>
      <c r="AL325" s="18"/>
      <c r="AM325" s="889"/>
      <c r="AN325" s="891"/>
      <c r="AO325" s="888"/>
      <c r="AP325" s="891"/>
      <c r="AQ325" s="891"/>
      <c r="AR325" s="889"/>
      <c r="AS325" s="888"/>
      <c r="AT325" s="888"/>
      <c r="AU325" s="890"/>
      <c r="AV325" s="888"/>
      <c r="AW325" s="888"/>
      <c r="AX325" s="888"/>
      <c r="AY325" s="887"/>
      <c r="AZ325" s="888"/>
    </row>
    <row r="326" spans="3:52">
      <c r="C326" s="19"/>
      <c r="D326" s="19"/>
      <c r="E326" s="19"/>
      <c r="F326" s="19"/>
      <c r="G326" s="19"/>
      <c r="H326" s="19"/>
      <c r="I326" s="19"/>
      <c r="J326" s="19"/>
      <c r="K326" s="19"/>
      <c r="L326" s="19"/>
      <c r="M326" s="19"/>
      <c r="N326" s="19"/>
      <c r="O326" s="19"/>
      <c r="P326" s="19"/>
      <c r="Q326" s="19"/>
      <c r="R326" s="19"/>
      <c r="S326" s="19"/>
      <c r="T326" s="19"/>
      <c r="U326" s="19"/>
      <c r="V326" s="19"/>
      <c r="W326" s="19"/>
      <c r="X326" s="20">
        <f>SUM(X310:X325)</f>
        <v>1144.1108000000002</v>
      </c>
      <c r="Y326" s="20">
        <f t="shared" ref="Y326:AG326" si="239">SUM(Y310:Y325)</f>
        <v>9006.4402175999985</v>
      </c>
      <c r="Z326" s="20">
        <f t="shared" si="239"/>
        <v>18012.880435199997</v>
      </c>
      <c r="AA326" s="20">
        <f t="shared" si="239"/>
        <v>1801.2880435199995</v>
      </c>
      <c r="AB326" s="20">
        <f t="shared" si="239"/>
        <v>18012.880435199997</v>
      </c>
      <c r="AC326" s="20">
        <f t="shared" si="239"/>
        <v>0</v>
      </c>
      <c r="AD326" s="20">
        <f t="shared" si="239"/>
        <v>0</v>
      </c>
      <c r="AE326" s="20">
        <f t="shared" si="239"/>
        <v>20000</v>
      </c>
      <c r="AF326" s="20">
        <f t="shared" si="239"/>
        <v>130</v>
      </c>
      <c r="AG326" s="20">
        <f t="shared" si="239"/>
        <v>0</v>
      </c>
      <c r="AH326" s="841"/>
      <c r="AI326" s="20">
        <f t="shared" ref="AI326:AJ326" si="240">SUM(AI310:AI325)</f>
        <v>0</v>
      </c>
      <c r="AJ326" s="20">
        <f t="shared" si="240"/>
        <v>0</v>
      </c>
      <c r="AK326" s="21"/>
      <c r="AL326" s="21"/>
      <c r="AM326" s="21"/>
      <c r="AN326" s="21"/>
      <c r="AO326" s="21"/>
      <c r="AP326" s="21"/>
      <c r="AQ326" s="21"/>
      <c r="AR326" s="21"/>
      <c r="AS326" s="21"/>
      <c r="AT326" s="21"/>
      <c r="AU326" s="21"/>
      <c r="AV326" s="21"/>
      <c r="AW326" s="21"/>
      <c r="AX326" s="21"/>
      <c r="AY326" s="21"/>
      <c r="AZ326" s="21"/>
    </row>
    <row r="327" spans="3:52">
      <c r="AH327" s="840"/>
    </row>
    <row r="328" spans="3:52" ht="26.1">
      <c r="C328" s="8" t="e">
        <f>"Zoning Area  AHU - " &amp; INT((ROW()-8)/20)+1 &amp; "  " &amp;IF(AQ330&gt;0,"Air-Conditioning System " &amp; IF(AH330="D","(DX)",IF(AH330="C","(Chilled Water)","")),IF(AND(N330="Amb",AQ330=0),"Ventilation System","Refer"))</f>
        <v>#DIV/0!</v>
      </c>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39"/>
      <c r="AI328" s="8"/>
      <c r="AJ328" s="8"/>
      <c r="AK328" s="8"/>
      <c r="AL328" s="8"/>
      <c r="AM328" s="8"/>
      <c r="AN328" s="8"/>
      <c r="AO328" s="8"/>
      <c r="AP328" s="8"/>
      <c r="AQ328" s="8"/>
      <c r="AR328" s="8"/>
      <c r="AS328" s="9" t="s">
        <v>221</v>
      </c>
      <c r="AT328" s="10"/>
      <c r="AU328" s="10"/>
      <c r="AV328" s="11"/>
      <c r="AW328" s="9" t="s">
        <v>222</v>
      </c>
      <c r="AX328" s="10"/>
      <c r="AY328" s="10"/>
      <c r="AZ328" s="11"/>
    </row>
    <row r="329" spans="3:52">
      <c r="C329" s="13">
        <f>IF(D329&lt;&gt;"",COUNTA($D$10:D329),"")</f>
        <v>272</v>
      </c>
      <c r="D329" s="5" t="s">
        <v>165</v>
      </c>
      <c r="E329" s="5" t="s">
        <v>166</v>
      </c>
      <c r="F329" s="5" t="s">
        <v>167</v>
      </c>
      <c r="G329" s="5" t="s">
        <v>168</v>
      </c>
      <c r="H329" s="5" t="s">
        <v>169</v>
      </c>
      <c r="I329" s="5" t="s">
        <v>170</v>
      </c>
      <c r="J329" s="5" t="s">
        <v>171</v>
      </c>
      <c r="K329" s="5" t="s">
        <v>172</v>
      </c>
      <c r="L329" s="5" t="s">
        <v>173</v>
      </c>
      <c r="M329" s="5" t="s">
        <v>174</v>
      </c>
      <c r="N329" s="5" t="s">
        <v>175</v>
      </c>
      <c r="O329" s="5" t="s">
        <v>176</v>
      </c>
      <c r="P329" s="5" t="s">
        <v>177</v>
      </c>
      <c r="Q329" s="5" t="s">
        <v>178</v>
      </c>
      <c r="R329" s="5" t="s">
        <v>199</v>
      </c>
      <c r="S329" s="5" t="s">
        <v>180</v>
      </c>
      <c r="T329" s="5" t="s">
        <v>223</v>
      </c>
      <c r="U329" s="5" t="s">
        <v>224</v>
      </c>
      <c r="V329" s="5" t="s">
        <v>199</v>
      </c>
      <c r="W329" s="5" t="s">
        <v>180</v>
      </c>
      <c r="X329" s="5" t="s">
        <v>225</v>
      </c>
      <c r="Y329" s="5" t="s">
        <v>226</v>
      </c>
      <c r="Z329" s="5" t="s">
        <v>227</v>
      </c>
      <c r="AA329" s="5" t="s">
        <v>228</v>
      </c>
      <c r="AB329" s="5" t="s">
        <v>229</v>
      </c>
      <c r="AC329" s="5" t="s">
        <v>230</v>
      </c>
      <c r="AD329" s="5" t="s">
        <v>231</v>
      </c>
      <c r="AE329" s="5" t="s">
        <v>232</v>
      </c>
      <c r="AF329" s="6" t="s">
        <v>233</v>
      </c>
      <c r="AG329" s="6" t="s">
        <v>234</v>
      </c>
      <c r="AH329" s="6" t="s">
        <v>235</v>
      </c>
      <c r="AI329" s="5" t="s">
        <v>236</v>
      </c>
      <c r="AJ329" s="5" t="s">
        <v>237</v>
      </c>
      <c r="AK329" s="5" t="s">
        <v>238</v>
      </c>
      <c r="AL329" s="5" t="s">
        <v>239</v>
      </c>
      <c r="AM329" s="5" t="s">
        <v>240</v>
      </c>
      <c r="AN329" s="5" t="s">
        <v>241</v>
      </c>
      <c r="AO329" s="5" t="s">
        <v>242</v>
      </c>
      <c r="AP329" s="5" t="s">
        <v>243</v>
      </c>
      <c r="AQ329" s="5" t="s">
        <v>244</v>
      </c>
      <c r="AR329" s="5" t="s">
        <v>245</v>
      </c>
      <c r="AS329" s="5" t="s">
        <v>246</v>
      </c>
      <c r="AT329" s="5" t="s">
        <v>247</v>
      </c>
      <c r="AU329" s="5" t="s">
        <v>248</v>
      </c>
      <c r="AV329" s="5" t="s">
        <v>249</v>
      </c>
      <c r="AW329" s="5" t="s">
        <v>250</v>
      </c>
      <c r="AX329" s="5" t="s">
        <v>251</v>
      </c>
      <c r="AY329" s="5" t="s">
        <v>252</v>
      </c>
      <c r="AZ329" s="5" t="s">
        <v>253</v>
      </c>
    </row>
    <row r="330" spans="3:52" ht="18.600000000000001">
      <c r="C330" s="13">
        <f>IF(D330&lt;&gt;"",COUNTA($D$10:D330),"")</f>
        <v>273</v>
      </c>
      <c r="D330" s="14" t="s">
        <v>200</v>
      </c>
      <c r="E330" s="14">
        <v>3</v>
      </c>
      <c r="F330" s="14">
        <v>3</v>
      </c>
      <c r="G330" s="14">
        <v>2.4</v>
      </c>
      <c r="H330" s="14">
        <v>1</v>
      </c>
      <c r="I330" s="14">
        <v>2</v>
      </c>
      <c r="J330" s="14">
        <v>1.75</v>
      </c>
      <c r="K330" s="14">
        <v>3</v>
      </c>
      <c r="L330" s="15">
        <v>0.1</v>
      </c>
      <c r="M330" s="15">
        <v>0</v>
      </c>
      <c r="N330" s="14">
        <v>24</v>
      </c>
      <c r="O330" s="14">
        <v>50</v>
      </c>
      <c r="P330" s="13">
        <v>45</v>
      </c>
      <c r="Q330" s="13">
        <v>85</v>
      </c>
      <c r="R330" s="13" t="s">
        <v>17</v>
      </c>
      <c r="S330" s="13">
        <v>120</v>
      </c>
      <c r="T330" s="13">
        <v>0</v>
      </c>
      <c r="U330" s="13">
        <v>100</v>
      </c>
      <c r="V330" s="13" t="str">
        <f>R330</f>
        <v>ISO 6</v>
      </c>
      <c r="W330" s="13">
        <f>S330</f>
        <v>120</v>
      </c>
      <c r="X330" s="16">
        <f>E330*F330*10.76</f>
        <v>96.84</v>
      </c>
      <c r="Y330" s="16">
        <f>X330*G330*3.28</f>
        <v>762.32447999999999</v>
      </c>
      <c r="Z330" s="16">
        <f>Y330*S330/60</f>
        <v>1524.64896</v>
      </c>
      <c r="AA330" s="16">
        <f>Z330*L330</f>
        <v>152.46489600000001</v>
      </c>
      <c r="AB330" s="16">
        <f>IF(N330="Amb",Z330,Z330*M330)</f>
        <v>0</v>
      </c>
      <c r="AC330" s="16">
        <f>IF(ISNUMBER(N330), (AA330*0.075*60/2.20462)*BP330/7000, "Ambient")</f>
        <v>0</v>
      </c>
      <c r="AD330" s="16" t="e">
        <f>IF(ISNUMBER(N330), CEILING(CF330/(0.68*BP330),25), "Ambient")</f>
        <v>#DIV/0!</v>
      </c>
      <c r="AE330" s="16" t="e">
        <f>CEILING(MAX((Z330+AA330),AD330),25)</f>
        <v>#DIV/0!</v>
      </c>
      <c r="AF330" s="16" t="e">
        <f>CEILING(IF(OR($R330="ISO 6",$R330="GRADE B",$R330="1K",$R330=1000),AE330*1/175,IF(OR($R330="ISO 5",$R330="GRADE A",$R330=100),AE330*1/100,IF(OR($R330="ISO 7",$R330="GRADE C",$R330="10K",$R330=10000),$AE330*1/250,IF(OR($R330="ISO 8",$R330="GRADE D",$R330="100K",$R330=100000),$AE330*1/250,IF(OR($R330="NC",$R330="20 Micron",$R330="5 Micron",$R330="N C"),$AE330*1/350,0))))),2)</f>
        <v>#DIV/0!</v>
      </c>
      <c r="AG330" s="16" t="e">
        <f>IF(ISNUMBER(N330), CEILING(MAX(AI330,AJ330),0.5), "Ambient")</f>
        <v>#DIV/0!</v>
      </c>
      <c r="AH330" s="838" t="s">
        <v>85</v>
      </c>
      <c r="AI330" s="17">
        <f>IF(ISNUMBER(N330), CEILING(CE330/12000,0.5), "Ambient")</f>
        <v>0</v>
      </c>
      <c r="AJ330" s="17" t="e">
        <f>IF(ISNUMBER(N330),CEILING(AE330/(IF(AH330="C",400,300)),0.5), "Ambient")</f>
        <v>#DIV/0!</v>
      </c>
      <c r="AK330" s="891" t="e">
        <f>CEILING(SUM(AE330:AE345),250)</f>
        <v>#DIV/0!</v>
      </c>
      <c r="AL330" s="18" t="s">
        <v>254</v>
      </c>
      <c r="AM330" s="889">
        <v>150</v>
      </c>
      <c r="AN330" s="891" t="e">
        <f>IF(AK330&lt;=1300,200,IF(AK330&lt;=1600,225,IF(AK330&lt;=2100,250,IF(AK330&lt;=2700,280,IF(AK330&lt;=3450,315,IF(AK330&lt;=4250,355,IF(AK330&lt;=5250,400,IF(AK330&lt;=6750,450,IF(AK330&lt;=8500,500,IF(AK330&lt;=10750,560,IF(AK330&lt;=13500,630,IF(AK330&lt;=17000,710,IF(AK330&lt;=21500,800,IF(AK330&lt;=27000,900,IF(AK330&lt;=34000,1000,IF(AK330&lt;=43000,1120,IF(AK330&lt;=49000,1200,IF(AK330&lt;=68000,1450,"Refer"))))))))))))))))))</f>
        <v>#DIV/0!</v>
      </c>
      <c r="AO330" s="888" t="e">
        <f>IF(AK330*AM330/(6356*0.7*0.9*1.1*25.4)&lt;=1,1,IF(AK330*AM330/(6356*0.7*0.9*1.1*25.4)&lt;=1.5,1.5,IF(AK330*AM330/(6356*0.7*0.9*1.1*25.4)&lt;=2,2,IF(AK330*AM330/(6356*0.7*0.9*1.1*25.4)&lt;=3,3,IF(AK330*AM330/(6356*0.7*0.9*1.1*25.4)&lt;=5,5,IF(AK330*AM330/(6356*0.7*0.9*1.1*25.4)&lt;=7.5,7.5,IF(AK330*AM330/(6356*0.7*0.9*1.1*25.4)&lt;=10,10,IF(AK330*AM330/(6356*0.7*0.9*1.1*25.4)&lt;=12.5,12.5,IF(AK330*AM330/(6356*0.7*0.9*1.1*25.4)&lt;=15,15,IF(AK330*AM330/(6356*0.7*0.9*1.1*25.4)&lt;=20,20,IF(AK330*AM330/(6356*0.7*0.9*1.1*25.4)&lt;=25,25,IF(AK330*AM330/(6356*0.7*0.9*1.1*25.4)&lt;=30,30,IF(AK330*AM330/(6356*0.7*0.9*1.1*25.4)&lt;=40,40,IF(AK330*AM330/(6356*0.7*0.9*1.1*25.4)&lt;=50,50,IF(AK330*AM330/(6356*0.7*0.9*1.1*25.4)&lt;=60,60,IF(AK330*AM330/(6356*0.7*0.9*1.1*25.4)&lt;=75,75,"Refer"))))))))))))))))</f>
        <v>#DIV/0!</v>
      </c>
      <c r="AP330" s="891" t="e">
        <f>IF(AND(AQ330=0, N330="Amb"), "Amb",IF((AL331-250)*(AL333-150)*10.76/(1000*1000) &gt;= MAX(AI346,AJ346), 4,IF((AL331-250)*(AL333-150)*10.76*1.5/(1000*1000) &gt;= MAX(AI346,AJ346), 6,IF((AL331-250)*(AL333-150)*10.76*2/(1000*1000) &gt;= MAX(AI346,AJ346), 8, 0))
 )
)</f>
        <v>#DIV/0!</v>
      </c>
      <c r="AQ330" s="891" t="e">
        <f>AG346</f>
        <v>#DIV/0!</v>
      </c>
      <c r="AR330" s="889">
        <f>_xlfn.SWITCH(TRIM(UPPER(R330)),"ISO 9", 3,"ISO 8", 4,"Grade D", 4,"Class 100,000", 4,"Class 100K", 4,"ISO 7", 3,"Grade C", 3,"Class 10,000", 3,"Class 10K", 3,"ISO 6", 3,"Class 1,000", 3,"Class 1K", 3,"ISO 5", 4,"Grade A", 4,"Grade B", 4,"Class 100", 4,"ISO 4", 3,"ISO 3", 4,"ISO 2", 4,"ISO 1", 4,"NCV20",1,"NCV-10",2,"NCV-5",3,"NCAC-10",1,"NCAC-5",2,"NCAC-1",3,3)</f>
        <v>3</v>
      </c>
      <c r="AS330" s="888" t="e">
        <f>MAX(AI346,AJ346)*24/6</f>
        <v>#DIV/0!</v>
      </c>
      <c r="AT330" s="888" t="e">
        <f>AS330*0.06309</f>
        <v>#DIV/0!</v>
      </c>
      <c r="AU330" s="890">
        <v>2</v>
      </c>
      <c r="AV330" s="888" t="e">
        <f>SQRT((4*AS330*0.00006309)/(3.14*AU330))*1000</f>
        <v>#DIV/0!</v>
      </c>
      <c r="AW330" s="888"/>
      <c r="AX330" s="888"/>
      <c r="AY330" s="887"/>
      <c r="AZ330" s="888"/>
    </row>
    <row r="331" spans="3:52" ht="18.600000000000001">
      <c r="C331" s="13">
        <f>IF(D331&lt;&gt;"",COUNTA($D$10:D331),"")</f>
        <v>274</v>
      </c>
      <c r="D331" s="14" t="s">
        <v>201</v>
      </c>
      <c r="E331" s="14">
        <v>1.8</v>
      </c>
      <c r="F331" s="14">
        <v>2.2000000000000002</v>
      </c>
      <c r="G331" s="14">
        <v>2.4</v>
      </c>
      <c r="H331" s="14">
        <v>2</v>
      </c>
      <c r="I331" s="14">
        <v>1</v>
      </c>
      <c r="J331" s="14">
        <v>1.75</v>
      </c>
      <c r="K331" s="14">
        <v>3</v>
      </c>
      <c r="L331" s="15">
        <v>0.1</v>
      </c>
      <c r="M331" s="15">
        <v>0</v>
      </c>
      <c r="N331" s="14">
        <v>24</v>
      </c>
      <c r="O331" s="14">
        <v>50</v>
      </c>
      <c r="P331" s="13">
        <v>45</v>
      </c>
      <c r="Q331" s="13">
        <v>85</v>
      </c>
      <c r="R331" s="13" t="s">
        <v>17</v>
      </c>
      <c r="S331" s="13">
        <v>120</v>
      </c>
      <c r="T331" s="13">
        <v>0</v>
      </c>
      <c r="U331" s="13">
        <v>100</v>
      </c>
      <c r="V331" s="13" t="str">
        <f t="shared" ref="V331:W345" si="241">R331</f>
        <v>ISO 6</v>
      </c>
      <c r="W331" s="13">
        <f t="shared" si="241"/>
        <v>120</v>
      </c>
      <c r="X331" s="16">
        <f t="shared" ref="X331:X345" si="242">E331*F331*10.76</f>
        <v>42.6096</v>
      </c>
      <c r="Y331" s="16">
        <f t="shared" ref="Y331:Y345" si="243">X331*G331*3.28</f>
        <v>335.4227712</v>
      </c>
      <c r="Z331" s="16">
        <f t="shared" ref="Z331:Z345" si="244">Y331*S331/60</f>
        <v>670.8455424</v>
      </c>
      <c r="AA331" s="16">
        <f t="shared" ref="AA331:AA345" si="245">Z331*L331</f>
        <v>67.084554240000003</v>
      </c>
      <c r="AB331" s="16">
        <f t="shared" ref="AB331:AB345" si="246">IF(N331="Amb",Z331,Z331*M331)</f>
        <v>0</v>
      </c>
      <c r="AC331" s="16">
        <f t="shared" ref="AC331:AC345" si="247">IF(ISNUMBER(N331), (AA331*0.075*60/2.20462)*BP331/7000, "Ambient")</f>
        <v>0</v>
      </c>
      <c r="AD331" s="16" t="e">
        <f t="shared" ref="AD331:AD337" si="248">IF(ISNUMBER(N331), CEILING(CF331/(0.68*BP331),25), "Ambient")</f>
        <v>#DIV/0!</v>
      </c>
      <c r="AE331" s="16" t="e">
        <f t="shared" ref="AE331:AE345" si="249">CEILING(MAX((Z331+AA331),AD331),25)</f>
        <v>#DIV/0!</v>
      </c>
      <c r="AF331" s="16" t="e">
        <f t="shared" ref="AF331:AF345" si="250">CEILING(IF(OR($R331="ISO 6",$R331="GRADE B",$R331="1K",$R331=1000),AE331*1/175,IF(OR($R331="ISO 5",$R331="GRADE A",$R331=100),AE331*1/100,IF(OR($R331="ISO 7",$R331="GRADE C",$R331="10K",$R331=10000),$AE331*1/250,IF(OR($R331="ISO 8",$R331="GRADE D",$R331="100K",$R331=100000),$AE331*1/250,IF(OR($R331="NC",$R331="20 Micron",$R331="5 Micron",$R331="N C"),$AE331*1/350,0))))),2)</f>
        <v>#DIV/0!</v>
      </c>
      <c r="AG331" s="16" t="e">
        <f t="shared" ref="AG331:AG345" si="251">IF(ISNUMBER(N331), CEILING(MAX(AI331,AJ331),0.5), "Ambient")</f>
        <v>#DIV/0!</v>
      </c>
      <c r="AH331" s="838" t="s">
        <v>85</v>
      </c>
      <c r="AI331" s="17">
        <f t="shared" ref="AI331:AI345" si="252">IF(ISNUMBER(N331), CEILING(CE331/12000,0.5), "Ambient")</f>
        <v>0</v>
      </c>
      <c r="AJ331" s="17" t="e">
        <f t="shared" ref="AJ331:AJ345" si="253">IF(ISNUMBER(N331),CEILING(AE331/(IF(AH331="C",400,300)),0.5), "Ambient")</f>
        <v>#DIV/0!</v>
      </c>
      <c r="AK331" s="891"/>
      <c r="AL331" s="18" t="e">
        <f>IF(AK330&lt;=2000,950,(IF(AK330&lt;=3000,1150,(IF(AK330&lt;=8000,1550,(IF(AK330&lt;=10000,1750,(IF(AK330&lt;=18000,2050,(IF(AK330&lt;=32000,2900,(IF(AK330&lt;=40000,3600,4000)))))))))))))</f>
        <v>#DIV/0!</v>
      </c>
      <c r="AM331" s="889"/>
      <c r="AN331" s="891"/>
      <c r="AO331" s="888"/>
      <c r="AP331" s="891"/>
      <c r="AQ331" s="891"/>
      <c r="AR331" s="889"/>
      <c r="AS331" s="888"/>
      <c r="AT331" s="888"/>
      <c r="AU331" s="890"/>
      <c r="AV331" s="888"/>
      <c r="AW331" s="888"/>
      <c r="AX331" s="888"/>
      <c r="AY331" s="887"/>
      <c r="AZ331" s="888"/>
    </row>
    <row r="332" spans="3:52" ht="18.600000000000001">
      <c r="C332" s="13">
        <f>IF(D332&lt;&gt;"",COUNTA($D$10:D332),"")</f>
        <v>275</v>
      </c>
      <c r="D332" s="14" t="s">
        <v>202</v>
      </c>
      <c r="E332" s="14">
        <v>1.5</v>
      </c>
      <c r="F332" s="14">
        <v>2.8</v>
      </c>
      <c r="G332" s="14">
        <v>2.4</v>
      </c>
      <c r="H332" s="14">
        <v>2</v>
      </c>
      <c r="I332" s="14">
        <v>3</v>
      </c>
      <c r="J332" s="14">
        <v>1.75</v>
      </c>
      <c r="K332" s="14">
        <v>3</v>
      </c>
      <c r="L332" s="15">
        <v>0.1</v>
      </c>
      <c r="M332" s="15">
        <v>0</v>
      </c>
      <c r="N332" s="14">
        <v>24</v>
      </c>
      <c r="O332" s="14">
        <v>50</v>
      </c>
      <c r="P332" s="13">
        <v>45</v>
      </c>
      <c r="Q332" s="13">
        <v>85</v>
      </c>
      <c r="R332" s="13" t="s">
        <v>17</v>
      </c>
      <c r="S332" s="13">
        <v>120</v>
      </c>
      <c r="T332" s="13">
        <v>0</v>
      </c>
      <c r="U332" s="13">
        <v>100</v>
      </c>
      <c r="V332" s="13" t="str">
        <f t="shared" si="241"/>
        <v>ISO 6</v>
      </c>
      <c r="W332" s="13">
        <f t="shared" si="241"/>
        <v>120</v>
      </c>
      <c r="X332" s="16">
        <f t="shared" si="242"/>
        <v>45.191999999999993</v>
      </c>
      <c r="Y332" s="16">
        <f t="shared" si="243"/>
        <v>355.75142399999993</v>
      </c>
      <c r="Z332" s="16">
        <f t="shared" si="244"/>
        <v>711.50284799999986</v>
      </c>
      <c r="AA332" s="16">
        <f t="shared" si="245"/>
        <v>71.150284799999994</v>
      </c>
      <c r="AB332" s="16">
        <f t="shared" si="246"/>
        <v>0</v>
      </c>
      <c r="AC332" s="16">
        <f t="shared" si="247"/>
        <v>0</v>
      </c>
      <c r="AD332" s="16" t="e">
        <f t="shared" si="248"/>
        <v>#DIV/0!</v>
      </c>
      <c r="AE332" s="16" t="e">
        <f t="shared" si="249"/>
        <v>#DIV/0!</v>
      </c>
      <c r="AF332" s="16" t="e">
        <f t="shared" si="250"/>
        <v>#DIV/0!</v>
      </c>
      <c r="AG332" s="16" t="e">
        <f t="shared" si="251"/>
        <v>#DIV/0!</v>
      </c>
      <c r="AH332" s="838" t="s">
        <v>85</v>
      </c>
      <c r="AI332" s="17">
        <f t="shared" si="252"/>
        <v>0</v>
      </c>
      <c r="AJ332" s="17" t="e">
        <f t="shared" si="253"/>
        <v>#DIV/0!</v>
      </c>
      <c r="AK332" s="891"/>
      <c r="AL332" s="18" t="s">
        <v>255</v>
      </c>
      <c r="AM332" s="889"/>
      <c r="AN332" s="891"/>
      <c r="AO332" s="888"/>
      <c r="AP332" s="891"/>
      <c r="AQ332" s="891"/>
      <c r="AR332" s="889"/>
      <c r="AS332" s="888"/>
      <c r="AT332" s="888"/>
      <c r="AU332" s="890"/>
      <c r="AV332" s="888"/>
      <c r="AW332" s="888"/>
      <c r="AX332" s="888"/>
      <c r="AY332" s="887"/>
      <c r="AZ332" s="888"/>
    </row>
    <row r="333" spans="3:52" ht="18.600000000000001">
      <c r="C333" s="13">
        <f>IF(D333&lt;&gt;"",COUNTA($D$10:D333),"")</f>
        <v>276</v>
      </c>
      <c r="D333" s="14" t="s">
        <v>203</v>
      </c>
      <c r="E333" s="14">
        <v>2.1</v>
      </c>
      <c r="F333" s="14">
        <v>3.5</v>
      </c>
      <c r="G333" s="14">
        <v>2.4</v>
      </c>
      <c r="H333" s="14">
        <v>0</v>
      </c>
      <c r="I333" s="14">
        <v>1</v>
      </c>
      <c r="J333" s="14">
        <v>1.75</v>
      </c>
      <c r="K333" s="14">
        <v>3</v>
      </c>
      <c r="L333" s="15">
        <v>0.1</v>
      </c>
      <c r="M333" s="15">
        <v>0</v>
      </c>
      <c r="N333" s="14">
        <v>24</v>
      </c>
      <c r="O333" s="14">
        <v>50</v>
      </c>
      <c r="P333" s="13">
        <v>45</v>
      </c>
      <c r="Q333" s="13">
        <v>85</v>
      </c>
      <c r="R333" s="13" t="s">
        <v>17</v>
      </c>
      <c r="S333" s="13">
        <v>120</v>
      </c>
      <c r="T333" s="13">
        <v>0</v>
      </c>
      <c r="U333" s="13">
        <v>100</v>
      </c>
      <c r="V333" s="13" t="str">
        <f t="shared" si="241"/>
        <v>ISO 6</v>
      </c>
      <c r="W333" s="13">
        <f t="shared" si="241"/>
        <v>120</v>
      </c>
      <c r="X333" s="16">
        <f t="shared" si="242"/>
        <v>79.085999999999999</v>
      </c>
      <c r="Y333" s="16">
        <f t="shared" si="243"/>
        <v>622.56499199999996</v>
      </c>
      <c r="Z333" s="16">
        <f t="shared" si="244"/>
        <v>1245.1299839999999</v>
      </c>
      <c r="AA333" s="16">
        <f t="shared" si="245"/>
        <v>124.5129984</v>
      </c>
      <c r="AB333" s="16">
        <f t="shared" si="246"/>
        <v>0</v>
      </c>
      <c r="AC333" s="16">
        <f t="shared" si="247"/>
        <v>0</v>
      </c>
      <c r="AD333" s="16" t="e">
        <f t="shared" si="248"/>
        <v>#DIV/0!</v>
      </c>
      <c r="AE333" s="16" t="e">
        <f t="shared" si="249"/>
        <v>#DIV/0!</v>
      </c>
      <c r="AF333" s="16" t="e">
        <f t="shared" si="250"/>
        <v>#DIV/0!</v>
      </c>
      <c r="AG333" s="16" t="e">
        <f t="shared" si="251"/>
        <v>#DIV/0!</v>
      </c>
      <c r="AH333" s="838" t="s">
        <v>85</v>
      </c>
      <c r="AI333" s="17">
        <f t="shared" si="252"/>
        <v>0</v>
      </c>
      <c r="AJ333" s="17" t="e">
        <f t="shared" si="253"/>
        <v>#DIV/0!</v>
      </c>
      <c r="AK333" s="891"/>
      <c r="AL333" s="18" t="e">
        <f>IF(AK330&lt;=2000,950,(IF(AK330&lt;=4000,1100,(IF(AK330&lt;=6000,1250,(IF(AK330&lt;=10000,1550,(IF(AK330&lt;=15000,1750,(IF(AK330&lt;=24000,2050,(IF(AK330&lt;=40000,2900,3600)))))))))))))</f>
        <v>#DIV/0!</v>
      </c>
      <c r="AM333" s="889"/>
      <c r="AN333" s="891"/>
      <c r="AO333" s="888"/>
      <c r="AP333" s="891"/>
      <c r="AQ333" s="891"/>
      <c r="AR333" s="889"/>
      <c r="AS333" s="888"/>
      <c r="AT333" s="888"/>
      <c r="AU333" s="890"/>
      <c r="AV333" s="888"/>
      <c r="AW333" s="888"/>
      <c r="AX333" s="888"/>
      <c r="AY333" s="887"/>
      <c r="AZ333" s="888"/>
    </row>
    <row r="334" spans="3:52" ht="18.600000000000001">
      <c r="C334" s="13">
        <f>IF(D334&lt;&gt;"",COUNTA($D$10:D334),"")</f>
        <v>277</v>
      </c>
      <c r="D334" s="14" t="s">
        <v>204</v>
      </c>
      <c r="E334" s="14">
        <v>2.7</v>
      </c>
      <c r="F334" s="14">
        <v>4</v>
      </c>
      <c r="G334" s="14">
        <v>2.4</v>
      </c>
      <c r="H334" s="14">
        <v>2</v>
      </c>
      <c r="I334" s="14">
        <v>1</v>
      </c>
      <c r="J334" s="14">
        <v>1.75</v>
      </c>
      <c r="K334" s="14">
        <v>3</v>
      </c>
      <c r="L334" s="15">
        <v>0.1</v>
      </c>
      <c r="M334" s="15">
        <v>0</v>
      </c>
      <c r="N334" s="14">
        <v>24</v>
      </c>
      <c r="O334" s="14">
        <v>50</v>
      </c>
      <c r="P334" s="13">
        <v>45</v>
      </c>
      <c r="Q334" s="13">
        <v>85</v>
      </c>
      <c r="R334" s="13" t="s">
        <v>17</v>
      </c>
      <c r="S334" s="13">
        <v>120</v>
      </c>
      <c r="T334" s="13">
        <v>0</v>
      </c>
      <c r="U334" s="13">
        <v>100</v>
      </c>
      <c r="V334" s="13" t="str">
        <f t="shared" si="241"/>
        <v>ISO 6</v>
      </c>
      <c r="W334" s="13">
        <f t="shared" si="241"/>
        <v>120</v>
      </c>
      <c r="X334" s="16">
        <f t="shared" si="242"/>
        <v>116.208</v>
      </c>
      <c r="Y334" s="16">
        <f t="shared" si="243"/>
        <v>914.78937599999995</v>
      </c>
      <c r="Z334" s="16">
        <f t="shared" si="244"/>
        <v>1829.5787519999999</v>
      </c>
      <c r="AA334" s="16">
        <f t="shared" si="245"/>
        <v>182.95787519999999</v>
      </c>
      <c r="AB334" s="16">
        <f t="shared" si="246"/>
        <v>0</v>
      </c>
      <c r="AC334" s="16">
        <f t="shared" si="247"/>
        <v>0</v>
      </c>
      <c r="AD334" s="16" t="e">
        <f t="shared" si="248"/>
        <v>#DIV/0!</v>
      </c>
      <c r="AE334" s="16" t="e">
        <f t="shared" si="249"/>
        <v>#DIV/0!</v>
      </c>
      <c r="AF334" s="16" t="e">
        <f t="shared" si="250"/>
        <v>#DIV/0!</v>
      </c>
      <c r="AG334" s="16" t="e">
        <f t="shared" si="251"/>
        <v>#DIV/0!</v>
      </c>
      <c r="AH334" s="838" t="s">
        <v>85</v>
      </c>
      <c r="AI334" s="17">
        <f t="shared" si="252"/>
        <v>0</v>
      </c>
      <c r="AJ334" s="17" t="e">
        <f t="shared" si="253"/>
        <v>#DIV/0!</v>
      </c>
      <c r="AK334" s="891"/>
      <c r="AL334" s="18" t="s">
        <v>256</v>
      </c>
      <c r="AM334" s="889"/>
      <c r="AN334" s="891"/>
      <c r="AO334" s="888"/>
      <c r="AP334" s="891"/>
      <c r="AQ334" s="891"/>
      <c r="AR334" s="889"/>
      <c r="AS334" s="888"/>
      <c r="AT334" s="888"/>
      <c r="AU334" s="890"/>
      <c r="AV334" s="888"/>
      <c r="AW334" s="888"/>
      <c r="AX334" s="888"/>
      <c r="AY334" s="887"/>
      <c r="AZ334" s="888"/>
    </row>
    <row r="335" spans="3:52" ht="18.600000000000001">
      <c r="C335" s="13">
        <f>IF(D335&lt;&gt;"",COUNTA($D$10:D335),"")</f>
        <v>278</v>
      </c>
      <c r="D335" s="14" t="s">
        <v>205</v>
      </c>
      <c r="E335" s="14">
        <v>3.8</v>
      </c>
      <c r="F335" s="14">
        <v>4.2</v>
      </c>
      <c r="G335" s="14">
        <v>2.4</v>
      </c>
      <c r="H335" s="14">
        <v>3</v>
      </c>
      <c r="I335" s="14">
        <v>3</v>
      </c>
      <c r="J335" s="14">
        <v>1.75</v>
      </c>
      <c r="K335" s="14">
        <v>3</v>
      </c>
      <c r="L335" s="15">
        <v>0.1</v>
      </c>
      <c r="M335" s="15">
        <v>0</v>
      </c>
      <c r="N335" s="14">
        <v>24</v>
      </c>
      <c r="O335" s="14">
        <v>50</v>
      </c>
      <c r="P335" s="13">
        <v>45</v>
      </c>
      <c r="Q335" s="13">
        <v>85</v>
      </c>
      <c r="R335" s="13" t="s">
        <v>17</v>
      </c>
      <c r="S335" s="13">
        <v>120</v>
      </c>
      <c r="T335" s="13">
        <v>0</v>
      </c>
      <c r="U335" s="13">
        <v>100</v>
      </c>
      <c r="V335" s="13" t="str">
        <f t="shared" si="241"/>
        <v>ISO 6</v>
      </c>
      <c r="W335" s="13">
        <f t="shared" si="241"/>
        <v>120</v>
      </c>
      <c r="X335" s="16">
        <f t="shared" si="242"/>
        <v>171.72959999999998</v>
      </c>
      <c r="Y335" s="16">
        <f t="shared" si="243"/>
        <v>1351.8554111999997</v>
      </c>
      <c r="Z335" s="16">
        <f t="shared" si="244"/>
        <v>2703.7108223999994</v>
      </c>
      <c r="AA335" s="16">
        <f t="shared" si="245"/>
        <v>270.37108223999996</v>
      </c>
      <c r="AB335" s="16">
        <f t="shared" si="246"/>
        <v>0</v>
      </c>
      <c r="AC335" s="16">
        <f t="shared" si="247"/>
        <v>0</v>
      </c>
      <c r="AD335" s="16" t="e">
        <f t="shared" si="248"/>
        <v>#DIV/0!</v>
      </c>
      <c r="AE335" s="16" t="e">
        <f t="shared" si="249"/>
        <v>#DIV/0!</v>
      </c>
      <c r="AF335" s="16" t="e">
        <f t="shared" si="250"/>
        <v>#DIV/0!</v>
      </c>
      <c r="AG335" s="16" t="e">
        <f t="shared" si="251"/>
        <v>#DIV/0!</v>
      </c>
      <c r="AH335" s="838" t="s">
        <v>85</v>
      </c>
      <c r="AI335" s="17">
        <f t="shared" si="252"/>
        <v>0</v>
      </c>
      <c r="AJ335" s="17" t="e">
        <f t="shared" si="253"/>
        <v>#DIV/0!</v>
      </c>
      <c r="AK335" s="891"/>
      <c r="AL335" s="18" t="e">
        <f>IF(AL339&lt;4000,AL339,AL339+400)</f>
        <v>#DIV/0!</v>
      </c>
      <c r="AM335" s="889"/>
      <c r="AN335" s="891"/>
      <c r="AO335" s="888"/>
      <c r="AP335" s="891"/>
      <c r="AQ335" s="891"/>
      <c r="AR335" s="889"/>
      <c r="AS335" s="888"/>
      <c r="AT335" s="888"/>
      <c r="AU335" s="890"/>
      <c r="AV335" s="888"/>
      <c r="AW335" s="888"/>
      <c r="AX335" s="888"/>
      <c r="AY335" s="887"/>
      <c r="AZ335" s="888"/>
    </row>
    <row r="336" spans="3:52" ht="18.600000000000001">
      <c r="C336" s="13">
        <f>IF(D336&lt;&gt;"",COUNTA($D$10:D336),"")</f>
        <v>279</v>
      </c>
      <c r="D336" s="14" t="s">
        <v>206</v>
      </c>
      <c r="E336" s="14">
        <v>3.1</v>
      </c>
      <c r="F336" s="14">
        <v>2.6</v>
      </c>
      <c r="G336" s="14">
        <v>2.4</v>
      </c>
      <c r="H336" s="14">
        <v>2</v>
      </c>
      <c r="I336" s="14">
        <v>1</v>
      </c>
      <c r="J336" s="14">
        <v>1.75</v>
      </c>
      <c r="K336" s="14">
        <v>3</v>
      </c>
      <c r="L336" s="15">
        <v>0.1</v>
      </c>
      <c r="M336" s="15">
        <v>0</v>
      </c>
      <c r="N336" s="14">
        <v>24</v>
      </c>
      <c r="O336" s="14">
        <v>50</v>
      </c>
      <c r="P336" s="13">
        <v>45</v>
      </c>
      <c r="Q336" s="13">
        <v>85</v>
      </c>
      <c r="R336" s="13" t="s">
        <v>17</v>
      </c>
      <c r="S336" s="13">
        <v>120</v>
      </c>
      <c r="T336" s="13">
        <v>0</v>
      </c>
      <c r="U336" s="13">
        <v>100</v>
      </c>
      <c r="V336" s="13" t="str">
        <f t="shared" si="241"/>
        <v>ISO 6</v>
      </c>
      <c r="W336" s="13">
        <f t="shared" si="241"/>
        <v>120</v>
      </c>
      <c r="X336" s="16">
        <f t="shared" si="242"/>
        <v>86.7256</v>
      </c>
      <c r="Y336" s="16">
        <f t="shared" si="243"/>
        <v>682.70392319999996</v>
      </c>
      <c r="Z336" s="16">
        <f t="shared" si="244"/>
        <v>1365.4078463999999</v>
      </c>
      <c r="AA336" s="16">
        <f t="shared" si="245"/>
        <v>136.54078464</v>
      </c>
      <c r="AB336" s="16">
        <f t="shared" si="246"/>
        <v>0</v>
      </c>
      <c r="AC336" s="16">
        <f t="shared" si="247"/>
        <v>0</v>
      </c>
      <c r="AD336" s="16" t="e">
        <f t="shared" si="248"/>
        <v>#DIV/0!</v>
      </c>
      <c r="AE336" s="16" t="e">
        <f t="shared" si="249"/>
        <v>#DIV/0!</v>
      </c>
      <c r="AF336" s="16" t="e">
        <f t="shared" si="250"/>
        <v>#DIV/0!</v>
      </c>
      <c r="AG336" s="16" t="e">
        <f t="shared" si="251"/>
        <v>#DIV/0!</v>
      </c>
      <c r="AH336" s="838" t="s">
        <v>85</v>
      </c>
      <c r="AI336" s="17">
        <f t="shared" si="252"/>
        <v>0</v>
      </c>
      <c r="AJ336" s="17" t="e">
        <f t="shared" si="253"/>
        <v>#DIV/0!</v>
      </c>
      <c r="AK336" s="891"/>
      <c r="AL336" s="18"/>
      <c r="AM336" s="889"/>
      <c r="AN336" s="891"/>
      <c r="AO336" s="888"/>
      <c r="AP336" s="891"/>
      <c r="AQ336" s="891"/>
      <c r="AR336" s="889"/>
      <c r="AS336" s="888"/>
      <c r="AT336" s="888"/>
      <c r="AU336" s="890"/>
      <c r="AV336" s="888"/>
      <c r="AW336" s="888"/>
      <c r="AX336" s="888"/>
      <c r="AY336" s="887"/>
      <c r="AZ336" s="888"/>
    </row>
    <row r="337" spans="3:52" ht="18.600000000000001">
      <c r="C337" s="13">
        <f>IF(D337&lt;&gt;"",COUNTA($D$10:D337),"")</f>
        <v>280</v>
      </c>
      <c r="D337" s="14" t="s">
        <v>207</v>
      </c>
      <c r="E337" s="14">
        <v>1.9</v>
      </c>
      <c r="F337" s="14">
        <v>2.4</v>
      </c>
      <c r="G337" s="14">
        <v>2.4</v>
      </c>
      <c r="H337" s="14">
        <v>3</v>
      </c>
      <c r="I337" s="14">
        <v>2</v>
      </c>
      <c r="J337" s="14">
        <v>1.75</v>
      </c>
      <c r="K337" s="14">
        <v>3</v>
      </c>
      <c r="L337" s="15">
        <v>0.1</v>
      </c>
      <c r="M337" s="15">
        <v>0</v>
      </c>
      <c r="N337" s="14">
        <v>24</v>
      </c>
      <c r="O337" s="14">
        <v>50</v>
      </c>
      <c r="P337" s="13">
        <v>45</v>
      </c>
      <c r="Q337" s="13">
        <v>85</v>
      </c>
      <c r="R337" s="13" t="s">
        <v>17</v>
      </c>
      <c r="S337" s="13">
        <v>120</v>
      </c>
      <c r="T337" s="13">
        <v>0</v>
      </c>
      <c r="U337" s="13">
        <v>100</v>
      </c>
      <c r="V337" s="13" t="str">
        <f t="shared" si="241"/>
        <v>ISO 6</v>
      </c>
      <c r="W337" s="13">
        <f t="shared" si="241"/>
        <v>120</v>
      </c>
      <c r="X337" s="16">
        <f t="shared" si="242"/>
        <v>49.065599999999996</v>
      </c>
      <c r="Y337" s="16">
        <f t="shared" si="243"/>
        <v>386.24440319999997</v>
      </c>
      <c r="Z337" s="16">
        <f t="shared" si="244"/>
        <v>772.48880639999993</v>
      </c>
      <c r="AA337" s="16">
        <f t="shared" si="245"/>
        <v>77.248880639999996</v>
      </c>
      <c r="AB337" s="16">
        <f t="shared" si="246"/>
        <v>0</v>
      </c>
      <c r="AC337" s="16">
        <f t="shared" si="247"/>
        <v>0</v>
      </c>
      <c r="AD337" s="16" t="e">
        <f t="shared" si="248"/>
        <v>#DIV/0!</v>
      </c>
      <c r="AE337" s="16" t="e">
        <f t="shared" si="249"/>
        <v>#DIV/0!</v>
      </c>
      <c r="AF337" s="16" t="e">
        <f t="shared" si="250"/>
        <v>#DIV/0!</v>
      </c>
      <c r="AG337" s="16" t="e">
        <f t="shared" si="251"/>
        <v>#DIV/0!</v>
      </c>
      <c r="AH337" s="838" t="s">
        <v>85</v>
      </c>
      <c r="AI337" s="17">
        <f t="shared" si="252"/>
        <v>0</v>
      </c>
      <c r="AJ337" s="17" t="e">
        <f t="shared" si="253"/>
        <v>#DIV/0!</v>
      </c>
      <c r="AK337" s="891"/>
      <c r="AL337" s="18"/>
      <c r="AM337" s="889"/>
      <c r="AN337" s="891"/>
      <c r="AO337" s="888"/>
      <c r="AP337" s="891"/>
      <c r="AQ337" s="891"/>
      <c r="AR337" s="889"/>
      <c r="AS337" s="888"/>
      <c r="AT337" s="888"/>
      <c r="AU337" s="890"/>
      <c r="AV337" s="888"/>
      <c r="AW337" s="888"/>
      <c r="AX337" s="888"/>
      <c r="AY337" s="887"/>
      <c r="AZ337" s="888"/>
    </row>
    <row r="338" spans="3:52" ht="18.600000000000001">
      <c r="C338" s="13">
        <f>IF(D338&lt;&gt;"",COUNTA($D$10:D338),"")</f>
        <v>281</v>
      </c>
      <c r="D338" s="14" t="s">
        <v>208</v>
      </c>
      <c r="E338" s="14">
        <v>3</v>
      </c>
      <c r="F338" s="14">
        <v>2.9</v>
      </c>
      <c r="G338" s="14">
        <v>2.4</v>
      </c>
      <c r="H338" s="14">
        <v>2</v>
      </c>
      <c r="I338" s="14">
        <v>1</v>
      </c>
      <c r="J338" s="14">
        <v>1.75</v>
      </c>
      <c r="K338" s="14">
        <v>3</v>
      </c>
      <c r="L338" s="15">
        <v>0.1</v>
      </c>
      <c r="M338" s="15">
        <v>0</v>
      </c>
      <c r="N338" s="14">
        <v>24</v>
      </c>
      <c r="O338" s="14">
        <v>50</v>
      </c>
      <c r="P338" s="13">
        <v>45</v>
      </c>
      <c r="Q338" s="13">
        <v>85</v>
      </c>
      <c r="R338" s="13" t="s">
        <v>17</v>
      </c>
      <c r="S338" s="13">
        <v>120</v>
      </c>
      <c r="T338" s="13">
        <v>0</v>
      </c>
      <c r="U338" s="13">
        <v>100</v>
      </c>
      <c r="V338" s="13" t="str">
        <f t="shared" si="241"/>
        <v>ISO 6</v>
      </c>
      <c r="W338" s="13">
        <f t="shared" si="241"/>
        <v>120</v>
      </c>
      <c r="X338" s="16">
        <f t="shared" si="242"/>
        <v>93.611999999999995</v>
      </c>
      <c r="Y338" s="16">
        <f t="shared" si="243"/>
        <v>736.91366399999993</v>
      </c>
      <c r="Z338" s="16">
        <f t="shared" si="244"/>
        <v>1473.8273279999999</v>
      </c>
      <c r="AA338" s="16">
        <f t="shared" si="245"/>
        <v>147.38273279999999</v>
      </c>
      <c r="AB338" s="16">
        <f t="shared" si="246"/>
        <v>0</v>
      </c>
      <c r="AC338" s="16">
        <f t="shared" si="247"/>
        <v>0</v>
      </c>
      <c r="AD338" s="16" t="e">
        <f>IF(ISNUMBER(N338), CEILING(CF338/(0.68*BP338),25), "Ambient")</f>
        <v>#DIV/0!</v>
      </c>
      <c r="AE338" s="16" t="e">
        <f t="shared" si="249"/>
        <v>#DIV/0!</v>
      </c>
      <c r="AF338" s="16" t="e">
        <f t="shared" si="250"/>
        <v>#DIV/0!</v>
      </c>
      <c r="AG338" s="16" t="e">
        <f t="shared" si="251"/>
        <v>#DIV/0!</v>
      </c>
      <c r="AH338" s="838" t="s">
        <v>85</v>
      </c>
      <c r="AI338" s="17">
        <f t="shared" si="252"/>
        <v>0</v>
      </c>
      <c r="AJ338" s="17" t="e">
        <f t="shared" si="253"/>
        <v>#DIV/0!</v>
      </c>
      <c r="AK338" s="891"/>
      <c r="AL338" s="18"/>
      <c r="AM338" s="889"/>
      <c r="AN338" s="891"/>
      <c r="AO338" s="888"/>
      <c r="AP338" s="891"/>
      <c r="AQ338" s="891"/>
      <c r="AR338" s="889"/>
      <c r="AS338" s="888"/>
      <c r="AT338" s="888"/>
      <c r="AU338" s="890"/>
      <c r="AV338" s="888"/>
      <c r="AW338" s="888"/>
      <c r="AX338" s="888"/>
      <c r="AY338" s="887"/>
      <c r="AZ338" s="888"/>
    </row>
    <row r="339" spans="3:52" ht="18.600000000000001">
      <c r="C339" s="13">
        <f>IF(D339&lt;&gt;"",COUNTA($D$10:D339),"")</f>
        <v>282</v>
      </c>
      <c r="D339" s="14" t="s">
        <v>209</v>
      </c>
      <c r="E339" s="14">
        <v>2.4</v>
      </c>
      <c r="F339" s="14">
        <v>2</v>
      </c>
      <c r="G339" s="14">
        <v>2.4</v>
      </c>
      <c r="H339" s="14">
        <v>2</v>
      </c>
      <c r="I339" s="14">
        <v>1</v>
      </c>
      <c r="J339" s="14">
        <v>1.75</v>
      </c>
      <c r="K339" s="14">
        <v>3</v>
      </c>
      <c r="L339" s="15">
        <v>0.1</v>
      </c>
      <c r="M339" s="15">
        <v>0</v>
      </c>
      <c r="N339" s="14">
        <v>24</v>
      </c>
      <c r="O339" s="14">
        <v>50</v>
      </c>
      <c r="P339" s="13">
        <v>45</v>
      </c>
      <c r="Q339" s="13">
        <v>85</v>
      </c>
      <c r="R339" s="13" t="s">
        <v>17</v>
      </c>
      <c r="S339" s="13">
        <v>120</v>
      </c>
      <c r="T339" s="13">
        <v>0</v>
      </c>
      <c r="U339" s="13">
        <v>100</v>
      </c>
      <c r="V339" s="13" t="str">
        <f t="shared" si="241"/>
        <v>ISO 6</v>
      </c>
      <c r="W339" s="13">
        <f t="shared" si="241"/>
        <v>120</v>
      </c>
      <c r="X339" s="16">
        <f t="shared" si="242"/>
        <v>51.647999999999996</v>
      </c>
      <c r="Y339" s="16">
        <f t="shared" si="243"/>
        <v>406.57305599999995</v>
      </c>
      <c r="Z339" s="16">
        <f t="shared" si="244"/>
        <v>813.1461119999999</v>
      </c>
      <c r="AA339" s="16">
        <f t="shared" si="245"/>
        <v>81.314611200000002</v>
      </c>
      <c r="AB339" s="16">
        <f t="shared" si="246"/>
        <v>0</v>
      </c>
      <c r="AC339" s="16">
        <f t="shared" si="247"/>
        <v>0</v>
      </c>
      <c r="AD339" s="16" t="e">
        <f t="shared" ref="AD339:AD345" si="254">IF(ISNUMBER(N339), CEILING(CF339/(0.68*BP339),25), "Ambient")</f>
        <v>#DIV/0!</v>
      </c>
      <c r="AE339" s="16" t="e">
        <f t="shared" si="249"/>
        <v>#DIV/0!</v>
      </c>
      <c r="AF339" s="16" t="e">
        <f t="shared" si="250"/>
        <v>#DIV/0!</v>
      </c>
      <c r="AG339" s="16" t="e">
        <f t="shared" si="251"/>
        <v>#DIV/0!</v>
      </c>
      <c r="AH339" s="838" t="s">
        <v>85</v>
      </c>
      <c r="AI339" s="17">
        <f t="shared" si="252"/>
        <v>0</v>
      </c>
      <c r="AJ339" s="17" t="e">
        <f t="shared" si="253"/>
        <v>#DIV/0!</v>
      </c>
      <c r="AK339" s="891"/>
      <c r="AL339" s="174" t="e">
        <f>IF(AN330&lt;=315,1600,(IF(AN330=355,1650,(IF(AN330=400,1650,(IF(AN330=450,1700,(IF(AN330=500,1700,(IF(AN330=560,1800,(IF(AN330=630,2000,(IF(AN330=710,2200,2500)))))))))))))))+IF(AR330=2,1800,(IF(AR330=3,2300,(IF(AR330=4,3300,0)))))+IF(AP330&lt;=4,600,(IF(AP330&lt;=6,800,(IF(AP330&lt;=8,1000,1200)))))</f>
        <v>#DIV/0!</v>
      </c>
      <c r="AM339" s="889"/>
      <c r="AN339" s="891"/>
      <c r="AO339" s="888"/>
      <c r="AP339" s="891"/>
      <c r="AQ339" s="891"/>
      <c r="AR339" s="889"/>
      <c r="AS339" s="888"/>
      <c r="AT339" s="888"/>
      <c r="AU339" s="890"/>
      <c r="AV339" s="888"/>
      <c r="AW339" s="888"/>
      <c r="AX339" s="888"/>
      <c r="AY339" s="887"/>
      <c r="AZ339" s="888"/>
    </row>
    <row r="340" spans="3:52" ht="18.600000000000001">
      <c r="C340" s="13">
        <f>IF(D340&lt;&gt;"",COUNTA($D$10:D340),"")</f>
        <v>283</v>
      </c>
      <c r="D340" s="14" t="s">
        <v>210</v>
      </c>
      <c r="E340" s="14">
        <v>2.1</v>
      </c>
      <c r="F340" s="14">
        <v>1.8</v>
      </c>
      <c r="G340" s="14">
        <v>2.4</v>
      </c>
      <c r="H340" s="14">
        <v>2</v>
      </c>
      <c r="I340" s="14">
        <v>1</v>
      </c>
      <c r="J340" s="14">
        <v>1.75</v>
      </c>
      <c r="K340" s="14">
        <v>3</v>
      </c>
      <c r="L340" s="15">
        <v>0.1</v>
      </c>
      <c r="M340" s="15">
        <v>0</v>
      </c>
      <c r="N340" s="14">
        <v>24</v>
      </c>
      <c r="O340" s="14">
        <v>50</v>
      </c>
      <c r="P340" s="13">
        <v>45</v>
      </c>
      <c r="Q340" s="13">
        <v>85</v>
      </c>
      <c r="R340" s="13" t="s">
        <v>17</v>
      </c>
      <c r="S340" s="13">
        <v>120</v>
      </c>
      <c r="T340" s="13">
        <v>0</v>
      </c>
      <c r="U340" s="13">
        <v>100</v>
      </c>
      <c r="V340" s="13" t="str">
        <f t="shared" si="241"/>
        <v>ISO 6</v>
      </c>
      <c r="W340" s="13">
        <f t="shared" si="241"/>
        <v>120</v>
      </c>
      <c r="X340" s="16">
        <f t="shared" si="242"/>
        <v>40.672800000000002</v>
      </c>
      <c r="Y340" s="16">
        <f t="shared" si="243"/>
        <v>320.17628159999998</v>
      </c>
      <c r="Z340" s="16">
        <f t="shared" si="244"/>
        <v>640.35256319999996</v>
      </c>
      <c r="AA340" s="16">
        <f t="shared" si="245"/>
        <v>64.035256320000002</v>
      </c>
      <c r="AB340" s="16">
        <f t="shared" si="246"/>
        <v>0</v>
      </c>
      <c r="AC340" s="16">
        <f t="shared" si="247"/>
        <v>0</v>
      </c>
      <c r="AD340" s="16" t="e">
        <f t="shared" si="254"/>
        <v>#DIV/0!</v>
      </c>
      <c r="AE340" s="16" t="e">
        <f t="shared" si="249"/>
        <v>#DIV/0!</v>
      </c>
      <c r="AF340" s="16" t="e">
        <f t="shared" si="250"/>
        <v>#DIV/0!</v>
      </c>
      <c r="AG340" s="16" t="e">
        <f t="shared" si="251"/>
        <v>#DIV/0!</v>
      </c>
      <c r="AH340" s="838" t="s">
        <v>85</v>
      </c>
      <c r="AI340" s="17">
        <f t="shared" si="252"/>
        <v>0</v>
      </c>
      <c r="AJ340" s="17" t="e">
        <f t="shared" si="253"/>
        <v>#DIV/0!</v>
      </c>
      <c r="AK340" s="891"/>
      <c r="AL340" s="18"/>
      <c r="AM340" s="889"/>
      <c r="AN340" s="891"/>
      <c r="AO340" s="888"/>
      <c r="AP340" s="891"/>
      <c r="AQ340" s="891"/>
      <c r="AR340" s="889"/>
      <c r="AS340" s="888"/>
      <c r="AT340" s="888"/>
      <c r="AU340" s="890"/>
      <c r="AV340" s="888"/>
      <c r="AW340" s="888"/>
      <c r="AX340" s="888"/>
      <c r="AY340" s="887"/>
      <c r="AZ340" s="888"/>
    </row>
    <row r="341" spans="3:52" ht="18.600000000000001">
      <c r="C341" s="13">
        <f>IF(D341&lt;&gt;"",COUNTA($D$10:D341),"")</f>
        <v>284</v>
      </c>
      <c r="D341" s="14" t="s">
        <v>211</v>
      </c>
      <c r="E341" s="14">
        <v>1.8</v>
      </c>
      <c r="F341" s="14">
        <v>1.9</v>
      </c>
      <c r="G341" s="14">
        <v>2.4</v>
      </c>
      <c r="H341" s="14">
        <v>2</v>
      </c>
      <c r="I341" s="14">
        <v>1</v>
      </c>
      <c r="J341" s="14">
        <v>1.75</v>
      </c>
      <c r="K341" s="14">
        <v>3</v>
      </c>
      <c r="L341" s="15">
        <v>0.1</v>
      </c>
      <c r="M341" s="15">
        <v>0</v>
      </c>
      <c r="N341" s="14">
        <v>24</v>
      </c>
      <c r="O341" s="14">
        <v>50</v>
      </c>
      <c r="P341" s="13">
        <v>45</v>
      </c>
      <c r="Q341" s="13">
        <v>85</v>
      </c>
      <c r="R341" s="13" t="s">
        <v>17</v>
      </c>
      <c r="S341" s="13">
        <v>120</v>
      </c>
      <c r="T341" s="13">
        <v>0</v>
      </c>
      <c r="U341" s="13">
        <v>100</v>
      </c>
      <c r="V341" s="13" t="str">
        <f t="shared" si="241"/>
        <v>ISO 6</v>
      </c>
      <c r="W341" s="13">
        <f t="shared" si="241"/>
        <v>120</v>
      </c>
      <c r="X341" s="16">
        <f t="shared" si="242"/>
        <v>36.799199999999999</v>
      </c>
      <c r="Y341" s="16">
        <f t="shared" si="243"/>
        <v>289.68330239999995</v>
      </c>
      <c r="Z341" s="16">
        <f t="shared" si="244"/>
        <v>579.36660479999989</v>
      </c>
      <c r="AA341" s="16">
        <f t="shared" si="245"/>
        <v>57.936660479999993</v>
      </c>
      <c r="AB341" s="16">
        <f t="shared" si="246"/>
        <v>0</v>
      </c>
      <c r="AC341" s="16">
        <f t="shared" si="247"/>
        <v>0</v>
      </c>
      <c r="AD341" s="16" t="e">
        <f t="shared" si="254"/>
        <v>#DIV/0!</v>
      </c>
      <c r="AE341" s="16" t="e">
        <f t="shared" si="249"/>
        <v>#DIV/0!</v>
      </c>
      <c r="AF341" s="16" t="e">
        <f t="shared" si="250"/>
        <v>#DIV/0!</v>
      </c>
      <c r="AG341" s="16" t="e">
        <f t="shared" si="251"/>
        <v>#DIV/0!</v>
      </c>
      <c r="AH341" s="838" t="s">
        <v>85</v>
      </c>
      <c r="AI341" s="17">
        <f t="shared" si="252"/>
        <v>0</v>
      </c>
      <c r="AJ341" s="17" t="e">
        <f t="shared" si="253"/>
        <v>#DIV/0!</v>
      </c>
      <c r="AK341" s="891"/>
      <c r="AL341" s="18"/>
      <c r="AM341" s="889"/>
      <c r="AN341" s="891"/>
      <c r="AO341" s="888"/>
      <c r="AP341" s="891"/>
      <c r="AQ341" s="891"/>
      <c r="AR341" s="889"/>
      <c r="AS341" s="888"/>
      <c r="AT341" s="888"/>
      <c r="AU341" s="890"/>
      <c r="AV341" s="888"/>
      <c r="AW341" s="888"/>
      <c r="AX341" s="888"/>
      <c r="AY341" s="887"/>
      <c r="AZ341" s="888"/>
    </row>
    <row r="342" spans="3:52" ht="18.600000000000001">
      <c r="C342" s="13">
        <f>IF(D342&lt;&gt;"",COUNTA($D$10:D342),"")</f>
        <v>285</v>
      </c>
      <c r="D342" s="14" t="s">
        <v>212</v>
      </c>
      <c r="E342" s="14">
        <v>1.9</v>
      </c>
      <c r="F342" s="14">
        <v>2</v>
      </c>
      <c r="G342" s="14">
        <v>2.4</v>
      </c>
      <c r="H342" s="14">
        <v>2</v>
      </c>
      <c r="I342" s="14">
        <v>1</v>
      </c>
      <c r="J342" s="14">
        <v>1.75</v>
      </c>
      <c r="K342" s="14">
        <v>3</v>
      </c>
      <c r="L342" s="15">
        <v>0.1</v>
      </c>
      <c r="M342" s="15">
        <v>0</v>
      </c>
      <c r="N342" s="14">
        <v>24</v>
      </c>
      <c r="O342" s="14">
        <v>50</v>
      </c>
      <c r="P342" s="13">
        <v>45</v>
      </c>
      <c r="Q342" s="13">
        <v>85</v>
      </c>
      <c r="R342" s="13" t="s">
        <v>17</v>
      </c>
      <c r="S342" s="13">
        <v>120</v>
      </c>
      <c r="T342" s="13">
        <v>0</v>
      </c>
      <c r="U342" s="13">
        <v>100</v>
      </c>
      <c r="V342" s="13" t="str">
        <f t="shared" si="241"/>
        <v>ISO 6</v>
      </c>
      <c r="W342" s="13">
        <f t="shared" si="241"/>
        <v>120</v>
      </c>
      <c r="X342" s="16">
        <f t="shared" si="242"/>
        <v>40.887999999999998</v>
      </c>
      <c r="Y342" s="16">
        <f t="shared" si="243"/>
        <v>321.87033599999995</v>
      </c>
      <c r="Z342" s="16">
        <f t="shared" si="244"/>
        <v>643.7406719999999</v>
      </c>
      <c r="AA342" s="16">
        <f t="shared" si="245"/>
        <v>64.374067199999999</v>
      </c>
      <c r="AB342" s="16">
        <f t="shared" si="246"/>
        <v>0</v>
      </c>
      <c r="AC342" s="16">
        <f t="shared" si="247"/>
        <v>0</v>
      </c>
      <c r="AD342" s="16" t="e">
        <f t="shared" si="254"/>
        <v>#DIV/0!</v>
      </c>
      <c r="AE342" s="16" t="e">
        <f t="shared" si="249"/>
        <v>#DIV/0!</v>
      </c>
      <c r="AF342" s="16" t="e">
        <f t="shared" si="250"/>
        <v>#DIV/0!</v>
      </c>
      <c r="AG342" s="16" t="e">
        <f t="shared" si="251"/>
        <v>#DIV/0!</v>
      </c>
      <c r="AH342" s="838" t="s">
        <v>85</v>
      </c>
      <c r="AI342" s="17">
        <f t="shared" si="252"/>
        <v>0</v>
      </c>
      <c r="AJ342" s="17" t="e">
        <f t="shared" si="253"/>
        <v>#DIV/0!</v>
      </c>
      <c r="AK342" s="891"/>
      <c r="AL342" s="18"/>
      <c r="AM342" s="889"/>
      <c r="AN342" s="891"/>
      <c r="AO342" s="888"/>
      <c r="AP342" s="891"/>
      <c r="AQ342" s="891"/>
      <c r="AR342" s="889"/>
      <c r="AS342" s="888"/>
      <c r="AT342" s="888"/>
      <c r="AU342" s="890"/>
      <c r="AV342" s="888"/>
      <c r="AW342" s="888"/>
      <c r="AX342" s="888"/>
      <c r="AY342" s="887"/>
      <c r="AZ342" s="888"/>
    </row>
    <row r="343" spans="3:52" ht="18.600000000000001">
      <c r="C343" s="13">
        <f>IF(D343&lt;&gt;"",COUNTA($D$10:D343),"")</f>
        <v>286</v>
      </c>
      <c r="D343" s="14" t="s">
        <v>213</v>
      </c>
      <c r="E343" s="14">
        <v>2.2999999999999998</v>
      </c>
      <c r="F343" s="14">
        <v>2.2000000000000002</v>
      </c>
      <c r="G343" s="14">
        <v>2.4</v>
      </c>
      <c r="H343" s="14">
        <v>2</v>
      </c>
      <c r="I343" s="14">
        <v>1</v>
      </c>
      <c r="J343" s="14">
        <v>1.75</v>
      </c>
      <c r="K343" s="14">
        <v>3</v>
      </c>
      <c r="L343" s="15">
        <v>0.1</v>
      </c>
      <c r="M343" s="15">
        <v>0</v>
      </c>
      <c r="N343" s="14">
        <v>24</v>
      </c>
      <c r="O343" s="14">
        <v>50</v>
      </c>
      <c r="P343" s="13">
        <v>45</v>
      </c>
      <c r="Q343" s="13">
        <v>85</v>
      </c>
      <c r="R343" s="13" t="s">
        <v>17</v>
      </c>
      <c r="S343" s="13">
        <v>120</v>
      </c>
      <c r="T343" s="13">
        <v>0</v>
      </c>
      <c r="U343" s="13">
        <v>100</v>
      </c>
      <c r="V343" s="13" t="str">
        <f t="shared" si="241"/>
        <v>ISO 6</v>
      </c>
      <c r="W343" s="13">
        <f t="shared" si="241"/>
        <v>120</v>
      </c>
      <c r="X343" s="16">
        <f t="shared" si="242"/>
        <v>54.445599999999992</v>
      </c>
      <c r="Y343" s="16">
        <f t="shared" si="243"/>
        <v>428.59576319999991</v>
      </c>
      <c r="Z343" s="16">
        <f t="shared" si="244"/>
        <v>857.19152639999982</v>
      </c>
      <c r="AA343" s="16">
        <f t="shared" si="245"/>
        <v>85.71915263999999</v>
      </c>
      <c r="AB343" s="16">
        <f t="shared" si="246"/>
        <v>0</v>
      </c>
      <c r="AC343" s="16">
        <f t="shared" si="247"/>
        <v>0</v>
      </c>
      <c r="AD343" s="16" t="e">
        <f t="shared" si="254"/>
        <v>#DIV/0!</v>
      </c>
      <c r="AE343" s="16" t="e">
        <f t="shared" si="249"/>
        <v>#DIV/0!</v>
      </c>
      <c r="AF343" s="16" t="e">
        <f t="shared" si="250"/>
        <v>#DIV/0!</v>
      </c>
      <c r="AG343" s="16" t="e">
        <f t="shared" si="251"/>
        <v>#DIV/0!</v>
      </c>
      <c r="AH343" s="838" t="s">
        <v>85</v>
      </c>
      <c r="AI343" s="17">
        <f t="shared" si="252"/>
        <v>0</v>
      </c>
      <c r="AJ343" s="17" t="e">
        <f t="shared" si="253"/>
        <v>#DIV/0!</v>
      </c>
      <c r="AK343" s="891"/>
      <c r="AL343" s="18"/>
      <c r="AM343" s="889"/>
      <c r="AN343" s="891"/>
      <c r="AO343" s="888"/>
      <c r="AP343" s="891"/>
      <c r="AQ343" s="891"/>
      <c r="AR343" s="889"/>
      <c r="AS343" s="888"/>
      <c r="AT343" s="888"/>
      <c r="AU343" s="890"/>
      <c r="AV343" s="888"/>
      <c r="AW343" s="888"/>
      <c r="AX343" s="888"/>
      <c r="AY343" s="887"/>
      <c r="AZ343" s="888"/>
    </row>
    <row r="344" spans="3:52" ht="18.600000000000001">
      <c r="C344" s="13">
        <f>IF(D344&lt;&gt;"",COUNTA($D$10:D344),"")</f>
        <v>287</v>
      </c>
      <c r="D344" s="14" t="s">
        <v>214</v>
      </c>
      <c r="E344" s="14">
        <v>2.2000000000000002</v>
      </c>
      <c r="F344" s="14">
        <v>2.8</v>
      </c>
      <c r="G344" s="14">
        <v>2.4</v>
      </c>
      <c r="H344" s="14">
        <v>2</v>
      </c>
      <c r="I344" s="14">
        <v>1</v>
      </c>
      <c r="J344" s="14">
        <v>1.75</v>
      </c>
      <c r="K344" s="14">
        <v>3</v>
      </c>
      <c r="L344" s="15">
        <v>0.1</v>
      </c>
      <c r="M344" s="15">
        <v>0</v>
      </c>
      <c r="N344" s="14">
        <v>24</v>
      </c>
      <c r="O344" s="14">
        <v>50</v>
      </c>
      <c r="P344" s="13">
        <v>45</v>
      </c>
      <c r="Q344" s="13">
        <v>85</v>
      </c>
      <c r="R344" s="13" t="s">
        <v>17</v>
      </c>
      <c r="S344" s="13">
        <v>120</v>
      </c>
      <c r="T344" s="13">
        <v>0</v>
      </c>
      <c r="U344" s="13">
        <v>100</v>
      </c>
      <c r="V344" s="13" t="str">
        <f t="shared" si="241"/>
        <v>ISO 6</v>
      </c>
      <c r="W344" s="13">
        <f t="shared" si="241"/>
        <v>120</v>
      </c>
      <c r="X344" s="16">
        <f t="shared" si="242"/>
        <v>66.281599999999997</v>
      </c>
      <c r="Y344" s="16">
        <f t="shared" si="243"/>
        <v>521.76875519999999</v>
      </c>
      <c r="Z344" s="16">
        <f t="shared" si="244"/>
        <v>1043.5375104</v>
      </c>
      <c r="AA344" s="16">
        <f t="shared" si="245"/>
        <v>104.35375104000001</v>
      </c>
      <c r="AB344" s="16">
        <f t="shared" si="246"/>
        <v>0</v>
      </c>
      <c r="AC344" s="16">
        <f t="shared" si="247"/>
        <v>0</v>
      </c>
      <c r="AD344" s="16" t="e">
        <f t="shared" si="254"/>
        <v>#DIV/0!</v>
      </c>
      <c r="AE344" s="16" t="e">
        <f t="shared" si="249"/>
        <v>#DIV/0!</v>
      </c>
      <c r="AF344" s="16" t="e">
        <f t="shared" si="250"/>
        <v>#DIV/0!</v>
      </c>
      <c r="AG344" s="16" t="e">
        <f t="shared" si="251"/>
        <v>#DIV/0!</v>
      </c>
      <c r="AH344" s="838" t="s">
        <v>85</v>
      </c>
      <c r="AI344" s="17">
        <f t="shared" si="252"/>
        <v>0</v>
      </c>
      <c r="AJ344" s="17" t="e">
        <f t="shared" si="253"/>
        <v>#DIV/0!</v>
      </c>
      <c r="AK344" s="891"/>
      <c r="AL344" s="18"/>
      <c r="AM344" s="889"/>
      <c r="AN344" s="891"/>
      <c r="AO344" s="888"/>
      <c r="AP344" s="891"/>
      <c r="AQ344" s="891"/>
      <c r="AR344" s="889"/>
      <c r="AS344" s="888"/>
      <c r="AT344" s="888"/>
      <c r="AU344" s="890"/>
      <c r="AV344" s="888"/>
      <c r="AW344" s="888"/>
      <c r="AX344" s="888"/>
      <c r="AY344" s="887"/>
      <c r="AZ344" s="888"/>
    </row>
    <row r="345" spans="3:52" ht="18.600000000000001">
      <c r="C345" s="13">
        <f>IF(D345&lt;&gt;"",COUNTA($D$10:D345),"")</f>
        <v>288</v>
      </c>
      <c r="D345" s="14" t="s">
        <v>215</v>
      </c>
      <c r="E345" s="14">
        <v>2.8</v>
      </c>
      <c r="F345" s="14">
        <v>2.4</v>
      </c>
      <c r="G345" s="14">
        <v>2.4</v>
      </c>
      <c r="H345" s="14">
        <v>2</v>
      </c>
      <c r="I345" s="14">
        <v>1</v>
      </c>
      <c r="J345" s="14">
        <v>1.75</v>
      </c>
      <c r="K345" s="14">
        <v>3</v>
      </c>
      <c r="L345" s="15">
        <v>0.1</v>
      </c>
      <c r="M345" s="15">
        <v>0</v>
      </c>
      <c r="N345" s="14">
        <v>24</v>
      </c>
      <c r="O345" s="14">
        <v>50</v>
      </c>
      <c r="P345" s="13">
        <v>45</v>
      </c>
      <c r="Q345" s="13">
        <v>85</v>
      </c>
      <c r="R345" s="13" t="s">
        <v>17</v>
      </c>
      <c r="S345" s="13">
        <v>120</v>
      </c>
      <c r="T345" s="13">
        <v>0</v>
      </c>
      <c r="U345" s="13">
        <v>100</v>
      </c>
      <c r="V345" s="13" t="str">
        <f t="shared" si="241"/>
        <v>ISO 6</v>
      </c>
      <c r="W345" s="13">
        <f t="shared" si="241"/>
        <v>120</v>
      </c>
      <c r="X345" s="16">
        <f t="shared" si="242"/>
        <v>72.307199999999995</v>
      </c>
      <c r="Y345" s="16">
        <f t="shared" si="243"/>
        <v>569.20227839999995</v>
      </c>
      <c r="Z345" s="16">
        <f t="shared" si="244"/>
        <v>1138.4045567999999</v>
      </c>
      <c r="AA345" s="16">
        <f t="shared" si="245"/>
        <v>113.84045567999999</v>
      </c>
      <c r="AB345" s="16">
        <f t="shared" si="246"/>
        <v>0</v>
      </c>
      <c r="AC345" s="16">
        <f t="shared" si="247"/>
        <v>0</v>
      </c>
      <c r="AD345" s="16" t="e">
        <f t="shared" si="254"/>
        <v>#DIV/0!</v>
      </c>
      <c r="AE345" s="16" t="e">
        <f t="shared" si="249"/>
        <v>#DIV/0!</v>
      </c>
      <c r="AF345" s="16" t="e">
        <f t="shared" si="250"/>
        <v>#DIV/0!</v>
      </c>
      <c r="AG345" s="16" t="e">
        <f t="shared" si="251"/>
        <v>#DIV/0!</v>
      </c>
      <c r="AH345" s="838" t="s">
        <v>85</v>
      </c>
      <c r="AI345" s="17">
        <f t="shared" si="252"/>
        <v>0</v>
      </c>
      <c r="AJ345" s="17" t="e">
        <f t="shared" si="253"/>
        <v>#DIV/0!</v>
      </c>
      <c r="AK345" s="891"/>
      <c r="AL345" s="18"/>
      <c r="AM345" s="889"/>
      <c r="AN345" s="891"/>
      <c r="AO345" s="888"/>
      <c r="AP345" s="891"/>
      <c r="AQ345" s="891"/>
      <c r="AR345" s="889"/>
      <c r="AS345" s="888"/>
      <c r="AT345" s="888"/>
      <c r="AU345" s="890"/>
      <c r="AV345" s="888"/>
      <c r="AW345" s="888"/>
      <c r="AX345" s="888"/>
      <c r="AY345" s="887"/>
      <c r="AZ345" s="888"/>
    </row>
    <row r="346" spans="3:52">
      <c r="C346" s="19"/>
      <c r="D346" s="19"/>
      <c r="E346" s="19"/>
      <c r="F346" s="19"/>
      <c r="G346" s="19"/>
      <c r="H346" s="19"/>
      <c r="I346" s="19"/>
      <c r="J346" s="19"/>
      <c r="K346" s="19"/>
      <c r="L346" s="19"/>
      <c r="M346" s="19"/>
      <c r="N346" s="19"/>
      <c r="O346" s="19"/>
      <c r="P346" s="19"/>
      <c r="Q346" s="19"/>
      <c r="R346" s="19"/>
      <c r="S346" s="19"/>
      <c r="T346" s="19"/>
      <c r="U346" s="19"/>
      <c r="V346" s="19"/>
      <c r="W346" s="19"/>
      <c r="X346" s="20">
        <f>SUM(X330:X345)</f>
        <v>1144.1108000000002</v>
      </c>
      <c r="Y346" s="20">
        <f t="shared" ref="Y346:AG346" si="255">SUM(Y330:Y345)</f>
        <v>9006.4402175999985</v>
      </c>
      <c r="Z346" s="20">
        <f t="shared" si="255"/>
        <v>18012.880435199997</v>
      </c>
      <c r="AA346" s="20">
        <f t="shared" si="255"/>
        <v>1801.2880435199995</v>
      </c>
      <c r="AB346" s="20">
        <f t="shared" si="255"/>
        <v>0</v>
      </c>
      <c r="AC346" s="20">
        <f t="shared" si="255"/>
        <v>0</v>
      </c>
      <c r="AD346" s="20" t="e">
        <f t="shared" si="255"/>
        <v>#DIV/0!</v>
      </c>
      <c r="AE346" s="20" t="e">
        <f t="shared" si="255"/>
        <v>#DIV/0!</v>
      </c>
      <c r="AF346" s="20" t="e">
        <f t="shared" si="255"/>
        <v>#DIV/0!</v>
      </c>
      <c r="AG346" s="20" t="e">
        <f t="shared" si="255"/>
        <v>#DIV/0!</v>
      </c>
      <c r="AH346" s="841"/>
      <c r="AI346" s="20">
        <f t="shared" ref="AI346:AJ346" si="256">SUM(AI330:AI345)</f>
        <v>0</v>
      </c>
      <c r="AJ346" s="20" t="e">
        <f t="shared" si="256"/>
        <v>#DIV/0!</v>
      </c>
      <c r="AK346" s="21"/>
      <c r="AL346" s="21"/>
      <c r="AM346" s="21"/>
      <c r="AN346" s="21"/>
      <c r="AO346" s="21"/>
      <c r="AP346" s="21"/>
      <c r="AQ346" s="21"/>
      <c r="AR346" s="21"/>
      <c r="AS346" s="21"/>
      <c r="AT346" s="21"/>
      <c r="AU346" s="21"/>
      <c r="AV346" s="21"/>
      <c r="AW346" s="21"/>
      <c r="AX346" s="21"/>
      <c r="AY346" s="21"/>
      <c r="AZ346" s="21"/>
    </row>
    <row r="347" spans="3:52">
      <c r="AH347" s="840"/>
    </row>
    <row r="348" spans="3:52" ht="26.1">
      <c r="C348" s="8" t="e">
        <f>"Zoning Area  AHU - " &amp; INT((ROW()-8)/20)+1 &amp; "  " &amp;IF(AQ350&gt;0,"Air-Conditioning System " &amp; IF(AH350="D","(DX)",IF(AH350="C","(Chilled Water)","")),IF(AND(N350="Amb",AQ350=0),"Ventilation System","Refer"))</f>
        <v>#DIV/0!</v>
      </c>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39"/>
      <c r="AI348" s="8"/>
      <c r="AJ348" s="8"/>
      <c r="AK348" s="8"/>
      <c r="AL348" s="8"/>
      <c r="AM348" s="8"/>
      <c r="AN348" s="8"/>
      <c r="AO348" s="8"/>
      <c r="AP348" s="8"/>
      <c r="AQ348" s="8"/>
      <c r="AR348" s="8"/>
      <c r="AS348" s="9" t="s">
        <v>221</v>
      </c>
      <c r="AT348" s="10"/>
      <c r="AU348" s="10"/>
      <c r="AV348" s="11"/>
      <c r="AW348" s="9" t="s">
        <v>222</v>
      </c>
      <c r="AX348" s="10"/>
      <c r="AY348" s="10"/>
      <c r="AZ348" s="11"/>
    </row>
    <row r="349" spans="3:52">
      <c r="C349" s="13">
        <f>IF(D349&lt;&gt;"",COUNTA($D$10:D349),"")</f>
        <v>289</v>
      </c>
      <c r="D349" s="5" t="s">
        <v>165</v>
      </c>
      <c r="E349" s="5" t="s">
        <v>166</v>
      </c>
      <c r="F349" s="5" t="s">
        <v>167</v>
      </c>
      <c r="G349" s="5" t="s">
        <v>168</v>
      </c>
      <c r="H349" s="5" t="s">
        <v>169</v>
      </c>
      <c r="I349" s="5" t="s">
        <v>170</v>
      </c>
      <c r="J349" s="5" t="s">
        <v>171</v>
      </c>
      <c r="K349" s="5" t="s">
        <v>172</v>
      </c>
      <c r="L349" s="5" t="s">
        <v>173</v>
      </c>
      <c r="M349" s="5" t="s">
        <v>174</v>
      </c>
      <c r="N349" s="5" t="s">
        <v>175</v>
      </c>
      <c r="O349" s="5" t="s">
        <v>176</v>
      </c>
      <c r="P349" s="5" t="s">
        <v>177</v>
      </c>
      <c r="Q349" s="5" t="s">
        <v>178</v>
      </c>
      <c r="R349" s="5" t="s">
        <v>199</v>
      </c>
      <c r="S349" s="5" t="s">
        <v>180</v>
      </c>
      <c r="T349" s="5" t="s">
        <v>223</v>
      </c>
      <c r="U349" s="5" t="s">
        <v>224</v>
      </c>
      <c r="V349" s="5" t="s">
        <v>199</v>
      </c>
      <c r="W349" s="5" t="s">
        <v>180</v>
      </c>
      <c r="X349" s="5" t="s">
        <v>225</v>
      </c>
      <c r="Y349" s="5" t="s">
        <v>226</v>
      </c>
      <c r="Z349" s="5" t="s">
        <v>227</v>
      </c>
      <c r="AA349" s="5" t="s">
        <v>228</v>
      </c>
      <c r="AB349" s="5" t="s">
        <v>229</v>
      </c>
      <c r="AC349" s="5" t="s">
        <v>230</v>
      </c>
      <c r="AD349" s="5" t="s">
        <v>231</v>
      </c>
      <c r="AE349" s="5" t="s">
        <v>232</v>
      </c>
      <c r="AF349" s="6" t="s">
        <v>233</v>
      </c>
      <c r="AG349" s="6" t="s">
        <v>234</v>
      </c>
      <c r="AH349" s="6" t="s">
        <v>235</v>
      </c>
      <c r="AI349" s="5" t="s">
        <v>236</v>
      </c>
      <c r="AJ349" s="5" t="s">
        <v>237</v>
      </c>
      <c r="AK349" s="5" t="s">
        <v>238</v>
      </c>
      <c r="AL349" s="5" t="s">
        <v>239</v>
      </c>
      <c r="AM349" s="5" t="s">
        <v>240</v>
      </c>
      <c r="AN349" s="5" t="s">
        <v>241</v>
      </c>
      <c r="AO349" s="5" t="s">
        <v>242</v>
      </c>
      <c r="AP349" s="5" t="s">
        <v>243</v>
      </c>
      <c r="AQ349" s="5" t="s">
        <v>244</v>
      </c>
      <c r="AR349" s="5" t="s">
        <v>245</v>
      </c>
      <c r="AS349" s="5" t="s">
        <v>246</v>
      </c>
      <c r="AT349" s="5" t="s">
        <v>247</v>
      </c>
      <c r="AU349" s="5" t="s">
        <v>248</v>
      </c>
      <c r="AV349" s="5" t="s">
        <v>249</v>
      </c>
      <c r="AW349" s="5" t="s">
        <v>250</v>
      </c>
      <c r="AX349" s="5" t="s">
        <v>251</v>
      </c>
      <c r="AY349" s="5" t="s">
        <v>252</v>
      </c>
      <c r="AZ349" s="5" t="s">
        <v>253</v>
      </c>
    </row>
    <row r="350" spans="3:52" ht="18.600000000000001">
      <c r="C350" s="13">
        <f>IF(D350&lt;&gt;"",COUNTA($D$10:D350),"")</f>
        <v>290</v>
      </c>
      <c r="D350" s="14" t="s">
        <v>200</v>
      </c>
      <c r="E350" s="14">
        <v>3</v>
      </c>
      <c r="F350" s="14">
        <v>3</v>
      </c>
      <c r="G350" s="14">
        <v>2.4</v>
      </c>
      <c r="H350" s="14">
        <v>1</v>
      </c>
      <c r="I350" s="14">
        <v>2</v>
      </c>
      <c r="J350" s="14">
        <v>1.75</v>
      </c>
      <c r="K350" s="14">
        <v>3</v>
      </c>
      <c r="L350" s="15">
        <v>0.1</v>
      </c>
      <c r="M350" s="15">
        <v>0</v>
      </c>
      <c r="N350" s="14">
        <v>24</v>
      </c>
      <c r="O350" s="14">
        <v>50</v>
      </c>
      <c r="P350" s="13">
        <v>45</v>
      </c>
      <c r="Q350" s="13">
        <v>85</v>
      </c>
      <c r="R350" s="13" t="s">
        <v>21</v>
      </c>
      <c r="S350" s="13">
        <v>120</v>
      </c>
      <c r="T350" s="13">
        <v>0</v>
      </c>
      <c r="U350" s="13">
        <v>100</v>
      </c>
      <c r="V350" s="13" t="str">
        <f>R350</f>
        <v>ISO 5</v>
      </c>
      <c r="W350" s="13">
        <f>S350</f>
        <v>120</v>
      </c>
      <c r="X350" s="16">
        <f>E350*F350*10.76</f>
        <v>96.84</v>
      </c>
      <c r="Y350" s="16">
        <f>X350*G350*3.28</f>
        <v>762.32447999999999</v>
      </c>
      <c r="Z350" s="16">
        <f>Y350*S350/60</f>
        <v>1524.64896</v>
      </c>
      <c r="AA350" s="16">
        <f>Z350*L350</f>
        <v>152.46489600000001</v>
      </c>
      <c r="AB350" s="16">
        <f>IF(N350="Amb",Z350,Z350*M350)</f>
        <v>0</v>
      </c>
      <c r="AC350" s="16">
        <f>IF(ISNUMBER(N350), (AA350*0.075*60/2.20462)*BP350/7000, "Ambient")</f>
        <v>0</v>
      </c>
      <c r="AD350" s="16" t="e">
        <f>IF(ISNUMBER(N350), CEILING(CF350/(0.68*BP350),25), "Ambient")</f>
        <v>#DIV/0!</v>
      </c>
      <c r="AE350" s="16" t="e">
        <f>CEILING(MAX((Z350+AA350),AD350),25)</f>
        <v>#DIV/0!</v>
      </c>
      <c r="AF350" s="16" t="e">
        <f>CEILING(IF(OR($R350="ISO 6",$R350="GRADE B",$R350="1K",$R350=1000),AE350*1/175,IF(OR($R350="ISO 5",$R350="GRADE A",$R350=100),AE350*1/100,IF(OR($R350="ISO 7",$R350="GRADE C",$R350="10K",$R350=10000),$AE350*1/250,IF(OR($R350="ISO 8",$R350="GRADE D",$R350="100K",$R350=100000),$AE350*1/250,IF(OR($R350="NC",$R350="20 Micron",$R350="5 Micron",$R350="N C"),$AE350*1/350,0))))),2)</f>
        <v>#DIV/0!</v>
      </c>
      <c r="AG350" s="16" t="e">
        <f>IF(ISNUMBER(N350), CEILING(MAX(AI350,AJ350),0.5), "Ambient")</f>
        <v>#DIV/0!</v>
      </c>
      <c r="AH350" s="838" t="s">
        <v>85</v>
      </c>
      <c r="AI350" s="17">
        <f>IF(ISNUMBER(N350), CEILING(CE350/12000,0.5), "Ambient")</f>
        <v>0</v>
      </c>
      <c r="AJ350" s="17" t="e">
        <f>IF(ISNUMBER(N350),CEILING(AE350/(IF(AH350="C",400,300)),0.5), "Ambient")</f>
        <v>#DIV/0!</v>
      </c>
      <c r="AK350" s="891" t="e">
        <f>CEILING(SUM(AE350:AE365),250)</f>
        <v>#DIV/0!</v>
      </c>
      <c r="AL350" s="18" t="s">
        <v>254</v>
      </c>
      <c r="AM350" s="889">
        <v>150</v>
      </c>
      <c r="AN350" s="891" t="e">
        <f>IF(AK350&lt;=1300,200,IF(AK350&lt;=1600,225,IF(AK350&lt;=2100,250,IF(AK350&lt;=2700,280,IF(AK350&lt;=3450,315,IF(AK350&lt;=4250,355,IF(AK350&lt;=5250,400,IF(AK350&lt;=6750,450,IF(AK350&lt;=8500,500,IF(AK350&lt;=10750,560,IF(AK350&lt;=13500,630,IF(AK350&lt;=17000,710,IF(AK350&lt;=21500,800,IF(AK350&lt;=27000,900,IF(AK350&lt;=34000,1000,IF(AK350&lt;=43000,1120,IF(AK350&lt;=49000,1200,IF(AK350&lt;=68000,1450,"Refer"))))))))))))))))))</f>
        <v>#DIV/0!</v>
      </c>
      <c r="AO350" s="888" t="e">
        <f>IF(AK350*AM350/(6356*0.7*0.9*1.1*25.4)&lt;=1,1,IF(AK350*AM350/(6356*0.7*0.9*1.1*25.4)&lt;=1.5,1.5,IF(AK350*AM350/(6356*0.7*0.9*1.1*25.4)&lt;=2,2,IF(AK350*AM350/(6356*0.7*0.9*1.1*25.4)&lt;=3,3,IF(AK350*AM350/(6356*0.7*0.9*1.1*25.4)&lt;=5,5,IF(AK350*AM350/(6356*0.7*0.9*1.1*25.4)&lt;=7.5,7.5,IF(AK350*AM350/(6356*0.7*0.9*1.1*25.4)&lt;=10,10,IF(AK350*AM350/(6356*0.7*0.9*1.1*25.4)&lt;=12.5,12.5,IF(AK350*AM350/(6356*0.7*0.9*1.1*25.4)&lt;=15,15,IF(AK350*AM350/(6356*0.7*0.9*1.1*25.4)&lt;=20,20,IF(AK350*AM350/(6356*0.7*0.9*1.1*25.4)&lt;=25,25,IF(AK350*AM350/(6356*0.7*0.9*1.1*25.4)&lt;=30,30,IF(AK350*AM350/(6356*0.7*0.9*1.1*25.4)&lt;=40,40,IF(AK350*AM350/(6356*0.7*0.9*1.1*25.4)&lt;=50,50,IF(AK350*AM350/(6356*0.7*0.9*1.1*25.4)&lt;=60,60,IF(AK350*AM350/(6356*0.7*0.9*1.1*25.4)&lt;=75,75,"Refer"))))))))))))))))</f>
        <v>#DIV/0!</v>
      </c>
      <c r="AP350" s="891" t="e">
        <f>IF(AND(AQ350=0, N350="Amb"), "Amb",IF((AL351-250)*(AL353-150)*10.76/(1000*1000) &gt;= MAX(AI366,AJ366), 4,IF((AL351-250)*(AL353-150)*10.76*1.5/(1000*1000) &gt;= MAX(AI366,AJ366), 6,IF((AL351-250)*(AL353-150)*10.76*2/(1000*1000) &gt;= MAX(AI366,AJ366), 8, 0))
 )
)</f>
        <v>#DIV/0!</v>
      </c>
      <c r="AQ350" s="891" t="e">
        <f>AG366</f>
        <v>#DIV/0!</v>
      </c>
      <c r="AR350" s="889">
        <f>_xlfn.SWITCH(TRIM(UPPER(R350)),"ISO 9", 3,"ISO 8", 4,"Grade D", 4,"Class 100,000", 4,"Class 100K", 4,"ISO 7", 3,"Grade C", 3,"Class 10,000", 3,"Class 10K", 3,"ISO 6", 3,"Class 1,000", 3,"Class 1K", 3,"ISO 5", 4,"Grade A", 4,"Grade B", 4,"Class 100", 4,"ISO 4", 3,"ISO 3", 4,"ISO 2", 4,"ISO 1", 4,"NCV20",1,"NCV-10",2,"NCV-5",3,"NCAC-10",1,"NCAC-5",2,"NCAC-1",3,3)</f>
        <v>4</v>
      </c>
      <c r="AS350" s="888" t="e">
        <f>MAX(AI366,AJ366)*24/6</f>
        <v>#DIV/0!</v>
      </c>
      <c r="AT350" s="888" t="e">
        <f>AS350*0.06309</f>
        <v>#DIV/0!</v>
      </c>
      <c r="AU350" s="890">
        <v>2</v>
      </c>
      <c r="AV350" s="888" t="e">
        <f>SQRT((4*AS350*0.00006309)/(3.14*AU350))*1000</f>
        <v>#DIV/0!</v>
      </c>
      <c r="AW350" s="888"/>
      <c r="AX350" s="888"/>
      <c r="AY350" s="887"/>
      <c r="AZ350" s="888"/>
    </row>
    <row r="351" spans="3:52" ht="18.600000000000001">
      <c r="C351" s="13">
        <f>IF(D351&lt;&gt;"",COUNTA($D$10:D351),"")</f>
        <v>291</v>
      </c>
      <c r="D351" s="14" t="s">
        <v>201</v>
      </c>
      <c r="E351" s="14">
        <v>1.8</v>
      </c>
      <c r="F351" s="14">
        <v>2.2000000000000002</v>
      </c>
      <c r="G351" s="14">
        <v>2.4</v>
      </c>
      <c r="H351" s="14">
        <v>2</v>
      </c>
      <c r="I351" s="14">
        <v>1</v>
      </c>
      <c r="J351" s="14">
        <v>1.75</v>
      </c>
      <c r="K351" s="14">
        <v>3</v>
      </c>
      <c r="L351" s="15">
        <v>0.1</v>
      </c>
      <c r="M351" s="15">
        <v>0</v>
      </c>
      <c r="N351" s="14">
        <v>24</v>
      </c>
      <c r="O351" s="14">
        <v>50</v>
      </c>
      <c r="P351" s="13">
        <v>45</v>
      </c>
      <c r="Q351" s="13">
        <v>85</v>
      </c>
      <c r="R351" s="13" t="s">
        <v>21</v>
      </c>
      <c r="S351" s="13">
        <v>120</v>
      </c>
      <c r="T351" s="13">
        <v>0</v>
      </c>
      <c r="U351" s="13">
        <v>100</v>
      </c>
      <c r="V351" s="13" t="str">
        <f t="shared" ref="V351:W365" si="257">R351</f>
        <v>ISO 5</v>
      </c>
      <c r="W351" s="13">
        <f t="shared" si="257"/>
        <v>120</v>
      </c>
      <c r="X351" s="16">
        <f t="shared" ref="X351:X365" si="258">E351*F351*10.76</f>
        <v>42.6096</v>
      </c>
      <c r="Y351" s="16">
        <f t="shared" ref="Y351:Y365" si="259">X351*G351*3.28</f>
        <v>335.4227712</v>
      </c>
      <c r="Z351" s="16">
        <f t="shared" ref="Z351:Z365" si="260">Y351*S351/60</f>
        <v>670.8455424</v>
      </c>
      <c r="AA351" s="16">
        <f t="shared" ref="AA351:AA365" si="261">Z351*L351</f>
        <v>67.084554240000003</v>
      </c>
      <c r="AB351" s="16">
        <f t="shared" ref="AB351:AB365" si="262">IF(N351="Amb",Z351,Z351*M351)</f>
        <v>0</v>
      </c>
      <c r="AC351" s="16">
        <f t="shared" ref="AC351:AC365" si="263">IF(ISNUMBER(N351), (AA351*0.075*60/2.20462)*BP351/7000, "Ambient")</f>
        <v>0</v>
      </c>
      <c r="AD351" s="16" t="e">
        <f t="shared" ref="AD351:AD357" si="264">IF(ISNUMBER(N351), CEILING(CF351/(0.68*BP351),25), "Ambient")</f>
        <v>#DIV/0!</v>
      </c>
      <c r="AE351" s="16" t="e">
        <f t="shared" ref="AE351:AE365" si="265">CEILING(MAX((Z351+AA351),AD351),25)</f>
        <v>#DIV/0!</v>
      </c>
      <c r="AF351" s="16" t="e">
        <f t="shared" ref="AF351:AF365" si="266">CEILING(IF(OR($R351="ISO 6",$R351="GRADE B",$R351="1K",$R351=1000),AE351*1/175,IF(OR($R351="ISO 5",$R351="GRADE A",$R351=100),AE351*1/100,IF(OR($R351="ISO 7",$R351="GRADE C",$R351="10K",$R351=10000),$AE351*1/250,IF(OR($R351="ISO 8",$R351="GRADE D",$R351="100K",$R351=100000),$AE351*1/250,IF(OR($R351="NC",$R351="20 Micron",$R351="5 Micron",$R351="N C"),$AE351*1/350,0))))),2)</f>
        <v>#DIV/0!</v>
      </c>
      <c r="AG351" s="16" t="e">
        <f t="shared" ref="AG351:AG365" si="267">IF(ISNUMBER(N351), CEILING(MAX(AI351,AJ351),0.5), "Ambient")</f>
        <v>#DIV/0!</v>
      </c>
      <c r="AH351" s="838" t="s">
        <v>85</v>
      </c>
      <c r="AI351" s="17">
        <f t="shared" ref="AI351:AI365" si="268">IF(ISNUMBER(N351), CEILING(CE351/12000,0.5), "Ambient")</f>
        <v>0</v>
      </c>
      <c r="AJ351" s="17" t="e">
        <f t="shared" ref="AJ351:AJ365" si="269">IF(ISNUMBER(N351),CEILING(AE351/(IF(AH351="C",400,300)),0.5), "Ambient")</f>
        <v>#DIV/0!</v>
      </c>
      <c r="AK351" s="891"/>
      <c r="AL351" s="18" t="e">
        <f>IF(AK350&lt;=2000,950,(IF(AK350&lt;=3000,1150,(IF(AK350&lt;=8000,1550,(IF(AK350&lt;=10000,1750,(IF(AK350&lt;=18000,2050,(IF(AK350&lt;=32000,2900,(IF(AK350&lt;=40000,3600,4000)))))))))))))</f>
        <v>#DIV/0!</v>
      </c>
      <c r="AM351" s="889"/>
      <c r="AN351" s="891"/>
      <c r="AO351" s="888"/>
      <c r="AP351" s="891"/>
      <c r="AQ351" s="891"/>
      <c r="AR351" s="889"/>
      <c r="AS351" s="888"/>
      <c r="AT351" s="888"/>
      <c r="AU351" s="890"/>
      <c r="AV351" s="888"/>
      <c r="AW351" s="888"/>
      <c r="AX351" s="888"/>
      <c r="AY351" s="887"/>
      <c r="AZ351" s="888"/>
    </row>
    <row r="352" spans="3:52" ht="18.600000000000001">
      <c r="C352" s="13">
        <f>IF(D352&lt;&gt;"",COUNTA($D$10:D352),"")</f>
        <v>292</v>
      </c>
      <c r="D352" s="14" t="s">
        <v>202</v>
      </c>
      <c r="E352" s="14">
        <v>1.5</v>
      </c>
      <c r="F352" s="14">
        <v>2.8</v>
      </c>
      <c r="G352" s="14">
        <v>2.4</v>
      </c>
      <c r="H352" s="14">
        <v>2</v>
      </c>
      <c r="I352" s="14">
        <v>3</v>
      </c>
      <c r="J352" s="14">
        <v>1.75</v>
      </c>
      <c r="K352" s="14">
        <v>3</v>
      </c>
      <c r="L352" s="15">
        <v>0.1</v>
      </c>
      <c r="M352" s="15">
        <v>0</v>
      </c>
      <c r="N352" s="14">
        <v>24</v>
      </c>
      <c r="O352" s="14">
        <v>50</v>
      </c>
      <c r="P352" s="13">
        <v>45</v>
      </c>
      <c r="Q352" s="13">
        <v>85</v>
      </c>
      <c r="R352" s="13" t="s">
        <v>21</v>
      </c>
      <c r="S352" s="13">
        <v>120</v>
      </c>
      <c r="T352" s="13">
        <v>0</v>
      </c>
      <c r="U352" s="13">
        <v>100</v>
      </c>
      <c r="V352" s="13" t="str">
        <f t="shared" si="257"/>
        <v>ISO 5</v>
      </c>
      <c r="W352" s="13">
        <f t="shared" si="257"/>
        <v>120</v>
      </c>
      <c r="X352" s="16">
        <f t="shared" si="258"/>
        <v>45.191999999999993</v>
      </c>
      <c r="Y352" s="16">
        <f t="shared" si="259"/>
        <v>355.75142399999993</v>
      </c>
      <c r="Z352" s="16">
        <f t="shared" si="260"/>
        <v>711.50284799999986</v>
      </c>
      <c r="AA352" s="16">
        <f t="shared" si="261"/>
        <v>71.150284799999994</v>
      </c>
      <c r="AB352" s="16">
        <f t="shared" si="262"/>
        <v>0</v>
      </c>
      <c r="AC352" s="16">
        <f t="shared" si="263"/>
        <v>0</v>
      </c>
      <c r="AD352" s="16" t="e">
        <f t="shared" si="264"/>
        <v>#DIV/0!</v>
      </c>
      <c r="AE352" s="16" t="e">
        <f t="shared" si="265"/>
        <v>#DIV/0!</v>
      </c>
      <c r="AF352" s="16" t="e">
        <f t="shared" si="266"/>
        <v>#DIV/0!</v>
      </c>
      <c r="AG352" s="16" t="e">
        <f t="shared" si="267"/>
        <v>#DIV/0!</v>
      </c>
      <c r="AH352" s="838" t="s">
        <v>85</v>
      </c>
      <c r="AI352" s="17">
        <f t="shared" si="268"/>
        <v>0</v>
      </c>
      <c r="AJ352" s="17" t="e">
        <f t="shared" si="269"/>
        <v>#DIV/0!</v>
      </c>
      <c r="AK352" s="891"/>
      <c r="AL352" s="18" t="s">
        <v>255</v>
      </c>
      <c r="AM352" s="889"/>
      <c r="AN352" s="891"/>
      <c r="AO352" s="888"/>
      <c r="AP352" s="891"/>
      <c r="AQ352" s="891"/>
      <c r="AR352" s="889"/>
      <c r="AS352" s="888"/>
      <c r="AT352" s="888"/>
      <c r="AU352" s="890"/>
      <c r="AV352" s="888"/>
      <c r="AW352" s="888"/>
      <c r="AX352" s="888"/>
      <c r="AY352" s="887"/>
      <c r="AZ352" s="888"/>
    </row>
    <row r="353" spans="3:52" ht="18.600000000000001">
      <c r="C353" s="13">
        <f>IF(D353&lt;&gt;"",COUNTA($D$10:D353),"")</f>
        <v>293</v>
      </c>
      <c r="D353" s="14" t="s">
        <v>203</v>
      </c>
      <c r="E353" s="14">
        <v>2.1</v>
      </c>
      <c r="F353" s="14">
        <v>3.5</v>
      </c>
      <c r="G353" s="14">
        <v>2.4</v>
      </c>
      <c r="H353" s="14">
        <v>0</v>
      </c>
      <c r="I353" s="14">
        <v>1</v>
      </c>
      <c r="J353" s="14">
        <v>1.75</v>
      </c>
      <c r="K353" s="14">
        <v>3</v>
      </c>
      <c r="L353" s="15">
        <v>0.1</v>
      </c>
      <c r="M353" s="15">
        <v>0</v>
      </c>
      <c r="N353" s="14">
        <v>24</v>
      </c>
      <c r="O353" s="14">
        <v>50</v>
      </c>
      <c r="P353" s="13">
        <v>45</v>
      </c>
      <c r="Q353" s="13">
        <v>85</v>
      </c>
      <c r="R353" s="13" t="s">
        <v>21</v>
      </c>
      <c r="S353" s="13">
        <v>120</v>
      </c>
      <c r="T353" s="13">
        <v>0</v>
      </c>
      <c r="U353" s="13">
        <v>100</v>
      </c>
      <c r="V353" s="13" t="str">
        <f t="shared" si="257"/>
        <v>ISO 5</v>
      </c>
      <c r="W353" s="13">
        <f t="shared" si="257"/>
        <v>120</v>
      </c>
      <c r="X353" s="16">
        <f t="shared" si="258"/>
        <v>79.085999999999999</v>
      </c>
      <c r="Y353" s="16">
        <f t="shared" si="259"/>
        <v>622.56499199999996</v>
      </c>
      <c r="Z353" s="16">
        <f t="shared" si="260"/>
        <v>1245.1299839999999</v>
      </c>
      <c r="AA353" s="16">
        <f t="shared" si="261"/>
        <v>124.5129984</v>
      </c>
      <c r="AB353" s="16">
        <f t="shared" si="262"/>
        <v>0</v>
      </c>
      <c r="AC353" s="16">
        <f t="shared" si="263"/>
        <v>0</v>
      </c>
      <c r="AD353" s="16" t="e">
        <f t="shared" si="264"/>
        <v>#DIV/0!</v>
      </c>
      <c r="AE353" s="16" t="e">
        <f t="shared" si="265"/>
        <v>#DIV/0!</v>
      </c>
      <c r="AF353" s="16" t="e">
        <f t="shared" si="266"/>
        <v>#DIV/0!</v>
      </c>
      <c r="AG353" s="16" t="e">
        <f t="shared" si="267"/>
        <v>#DIV/0!</v>
      </c>
      <c r="AH353" s="838" t="s">
        <v>85</v>
      </c>
      <c r="AI353" s="17">
        <f t="shared" si="268"/>
        <v>0</v>
      </c>
      <c r="AJ353" s="17" t="e">
        <f t="shared" si="269"/>
        <v>#DIV/0!</v>
      </c>
      <c r="AK353" s="891"/>
      <c r="AL353" s="18" t="e">
        <f>IF(AK350&lt;=2000,950,(IF(AK350&lt;=4000,1100,(IF(AK350&lt;=6000,1250,(IF(AK350&lt;=10000,1550,(IF(AK350&lt;=15000,1750,(IF(AK350&lt;=24000,2050,(IF(AK350&lt;=40000,2900,3600)))))))))))))</f>
        <v>#DIV/0!</v>
      </c>
      <c r="AM353" s="889"/>
      <c r="AN353" s="891"/>
      <c r="AO353" s="888"/>
      <c r="AP353" s="891"/>
      <c r="AQ353" s="891"/>
      <c r="AR353" s="889"/>
      <c r="AS353" s="888"/>
      <c r="AT353" s="888"/>
      <c r="AU353" s="890"/>
      <c r="AV353" s="888"/>
      <c r="AW353" s="888"/>
      <c r="AX353" s="888"/>
      <c r="AY353" s="887"/>
      <c r="AZ353" s="888"/>
    </row>
    <row r="354" spans="3:52" ht="18.600000000000001">
      <c r="C354" s="13">
        <f>IF(D354&lt;&gt;"",COUNTA($D$10:D354),"")</f>
        <v>294</v>
      </c>
      <c r="D354" s="14" t="s">
        <v>204</v>
      </c>
      <c r="E354" s="14">
        <v>2.7</v>
      </c>
      <c r="F354" s="14">
        <v>4</v>
      </c>
      <c r="G354" s="14">
        <v>2.4</v>
      </c>
      <c r="H354" s="14">
        <v>2</v>
      </c>
      <c r="I354" s="14">
        <v>1</v>
      </c>
      <c r="J354" s="14">
        <v>1.75</v>
      </c>
      <c r="K354" s="14">
        <v>3</v>
      </c>
      <c r="L354" s="15">
        <v>0.1</v>
      </c>
      <c r="M354" s="15">
        <v>0</v>
      </c>
      <c r="N354" s="14">
        <v>24</v>
      </c>
      <c r="O354" s="14">
        <v>50</v>
      </c>
      <c r="P354" s="13">
        <v>45</v>
      </c>
      <c r="Q354" s="13">
        <v>85</v>
      </c>
      <c r="R354" s="13" t="s">
        <v>21</v>
      </c>
      <c r="S354" s="13">
        <v>120</v>
      </c>
      <c r="T354" s="13">
        <v>0</v>
      </c>
      <c r="U354" s="13">
        <v>100</v>
      </c>
      <c r="V354" s="13" t="str">
        <f t="shared" si="257"/>
        <v>ISO 5</v>
      </c>
      <c r="W354" s="13">
        <f t="shared" si="257"/>
        <v>120</v>
      </c>
      <c r="X354" s="16">
        <f t="shared" si="258"/>
        <v>116.208</v>
      </c>
      <c r="Y354" s="16">
        <f t="shared" si="259"/>
        <v>914.78937599999995</v>
      </c>
      <c r="Z354" s="16">
        <f t="shared" si="260"/>
        <v>1829.5787519999999</v>
      </c>
      <c r="AA354" s="16">
        <f t="shared" si="261"/>
        <v>182.95787519999999</v>
      </c>
      <c r="AB354" s="16">
        <f t="shared" si="262"/>
        <v>0</v>
      </c>
      <c r="AC354" s="16">
        <f t="shared" si="263"/>
        <v>0</v>
      </c>
      <c r="AD354" s="16" t="e">
        <f t="shared" si="264"/>
        <v>#DIV/0!</v>
      </c>
      <c r="AE354" s="16" t="e">
        <f t="shared" si="265"/>
        <v>#DIV/0!</v>
      </c>
      <c r="AF354" s="16" t="e">
        <f t="shared" si="266"/>
        <v>#DIV/0!</v>
      </c>
      <c r="AG354" s="16" t="e">
        <f t="shared" si="267"/>
        <v>#DIV/0!</v>
      </c>
      <c r="AH354" s="838" t="s">
        <v>85</v>
      </c>
      <c r="AI354" s="17">
        <f t="shared" si="268"/>
        <v>0</v>
      </c>
      <c r="AJ354" s="17" t="e">
        <f t="shared" si="269"/>
        <v>#DIV/0!</v>
      </c>
      <c r="AK354" s="891"/>
      <c r="AL354" s="18" t="s">
        <v>256</v>
      </c>
      <c r="AM354" s="889"/>
      <c r="AN354" s="891"/>
      <c r="AO354" s="888"/>
      <c r="AP354" s="891"/>
      <c r="AQ354" s="891"/>
      <c r="AR354" s="889"/>
      <c r="AS354" s="888"/>
      <c r="AT354" s="888"/>
      <c r="AU354" s="890"/>
      <c r="AV354" s="888"/>
      <c r="AW354" s="888"/>
      <c r="AX354" s="888"/>
      <c r="AY354" s="887"/>
      <c r="AZ354" s="888"/>
    </row>
    <row r="355" spans="3:52" ht="18.600000000000001">
      <c r="C355" s="13">
        <f>IF(D355&lt;&gt;"",COUNTA($D$10:D355),"")</f>
        <v>295</v>
      </c>
      <c r="D355" s="14" t="s">
        <v>205</v>
      </c>
      <c r="E355" s="14">
        <v>3.8</v>
      </c>
      <c r="F355" s="14">
        <v>4.2</v>
      </c>
      <c r="G355" s="14">
        <v>2.4</v>
      </c>
      <c r="H355" s="14">
        <v>3</v>
      </c>
      <c r="I355" s="14">
        <v>3</v>
      </c>
      <c r="J355" s="14">
        <v>1.75</v>
      </c>
      <c r="K355" s="14">
        <v>3</v>
      </c>
      <c r="L355" s="15">
        <v>0.1</v>
      </c>
      <c r="M355" s="15">
        <v>0</v>
      </c>
      <c r="N355" s="14">
        <v>24</v>
      </c>
      <c r="O355" s="14">
        <v>50</v>
      </c>
      <c r="P355" s="13">
        <v>45</v>
      </c>
      <c r="Q355" s="13">
        <v>85</v>
      </c>
      <c r="R355" s="13" t="s">
        <v>21</v>
      </c>
      <c r="S355" s="13">
        <v>120</v>
      </c>
      <c r="T355" s="13">
        <v>0</v>
      </c>
      <c r="U355" s="13">
        <v>100</v>
      </c>
      <c r="V355" s="13" t="str">
        <f t="shared" si="257"/>
        <v>ISO 5</v>
      </c>
      <c r="W355" s="13">
        <f t="shared" si="257"/>
        <v>120</v>
      </c>
      <c r="X355" s="16">
        <f t="shared" si="258"/>
        <v>171.72959999999998</v>
      </c>
      <c r="Y355" s="16">
        <f t="shared" si="259"/>
        <v>1351.8554111999997</v>
      </c>
      <c r="Z355" s="16">
        <f t="shared" si="260"/>
        <v>2703.7108223999994</v>
      </c>
      <c r="AA355" s="16">
        <f t="shared" si="261"/>
        <v>270.37108223999996</v>
      </c>
      <c r="AB355" s="16">
        <f t="shared" si="262"/>
        <v>0</v>
      </c>
      <c r="AC355" s="16">
        <f t="shared" si="263"/>
        <v>0</v>
      </c>
      <c r="AD355" s="16" t="e">
        <f t="shared" si="264"/>
        <v>#DIV/0!</v>
      </c>
      <c r="AE355" s="16" t="e">
        <f t="shared" si="265"/>
        <v>#DIV/0!</v>
      </c>
      <c r="AF355" s="16" t="e">
        <f t="shared" si="266"/>
        <v>#DIV/0!</v>
      </c>
      <c r="AG355" s="16" t="e">
        <f t="shared" si="267"/>
        <v>#DIV/0!</v>
      </c>
      <c r="AH355" s="838" t="s">
        <v>85</v>
      </c>
      <c r="AI355" s="17">
        <f t="shared" si="268"/>
        <v>0</v>
      </c>
      <c r="AJ355" s="17" t="e">
        <f t="shared" si="269"/>
        <v>#DIV/0!</v>
      </c>
      <c r="AK355" s="891"/>
      <c r="AL355" s="18" t="e">
        <f>IF(AL359&lt;4000,AL359,AL359+400)</f>
        <v>#DIV/0!</v>
      </c>
      <c r="AM355" s="889"/>
      <c r="AN355" s="891"/>
      <c r="AO355" s="888"/>
      <c r="AP355" s="891"/>
      <c r="AQ355" s="891"/>
      <c r="AR355" s="889"/>
      <c r="AS355" s="888"/>
      <c r="AT355" s="888"/>
      <c r="AU355" s="890"/>
      <c r="AV355" s="888"/>
      <c r="AW355" s="888"/>
      <c r="AX355" s="888"/>
      <c r="AY355" s="887"/>
      <c r="AZ355" s="888"/>
    </row>
    <row r="356" spans="3:52" ht="18.600000000000001">
      <c r="C356" s="13">
        <f>IF(D356&lt;&gt;"",COUNTA($D$10:D356),"")</f>
        <v>296</v>
      </c>
      <c r="D356" s="14" t="s">
        <v>206</v>
      </c>
      <c r="E356" s="14">
        <v>3.1</v>
      </c>
      <c r="F356" s="14">
        <v>2.6</v>
      </c>
      <c r="G356" s="14">
        <v>2.4</v>
      </c>
      <c r="H356" s="14">
        <v>2</v>
      </c>
      <c r="I356" s="14">
        <v>1</v>
      </c>
      <c r="J356" s="14">
        <v>1.75</v>
      </c>
      <c r="K356" s="14">
        <v>3</v>
      </c>
      <c r="L356" s="15">
        <v>0.1</v>
      </c>
      <c r="M356" s="15">
        <v>0</v>
      </c>
      <c r="N356" s="14">
        <v>24</v>
      </c>
      <c r="O356" s="14">
        <v>50</v>
      </c>
      <c r="P356" s="13">
        <v>45</v>
      </c>
      <c r="Q356" s="13">
        <v>85</v>
      </c>
      <c r="R356" s="13" t="s">
        <v>21</v>
      </c>
      <c r="S356" s="13">
        <v>120</v>
      </c>
      <c r="T356" s="13">
        <v>0</v>
      </c>
      <c r="U356" s="13">
        <v>100</v>
      </c>
      <c r="V356" s="13" t="str">
        <f t="shared" si="257"/>
        <v>ISO 5</v>
      </c>
      <c r="W356" s="13">
        <f t="shared" si="257"/>
        <v>120</v>
      </c>
      <c r="X356" s="16">
        <f t="shared" si="258"/>
        <v>86.7256</v>
      </c>
      <c r="Y356" s="16">
        <f t="shared" si="259"/>
        <v>682.70392319999996</v>
      </c>
      <c r="Z356" s="16">
        <f t="shared" si="260"/>
        <v>1365.4078463999999</v>
      </c>
      <c r="AA356" s="16">
        <f t="shared" si="261"/>
        <v>136.54078464</v>
      </c>
      <c r="AB356" s="16">
        <f t="shared" si="262"/>
        <v>0</v>
      </c>
      <c r="AC356" s="16">
        <f t="shared" si="263"/>
        <v>0</v>
      </c>
      <c r="AD356" s="16" t="e">
        <f t="shared" si="264"/>
        <v>#DIV/0!</v>
      </c>
      <c r="AE356" s="16" t="e">
        <f t="shared" si="265"/>
        <v>#DIV/0!</v>
      </c>
      <c r="AF356" s="16" t="e">
        <f t="shared" si="266"/>
        <v>#DIV/0!</v>
      </c>
      <c r="AG356" s="16" t="e">
        <f t="shared" si="267"/>
        <v>#DIV/0!</v>
      </c>
      <c r="AH356" s="838" t="s">
        <v>85</v>
      </c>
      <c r="AI356" s="17">
        <f t="shared" si="268"/>
        <v>0</v>
      </c>
      <c r="AJ356" s="17" t="e">
        <f t="shared" si="269"/>
        <v>#DIV/0!</v>
      </c>
      <c r="AK356" s="891"/>
      <c r="AL356" s="18"/>
      <c r="AM356" s="889"/>
      <c r="AN356" s="891"/>
      <c r="AO356" s="888"/>
      <c r="AP356" s="891"/>
      <c r="AQ356" s="891"/>
      <c r="AR356" s="889"/>
      <c r="AS356" s="888"/>
      <c r="AT356" s="888"/>
      <c r="AU356" s="890"/>
      <c r="AV356" s="888"/>
      <c r="AW356" s="888"/>
      <c r="AX356" s="888"/>
      <c r="AY356" s="887"/>
      <c r="AZ356" s="888"/>
    </row>
    <row r="357" spans="3:52" ht="18.600000000000001">
      <c r="C357" s="13">
        <f>IF(D357&lt;&gt;"",COUNTA($D$10:D357),"")</f>
        <v>297</v>
      </c>
      <c r="D357" s="14" t="s">
        <v>207</v>
      </c>
      <c r="E357" s="14">
        <v>1.9</v>
      </c>
      <c r="F357" s="14">
        <v>2.4</v>
      </c>
      <c r="G357" s="14">
        <v>2.4</v>
      </c>
      <c r="H357" s="14">
        <v>3</v>
      </c>
      <c r="I357" s="14">
        <v>2</v>
      </c>
      <c r="J357" s="14">
        <v>1.75</v>
      </c>
      <c r="K357" s="14">
        <v>3</v>
      </c>
      <c r="L357" s="15">
        <v>0.1</v>
      </c>
      <c r="M357" s="15">
        <v>0</v>
      </c>
      <c r="N357" s="14">
        <v>24</v>
      </c>
      <c r="O357" s="14">
        <v>50</v>
      </c>
      <c r="P357" s="13">
        <v>45</v>
      </c>
      <c r="Q357" s="13">
        <v>85</v>
      </c>
      <c r="R357" s="13" t="s">
        <v>21</v>
      </c>
      <c r="S357" s="13">
        <v>120</v>
      </c>
      <c r="T357" s="13">
        <v>0</v>
      </c>
      <c r="U357" s="13">
        <v>100</v>
      </c>
      <c r="V357" s="13" t="str">
        <f t="shared" si="257"/>
        <v>ISO 5</v>
      </c>
      <c r="W357" s="13">
        <f t="shared" si="257"/>
        <v>120</v>
      </c>
      <c r="X357" s="16">
        <f t="shared" si="258"/>
        <v>49.065599999999996</v>
      </c>
      <c r="Y357" s="16">
        <f t="shared" si="259"/>
        <v>386.24440319999997</v>
      </c>
      <c r="Z357" s="16">
        <f t="shared" si="260"/>
        <v>772.48880639999993</v>
      </c>
      <c r="AA357" s="16">
        <f t="shared" si="261"/>
        <v>77.248880639999996</v>
      </c>
      <c r="AB357" s="16">
        <f t="shared" si="262"/>
        <v>0</v>
      </c>
      <c r="AC357" s="16">
        <f t="shared" si="263"/>
        <v>0</v>
      </c>
      <c r="AD357" s="16" t="e">
        <f t="shared" si="264"/>
        <v>#DIV/0!</v>
      </c>
      <c r="AE357" s="16" t="e">
        <f t="shared" si="265"/>
        <v>#DIV/0!</v>
      </c>
      <c r="AF357" s="16" t="e">
        <f t="shared" si="266"/>
        <v>#DIV/0!</v>
      </c>
      <c r="AG357" s="16" t="e">
        <f t="shared" si="267"/>
        <v>#DIV/0!</v>
      </c>
      <c r="AH357" s="838" t="s">
        <v>85</v>
      </c>
      <c r="AI357" s="17">
        <f t="shared" si="268"/>
        <v>0</v>
      </c>
      <c r="AJ357" s="17" t="e">
        <f t="shared" si="269"/>
        <v>#DIV/0!</v>
      </c>
      <c r="AK357" s="891"/>
      <c r="AL357" s="18"/>
      <c r="AM357" s="889"/>
      <c r="AN357" s="891"/>
      <c r="AO357" s="888"/>
      <c r="AP357" s="891"/>
      <c r="AQ357" s="891"/>
      <c r="AR357" s="889"/>
      <c r="AS357" s="888"/>
      <c r="AT357" s="888"/>
      <c r="AU357" s="890"/>
      <c r="AV357" s="888"/>
      <c r="AW357" s="888"/>
      <c r="AX357" s="888"/>
      <c r="AY357" s="887"/>
      <c r="AZ357" s="888"/>
    </row>
    <row r="358" spans="3:52" ht="18.600000000000001">
      <c r="C358" s="13">
        <f>IF(D358&lt;&gt;"",COUNTA($D$10:D358),"")</f>
        <v>298</v>
      </c>
      <c r="D358" s="14" t="s">
        <v>208</v>
      </c>
      <c r="E358" s="14">
        <v>3</v>
      </c>
      <c r="F358" s="14">
        <v>2.9</v>
      </c>
      <c r="G358" s="14">
        <v>2.4</v>
      </c>
      <c r="H358" s="14">
        <v>2</v>
      </c>
      <c r="I358" s="14">
        <v>1</v>
      </c>
      <c r="J358" s="14">
        <v>1.75</v>
      </c>
      <c r="K358" s="14">
        <v>3</v>
      </c>
      <c r="L358" s="15">
        <v>0.1</v>
      </c>
      <c r="M358" s="15">
        <v>0</v>
      </c>
      <c r="N358" s="14">
        <v>24</v>
      </c>
      <c r="O358" s="14">
        <v>50</v>
      </c>
      <c r="P358" s="13">
        <v>45</v>
      </c>
      <c r="Q358" s="13">
        <v>85</v>
      </c>
      <c r="R358" s="13" t="s">
        <v>21</v>
      </c>
      <c r="S358" s="13">
        <v>120</v>
      </c>
      <c r="T358" s="13">
        <v>0</v>
      </c>
      <c r="U358" s="13">
        <v>100</v>
      </c>
      <c r="V358" s="13" t="str">
        <f t="shared" si="257"/>
        <v>ISO 5</v>
      </c>
      <c r="W358" s="13">
        <f t="shared" si="257"/>
        <v>120</v>
      </c>
      <c r="X358" s="16">
        <f t="shared" si="258"/>
        <v>93.611999999999995</v>
      </c>
      <c r="Y358" s="16">
        <f t="shared" si="259"/>
        <v>736.91366399999993</v>
      </c>
      <c r="Z358" s="16">
        <f t="shared" si="260"/>
        <v>1473.8273279999999</v>
      </c>
      <c r="AA358" s="16">
        <f t="shared" si="261"/>
        <v>147.38273279999999</v>
      </c>
      <c r="AB358" s="16">
        <f t="shared" si="262"/>
        <v>0</v>
      </c>
      <c r="AC358" s="16">
        <f t="shared" si="263"/>
        <v>0</v>
      </c>
      <c r="AD358" s="16" t="e">
        <f>IF(ISNUMBER(N358), CEILING(CF358/(0.68*BP358),25), "Ambient")</f>
        <v>#DIV/0!</v>
      </c>
      <c r="AE358" s="16" t="e">
        <f t="shared" si="265"/>
        <v>#DIV/0!</v>
      </c>
      <c r="AF358" s="16" t="e">
        <f t="shared" si="266"/>
        <v>#DIV/0!</v>
      </c>
      <c r="AG358" s="16" t="e">
        <f t="shared" si="267"/>
        <v>#DIV/0!</v>
      </c>
      <c r="AH358" s="838" t="s">
        <v>85</v>
      </c>
      <c r="AI358" s="17">
        <f t="shared" si="268"/>
        <v>0</v>
      </c>
      <c r="AJ358" s="17" t="e">
        <f t="shared" si="269"/>
        <v>#DIV/0!</v>
      </c>
      <c r="AK358" s="891"/>
      <c r="AL358" s="18"/>
      <c r="AM358" s="889"/>
      <c r="AN358" s="891"/>
      <c r="AO358" s="888"/>
      <c r="AP358" s="891"/>
      <c r="AQ358" s="891"/>
      <c r="AR358" s="889"/>
      <c r="AS358" s="888"/>
      <c r="AT358" s="888"/>
      <c r="AU358" s="890"/>
      <c r="AV358" s="888"/>
      <c r="AW358" s="888"/>
      <c r="AX358" s="888"/>
      <c r="AY358" s="887"/>
      <c r="AZ358" s="888"/>
    </row>
    <row r="359" spans="3:52" ht="18.600000000000001">
      <c r="C359" s="13">
        <f>IF(D359&lt;&gt;"",COUNTA($D$10:D359),"")</f>
        <v>299</v>
      </c>
      <c r="D359" s="14" t="s">
        <v>209</v>
      </c>
      <c r="E359" s="14">
        <v>2.4</v>
      </c>
      <c r="F359" s="14">
        <v>2</v>
      </c>
      <c r="G359" s="14">
        <v>2.4</v>
      </c>
      <c r="H359" s="14">
        <v>2</v>
      </c>
      <c r="I359" s="14">
        <v>1</v>
      </c>
      <c r="J359" s="14">
        <v>1.75</v>
      </c>
      <c r="K359" s="14">
        <v>3</v>
      </c>
      <c r="L359" s="15">
        <v>0.1</v>
      </c>
      <c r="M359" s="15">
        <v>0</v>
      </c>
      <c r="N359" s="14">
        <v>24</v>
      </c>
      <c r="O359" s="14">
        <v>50</v>
      </c>
      <c r="P359" s="13">
        <v>45</v>
      </c>
      <c r="Q359" s="13">
        <v>85</v>
      </c>
      <c r="R359" s="13" t="s">
        <v>21</v>
      </c>
      <c r="S359" s="13">
        <v>120</v>
      </c>
      <c r="T359" s="13">
        <v>0</v>
      </c>
      <c r="U359" s="13">
        <v>100</v>
      </c>
      <c r="V359" s="13" t="str">
        <f t="shared" si="257"/>
        <v>ISO 5</v>
      </c>
      <c r="W359" s="13">
        <f t="shared" si="257"/>
        <v>120</v>
      </c>
      <c r="X359" s="16">
        <f t="shared" si="258"/>
        <v>51.647999999999996</v>
      </c>
      <c r="Y359" s="16">
        <f t="shared" si="259"/>
        <v>406.57305599999995</v>
      </c>
      <c r="Z359" s="16">
        <f t="shared" si="260"/>
        <v>813.1461119999999</v>
      </c>
      <c r="AA359" s="16">
        <f t="shared" si="261"/>
        <v>81.314611200000002</v>
      </c>
      <c r="AB359" s="16">
        <f t="shared" si="262"/>
        <v>0</v>
      </c>
      <c r="AC359" s="16">
        <f t="shared" si="263"/>
        <v>0</v>
      </c>
      <c r="AD359" s="16" t="e">
        <f t="shared" ref="AD359:AD365" si="270">IF(ISNUMBER(N359), CEILING(CF359/(0.68*BP359),25), "Ambient")</f>
        <v>#DIV/0!</v>
      </c>
      <c r="AE359" s="16" t="e">
        <f t="shared" si="265"/>
        <v>#DIV/0!</v>
      </c>
      <c r="AF359" s="16" t="e">
        <f t="shared" si="266"/>
        <v>#DIV/0!</v>
      </c>
      <c r="AG359" s="16" t="e">
        <f t="shared" si="267"/>
        <v>#DIV/0!</v>
      </c>
      <c r="AH359" s="838" t="s">
        <v>85</v>
      </c>
      <c r="AI359" s="17">
        <f t="shared" si="268"/>
        <v>0</v>
      </c>
      <c r="AJ359" s="17" t="e">
        <f t="shared" si="269"/>
        <v>#DIV/0!</v>
      </c>
      <c r="AK359" s="891"/>
      <c r="AL359" s="174" t="e">
        <f>IF(AN350&lt;=315,1600,(IF(AN350=355,1650,(IF(AN350=400,1650,(IF(AN350=450,1700,(IF(AN350=500,1700,(IF(AN350=560,1800,(IF(AN350=630,2000,(IF(AN350=710,2200,2500)))))))))))))))+IF(AR350=2,1800,(IF(AR350=3,2300,(IF(AR350=4,3300,0)))))+IF(AP350&lt;=4,600,(IF(AP350&lt;=6,800,(IF(AP350&lt;=8,1000,1200)))))</f>
        <v>#DIV/0!</v>
      </c>
      <c r="AM359" s="889"/>
      <c r="AN359" s="891"/>
      <c r="AO359" s="888"/>
      <c r="AP359" s="891"/>
      <c r="AQ359" s="891"/>
      <c r="AR359" s="889"/>
      <c r="AS359" s="888"/>
      <c r="AT359" s="888"/>
      <c r="AU359" s="890"/>
      <c r="AV359" s="888"/>
      <c r="AW359" s="888"/>
      <c r="AX359" s="888"/>
      <c r="AY359" s="887"/>
      <c r="AZ359" s="888"/>
    </row>
    <row r="360" spans="3:52" ht="18.600000000000001">
      <c r="C360" s="13">
        <f>IF(D360&lt;&gt;"",COUNTA($D$10:D360),"")</f>
        <v>300</v>
      </c>
      <c r="D360" s="14" t="s">
        <v>210</v>
      </c>
      <c r="E360" s="14">
        <v>2.1</v>
      </c>
      <c r="F360" s="14">
        <v>1.8</v>
      </c>
      <c r="G360" s="14">
        <v>2.4</v>
      </c>
      <c r="H360" s="14">
        <v>2</v>
      </c>
      <c r="I360" s="14">
        <v>1</v>
      </c>
      <c r="J360" s="14">
        <v>1.75</v>
      </c>
      <c r="K360" s="14">
        <v>3</v>
      </c>
      <c r="L360" s="15">
        <v>0.1</v>
      </c>
      <c r="M360" s="15">
        <v>0</v>
      </c>
      <c r="N360" s="14">
        <v>24</v>
      </c>
      <c r="O360" s="14">
        <v>50</v>
      </c>
      <c r="P360" s="13">
        <v>45</v>
      </c>
      <c r="Q360" s="13">
        <v>85</v>
      </c>
      <c r="R360" s="13" t="s">
        <v>21</v>
      </c>
      <c r="S360" s="13">
        <v>120</v>
      </c>
      <c r="T360" s="13">
        <v>0</v>
      </c>
      <c r="U360" s="13">
        <v>100</v>
      </c>
      <c r="V360" s="13" t="str">
        <f t="shared" si="257"/>
        <v>ISO 5</v>
      </c>
      <c r="W360" s="13">
        <f t="shared" si="257"/>
        <v>120</v>
      </c>
      <c r="X360" s="16">
        <f t="shared" si="258"/>
        <v>40.672800000000002</v>
      </c>
      <c r="Y360" s="16">
        <f t="shared" si="259"/>
        <v>320.17628159999998</v>
      </c>
      <c r="Z360" s="16">
        <f t="shared" si="260"/>
        <v>640.35256319999996</v>
      </c>
      <c r="AA360" s="16">
        <f t="shared" si="261"/>
        <v>64.035256320000002</v>
      </c>
      <c r="AB360" s="16">
        <f t="shared" si="262"/>
        <v>0</v>
      </c>
      <c r="AC360" s="16">
        <f t="shared" si="263"/>
        <v>0</v>
      </c>
      <c r="AD360" s="16" t="e">
        <f t="shared" si="270"/>
        <v>#DIV/0!</v>
      </c>
      <c r="AE360" s="16" t="e">
        <f t="shared" si="265"/>
        <v>#DIV/0!</v>
      </c>
      <c r="AF360" s="16" t="e">
        <f t="shared" si="266"/>
        <v>#DIV/0!</v>
      </c>
      <c r="AG360" s="16" t="e">
        <f t="shared" si="267"/>
        <v>#DIV/0!</v>
      </c>
      <c r="AH360" s="838" t="s">
        <v>85</v>
      </c>
      <c r="AI360" s="17">
        <f t="shared" si="268"/>
        <v>0</v>
      </c>
      <c r="AJ360" s="17" t="e">
        <f t="shared" si="269"/>
        <v>#DIV/0!</v>
      </c>
      <c r="AK360" s="891"/>
      <c r="AL360" s="18"/>
      <c r="AM360" s="889"/>
      <c r="AN360" s="891"/>
      <c r="AO360" s="888"/>
      <c r="AP360" s="891"/>
      <c r="AQ360" s="891"/>
      <c r="AR360" s="889"/>
      <c r="AS360" s="888"/>
      <c r="AT360" s="888"/>
      <c r="AU360" s="890"/>
      <c r="AV360" s="888"/>
      <c r="AW360" s="888"/>
      <c r="AX360" s="888"/>
      <c r="AY360" s="887"/>
      <c r="AZ360" s="888"/>
    </row>
    <row r="361" spans="3:52" ht="18.600000000000001">
      <c r="C361" s="13">
        <f>IF(D361&lt;&gt;"",COUNTA($D$10:D361),"")</f>
        <v>301</v>
      </c>
      <c r="D361" s="14" t="s">
        <v>211</v>
      </c>
      <c r="E361" s="14">
        <v>1.8</v>
      </c>
      <c r="F361" s="14">
        <v>1.9</v>
      </c>
      <c r="G361" s="14">
        <v>2.4</v>
      </c>
      <c r="H361" s="14">
        <v>2</v>
      </c>
      <c r="I361" s="14">
        <v>1</v>
      </c>
      <c r="J361" s="14">
        <v>1.75</v>
      </c>
      <c r="K361" s="14">
        <v>3</v>
      </c>
      <c r="L361" s="15">
        <v>0.1</v>
      </c>
      <c r="M361" s="15">
        <v>0</v>
      </c>
      <c r="N361" s="14">
        <v>24</v>
      </c>
      <c r="O361" s="14">
        <v>50</v>
      </c>
      <c r="P361" s="13">
        <v>45</v>
      </c>
      <c r="Q361" s="13">
        <v>85</v>
      </c>
      <c r="R361" s="13" t="s">
        <v>21</v>
      </c>
      <c r="S361" s="13">
        <v>120</v>
      </c>
      <c r="T361" s="13">
        <v>0</v>
      </c>
      <c r="U361" s="13">
        <v>100</v>
      </c>
      <c r="V361" s="13" t="str">
        <f t="shared" si="257"/>
        <v>ISO 5</v>
      </c>
      <c r="W361" s="13">
        <f t="shared" si="257"/>
        <v>120</v>
      </c>
      <c r="X361" s="16">
        <f t="shared" si="258"/>
        <v>36.799199999999999</v>
      </c>
      <c r="Y361" s="16">
        <f t="shared" si="259"/>
        <v>289.68330239999995</v>
      </c>
      <c r="Z361" s="16">
        <f t="shared" si="260"/>
        <v>579.36660479999989</v>
      </c>
      <c r="AA361" s="16">
        <f t="shared" si="261"/>
        <v>57.936660479999993</v>
      </c>
      <c r="AB361" s="16">
        <f t="shared" si="262"/>
        <v>0</v>
      </c>
      <c r="AC361" s="16">
        <f t="shared" si="263"/>
        <v>0</v>
      </c>
      <c r="AD361" s="16" t="e">
        <f t="shared" si="270"/>
        <v>#DIV/0!</v>
      </c>
      <c r="AE361" s="16" t="e">
        <f t="shared" si="265"/>
        <v>#DIV/0!</v>
      </c>
      <c r="AF361" s="16" t="e">
        <f t="shared" si="266"/>
        <v>#DIV/0!</v>
      </c>
      <c r="AG361" s="16" t="e">
        <f t="shared" si="267"/>
        <v>#DIV/0!</v>
      </c>
      <c r="AH361" s="838" t="s">
        <v>85</v>
      </c>
      <c r="AI361" s="17">
        <f t="shared" si="268"/>
        <v>0</v>
      </c>
      <c r="AJ361" s="17" t="e">
        <f t="shared" si="269"/>
        <v>#DIV/0!</v>
      </c>
      <c r="AK361" s="891"/>
      <c r="AL361" s="18"/>
      <c r="AM361" s="889"/>
      <c r="AN361" s="891"/>
      <c r="AO361" s="888"/>
      <c r="AP361" s="891"/>
      <c r="AQ361" s="891"/>
      <c r="AR361" s="889"/>
      <c r="AS361" s="888"/>
      <c r="AT361" s="888"/>
      <c r="AU361" s="890"/>
      <c r="AV361" s="888"/>
      <c r="AW361" s="888"/>
      <c r="AX361" s="888"/>
      <c r="AY361" s="887"/>
      <c r="AZ361" s="888"/>
    </row>
    <row r="362" spans="3:52" ht="18.600000000000001">
      <c r="C362" s="13">
        <f>IF(D362&lt;&gt;"",COUNTA($D$10:D362),"")</f>
        <v>302</v>
      </c>
      <c r="D362" s="14" t="s">
        <v>212</v>
      </c>
      <c r="E362" s="14">
        <v>1.9</v>
      </c>
      <c r="F362" s="14">
        <v>2</v>
      </c>
      <c r="G362" s="14">
        <v>2.4</v>
      </c>
      <c r="H362" s="14">
        <v>2</v>
      </c>
      <c r="I362" s="14">
        <v>1</v>
      </c>
      <c r="J362" s="14">
        <v>1.75</v>
      </c>
      <c r="K362" s="14">
        <v>3</v>
      </c>
      <c r="L362" s="15">
        <v>0.1</v>
      </c>
      <c r="M362" s="15">
        <v>0</v>
      </c>
      <c r="N362" s="14">
        <v>24</v>
      </c>
      <c r="O362" s="14">
        <v>50</v>
      </c>
      <c r="P362" s="13">
        <v>45</v>
      </c>
      <c r="Q362" s="13">
        <v>85</v>
      </c>
      <c r="R362" s="13" t="s">
        <v>21</v>
      </c>
      <c r="S362" s="13">
        <v>120</v>
      </c>
      <c r="T362" s="13">
        <v>0</v>
      </c>
      <c r="U362" s="13">
        <v>100</v>
      </c>
      <c r="V362" s="13" t="str">
        <f t="shared" si="257"/>
        <v>ISO 5</v>
      </c>
      <c r="W362" s="13">
        <f t="shared" si="257"/>
        <v>120</v>
      </c>
      <c r="X362" s="16">
        <f t="shared" si="258"/>
        <v>40.887999999999998</v>
      </c>
      <c r="Y362" s="16">
        <f t="shared" si="259"/>
        <v>321.87033599999995</v>
      </c>
      <c r="Z362" s="16">
        <f t="shared" si="260"/>
        <v>643.7406719999999</v>
      </c>
      <c r="AA362" s="16">
        <f t="shared" si="261"/>
        <v>64.374067199999999</v>
      </c>
      <c r="AB362" s="16">
        <f t="shared" si="262"/>
        <v>0</v>
      </c>
      <c r="AC362" s="16">
        <f t="shared" si="263"/>
        <v>0</v>
      </c>
      <c r="AD362" s="16" t="e">
        <f t="shared" si="270"/>
        <v>#DIV/0!</v>
      </c>
      <c r="AE362" s="16" t="e">
        <f t="shared" si="265"/>
        <v>#DIV/0!</v>
      </c>
      <c r="AF362" s="16" t="e">
        <f t="shared" si="266"/>
        <v>#DIV/0!</v>
      </c>
      <c r="AG362" s="16" t="e">
        <f t="shared" si="267"/>
        <v>#DIV/0!</v>
      </c>
      <c r="AH362" s="838" t="s">
        <v>85</v>
      </c>
      <c r="AI362" s="17">
        <f t="shared" si="268"/>
        <v>0</v>
      </c>
      <c r="AJ362" s="17" t="e">
        <f t="shared" si="269"/>
        <v>#DIV/0!</v>
      </c>
      <c r="AK362" s="891"/>
      <c r="AL362" s="18"/>
      <c r="AM362" s="889"/>
      <c r="AN362" s="891"/>
      <c r="AO362" s="888"/>
      <c r="AP362" s="891"/>
      <c r="AQ362" s="891"/>
      <c r="AR362" s="889"/>
      <c r="AS362" s="888"/>
      <c r="AT362" s="888"/>
      <c r="AU362" s="890"/>
      <c r="AV362" s="888"/>
      <c r="AW362" s="888"/>
      <c r="AX362" s="888"/>
      <c r="AY362" s="887"/>
      <c r="AZ362" s="888"/>
    </row>
    <row r="363" spans="3:52" ht="18.600000000000001">
      <c r="C363" s="13">
        <f>IF(D363&lt;&gt;"",COUNTA($D$10:D363),"")</f>
        <v>303</v>
      </c>
      <c r="D363" s="14" t="s">
        <v>213</v>
      </c>
      <c r="E363" s="14">
        <v>2.2999999999999998</v>
      </c>
      <c r="F363" s="14">
        <v>2.2000000000000002</v>
      </c>
      <c r="G363" s="14">
        <v>2.4</v>
      </c>
      <c r="H363" s="14">
        <v>2</v>
      </c>
      <c r="I363" s="14">
        <v>1</v>
      </c>
      <c r="J363" s="14">
        <v>1.75</v>
      </c>
      <c r="K363" s="14">
        <v>3</v>
      </c>
      <c r="L363" s="15">
        <v>0.1</v>
      </c>
      <c r="M363" s="15">
        <v>0</v>
      </c>
      <c r="N363" s="14">
        <v>24</v>
      </c>
      <c r="O363" s="14">
        <v>50</v>
      </c>
      <c r="P363" s="13">
        <v>45</v>
      </c>
      <c r="Q363" s="13">
        <v>85</v>
      </c>
      <c r="R363" s="13" t="s">
        <v>21</v>
      </c>
      <c r="S363" s="13">
        <v>120</v>
      </c>
      <c r="T363" s="13">
        <v>0</v>
      </c>
      <c r="U363" s="13">
        <v>100</v>
      </c>
      <c r="V363" s="13" t="str">
        <f t="shared" si="257"/>
        <v>ISO 5</v>
      </c>
      <c r="W363" s="13">
        <f t="shared" si="257"/>
        <v>120</v>
      </c>
      <c r="X363" s="16">
        <f t="shared" si="258"/>
        <v>54.445599999999992</v>
      </c>
      <c r="Y363" s="16">
        <f t="shared" si="259"/>
        <v>428.59576319999991</v>
      </c>
      <c r="Z363" s="16">
        <f t="shared" si="260"/>
        <v>857.19152639999982</v>
      </c>
      <c r="AA363" s="16">
        <f t="shared" si="261"/>
        <v>85.71915263999999</v>
      </c>
      <c r="AB363" s="16">
        <f t="shared" si="262"/>
        <v>0</v>
      </c>
      <c r="AC363" s="16">
        <f t="shared" si="263"/>
        <v>0</v>
      </c>
      <c r="AD363" s="16" t="e">
        <f t="shared" si="270"/>
        <v>#DIV/0!</v>
      </c>
      <c r="AE363" s="16" t="e">
        <f t="shared" si="265"/>
        <v>#DIV/0!</v>
      </c>
      <c r="AF363" s="16" t="e">
        <f t="shared" si="266"/>
        <v>#DIV/0!</v>
      </c>
      <c r="AG363" s="16" t="e">
        <f t="shared" si="267"/>
        <v>#DIV/0!</v>
      </c>
      <c r="AH363" s="838" t="s">
        <v>85</v>
      </c>
      <c r="AI363" s="17">
        <f t="shared" si="268"/>
        <v>0</v>
      </c>
      <c r="AJ363" s="17" t="e">
        <f t="shared" si="269"/>
        <v>#DIV/0!</v>
      </c>
      <c r="AK363" s="891"/>
      <c r="AL363" s="18"/>
      <c r="AM363" s="889"/>
      <c r="AN363" s="891"/>
      <c r="AO363" s="888"/>
      <c r="AP363" s="891"/>
      <c r="AQ363" s="891"/>
      <c r="AR363" s="889"/>
      <c r="AS363" s="888"/>
      <c r="AT363" s="888"/>
      <c r="AU363" s="890"/>
      <c r="AV363" s="888"/>
      <c r="AW363" s="888"/>
      <c r="AX363" s="888"/>
      <c r="AY363" s="887"/>
      <c r="AZ363" s="888"/>
    </row>
    <row r="364" spans="3:52" ht="18.600000000000001">
      <c r="C364" s="13">
        <f>IF(D364&lt;&gt;"",COUNTA($D$10:D364),"")</f>
        <v>304</v>
      </c>
      <c r="D364" s="14" t="s">
        <v>214</v>
      </c>
      <c r="E364" s="14">
        <v>2.2000000000000002</v>
      </c>
      <c r="F364" s="14">
        <v>2.8</v>
      </c>
      <c r="G364" s="14">
        <v>2.4</v>
      </c>
      <c r="H364" s="14">
        <v>2</v>
      </c>
      <c r="I364" s="14">
        <v>1</v>
      </c>
      <c r="J364" s="14">
        <v>1.75</v>
      </c>
      <c r="K364" s="14">
        <v>3</v>
      </c>
      <c r="L364" s="15">
        <v>0.1</v>
      </c>
      <c r="M364" s="15">
        <v>0</v>
      </c>
      <c r="N364" s="14">
        <v>24</v>
      </c>
      <c r="O364" s="14">
        <v>50</v>
      </c>
      <c r="P364" s="13">
        <v>45</v>
      </c>
      <c r="Q364" s="13">
        <v>85</v>
      </c>
      <c r="R364" s="13" t="s">
        <v>21</v>
      </c>
      <c r="S364" s="13">
        <v>120</v>
      </c>
      <c r="T364" s="13">
        <v>0</v>
      </c>
      <c r="U364" s="13">
        <v>100</v>
      </c>
      <c r="V364" s="13" t="str">
        <f t="shared" si="257"/>
        <v>ISO 5</v>
      </c>
      <c r="W364" s="13">
        <f t="shared" si="257"/>
        <v>120</v>
      </c>
      <c r="X364" s="16">
        <f t="shared" si="258"/>
        <v>66.281599999999997</v>
      </c>
      <c r="Y364" s="16">
        <f t="shared" si="259"/>
        <v>521.76875519999999</v>
      </c>
      <c r="Z364" s="16">
        <f t="shared" si="260"/>
        <v>1043.5375104</v>
      </c>
      <c r="AA364" s="16">
        <f t="shared" si="261"/>
        <v>104.35375104000001</v>
      </c>
      <c r="AB364" s="16">
        <f t="shared" si="262"/>
        <v>0</v>
      </c>
      <c r="AC364" s="16">
        <f t="shared" si="263"/>
        <v>0</v>
      </c>
      <c r="AD364" s="16" t="e">
        <f t="shared" si="270"/>
        <v>#DIV/0!</v>
      </c>
      <c r="AE364" s="16" t="e">
        <f t="shared" si="265"/>
        <v>#DIV/0!</v>
      </c>
      <c r="AF364" s="16" t="e">
        <f t="shared" si="266"/>
        <v>#DIV/0!</v>
      </c>
      <c r="AG364" s="16" t="e">
        <f t="shared" si="267"/>
        <v>#DIV/0!</v>
      </c>
      <c r="AH364" s="838" t="s">
        <v>85</v>
      </c>
      <c r="AI364" s="17">
        <f t="shared" si="268"/>
        <v>0</v>
      </c>
      <c r="AJ364" s="17" t="e">
        <f t="shared" si="269"/>
        <v>#DIV/0!</v>
      </c>
      <c r="AK364" s="891"/>
      <c r="AL364" s="18"/>
      <c r="AM364" s="889"/>
      <c r="AN364" s="891"/>
      <c r="AO364" s="888"/>
      <c r="AP364" s="891"/>
      <c r="AQ364" s="891"/>
      <c r="AR364" s="889"/>
      <c r="AS364" s="888"/>
      <c r="AT364" s="888"/>
      <c r="AU364" s="890"/>
      <c r="AV364" s="888"/>
      <c r="AW364" s="888"/>
      <c r="AX364" s="888"/>
      <c r="AY364" s="887"/>
      <c r="AZ364" s="888"/>
    </row>
    <row r="365" spans="3:52" ht="18.600000000000001">
      <c r="C365" s="13">
        <f>IF(D365&lt;&gt;"",COUNTA($D$10:D365),"")</f>
        <v>305</v>
      </c>
      <c r="D365" s="14" t="s">
        <v>215</v>
      </c>
      <c r="E365" s="14">
        <v>2.8</v>
      </c>
      <c r="F365" s="14">
        <v>2.4</v>
      </c>
      <c r="G365" s="14">
        <v>2.4</v>
      </c>
      <c r="H365" s="14">
        <v>2</v>
      </c>
      <c r="I365" s="14">
        <v>1</v>
      </c>
      <c r="J365" s="14">
        <v>1.75</v>
      </c>
      <c r="K365" s="14">
        <v>3</v>
      </c>
      <c r="L365" s="15">
        <v>0.1</v>
      </c>
      <c r="M365" s="15">
        <v>0</v>
      </c>
      <c r="N365" s="14">
        <v>24</v>
      </c>
      <c r="O365" s="14">
        <v>50</v>
      </c>
      <c r="P365" s="13">
        <v>45</v>
      </c>
      <c r="Q365" s="13">
        <v>85</v>
      </c>
      <c r="R365" s="13" t="s">
        <v>21</v>
      </c>
      <c r="S365" s="13">
        <v>120</v>
      </c>
      <c r="T365" s="13">
        <v>0</v>
      </c>
      <c r="U365" s="13">
        <v>100</v>
      </c>
      <c r="V365" s="13" t="str">
        <f t="shared" si="257"/>
        <v>ISO 5</v>
      </c>
      <c r="W365" s="13">
        <f t="shared" si="257"/>
        <v>120</v>
      </c>
      <c r="X365" s="16">
        <f t="shared" si="258"/>
        <v>72.307199999999995</v>
      </c>
      <c r="Y365" s="16">
        <f t="shared" si="259"/>
        <v>569.20227839999995</v>
      </c>
      <c r="Z365" s="16">
        <f t="shared" si="260"/>
        <v>1138.4045567999999</v>
      </c>
      <c r="AA365" s="16">
        <f t="shared" si="261"/>
        <v>113.84045567999999</v>
      </c>
      <c r="AB365" s="16">
        <f t="shared" si="262"/>
        <v>0</v>
      </c>
      <c r="AC365" s="16">
        <f t="shared" si="263"/>
        <v>0</v>
      </c>
      <c r="AD365" s="16" t="e">
        <f t="shared" si="270"/>
        <v>#DIV/0!</v>
      </c>
      <c r="AE365" s="16" t="e">
        <f t="shared" si="265"/>
        <v>#DIV/0!</v>
      </c>
      <c r="AF365" s="16" t="e">
        <f t="shared" si="266"/>
        <v>#DIV/0!</v>
      </c>
      <c r="AG365" s="16" t="e">
        <f t="shared" si="267"/>
        <v>#DIV/0!</v>
      </c>
      <c r="AH365" s="838" t="s">
        <v>85</v>
      </c>
      <c r="AI365" s="17">
        <f t="shared" si="268"/>
        <v>0</v>
      </c>
      <c r="AJ365" s="17" t="e">
        <f t="shared" si="269"/>
        <v>#DIV/0!</v>
      </c>
      <c r="AK365" s="891"/>
      <c r="AL365" s="18"/>
      <c r="AM365" s="889"/>
      <c r="AN365" s="891"/>
      <c r="AO365" s="888"/>
      <c r="AP365" s="891"/>
      <c r="AQ365" s="891"/>
      <c r="AR365" s="889"/>
      <c r="AS365" s="888"/>
      <c r="AT365" s="888"/>
      <c r="AU365" s="890"/>
      <c r="AV365" s="888"/>
      <c r="AW365" s="888"/>
      <c r="AX365" s="888"/>
      <c r="AY365" s="887"/>
      <c r="AZ365" s="888"/>
    </row>
    <row r="366" spans="3:52">
      <c r="C366" s="19"/>
      <c r="D366" s="19"/>
      <c r="E366" s="19"/>
      <c r="F366" s="19"/>
      <c r="G366" s="19"/>
      <c r="H366" s="19"/>
      <c r="I366" s="19"/>
      <c r="J366" s="19"/>
      <c r="K366" s="19"/>
      <c r="L366" s="19"/>
      <c r="M366" s="19"/>
      <c r="N366" s="19"/>
      <c r="O366" s="19"/>
      <c r="P366" s="19"/>
      <c r="Q366" s="19"/>
      <c r="R366" s="19"/>
      <c r="S366" s="19"/>
      <c r="T366" s="19"/>
      <c r="U366" s="19"/>
      <c r="V366" s="19"/>
      <c r="W366" s="19"/>
      <c r="X366" s="20">
        <f>SUM(X350:X365)</f>
        <v>1144.1108000000002</v>
      </c>
      <c r="Y366" s="20">
        <f t="shared" ref="Y366:AG366" si="271">SUM(Y350:Y365)</f>
        <v>9006.4402175999985</v>
      </c>
      <c r="Z366" s="20">
        <f t="shared" si="271"/>
        <v>18012.880435199997</v>
      </c>
      <c r="AA366" s="20">
        <f t="shared" si="271"/>
        <v>1801.2880435199995</v>
      </c>
      <c r="AB366" s="20">
        <f t="shared" si="271"/>
        <v>0</v>
      </c>
      <c r="AC366" s="20">
        <f t="shared" si="271"/>
        <v>0</v>
      </c>
      <c r="AD366" s="20" t="e">
        <f t="shared" si="271"/>
        <v>#DIV/0!</v>
      </c>
      <c r="AE366" s="20" t="e">
        <f t="shared" si="271"/>
        <v>#DIV/0!</v>
      </c>
      <c r="AF366" s="20" t="e">
        <f t="shared" si="271"/>
        <v>#DIV/0!</v>
      </c>
      <c r="AG366" s="20" t="e">
        <f t="shared" si="271"/>
        <v>#DIV/0!</v>
      </c>
      <c r="AH366" s="841"/>
      <c r="AI366" s="20">
        <f t="shared" ref="AI366:AJ366" si="272">SUM(AI350:AI365)</f>
        <v>0</v>
      </c>
      <c r="AJ366" s="20" t="e">
        <f t="shared" si="272"/>
        <v>#DIV/0!</v>
      </c>
      <c r="AK366" s="21"/>
      <c r="AL366" s="21"/>
      <c r="AM366" s="21"/>
      <c r="AN366" s="21"/>
      <c r="AO366" s="21"/>
      <c r="AP366" s="21"/>
      <c r="AQ366" s="21"/>
      <c r="AR366" s="21"/>
      <c r="AS366" s="21"/>
      <c r="AT366" s="21"/>
      <c r="AU366" s="21"/>
      <c r="AV366" s="21"/>
      <c r="AW366" s="21"/>
      <c r="AX366" s="21"/>
      <c r="AY366" s="21"/>
      <c r="AZ366" s="21"/>
    </row>
    <row r="367" spans="3:52">
      <c r="AH367" s="840"/>
    </row>
    <row r="368" spans="3:52" ht="26.1">
      <c r="C368" s="8" t="e">
        <f>"Zoning Area  AHU - " &amp; INT((ROW()-8)/20)+1 &amp; "  " &amp;IF(AQ370&gt;0,"Air-Conditioning System " &amp; IF(AH370="D","(DX)",IF(AH370="C","(Chilled Water)","")),IF(AND(N370="Amb",AQ370=0),"Ventilation System","Refer"))</f>
        <v>#DIV/0!</v>
      </c>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39"/>
      <c r="AI368" s="8"/>
      <c r="AJ368" s="8"/>
      <c r="AK368" s="8"/>
      <c r="AL368" s="8"/>
      <c r="AM368" s="8"/>
      <c r="AN368" s="8"/>
      <c r="AO368" s="8"/>
      <c r="AP368" s="8"/>
      <c r="AQ368" s="8"/>
      <c r="AR368" s="8"/>
      <c r="AS368" s="9" t="s">
        <v>221</v>
      </c>
      <c r="AT368" s="10"/>
      <c r="AU368" s="10"/>
      <c r="AV368" s="11"/>
      <c r="AW368" s="9" t="s">
        <v>222</v>
      </c>
      <c r="AX368" s="10"/>
      <c r="AY368" s="10"/>
      <c r="AZ368" s="11"/>
    </row>
    <row r="369" spans="3:52">
      <c r="C369" s="13">
        <f>IF(D369&lt;&gt;"",COUNTA($D$10:D369),"")</f>
        <v>306</v>
      </c>
      <c r="D369" s="5" t="s">
        <v>165</v>
      </c>
      <c r="E369" s="5" t="s">
        <v>166</v>
      </c>
      <c r="F369" s="5" t="s">
        <v>167</v>
      </c>
      <c r="G369" s="5" t="s">
        <v>168</v>
      </c>
      <c r="H369" s="5" t="s">
        <v>169</v>
      </c>
      <c r="I369" s="5" t="s">
        <v>170</v>
      </c>
      <c r="J369" s="5" t="s">
        <v>171</v>
      </c>
      <c r="K369" s="5" t="s">
        <v>172</v>
      </c>
      <c r="L369" s="5" t="s">
        <v>173</v>
      </c>
      <c r="M369" s="5" t="s">
        <v>174</v>
      </c>
      <c r="N369" s="5" t="s">
        <v>175</v>
      </c>
      <c r="O369" s="5" t="s">
        <v>176</v>
      </c>
      <c r="P369" s="5" t="s">
        <v>177</v>
      </c>
      <c r="Q369" s="5" t="s">
        <v>178</v>
      </c>
      <c r="R369" s="5" t="s">
        <v>199</v>
      </c>
      <c r="S369" s="5" t="s">
        <v>180</v>
      </c>
      <c r="T369" s="5" t="s">
        <v>223</v>
      </c>
      <c r="U369" s="5" t="s">
        <v>224</v>
      </c>
      <c r="V369" s="5" t="s">
        <v>199</v>
      </c>
      <c r="W369" s="5" t="s">
        <v>180</v>
      </c>
      <c r="X369" s="5" t="s">
        <v>225</v>
      </c>
      <c r="Y369" s="5" t="s">
        <v>226</v>
      </c>
      <c r="Z369" s="5" t="s">
        <v>227</v>
      </c>
      <c r="AA369" s="5" t="s">
        <v>228</v>
      </c>
      <c r="AB369" s="5" t="s">
        <v>229</v>
      </c>
      <c r="AC369" s="5" t="s">
        <v>230</v>
      </c>
      <c r="AD369" s="5" t="s">
        <v>231</v>
      </c>
      <c r="AE369" s="5" t="s">
        <v>232</v>
      </c>
      <c r="AF369" s="6" t="s">
        <v>233</v>
      </c>
      <c r="AG369" s="6" t="s">
        <v>234</v>
      </c>
      <c r="AH369" s="6" t="s">
        <v>235</v>
      </c>
      <c r="AI369" s="5" t="s">
        <v>236</v>
      </c>
      <c r="AJ369" s="5" t="s">
        <v>237</v>
      </c>
      <c r="AK369" s="5" t="s">
        <v>238</v>
      </c>
      <c r="AL369" s="5" t="s">
        <v>239</v>
      </c>
      <c r="AM369" s="5" t="s">
        <v>240</v>
      </c>
      <c r="AN369" s="5" t="s">
        <v>241</v>
      </c>
      <c r="AO369" s="5" t="s">
        <v>242</v>
      </c>
      <c r="AP369" s="5" t="s">
        <v>243</v>
      </c>
      <c r="AQ369" s="5" t="s">
        <v>244</v>
      </c>
      <c r="AR369" s="5" t="s">
        <v>245</v>
      </c>
      <c r="AS369" s="5" t="s">
        <v>246</v>
      </c>
      <c r="AT369" s="5" t="s">
        <v>247</v>
      </c>
      <c r="AU369" s="5" t="s">
        <v>248</v>
      </c>
      <c r="AV369" s="5" t="s">
        <v>249</v>
      </c>
      <c r="AW369" s="5" t="s">
        <v>250</v>
      </c>
      <c r="AX369" s="5" t="s">
        <v>251</v>
      </c>
      <c r="AY369" s="5" t="s">
        <v>252</v>
      </c>
      <c r="AZ369" s="5" t="s">
        <v>253</v>
      </c>
    </row>
    <row r="370" spans="3:52" ht="18.600000000000001">
      <c r="C370" s="13">
        <f>IF(D370&lt;&gt;"",COUNTA($D$10:D370),"")</f>
        <v>307</v>
      </c>
      <c r="D370" s="14" t="s">
        <v>200</v>
      </c>
      <c r="E370" s="14">
        <v>3</v>
      </c>
      <c r="F370" s="14">
        <v>3</v>
      </c>
      <c r="G370" s="14">
        <v>2.4</v>
      </c>
      <c r="H370" s="14">
        <v>1</v>
      </c>
      <c r="I370" s="14">
        <v>2</v>
      </c>
      <c r="J370" s="14">
        <v>1.75</v>
      </c>
      <c r="K370" s="14">
        <v>3</v>
      </c>
      <c r="L370" s="15">
        <v>0.1</v>
      </c>
      <c r="M370" s="15">
        <v>0</v>
      </c>
      <c r="N370" s="14">
        <v>24</v>
      </c>
      <c r="O370" s="14">
        <v>50</v>
      </c>
      <c r="P370" s="13">
        <v>45</v>
      </c>
      <c r="Q370" s="13">
        <v>85</v>
      </c>
      <c r="R370" s="13" t="s">
        <v>14</v>
      </c>
      <c r="S370" s="13">
        <v>120</v>
      </c>
      <c r="T370" s="13">
        <v>0</v>
      </c>
      <c r="U370" s="13">
        <v>100</v>
      </c>
      <c r="V370" s="13" t="str">
        <f>R370</f>
        <v>ISO 7</v>
      </c>
      <c r="W370" s="13">
        <f>S370</f>
        <v>120</v>
      </c>
      <c r="X370" s="16">
        <f>E370*F370*10.76</f>
        <v>96.84</v>
      </c>
      <c r="Y370" s="16">
        <f>X370*G370*3.28</f>
        <v>762.32447999999999</v>
      </c>
      <c r="Z370" s="16">
        <f>Y370*S370/60</f>
        <v>1524.64896</v>
      </c>
      <c r="AA370" s="16">
        <f>Z370*L370</f>
        <v>152.46489600000001</v>
      </c>
      <c r="AB370" s="16">
        <f>IF(N370="Amb",Z370,Z370*M370)</f>
        <v>0</v>
      </c>
      <c r="AC370" s="16">
        <f>IF(ISNUMBER(N370), (AA370*0.075*60/2.20462)*BP370/7000, "Ambient")</f>
        <v>0</v>
      </c>
      <c r="AD370" s="16" t="e">
        <f>IF(ISNUMBER(N370), CEILING(CF370/(0.68*BP370),25), "Ambient")</f>
        <v>#DIV/0!</v>
      </c>
      <c r="AE370" s="16" t="e">
        <f>CEILING(MAX((Z370+AA370),AD370),25)</f>
        <v>#DIV/0!</v>
      </c>
      <c r="AF370" s="16" t="e">
        <f>CEILING(IF(OR($R370="ISO 6",$R370="GRADE B",$R370="1K",$R370=1000),AE370*1/175,IF(OR($R370="ISO 5",$R370="GRADE A",$R370=100),AE370*1/100,IF(OR($R370="ISO 7",$R370="GRADE C",$R370="10K",$R370=10000),$AE370*1/250,IF(OR($R370="ISO 8",$R370="GRADE D",$R370="100K",$R370=100000),$AE370*1/250,IF(OR($R370="NC",$R370="20 Micron",$R370="5 Micron",$R370="N C"),$AE370*1/350,0))))),2)</f>
        <v>#DIV/0!</v>
      </c>
      <c r="AG370" s="16" t="e">
        <f>IF(ISNUMBER(N370), CEILING(MAX(AI370,AJ370),0.5), "Ambient")</f>
        <v>#DIV/0!</v>
      </c>
      <c r="AH370" s="838" t="s">
        <v>85</v>
      </c>
      <c r="AI370" s="17">
        <f>IF(ISNUMBER(N370), CEILING(CE370/12000,0.5), "Ambient")</f>
        <v>0</v>
      </c>
      <c r="AJ370" s="17" t="e">
        <f>IF(ISNUMBER(N370),CEILING(AE370/(IF(AH370="C",400,300)),0.5), "Ambient")</f>
        <v>#DIV/0!</v>
      </c>
      <c r="AK370" s="891" t="e">
        <f>CEILING(SUM(AE370:AE385),250)</f>
        <v>#DIV/0!</v>
      </c>
      <c r="AL370" s="18" t="s">
        <v>254</v>
      </c>
      <c r="AM370" s="889">
        <v>150</v>
      </c>
      <c r="AN370" s="891" t="e">
        <f>IF(AK370&lt;=1300,200,IF(AK370&lt;=1600,225,IF(AK370&lt;=2100,250,IF(AK370&lt;=2700,280,IF(AK370&lt;=3450,315,IF(AK370&lt;=4250,355,IF(AK370&lt;=5250,400,IF(AK370&lt;=6750,450,IF(AK370&lt;=8500,500,IF(AK370&lt;=10750,560,IF(AK370&lt;=13500,630,IF(AK370&lt;=17000,710,IF(AK370&lt;=21500,800,IF(AK370&lt;=27000,900,IF(AK370&lt;=34000,1000,IF(AK370&lt;=43000,1120,IF(AK370&lt;=49000,1200,IF(AK370&lt;=68000,1450,"Refer"))))))))))))))))))</f>
        <v>#DIV/0!</v>
      </c>
      <c r="AO370" s="888" t="e">
        <f>IF(AK370*AM370/(6356*0.7*0.9*1.1*25.4)&lt;=1,1,IF(AK370*AM370/(6356*0.7*0.9*1.1*25.4)&lt;=1.5,1.5,IF(AK370*AM370/(6356*0.7*0.9*1.1*25.4)&lt;=2,2,IF(AK370*AM370/(6356*0.7*0.9*1.1*25.4)&lt;=3,3,IF(AK370*AM370/(6356*0.7*0.9*1.1*25.4)&lt;=5,5,IF(AK370*AM370/(6356*0.7*0.9*1.1*25.4)&lt;=7.5,7.5,IF(AK370*AM370/(6356*0.7*0.9*1.1*25.4)&lt;=10,10,IF(AK370*AM370/(6356*0.7*0.9*1.1*25.4)&lt;=12.5,12.5,IF(AK370*AM370/(6356*0.7*0.9*1.1*25.4)&lt;=15,15,IF(AK370*AM370/(6356*0.7*0.9*1.1*25.4)&lt;=20,20,IF(AK370*AM370/(6356*0.7*0.9*1.1*25.4)&lt;=25,25,IF(AK370*AM370/(6356*0.7*0.9*1.1*25.4)&lt;=30,30,IF(AK370*AM370/(6356*0.7*0.9*1.1*25.4)&lt;=40,40,IF(AK370*AM370/(6356*0.7*0.9*1.1*25.4)&lt;=50,50,IF(AK370*AM370/(6356*0.7*0.9*1.1*25.4)&lt;=60,60,IF(AK370*AM370/(6356*0.7*0.9*1.1*25.4)&lt;=75,75,"Refer"))))))))))))))))</f>
        <v>#DIV/0!</v>
      </c>
      <c r="AP370" s="891" t="e">
        <f>IF(AND(AQ370=0, N370="Amb"), "Amb",IF((AL371-250)*(AL373-150)*10.76/(1000*1000) &gt;= MAX(AI386,AJ386), 4,IF((AL371-250)*(AL373-150)*10.76*1.5/(1000*1000) &gt;= MAX(AI386,AJ386), 6,IF((AL371-250)*(AL373-150)*10.76*2/(1000*1000) &gt;= MAX(AI386,AJ386), 8, 0))
 )
)</f>
        <v>#DIV/0!</v>
      </c>
      <c r="AQ370" s="891" t="e">
        <f>AG386</f>
        <v>#DIV/0!</v>
      </c>
      <c r="AR370" s="889">
        <f>_xlfn.SWITCH(TRIM(UPPER(R370)),"ISO 9", 3,"ISO 8", 4,"Grade D", 4,"Class 100,000", 4,"Class 100K", 4,"ISO 7", 3,"Grade C", 3,"Class 10,000", 3,"Class 10K", 3,"ISO 6", 3,"Class 1,000", 3,"Class 1K", 3,"ISO 5", 4,"Grade A", 4,"Grade B", 4,"Class 100", 4,"ISO 4", 3,"ISO 3", 4,"ISO 2", 4,"ISO 1", 4,"NCV20",1,"NCV-10",2,"NCV-5",3,"NCAC-10",1,"NCAC-5",2,"NCAC-1",3,3)</f>
        <v>3</v>
      </c>
      <c r="AS370" s="888" t="e">
        <f>MAX(AI386,AJ386)*24/6</f>
        <v>#DIV/0!</v>
      </c>
      <c r="AT370" s="888" t="e">
        <f>AS370*0.06309</f>
        <v>#DIV/0!</v>
      </c>
      <c r="AU370" s="890">
        <v>2</v>
      </c>
      <c r="AV370" s="888" t="e">
        <f>SQRT((4*AS370*0.00006309)/(3.14*AU370))*1000</f>
        <v>#DIV/0!</v>
      </c>
      <c r="AW370" s="888"/>
      <c r="AX370" s="888"/>
      <c r="AY370" s="887"/>
      <c r="AZ370" s="888"/>
    </row>
    <row r="371" spans="3:52" ht="18.600000000000001">
      <c r="C371" s="13">
        <f>IF(D371&lt;&gt;"",COUNTA($D$10:D371),"")</f>
        <v>308</v>
      </c>
      <c r="D371" s="14" t="s">
        <v>201</v>
      </c>
      <c r="E371" s="14">
        <v>1.8</v>
      </c>
      <c r="F371" s="14">
        <v>2.2000000000000002</v>
      </c>
      <c r="G371" s="14">
        <v>2.4</v>
      </c>
      <c r="H371" s="14">
        <v>2</v>
      </c>
      <c r="I371" s="14">
        <v>1</v>
      </c>
      <c r="J371" s="14">
        <v>1.75</v>
      </c>
      <c r="K371" s="14">
        <v>3</v>
      </c>
      <c r="L371" s="15">
        <v>0.1</v>
      </c>
      <c r="M371" s="15">
        <v>0</v>
      </c>
      <c r="N371" s="14">
        <v>24</v>
      </c>
      <c r="O371" s="14">
        <v>50</v>
      </c>
      <c r="P371" s="13">
        <v>45</v>
      </c>
      <c r="Q371" s="13">
        <v>85</v>
      </c>
      <c r="R371" s="13" t="s">
        <v>14</v>
      </c>
      <c r="S371" s="13">
        <v>120</v>
      </c>
      <c r="T371" s="13">
        <v>0</v>
      </c>
      <c r="U371" s="13">
        <v>100</v>
      </c>
      <c r="V371" s="13" t="str">
        <f t="shared" ref="V371:W385" si="273">R371</f>
        <v>ISO 7</v>
      </c>
      <c r="W371" s="13">
        <f t="shared" si="273"/>
        <v>120</v>
      </c>
      <c r="X371" s="16">
        <f t="shared" ref="X371:X385" si="274">E371*F371*10.76</f>
        <v>42.6096</v>
      </c>
      <c r="Y371" s="16">
        <f t="shared" ref="Y371:Y385" si="275">X371*G371*3.28</f>
        <v>335.4227712</v>
      </c>
      <c r="Z371" s="16">
        <f t="shared" ref="Z371:Z385" si="276">Y371*S371/60</f>
        <v>670.8455424</v>
      </c>
      <c r="AA371" s="16">
        <f t="shared" ref="AA371:AA385" si="277">Z371*L371</f>
        <v>67.084554240000003</v>
      </c>
      <c r="AB371" s="16">
        <f t="shared" ref="AB371:AB385" si="278">IF(N371="Amb",Z371,Z371*M371)</f>
        <v>0</v>
      </c>
      <c r="AC371" s="16">
        <f t="shared" ref="AC371:AC385" si="279">IF(ISNUMBER(N371), (AA371*0.075*60/2.20462)*BP371/7000, "Ambient")</f>
        <v>0</v>
      </c>
      <c r="AD371" s="16" t="e">
        <f t="shared" ref="AD371:AD377" si="280">IF(ISNUMBER(N371), CEILING(CF371/(0.68*BP371),25), "Ambient")</f>
        <v>#DIV/0!</v>
      </c>
      <c r="AE371" s="16" t="e">
        <f t="shared" ref="AE371:AE385" si="281">CEILING(MAX((Z371+AA371),AD371),25)</f>
        <v>#DIV/0!</v>
      </c>
      <c r="AF371" s="16" t="e">
        <f t="shared" ref="AF371:AF385" si="282">CEILING(IF(OR($R371="ISO 6",$R371="GRADE B",$R371="1K",$R371=1000),AE371*1/175,IF(OR($R371="ISO 5",$R371="GRADE A",$R371=100),AE371*1/100,IF(OR($R371="ISO 7",$R371="GRADE C",$R371="10K",$R371=10000),$AE371*1/250,IF(OR($R371="ISO 8",$R371="GRADE D",$R371="100K",$R371=100000),$AE371*1/250,IF(OR($R371="NC",$R371="20 Micron",$R371="5 Micron",$R371="N C"),$AE371*1/350,0))))),2)</f>
        <v>#DIV/0!</v>
      </c>
      <c r="AG371" s="16" t="e">
        <f t="shared" ref="AG371:AG385" si="283">IF(ISNUMBER(N371), CEILING(MAX(AI371,AJ371),0.5), "Ambient")</f>
        <v>#DIV/0!</v>
      </c>
      <c r="AH371" s="838" t="s">
        <v>85</v>
      </c>
      <c r="AI371" s="17">
        <f t="shared" ref="AI371:AI385" si="284">IF(ISNUMBER(N371), CEILING(CE371/12000,0.5), "Ambient")</f>
        <v>0</v>
      </c>
      <c r="AJ371" s="17" t="e">
        <f t="shared" ref="AJ371:AJ385" si="285">IF(ISNUMBER(N371),CEILING(AE371/(IF(AH371="C",400,300)),0.5), "Ambient")</f>
        <v>#DIV/0!</v>
      </c>
      <c r="AK371" s="891"/>
      <c r="AL371" s="18" t="e">
        <f>IF(AK370&lt;=2000,950,(IF(AK370&lt;=3000,1150,(IF(AK370&lt;=8000,1550,(IF(AK370&lt;=10000,1750,(IF(AK370&lt;=18000,2050,(IF(AK370&lt;=32000,2900,(IF(AK370&lt;=40000,3600,4000)))))))))))))</f>
        <v>#DIV/0!</v>
      </c>
      <c r="AM371" s="889"/>
      <c r="AN371" s="891"/>
      <c r="AO371" s="888"/>
      <c r="AP371" s="891"/>
      <c r="AQ371" s="891"/>
      <c r="AR371" s="889"/>
      <c r="AS371" s="888"/>
      <c r="AT371" s="888"/>
      <c r="AU371" s="890"/>
      <c r="AV371" s="888"/>
      <c r="AW371" s="888"/>
      <c r="AX371" s="888"/>
      <c r="AY371" s="887"/>
      <c r="AZ371" s="888"/>
    </row>
    <row r="372" spans="3:52" ht="18.600000000000001">
      <c r="C372" s="13">
        <f>IF(D372&lt;&gt;"",COUNTA($D$10:D372),"")</f>
        <v>309</v>
      </c>
      <c r="D372" s="14" t="s">
        <v>202</v>
      </c>
      <c r="E372" s="14">
        <v>1.5</v>
      </c>
      <c r="F372" s="14">
        <v>2.8</v>
      </c>
      <c r="G372" s="14">
        <v>2.4</v>
      </c>
      <c r="H372" s="14">
        <v>2</v>
      </c>
      <c r="I372" s="14">
        <v>3</v>
      </c>
      <c r="J372" s="14">
        <v>1.75</v>
      </c>
      <c r="K372" s="14">
        <v>3</v>
      </c>
      <c r="L372" s="15">
        <v>0.1</v>
      </c>
      <c r="M372" s="15">
        <v>0</v>
      </c>
      <c r="N372" s="14">
        <v>24</v>
      </c>
      <c r="O372" s="14">
        <v>50</v>
      </c>
      <c r="P372" s="13">
        <v>45</v>
      </c>
      <c r="Q372" s="13">
        <v>85</v>
      </c>
      <c r="R372" s="13" t="s">
        <v>14</v>
      </c>
      <c r="S372" s="13">
        <v>120</v>
      </c>
      <c r="T372" s="13">
        <v>0</v>
      </c>
      <c r="U372" s="13">
        <v>100</v>
      </c>
      <c r="V372" s="13" t="str">
        <f t="shared" si="273"/>
        <v>ISO 7</v>
      </c>
      <c r="W372" s="13">
        <f t="shared" si="273"/>
        <v>120</v>
      </c>
      <c r="X372" s="16">
        <f t="shared" si="274"/>
        <v>45.191999999999993</v>
      </c>
      <c r="Y372" s="16">
        <f t="shared" si="275"/>
        <v>355.75142399999993</v>
      </c>
      <c r="Z372" s="16">
        <f t="shared" si="276"/>
        <v>711.50284799999986</v>
      </c>
      <c r="AA372" s="16">
        <f t="shared" si="277"/>
        <v>71.150284799999994</v>
      </c>
      <c r="AB372" s="16">
        <f t="shared" si="278"/>
        <v>0</v>
      </c>
      <c r="AC372" s="16">
        <f t="shared" si="279"/>
        <v>0</v>
      </c>
      <c r="AD372" s="16" t="e">
        <f t="shared" si="280"/>
        <v>#DIV/0!</v>
      </c>
      <c r="AE372" s="16" t="e">
        <f t="shared" si="281"/>
        <v>#DIV/0!</v>
      </c>
      <c r="AF372" s="16" t="e">
        <f t="shared" si="282"/>
        <v>#DIV/0!</v>
      </c>
      <c r="AG372" s="16" t="e">
        <f t="shared" si="283"/>
        <v>#DIV/0!</v>
      </c>
      <c r="AH372" s="838" t="s">
        <v>85</v>
      </c>
      <c r="AI372" s="17">
        <f t="shared" si="284"/>
        <v>0</v>
      </c>
      <c r="AJ372" s="17" t="e">
        <f t="shared" si="285"/>
        <v>#DIV/0!</v>
      </c>
      <c r="AK372" s="891"/>
      <c r="AL372" s="18" t="s">
        <v>255</v>
      </c>
      <c r="AM372" s="889"/>
      <c r="AN372" s="891"/>
      <c r="AO372" s="888"/>
      <c r="AP372" s="891"/>
      <c r="AQ372" s="891"/>
      <c r="AR372" s="889"/>
      <c r="AS372" s="888"/>
      <c r="AT372" s="888"/>
      <c r="AU372" s="890"/>
      <c r="AV372" s="888"/>
      <c r="AW372" s="888"/>
      <c r="AX372" s="888"/>
      <c r="AY372" s="887"/>
      <c r="AZ372" s="888"/>
    </row>
    <row r="373" spans="3:52" ht="18.600000000000001">
      <c r="C373" s="13">
        <f>IF(D373&lt;&gt;"",COUNTA($D$10:D373),"")</f>
        <v>310</v>
      </c>
      <c r="D373" s="14" t="s">
        <v>203</v>
      </c>
      <c r="E373" s="14">
        <v>2.1</v>
      </c>
      <c r="F373" s="14">
        <v>3.5</v>
      </c>
      <c r="G373" s="14">
        <v>2.4</v>
      </c>
      <c r="H373" s="14">
        <v>0</v>
      </c>
      <c r="I373" s="14">
        <v>1</v>
      </c>
      <c r="J373" s="14">
        <v>1.75</v>
      </c>
      <c r="K373" s="14">
        <v>3</v>
      </c>
      <c r="L373" s="15">
        <v>0.1</v>
      </c>
      <c r="M373" s="15">
        <v>0</v>
      </c>
      <c r="N373" s="14">
        <v>24</v>
      </c>
      <c r="O373" s="14">
        <v>50</v>
      </c>
      <c r="P373" s="13">
        <v>45</v>
      </c>
      <c r="Q373" s="13">
        <v>85</v>
      </c>
      <c r="R373" s="13" t="s">
        <v>14</v>
      </c>
      <c r="S373" s="13">
        <v>120</v>
      </c>
      <c r="T373" s="13">
        <v>0</v>
      </c>
      <c r="U373" s="13">
        <v>100</v>
      </c>
      <c r="V373" s="13" t="str">
        <f t="shared" si="273"/>
        <v>ISO 7</v>
      </c>
      <c r="W373" s="13">
        <f t="shared" si="273"/>
        <v>120</v>
      </c>
      <c r="X373" s="16">
        <f t="shared" si="274"/>
        <v>79.085999999999999</v>
      </c>
      <c r="Y373" s="16">
        <f t="shared" si="275"/>
        <v>622.56499199999996</v>
      </c>
      <c r="Z373" s="16">
        <f t="shared" si="276"/>
        <v>1245.1299839999999</v>
      </c>
      <c r="AA373" s="16">
        <f t="shared" si="277"/>
        <v>124.5129984</v>
      </c>
      <c r="AB373" s="16">
        <f t="shared" si="278"/>
        <v>0</v>
      </c>
      <c r="AC373" s="16">
        <f t="shared" si="279"/>
        <v>0</v>
      </c>
      <c r="AD373" s="16" t="e">
        <f t="shared" si="280"/>
        <v>#DIV/0!</v>
      </c>
      <c r="AE373" s="16" t="e">
        <f t="shared" si="281"/>
        <v>#DIV/0!</v>
      </c>
      <c r="AF373" s="16" t="e">
        <f t="shared" si="282"/>
        <v>#DIV/0!</v>
      </c>
      <c r="AG373" s="16" t="e">
        <f t="shared" si="283"/>
        <v>#DIV/0!</v>
      </c>
      <c r="AH373" s="838" t="s">
        <v>85</v>
      </c>
      <c r="AI373" s="17">
        <f t="shared" si="284"/>
        <v>0</v>
      </c>
      <c r="AJ373" s="17" t="e">
        <f t="shared" si="285"/>
        <v>#DIV/0!</v>
      </c>
      <c r="AK373" s="891"/>
      <c r="AL373" s="18" t="e">
        <f>IF(AK370&lt;=2000,950,(IF(AK370&lt;=4000,1100,(IF(AK370&lt;=6000,1250,(IF(AK370&lt;=10000,1550,(IF(AK370&lt;=15000,1750,(IF(AK370&lt;=24000,2050,(IF(AK370&lt;=40000,2900,3600)))))))))))))</f>
        <v>#DIV/0!</v>
      </c>
      <c r="AM373" s="889"/>
      <c r="AN373" s="891"/>
      <c r="AO373" s="888"/>
      <c r="AP373" s="891"/>
      <c r="AQ373" s="891"/>
      <c r="AR373" s="889"/>
      <c r="AS373" s="888"/>
      <c r="AT373" s="888"/>
      <c r="AU373" s="890"/>
      <c r="AV373" s="888"/>
      <c r="AW373" s="888"/>
      <c r="AX373" s="888"/>
      <c r="AY373" s="887"/>
      <c r="AZ373" s="888"/>
    </row>
    <row r="374" spans="3:52" ht="18.600000000000001">
      <c r="C374" s="13">
        <f>IF(D374&lt;&gt;"",COUNTA($D$10:D374),"")</f>
        <v>311</v>
      </c>
      <c r="D374" s="14" t="s">
        <v>204</v>
      </c>
      <c r="E374" s="14">
        <v>2.7</v>
      </c>
      <c r="F374" s="14">
        <v>4</v>
      </c>
      <c r="G374" s="14">
        <v>2.4</v>
      </c>
      <c r="H374" s="14">
        <v>2</v>
      </c>
      <c r="I374" s="14">
        <v>1</v>
      </c>
      <c r="J374" s="14">
        <v>1.75</v>
      </c>
      <c r="K374" s="14">
        <v>3</v>
      </c>
      <c r="L374" s="15">
        <v>0.1</v>
      </c>
      <c r="M374" s="15">
        <v>0</v>
      </c>
      <c r="N374" s="14">
        <v>24</v>
      </c>
      <c r="O374" s="14">
        <v>50</v>
      </c>
      <c r="P374" s="13">
        <v>45</v>
      </c>
      <c r="Q374" s="13">
        <v>85</v>
      </c>
      <c r="R374" s="13" t="s">
        <v>14</v>
      </c>
      <c r="S374" s="13">
        <v>120</v>
      </c>
      <c r="T374" s="13">
        <v>0</v>
      </c>
      <c r="U374" s="13">
        <v>100</v>
      </c>
      <c r="V374" s="13" t="str">
        <f t="shared" si="273"/>
        <v>ISO 7</v>
      </c>
      <c r="W374" s="13">
        <f t="shared" si="273"/>
        <v>120</v>
      </c>
      <c r="X374" s="16">
        <f t="shared" si="274"/>
        <v>116.208</v>
      </c>
      <c r="Y374" s="16">
        <f t="shared" si="275"/>
        <v>914.78937599999995</v>
      </c>
      <c r="Z374" s="16">
        <f t="shared" si="276"/>
        <v>1829.5787519999999</v>
      </c>
      <c r="AA374" s="16">
        <f t="shared" si="277"/>
        <v>182.95787519999999</v>
      </c>
      <c r="AB374" s="16">
        <f t="shared" si="278"/>
        <v>0</v>
      </c>
      <c r="AC374" s="16">
        <f t="shared" si="279"/>
        <v>0</v>
      </c>
      <c r="AD374" s="16" t="e">
        <f t="shared" si="280"/>
        <v>#DIV/0!</v>
      </c>
      <c r="AE374" s="16" t="e">
        <f t="shared" si="281"/>
        <v>#DIV/0!</v>
      </c>
      <c r="AF374" s="16" t="e">
        <f t="shared" si="282"/>
        <v>#DIV/0!</v>
      </c>
      <c r="AG374" s="16" t="e">
        <f t="shared" si="283"/>
        <v>#DIV/0!</v>
      </c>
      <c r="AH374" s="838" t="s">
        <v>85</v>
      </c>
      <c r="AI374" s="17">
        <f t="shared" si="284"/>
        <v>0</v>
      </c>
      <c r="AJ374" s="17" t="e">
        <f t="shared" si="285"/>
        <v>#DIV/0!</v>
      </c>
      <c r="AK374" s="891"/>
      <c r="AL374" s="18" t="s">
        <v>256</v>
      </c>
      <c r="AM374" s="889"/>
      <c r="AN374" s="891"/>
      <c r="AO374" s="888"/>
      <c r="AP374" s="891"/>
      <c r="AQ374" s="891"/>
      <c r="AR374" s="889"/>
      <c r="AS374" s="888"/>
      <c r="AT374" s="888"/>
      <c r="AU374" s="890"/>
      <c r="AV374" s="888"/>
      <c r="AW374" s="888"/>
      <c r="AX374" s="888"/>
      <c r="AY374" s="887"/>
      <c r="AZ374" s="888"/>
    </row>
    <row r="375" spans="3:52" ht="18.600000000000001">
      <c r="C375" s="13">
        <f>IF(D375&lt;&gt;"",COUNTA($D$10:D375),"")</f>
        <v>312</v>
      </c>
      <c r="D375" s="14" t="s">
        <v>205</v>
      </c>
      <c r="E375" s="14">
        <v>3.8</v>
      </c>
      <c r="F375" s="14">
        <v>4.2</v>
      </c>
      <c r="G375" s="14">
        <v>2.4</v>
      </c>
      <c r="H375" s="14">
        <v>3</v>
      </c>
      <c r="I375" s="14">
        <v>3</v>
      </c>
      <c r="J375" s="14">
        <v>1.75</v>
      </c>
      <c r="K375" s="14">
        <v>3</v>
      </c>
      <c r="L375" s="15">
        <v>0.1</v>
      </c>
      <c r="M375" s="15">
        <v>0</v>
      </c>
      <c r="N375" s="14">
        <v>24</v>
      </c>
      <c r="O375" s="14">
        <v>50</v>
      </c>
      <c r="P375" s="13">
        <v>45</v>
      </c>
      <c r="Q375" s="13">
        <v>85</v>
      </c>
      <c r="R375" s="13" t="s">
        <v>14</v>
      </c>
      <c r="S375" s="13">
        <v>120</v>
      </c>
      <c r="T375" s="13">
        <v>0</v>
      </c>
      <c r="U375" s="13">
        <v>100</v>
      </c>
      <c r="V375" s="13" t="str">
        <f t="shared" si="273"/>
        <v>ISO 7</v>
      </c>
      <c r="W375" s="13">
        <f t="shared" si="273"/>
        <v>120</v>
      </c>
      <c r="X375" s="16">
        <f t="shared" si="274"/>
        <v>171.72959999999998</v>
      </c>
      <c r="Y375" s="16">
        <f t="shared" si="275"/>
        <v>1351.8554111999997</v>
      </c>
      <c r="Z375" s="16">
        <f t="shared" si="276"/>
        <v>2703.7108223999994</v>
      </c>
      <c r="AA375" s="16">
        <f t="shared" si="277"/>
        <v>270.37108223999996</v>
      </c>
      <c r="AB375" s="16">
        <f t="shared" si="278"/>
        <v>0</v>
      </c>
      <c r="AC375" s="16">
        <f t="shared" si="279"/>
        <v>0</v>
      </c>
      <c r="AD375" s="16" t="e">
        <f t="shared" si="280"/>
        <v>#DIV/0!</v>
      </c>
      <c r="AE375" s="16" t="e">
        <f t="shared" si="281"/>
        <v>#DIV/0!</v>
      </c>
      <c r="AF375" s="16" t="e">
        <f t="shared" si="282"/>
        <v>#DIV/0!</v>
      </c>
      <c r="AG375" s="16" t="e">
        <f t="shared" si="283"/>
        <v>#DIV/0!</v>
      </c>
      <c r="AH375" s="838" t="s">
        <v>85</v>
      </c>
      <c r="AI375" s="17">
        <f t="shared" si="284"/>
        <v>0</v>
      </c>
      <c r="AJ375" s="17" t="e">
        <f t="shared" si="285"/>
        <v>#DIV/0!</v>
      </c>
      <c r="AK375" s="891"/>
      <c r="AL375" s="18" t="e">
        <f>IF(AL379&lt;4000,AL379,AL379+400)</f>
        <v>#DIV/0!</v>
      </c>
      <c r="AM375" s="889"/>
      <c r="AN375" s="891"/>
      <c r="AO375" s="888"/>
      <c r="AP375" s="891"/>
      <c r="AQ375" s="891"/>
      <c r="AR375" s="889"/>
      <c r="AS375" s="888"/>
      <c r="AT375" s="888"/>
      <c r="AU375" s="890"/>
      <c r="AV375" s="888"/>
      <c r="AW375" s="888"/>
      <c r="AX375" s="888"/>
      <c r="AY375" s="887"/>
      <c r="AZ375" s="888"/>
    </row>
    <row r="376" spans="3:52" ht="18.600000000000001">
      <c r="C376" s="13">
        <f>IF(D376&lt;&gt;"",COUNTA($D$10:D376),"")</f>
        <v>313</v>
      </c>
      <c r="D376" s="14" t="s">
        <v>206</v>
      </c>
      <c r="E376" s="14">
        <v>3.1</v>
      </c>
      <c r="F376" s="14">
        <v>2.6</v>
      </c>
      <c r="G376" s="14">
        <v>2.4</v>
      </c>
      <c r="H376" s="14">
        <v>2</v>
      </c>
      <c r="I376" s="14">
        <v>1</v>
      </c>
      <c r="J376" s="14">
        <v>1.75</v>
      </c>
      <c r="K376" s="14">
        <v>3</v>
      </c>
      <c r="L376" s="15">
        <v>0.1</v>
      </c>
      <c r="M376" s="15">
        <v>0</v>
      </c>
      <c r="N376" s="14">
        <v>24</v>
      </c>
      <c r="O376" s="14">
        <v>50</v>
      </c>
      <c r="P376" s="13">
        <v>45</v>
      </c>
      <c r="Q376" s="13">
        <v>85</v>
      </c>
      <c r="R376" s="13" t="s">
        <v>14</v>
      </c>
      <c r="S376" s="13">
        <v>120</v>
      </c>
      <c r="T376" s="13">
        <v>0</v>
      </c>
      <c r="U376" s="13">
        <v>100</v>
      </c>
      <c r="V376" s="13" t="str">
        <f t="shared" si="273"/>
        <v>ISO 7</v>
      </c>
      <c r="W376" s="13">
        <f t="shared" si="273"/>
        <v>120</v>
      </c>
      <c r="X376" s="16">
        <f t="shared" si="274"/>
        <v>86.7256</v>
      </c>
      <c r="Y376" s="16">
        <f t="shared" si="275"/>
        <v>682.70392319999996</v>
      </c>
      <c r="Z376" s="16">
        <f t="shared" si="276"/>
        <v>1365.4078463999999</v>
      </c>
      <c r="AA376" s="16">
        <f t="shared" si="277"/>
        <v>136.54078464</v>
      </c>
      <c r="AB376" s="16">
        <f t="shared" si="278"/>
        <v>0</v>
      </c>
      <c r="AC376" s="16">
        <f t="shared" si="279"/>
        <v>0</v>
      </c>
      <c r="AD376" s="16" t="e">
        <f t="shared" si="280"/>
        <v>#DIV/0!</v>
      </c>
      <c r="AE376" s="16" t="e">
        <f t="shared" si="281"/>
        <v>#DIV/0!</v>
      </c>
      <c r="AF376" s="16" t="e">
        <f t="shared" si="282"/>
        <v>#DIV/0!</v>
      </c>
      <c r="AG376" s="16" t="e">
        <f t="shared" si="283"/>
        <v>#DIV/0!</v>
      </c>
      <c r="AH376" s="838" t="s">
        <v>85</v>
      </c>
      <c r="AI376" s="17">
        <f t="shared" si="284"/>
        <v>0</v>
      </c>
      <c r="AJ376" s="17" t="e">
        <f t="shared" si="285"/>
        <v>#DIV/0!</v>
      </c>
      <c r="AK376" s="891"/>
      <c r="AL376" s="18"/>
      <c r="AM376" s="889"/>
      <c r="AN376" s="891"/>
      <c r="AO376" s="888"/>
      <c r="AP376" s="891"/>
      <c r="AQ376" s="891"/>
      <c r="AR376" s="889"/>
      <c r="AS376" s="888"/>
      <c r="AT376" s="888"/>
      <c r="AU376" s="890"/>
      <c r="AV376" s="888"/>
      <c r="AW376" s="888"/>
      <c r="AX376" s="888"/>
      <c r="AY376" s="887"/>
      <c r="AZ376" s="888"/>
    </row>
    <row r="377" spans="3:52" ht="18.600000000000001">
      <c r="C377" s="13">
        <f>IF(D377&lt;&gt;"",COUNTA($D$10:D377),"")</f>
        <v>314</v>
      </c>
      <c r="D377" s="14" t="s">
        <v>207</v>
      </c>
      <c r="E377" s="14">
        <v>1.9</v>
      </c>
      <c r="F377" s="14">
        <v>2.4</v>
      </c>
      <c r="G377" s="14">
        <v>2.4</v>
      </c>
      <c r="H377" s="14">
        <v>3</v>
      </c>
      <c r="I377" s="14">
        <v>2</v>
      </c>
      <c r="J377" s="14">
        <v>1.75</v>
      </c>
      <c r="K377" s="14">
        <v>3</v>
      </c>
      <c r="L377" s="15">
        <v>0.1</v>
      </c>
      <c r="M377" s="15">
        <v>0</v>
      </c>
      <c r="N377" s="14">
        <v>24</v>
      </c>
      <c r="O377" s="14">
        <v>50</v>
      </c>
      <c r="P377" s="13">
        <v>45</v>
      </c>
      <c r="Q377" s="13">
        <v>85</v>
      </c>
      <c r="R377" s="13" t="s">
        <v>14</v>
      </c>
      <c r="S377" s="13">
        <v>120</v>
      </c>
      <c r="T377" s="13">
        <v>0</v>
      </c>
      <c r="U377" s="13">
        <v>100</v>
      </c>
      <c r="V377" s="13" t="str">
        <f t="shared" si="273"/>
        <v>ISO 7</v>
      </c>
      <c r="W377" s="13">
        <f t="shared" si="273"/>
        <v>120</v>
      </c>
      <c r="X377" s="16">
        <f t="shared" si="274"/>
        <v>49.065599999999996</v>
      </c>
      <c r="Y377" s="16">
        <f t="shared" si="275"/>
        <v>386.24440319999997</v>
      </c>
      <c r="Z377" s="16">
        <f t="shared" si="276"/>
        <v>772.48880639999993</v>
      </c>
      <c r="AA377" s="16">
        <f t="shared" si="277"/>
        <v>77.248880639999996</v>
      </c>
      <c r="AB377" s="16">
        <f t="shared" si="278"/>
        <v>0</v>
      </c>
      <c r="AC377" s="16">
        <f t="shared" si="279"/>
        <v>0</v>
      </c>
      <c r="AD377" s="16" t="e">
        <f t="shared" si="280"/>
        <v>#DIV/0!</v>
      </c>
      <c r="AE377" s="16" t="e">
        <f t="shared" si="281"/>
        <v>#DIV/0!</v>
      </c>
      <c r="AF377" s="16" t="e">
        <f t="shared" si="282"/>
        <v>#DIV/0!</v>
      </c>
      <c r="AG377" s="16" t="e">
        <f t="shared" si="283"/>
        <v>#DIV/0!</v>
      </c>
      <c r="AH377" s="838" t="s">
        <v>85</v>
      </c>
      <c r="AI377" s="17">
        <f t="shared" si="284"/>
        <v>0</v>
      </c>
      <c r="AJ377" s="17" t="e">
        <f t="shared" si="285"/>
        <v>#DIV/0!</v>
      </c>
      <c r="AK377" s="891"/>
      <c r="AL377" s="18"/>
      <c r="AM377" s="889"/>
      <c r="AN377" s="891"/>
      <c r="AO377" s="888"/>
      <c r="AP377" s="891"/>
      <c r="AQ377" s="891"/>
      <c r="AR377" s="889"/>
      <c r="AS377" s="888"/>
      <c r="AT377" s="888"/>
      <c r="AU377" s="890"/>
      <c r="AV377" s="888"/>
      <c r="AW377" s="888"/>
      <c r="AX377" s="888"/>
      <c r="AY377" s="887"/>
      <c r="AZ377" s="888"/>
    </row>
    <row r="378" spans="3:52" ht="18.600000000000001">
      <c r="C378" s="13">
        <f>IF(D378&lt;&gt;"",COUNTA($D$10:D378),"")</f>
        <v>315</v>
      </c>
      <c r="D378" s="14" t="s">
        <v>208</v>
      </c>
      <c r="E378" s="14">
        <v>3</v>
      </c>
      <c r="F378" s="14">
        <v>2.9</v>
      </c>
      <c r="G378" s="14">
        <v>2.4</v>
      </c>
      <c r="H378" s="14">
        <v>2</v>
      </c>
      <c r="I378" s="14">
        <v>1</v>
      </c>
      <c r="J378" s="14">
        <v>1.75</v>
      </c>
      <c r="K378" s="14">
        <v>3</v>
      </c>
      <c r="L378" s="15">
        <v>0.1</v>
      </c>
      <c r="M378" s="15">
        <v>0</v>
      </c>
      <c r="N378" s="14">
        <v>24</v>
      </c>
      <c r="O378" s="14">
        <v>50</v>
      </c>
      <c r="P378" s="13">
        <v>45</v>
      </c>
      <c r="Q378" s="13">
        <v>85</v>
      </c>
      <c r="R378" s="13" t="s">
        <v>14</v>
      </c>
      <c r="S378" s="13">
        <v>120</v>
      </c>
      <c r="T378" s="13">
        <v>0</v>
      </c>
      <c r="U378" s="13">
        <v>100</v>
      </c>
      <c r="V378" s="13" t="str">
        <f t="shared" si="273"/>
        <v>ISO 7</v>
      </c>
      <c r="W378" s="13">
        <f t="shared" si="273"/>
        <v>120</v>
      </c>
      <c r="X378" s="16">
        <f t="shared" si="274"/>
        <v>93.611999999999995</v>
      </c>
      <c r="Y378" s="16">
        <f t="shared" si="275"/>
        <v>736.91366399999993</v>
      </c>
      <c r="Z378" s="16">
        <f t="shared" si="276"/>
        <v>1473.8273279999999</v>
      </c>
      <c r="AA378" s="16">
        <f t="shared" si="277"/>
        <v>147.38273279999999</v>
      </c>
      <c r="AB378" s="16">
        <f t="shared" si="278"/>
        <v>0</v>
      </c>
      <c r="AC378" s="16">
        <f t="shared" si="279"/>
        <v>0</v>
      </c>
      <c r="AD378" s="16" t="e">
        <f>IF(ISNUMBER(N378), CEILING(CF378/(0.68*BP378),25), "Ambient")</f>
        <v>#DIV/0!</v>
      </c>
      <c r="AE378" s="16" t="e">
        <f t="shared" si="281"/>
        <v>#DIV/0!</v>
      </c>
      <c r="AF378" s="16" t="e">
        <f t="shared" si="282"/>
        <v>#DIV/0!</v>
      </c>
      <c r="AG378" s="16" t="e">
        <f t="shared" si="283"/>
        <v>#DIV/0!</v>
      </c>
      <c r="AH378" s="838" t="s">
        <v>85</v>
      </c>
      <c r="AI378" s="17">
        <f t="shared" si="284"/>
        <v>0</v>
      </c>
      <c r="AJ378" s="17" t="e">
        <f t="shared" si="285"/>
        <v>#DIV/0!</v>
      </c>
      <c r="AK378" s="891"/>
      <c r="AL378" s="18"/>
      <c r="AM378" s="889"/>
      <c r="AN378" s="891"/>
      <c r="AO378" s="888"/>
      <c r="AP378" s="891"/>
      <c r="AQ378" s="891"/>
      <c r="AR378" s="889"/>
      <c r="AS378" s="888"/>
      <c r="AT378" s="888"/>
      <c r="AU378" s="890"/>
      <c r="AV378" s="888"/>
      <c r="AW378" s="888"/>
      <c r="AX378" s="888"/>
      <c r="AY378" s="887"/>
      <c r="AZ378" s="888"/>
    </row>
    <row r="379" spans="3:52" ht="18.600000000000001">
      <c r="C379" s="13">
        <f>IF(D379&lt;&gt;"",COUNTA($D$10:D379),"")</f>
        <v>316</v>
      </c>
      <c r="D379" s="14" t="s">
        <v>209</v>
      </c>
      <c r="E379" s="14">
        <v>2.4</v>
      </c>
      <c r="F379" s="14">
        <v>2</v>
      </c>
      <c r="G379" s="14">
        <v>2.4</v>
      </c>
      <c r="H379" s="14">
        <v>2</v>
      </c>
      <c r="I379" s="14">
        <v>1</v>
      </c>
      <c r="J379" s="14">
        <v>1.75</v>
      </c>
      <c r="K379" s="14">
        <v>3</v>
      </c>
      <c r="L379" s="15">
        <v>0.1</v>
      </c>
      <c r="M379" s="15">
        <v>0</v>
      </c>
      <c r="N379" s="14">
        <v>24</v>
      </c>
      <c r="O379" s="14">
        <v>50</v>
      </c>
      <c r="P379" s="13">
        <v>45</v>
      </c>
      <c r="Q379" s="13">
        <v>85</v>
      </c>
      <c r="R379" s="13" t="s">
        <v>14</v>
      </c>
      <c r="S379" s="13">
        <v>120</v>
      </c>
      <c r="T379" s="13">
        <v>0</v>
      </c>
      <c r="U379" s="13">
        <v>100</v>
      </c>
      <c r="V379" s="13" t="str">
        <f t="shared" si="273"/>
        <v>ISO 7</v>
      </c>
      <c r="W379" s="13">
        <f t="shared" si="273"/>
        <v>120</v>
      </c>
      <c r="X379" s="16">
        <f t="shared" si="274"/>
        <v>51.647999999999996</v>
      </c>
      <c r="Y379" s="16">
        <f t="shared" si="275"/>
        <v>406.57305599999995</v>
      </c>
      <c r="Z379" s="16">
        <f t="shared" si="276"/>
        <v>813.1461119999999</v>
      </c>
      <c r="AA379" s="16">
        <f t="shared" si="277"/>
        <v>81.314611200000002</v>
      </c>
      <c r="AB379" s="16">
        <f t="shared" si="278"/>
        <v>0</v>
      </c>
      <c r="AC379" s="16">
        <f t="shared" si="279"/>
        <v>0</v>
      </c>
      <c r="AD379" s="16" t="e">
        <f t="shared" ref="AD379:AD385" si="286">IF(ISNUMBER(N379), CEILING(CF379/(0.68*BP379),25), "Ambient")</f>
        <v>#DIV/0!</v>
      </c>
      <c r="AE379" s="16" t="e">
        <f t="shared" si="281"/>
        <v>#DIV/0!</v>
      </c>
      <c r="AF379" s="16" t="e">
        <f t="shared" si="282"/>
        <v>#DIV/0!</v>
      </c>
      <c r="AG379" s="16" t="e">
        <f t="shared" si="283"/>
        <v>#DIV/0!</v>
      </c>
      <c r="AH379" s="838" t="s">
        <v>85</v>
      </c>
      <c r="AI379" s="17">
        <f t="shared" si="284"/>
        <v>0</v>
      </c>
      <c r="AJ379" s="17" t="e">
        <f t="shared" si="285"/>
        <v>#DIV/0!</v>
      </c>
      <c r="AK379" s="891"/>
      <c r="AL379" s="174" t="e">
        <f>IF(AN370&lt;=315,1600,(IF(AN370=355,1650,(IF(AN370=400,1650,(IF(AN370=450,1700,(IF(AN370=500,1700,(IF(AN370=560,1800,(IF(AN370=630,2000,(IF(AN370=710,2200,2500)))))))))))))))+IF(AR370=2,1800,(IF(AR370=3,2300,(IF(AR370=4,3300,0)))))+IF(AP370&lt;=4,600,(IF(AP370&lt;=6,800,(IF(AP370&lt;=8,1000,1200)))))</f>
        <v>#DIV/0!</v>
      </c>
      <c r="AM379" s="889"/>
      <c r="AN379" s="891"/>
      <c r="AO379" s="888"/>
      <c r="AP379" s="891"/>
      <c r="AQ379" s="891"/>
      <c r="AR379" s="889"/>
      <c r="AS379" s="888"/>
      <c r="AT379" s="888"/>
      <c r="AU379" s="890"/>
      <c r="AV379" s="888"/>
      <c r="AW379" s="888"/>
      <c r="AX379" s="888"/>
      <c r="AY379" s="887"/>
      <c r="AZ379" s="888"/>
    </row>
    <row r="380" spans="3:52" ht="18.600000000000001">
      <c r="C380" s="13">
        <f>IF(D380&lt;&gt;"",COUNTA($D$10:D380),"")</f>
        <v>317</v>
      </c>
      <c r="D380" s="14" t="s">
        <v>210</v>
      </c>
      <c r="E380" s="14">
        <v>2.1</v>
      </c>
      <c r="F380" s="14">
        <v>1.8</v>
      </c>
      <c r="G380" s="14">
        <v>2.4</v>
      </c>
      <c r="H380" s="14">
        <v>2</v>
      </c>
      <c r="I380" s="14">
        <v>1</v>
      </c>
      <c r="J380" s="14">
        <v>1.75</v>
      </c>
      <c r="K380" s="14">
        <v>3</v>
      </c>
      <c r="L380" s="15">
        <v>0.1</v>
      </c>
      <c r="M380" s="15">
        <v>0</v>
      </c>
      <c r="N380" s="14">
        <v>24</v>
      </c>
      <c r="O380" s="14">
        <v>50</v>
      </c>
      <c r="P380" s="13">
        <v>45</v>
      </c>
      <c r="Q380" s="13">
        <v>85</v>
      </c>
      <c r="R380" s="13" t="s">
        <v>14</v>
      </c>
      <c r="S380" s="13">
        <v>120</v>
      </c>
      <c r="T380" s="13">
        <v>0</v>
      </c>
      <c r="U380" s="13">
        <v>100</v>
      </c>
      <c r="V380" s="13" t="str">
        <f t="shared" si="273"/>
        <v>ISO 7</v>
      </c>
      <c r="W380" s="13">
        <f t="shared" si="273"/>
        <v>120</v>
      </c>
      <c r="X380" s="16">
        <f t="shared" si="274"/>
        <v>40.672800000000002</v>
      </c>
      <c r="Y380" s="16">
        <f t="shared" si="275"/>
        <v>320.17628159999998</v>
      </c>
      <c r="Z380" s="16">
        <f t="shared" si="276"/>
        <v>640.35256319999996</v>
      </c>
      <c r="AA380" s="16">
        <f t="shared" si="277"/>
        <v>64.035256320000002</v>
      </c>
      <c r="AB380" s="16">
        <f t="shared" si="278"/>
        <v>0</v>
      </c>
      <c r="AC380" s="16">
        <f t="shared" si="279"/>
        <v>0</v>
      </c>
      <c r="AD380" s="16" t="e">
        <f t="shared" si="286"/>
        <v>#DIV/0!</v>
      </c>
      <c r="AE380" s="16" t="e">
        <f t="shared" si="281"/>
        <v>#DIV/0!</v>
      </c>
      <c r="AF380" s="16" t="e">
        <f t="shared" si="282"/>
        <v>#DIV/0!</v>
      </c>
      <c r="AG380" s="16" t="e">
        <f t="shared" si="283"/>
        <v>#DIV/0!</v>
      </c>
      <c r="AH380" s="838" t="s">
        <v>85</v>
      </c>
      <c r="AI380" s="17">
        <f t="shared" si="284"/>
        <v>0</v>
      </c>
      <c r="AJ380" s="17" t="e">
        <f t="shared" si="285"/>
        <v>#DIV/0!</v>
      </c>
      <c r="AK380" s="891"/>
      <c r="AL380" s="18"/>
      <c r="AM380" s="889"/>
      <c r="AN380" s="891"/>
      <c r="AO380" s="888"/>
      <c r="AP380" s="891"/>
      <c r="AQ380" s="891"/>
      <c r="AR380" s="889"/>
      <c r="AS380" s="888"/>
      <c r="AT380" s="888"/>
      <c r="AU380" s="890"/>
      <c r="AV380" s="888"/>
      <c r="AW380" s="888"/>
      <c r="AX380" s="888"/>
      <c r="AY380" s="887"/>
      <c r="AZ380" s="888"/>
    </row>
    <row r="381" spans="3:52" ht="18.600000000000001">
      <c r="C381" s="13">
        <f>IF(D381&lt;&gt;"",COUNTA($D$10:D381),"")</f>
        <v>318</v>
      </c>
      <c r="D381" s="14" t="s">
        <v>211</v>
      </c>
      <c r="E381" s="14">
        <v>1.8</v>
      </c>
      <c r="F381" s="14">
        <v>1.9</v>
      </c>
      <c r="G381" s="14">
        <v>2.4</v>
      </c>
      <c r="H381" s="14">
        <v>2</v>
      </c>
      <c r="I381" s="14">
        <v>1</v>
      </c>
      <c r="J381" s="14">
        <v>1.75</v>
      </c>
      <c r="K381" s="14">
        <v>3</v>
      </c>
      <c r="L381" s="15">
        <v>0.1</v>
      </c>
      <c r="M381" s="15">
        <v>0</v>
      </c>
      <c r="N381" s="14">
        <v>24</v>
      </c>
      <c r="O381" s="14">
        <v>50</v>
      </c>
      <c r="P381" s="13">
        <v>45</v>
      </c>
      <c r="Q381" s="13">
        <v>85</v>
      </c>
      <c r="R381" s="13" t="s">
        <v>14</v>
      </c>
      <c r="S381" s="13">
        <v>120</v>
      </c>
      <c r="T381" s="13">
        <v>0</v>
      </c>
      <c r="U381" s="13">
        <v>100</v>
      </c>
      <c r="V381" s="13" t="str">
        <f t="shared" si="273"/>
        <v>ISO 7</v>
      </c>
      <c r="W381" s="13">
        <f t="shared" si="273"/>
        <v>120</v>
      </c>
      <c r="X381" s="16">
        <f t="shared" si="274"/>
        <v>36.799199999999999</v>
      </c>
      <c r="Y381" s="16">
        <f t="shared" si="275"/>
        <v>289.68330239999995</v>
      </c>
      <c r="Z381" s="16">
        <f t="shared" si="276"/>
        <v>579.36660479999989</v>
      </c>
      <c r="AA381" s="16">
        <f t="shared" si="277"/>
        <v>57.936660479999993</v>
      </c>
      <c r="AB381" s="16">
        <f t="shared" si="278"/>
        <v>0</v>
      </c>
      <c r="AC381" s="16">
        <f t="shared" si="279"/>
        <v>0</v>
      </c>
      <c r="AD381" s="16" t="e">
        <f t="shared" si="286"/>
        <v>#DIV/0!</v>
      </c>
      <c r="AE381" s="16" t="e">
        <f t="shared" si="281"/>
        <v>#DIV/0!</v>
      </c>
      <c r="AF381" s="16" t="e">
        <f t="shared" si="282"/>
        <v>#DIV/0!</v>
      </c>
      <c r="AG381" s="16" t="e">
        <f t="shared" si="283"/>
        <v>#DIV/0!</v>
      </c>
      <c r="AH381" s="838" t="s">
        <v>85</v>
      </c>
      <c r="AI381" s="17">
        <f t="shared" si="284"/>
        <v>0</v>
      </c>
      <c r="AJ381" s="17" t="e">
        <f t="shared" si="285"/>
        <v>#DIV/0!</v>
      </c>
      <c r="AK381" s="891"/>
      <c r="AL381" s="18"/>
      <c r="AM381" s="889"/>
      <c r="AN381" s="891"/>
      <c r="AO381" s="888"/>
      <c r="AP381" s="891"/>
      <c r="AQ381" s="891"/>
      <c r="AR381" s="889"/>
      <c r="AS381" s="888"/>
      <c r="AT381" s="888"/>
      <c r="AU381" s="890"/>
      <c r="AV381" s="888"/>
      <c r="AW381" s="888"/>
      <c r="AX381" s="888"/>
      <c r="AY381" s="887"/>
      <c r="AZ381" s="888"/>
    </row>
    <row r="382" spans="3:52" ht="18.600000000000001">
      <c r="C382" s="13">
        <f>IF(D382&lt;&gt;"",COUNTA($D$10:D382),"")</f>
        <v>319</v>
      </c>
      <c r="D382" s="14" t="s">
        <v>212</v>
      </c>
      <c r="E382" s="14">
        <v>1.9</v>
      </c>
      <c r="F382" s="14">
        <v>2</v>
      </c>
      <c r="G382" s="14">
        <v>2.4</v>
      </c>
      <c r="H382" s="14">
        <v>2</v>
      </c>
      <c r="I382" s="14">
        <v>1</v>
      </c>
      <c r="J382" s="14">
        <v>1.75</v>
      </c>
      <c r="K382" s="14">
        <v>3</v>
      </c>
      <c r="L382" s="15">
        <v>0.1</v>
      </c>
      <c r="M382" s="15">
        <v>0</v>
      </c>
      <c r="N382" s="14">
        <v>24</v>
      </c>
      <c r="O382" s="14">
        <v>50</v>
      </c>
      <c r="P382" s="13">
        <v>45</v>
      </c>
      <c r="Q382" s="13">
        <v>85</v>
      </c>
      <c r="R382" s="13" t="s">
        <v>14</v>
      </c>
      <c r="S382" s="13">
        <v>120</v>
      </c>
      <c r="T382" s="13">
        <v>0</v>
      </c>
      <c r="U382" s="13">
        <v>100</v>
      </c>
      <c r="V382" s="13" t="str">
        <f t="shared" si="273"/>
        <v>ISO 7</v>
      </c>
      <c r="W382" s="13">
        <f t="shared" si="273"/>
        <v>120</v>
      </c>
      <c r="X382" s="16">
        <f t="shared" si="274"/>
        <v>40.887999999999998</v>
      </c>
      <c r="Y382" s="16">
        <f t="shared" si="275"/>
        <v>321.87033599999995</v>
      </c>
      <c r="Z382" s="16">
        <f t="shared" si="276"/>
        <v>643.7406719999999</v>
      </c>
      <c r="AA382" s="16">
        <f t="shared" si="277"/>
        <v>64.374067199999999</v>
      </c>
      <c r="AB382" s="16">
        <f t="shared" si="278"/>
        <v>0</v>
      </c>
      <c r="AC382" s="16">
        <f t="shared" si="279"/>
        <v>0</v>
      </c>
      <c r="AD382" s="16" t="e">
        <f t="shared" si="286"/>
        <v>#DIV/0!</v>
      </c>
      <c r="AE382" s="16" t="e">
        <f t="shared" si="281"/>
        <v>#DIV/0!</v>
      </c>
      <c r="AF382" s="16" t="e">
        <f t="shared" si="282"/>
        <v>#DIV/0!</v>
      </c>
      <c r="AG382" s="16" t="e">
        <f t="shared" si="283"/>
        <v>#DIV/0!</v>
      </c>
      <c r="AH382" s="838" t="s">
        <v>85</v>
      </c>
      <c r="AI382" s="17">
        <f t="shared" si="284"/>
        <v>0</v>
      </c>
      <c r="AJ382" s="17" t="e">
        <f t="shared" si="285"/>
        <v>#DIV/0!</v>
      </c>
      <c r="AK382" s="891"/>
      <c r="AL382" s="18"/>
      <c r="AM382" s="889"/>
      <c r="AN382" s="891"/>
      <c r="AO382" s="888"/>
      <c r="AP382" s="891"/>
      <c r="AQ382" s="891"/>
      <c r="AR382" s="889"/>
      <c r="AS382" s="888"/>
      <c r="AT382" s="888"/>
      <c r="AU382" s="890"/>
      <c r="AV382" s="888"/>
      <c r="AW382" s="888"/>
      <c r="AX382" s="888"/>
      <c r="AY382" s="887"/>
      <c r="AZ382" s="888"/>
    </row>
    <row r="383" spans="3:52" ht="18.600000000000001">
      <c r="C383" s="13">
        <f>IF(D383&lt;&gt;"",COUNTA($D$10:D383),"")</f>
        <v>320</v>
      </c>
      <c r="D383" s="14" t="s">
        <v>213</v>
      </c>
      <c r="E383" s="14">
        <v>2.2999999999999998</v>
      </c>
      <c r="F383" s="14">
        <v>2.2000000000000002</v>
      </c>
      <c r="G383" s="14">
        <v>2.4</v>
      </c>
      <c r="H383" s="14">
        <v>2</v>
      </c>
      <c r="I383" s="14">
        <v>1</v>
      </c>
      <c r="J383" s="14">
        <v>1.75</v>
      </c>
      <c r="K383" s="14">
        <v>3</v>
      </c>
      <c r="L383" s="15">
        <v>0.1</v>
      </c>
      <c r="M383" s="15">
        <v>0</v>
      </c>
      <c r="N383" s="14">
        <v>24</v>
      </c>
      <c r="O383" s="14">
        <v>50</v>
      </c>
      <c r="P383" s="13">
        <v>45</v>
      </c>
      <c r="Q383" s="13">
        <v>85</v>
      </c>
      <c r="R383" s="13" t="s">
        <v>14</v>
      </c>
      <c r="S383" s="13">
        <v>120</v>
      </c>
      <c r="T383" s="13">
        <v>0</v>
      </c>
      <c r="U383" s="13">
        <v>100</v>
      </c>
      <c r="V383" s="13" t="str">
        <f t="shared" si="273"/>
        <v>ISO 7</v>
      </c>
      <c r="W383" s="13">
        <f t="shared" si="273"/>
        <v>120</v>
      </c>
      <c r="X383" s="16">
        <f t="shared" si="274"/>
        <v>54.445599999999992</v>
      </c>
      <c r="Y383" s="16">
        <f t="shared" si="275"/>
        <v>428.59576319999991</v>
      </c>
      <c r="Z383" s="16">
        <f t="shared" si="276"/>
        <v>857.19152639999982</v>
      </c>
      <c r="AA383" s="16">
        <f t="shared" si="277"/>
        <v>85.71915263999999</v>
      </c>
      <c r="AB383" s="16">
        <f t="shared" si="278"/>
        <v>0</v>
      </c>
      <c r="AC383" s="16">
        <f t="shared" si="279"/>
        <v>0</v>
      </c>
      <c r="AD383" s="16" t="e">
        <f t="shared" si="286"/>
        <v>#DIV/0!</v>
      </c>
      <c r="AE383" s="16" t="e">
        <f t="shared" si="281"/>
        <v>#DIV/0!</v>
      </c>
      <c r="AF383" s="16" t="e">
        <f t="shared" si="282"/>
        <v>#DIV/0!</v>
      </c>
      <c r="AG383" s="16" t="e">
        <f t="shared" si="283"/>
        <v>#DIV/0!</v>
      </c>
      <c r="AH383" s="838" t="s">
        <v>85</v>
      </c>
      <c r="AI383" s="17">
        <f t="shared" si="284"/>
        <v>0</v>
      </c>
      <c r="AJ383" s="17" t="e">
        <f t="shared" si="285"/>
        <v>#DIV/0!</v>
      </c>
      <c r="AK383" s="891"/>
      <c r="AL383" s="18"/>
      <c r="AM383" s="889"/>
      <c r="AN383" s="891"/>
      <c r="AO383" s="888"/>
      <c r="AP383" s="891"/>
      <c r="AQ383" s="891"/>
      <c r="AR383" s="889"/>
      <c r="AS383" s="888"/>
      <c r="AT383" s="888"/>
      <c r="AU383" s="890"/>
      <c r="AV383" s="888"/>
      <c r="AW383" s="888"/>
      <c r="AX383" s="888"/>
      <c r="AY383" s="887"/>
      <c r="AZ383" s="888"/>
    </row>
    <row r="384" spans="3:52" ht="18.600000000000001">
      <c r="C384" s="13">
        <f>IF(D384&lt;&gt;"",COUNTA($D$10:D384),"")</f>
        <v>321</v>
      </c>
      <c r="D384" s="14" t="s">
        <v>214</v>
      </c>
      <c r="E384" s="14">
        <v>2.2000000000000002</v>
      </c>
      <c r="F384" s="14">
        <v>2.8</v>
      </c>
      <c r="G384" s="14">
        <v>2.4</v>
      </c>
      <c r="H384" s="14">
        <v>2</v>
      </c>
      <c r="I384" s="14">
        <v>1</v>
      </c>
      <c r="J384" s="14">
        <v>1.75</v>
      </c>
      <c r="K384" s="14">
        <v>3</v>
      </c>
      <c r="L384" s="15">
        <v>0.1</v>
      </c>
      <c r="M384" s="15">
        <v>0</v>
      </c>
      <c r="N384" s="14">
        <v>24</v>
      </c>
      <c r="O384" s="14">
        <v>50</v>
      </c>
      <c r="P384" s="13">
        <v>45</v>
      </c>
      <c r="Q384" s="13">
        <v>85</v>
      </c>
      <c r="R384" s="13" t="s">
        <v>14</v>
      </c>
      <c r="S384" s="13">
        <v>120</v>
      </c>
      <c r="T384" s="13">
        <v>0</v>
      </c>
      <c r="U384" s="13">
        <v>100</v>
      </c>
      <c r="V384" s="13" t="str">
        <f t="shared" si="273"/>
        <v>ISO 7</v>
      </c>
      <c r="W384" s="13">
        <f t="shared" si="273"/>
        <v>120</v>
      </c>
      <c r="X384" s="16">
        <f t="shared" si="274"/>
        <v>66.281599999999997</v>
      </c>
      <c r="Y384" s="16">
        <f t="shared" si="275"/>
        <v>521.76875519999999</v>
      </c>
      <c r="Z384" s="16">
        <f t="shared" si="276"/>
        <v>1043.5375104</v>
      </c>
      <c r="AA384" s="16">
        <f t="shared" si="277"/>
        <v>104.35375104000001</v>
      </c>
      <c r="AB384" s="16">
        <f t="shared" si="278"/>
        <v>0</v>
      </c>
      <c r="AC384" s="16">
        <f t="shared" si="279"/>
        <v>0</v>
      </c>
      <c r="AD384" s="16" t="e">
        <f t="shared" si="286"/>
        <v>#DIV/0!</v>
      </c>
      <c r="AE384" s="16" t="e">
        <f t="shared" si="281"/>
        <v>#DIV/0!</v>
      </c>
      <c r="AF384" s="16" t="e">
        <f t="shared" si="282"/>
        <v>#DIV/0!</v>
      </c>
      <c r="AG384" s="16" t="e">
        <f t="shared" si="283"/>
        <v>#DIV/0!</v>
      </c>
      <c r="AH384" s="838" t="s">
        <v>85</v>
      </c>
      <c r="AI384" s="17">
        <f t="shared" si="284"/>
        <v>0</v>
      </c>
      <c r="AJ384" s="17" t="e">
        <f t="shared" si="285"/>
        <v>#DIV/0!</v>
      </c>
      <c r="AK384" s="891"/>
      <c r="AL384" s="18"/>
      <c r="AM384" s="889"/>
      <c r="AN384" s="891"/>
      <c r="AO384" s="888"/>
      <c r="AP384" s="891"/>
      <c r="AQ384" s="891"/>
      <c r="AR384" s="889"/>
      <c r="AS384" s="888"/>
      <c r="AT384" s="888"/>
      <c r="AU384" s="890"/>
      <c r="AV384" s="888"/>
      <c r="AW384" s="888"/>
      <c r="AX384" s="888"/>
      <c r="AY384" s="887"/>
      <c r="AZ384" s="888"/>
    </row>
    <row r="385" spans="3:52" ht="18.600000000000001">
      <c r="C385" s="13">
        <f>IF(D385&lt;&gt;"",COUNTA($D$10:D385),"")</f>
        <v>322</v>
      </c>
      <c r="D385" s="14" t="s">
        <v>215</v>
      </c>
      <c r="E385" s="14">
        <v>2.8</v>
      </c>
      <c r="F385" s="14">
        <v>2.4</v>
      </c>
      <c r="G385" s="14">
        <v>2.4</v>
      </c>
      <c r="H385" s="14">
        <v>2</v>
      </c>
      <c r="I385" s="14">
        <v>1</v>
      </c>
      <c r="J385" s="14">
        <v>1.75</v>
      </c>
      <c r="K385" s="14">
        <v>3</v>
      </c>
      <c r="L385" s="15">
        <v>0.1</v>
      </c>
      <c r="M385" s="15">
        <v>0</v>
      </c>
      <c r="N385" s="14">
        <v>24</v>
      </c>
      <c r="O385" s="14">
        <v>50</v>
      </c>
      <c r="P385" s="13">
        <v>45</v>
      </c>
      <c r="Q385" s="13">
        <v>85</v>
      </c>
      <c r="R385" s="13" t="s">
        <v>14</v>
      </c>
      <c r="S385" s="13">
        <v>120</v>
      </c>
      <c r="T385" s="13">
        <v>0</v>
      </c>
      <c r="U385" s="13">
        <v>100</v>
      </c>
      <c r="V385" s="13" t="str">
        <f t="shared" si="273"/>
        <v>ISO 7</v>
      </c>
      <c r="W385" s="13">
        <f t="shared" si="273"/>
        <v>120</v>
      </c>
      <c r="X385" s="16">
        <f t="shared" si="274"/>
        <v>72.307199999999995</v>
      </c>
      <c r="Y385" s="16">
        <f t="shared" si="275"/>
        <v>569.20227839999995</v>
      </c>
      <c r="Z385" s="16">
        <f t="shared" si="276"/>
        <v>1138.4045567999999</v>
      </c>
      <c r="AA385" s="16">
        <f t="shared" si="277"/>
        <v>113.84045567999999</v>
      </c>
      <c r="AB385" s="16">
        <f t="shared" si="278"/>
        <v>0</v>
      </c>
      <c r="AC385" s="16">
        <f t="shared" si="279"/>
        <v>0</v>
      </c>
      <c r="AD385" s="16" t="e">
        <f t="shared" si="286"/>
        <v>#DIV/0!</v>
      </c>
      <c r="AE385" s="16" t="e">
        <f t="shared" si="281"/>
        <v>#DIV/0!</v>
      </c>
      <c r="AF385" s="16" t="e">
        <f t="shared" si="282"/>
        <v>#DIV/0!</v>
      </c>
      <c r="AG385" s="16" t="e">
        <f t="shared" si="283"/>
        <v>#DIV/0!</v>
      </c>
      <c r="AH385" s="838" t="s">
        <v>85</v>
      </c>
      <c r="AI385" s="17">
        <f t="shared" si="284"/>
        <v>0</v>
      </c>
      <c r="AJ385" s="17" t="e">
        <f t="shared" si="285"/>
        <v>#DIV/0!</v>
      </c>
      <c r="AK385" s="891"/>
      <c r="AL385" s="18"/>
      <c r="AM385" s="889"/>
      <c r="AN385" s="891"/>
      <c r="AO385" s="888"/>
      <c r="AP385" s="891"/>
      <c r="AQ385" s="891"/>
      <c r="AR385" s="889"/>
      <c r="AS385" s="888"/>
      <c r="AT385" s="888"/>
      <c r="AU385" s="890"/>
      <c r="AV385" s="888"/>
      <c r="AW385" s="888"/>
      <c r="AX385" s="888"/>
      <c r="AY385" s="887"/>
      <c r="AZ385" s="888"/>
    </row>
    <row r="386" spans="3:52">
      <c r="C386" s="19"/>
      <c r="D386" s="19"/>
      <c r="E386" s="19"/>
      <c r="F386" s="19"/>
      <c r="G386" s="19"/>
      <c r="H386" s="19"/>
      <c r="I386" s="19"/>
      <c r="J386" s="19"/>
      <c r="K386" s="19"/>
      <c r="L386" s="19"/>
      <c r="M386" s="19"/>
      <c r="N386" s="19"/>
      <c r="O386" s="19"/>
      <c r="P386" s="19"/>
      <c r="Q386" s="19"/>
      <c r="R386" s="19"/>
      <c r="S386" s="19"/>
      <c r="T386" s="19"/>
      <c r="U386" s="19"/>
      <c r="V386" s="19"/>
      <c r="W386" s="19"/>
      <c r="X386" s="20">
        <f>SUM(X370:X385)</f>
        <v>1144.1108000000002</v>
      </c>
      <c r="Y386" s="20">
        <f t="shared" ref="Y386:AG386" si="287">SUM(Y370:Y385)</f>
        <v>9006.4402175999985</v>
      </c>
      <c r="Z386" s="20">
        <f t="shared" si="287"/>
        <v>18012.880435199997</v>
      </c>
      <c r="AA386" s="20">
        <f t="shared" si="287"/>
        <v>1801.2880435199995</v>
      </c>
      <c r="AB386" s="20">
        <f t="shared" si="287"/>
        <v>0</v>
      </c>
      <c r="AC386" s="20">
        <f t="shared" si="287"/>
        <v>0</v>
      </c>
      <c r="AD386" s="20" t="e">
        <f t="shared" si="287"/>
        <v>#DIV/0!</v>
      </c>
      <c r="AE386" s="20" t="e">
        <f t="shared" si="287"/>
        <v>#DIV/0!</v>
      </c>
      <c r="AF386" s="20" t="e">
        <f t="shared" si="287"/>
        <v>#DIV/0!</v>
      </c>
      <c r="AG386" s="20" t="e">
        <f t="shared" si="287"/>
        <v>#DIV/0!</v>
      </c>
      <c r="AH386" s="841"/>
      <c r="AI386" s="20">
        <f t="shared" ref="AI386:AJ386" si="288">SUM(AI370:AI385)</f>
        <v>0</v>
      </c>
      <c r="AJ386" s="20" t="e">
        <f t="shared" si="288"/>
        <v>#DIV/0!</v>
      </c>
      <c r="AK386" s="21"/>
      <c r="AL386" s="21"/>
      <c r="AM386" s="21"/>
      <c r="AN386" s="21"/>
      <c r="AO386" s="21"/>
      <c r="AP386" s="21"/>
      <c r="AQ386" s="21"/>
      <c r="AR386" s="21"/>
      <c r="AS386" s="21"/>
      <c r="AT386" s="21"/>
      <c r="AU386" s="21"/>
      <c r="AV386" s="21"/>
      <c r="AW386" s="21"/>
      <c r="AX386" s="21"/>
      <c r="AY386" s="21"/>
      <c r="AZ386" s="21"/>
    </row>
    <row r="387" spans="3:52">
      <c r="AH387" s="840"/>
    </row>
    <row r="388" spans="3:52" ht="26.1">
      <c r="C388" s="8" t="e">
        <f>"Zoning Area  AHU - " &amp; INT((ROW()-8)/20)+1 &amp; "  " &amp;IF(AQ390&gt;0,"Air-Conditioning System " &amp; IF(AH390="D","(DX)",IF(AH390="C","(Chilled Water)","")),IF(AND(N390="Amb",AQ390=0),"Ventilation System","Refer"))</f>
        <v>#DIV/0!</v>
      </c>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39"/>
      <c r="AI388" s="8"/>
      <c r="AJ388" s="8"/>
      <c r="AK388" s="8"/>
      <c r="AL388" s="8"/>
      <c r="AM388" s="8"/>
      <c r="AN388" s="8"/>
      <c r="AO388" s="8"/>
      <c r="AP388" s="8"/>
      <c r="AQ388" s="8"/>
      <c r="AR388" s="8"/>
      <c r="AS388" s="9" t="s">
        <v>221</v>
      </c>
      <c r="AT388" s="10"/>
      <c r="AU388" s="10"/>
      <c r="AV388" s="11"/>
      <c r="AW388" s="9" t="s">
        <v>222</v>
      </c>
      <c r="AX388" s="10"/>
      <c r="AY388" s="10"/>
      <c r="AZ388" s="11"/>
    </row>
    <row r="389" spans="3:52">
      <c r="C389" s="13">
        <f>IF(D389&lt;&gt;"",COUNTA($D$10:D389),"")</f>
        <v>323</v>
      </c>
      <c r="D389" s="5" t="s">
        <v>165</v>
      </c>
      <c r="E389" s="5" t="s">
        <v>166</v>
      </c>
      <c r="F389" s="5" t="s">
        <v>167</v>
      </c>
      <c r="G389" s="5" t="s">
        <v>168</v>
      </c>
      <c r="H389" s="5" t="s">
        <v>169</v>
      </c>
      <c r="I389" s="5" t="s">
        <v>170</v>
      </c>
      <c r="J389" s="5" t="s">
        <v>171</v>
      </c>
      <c r="K389" s="5" t="s">
        <v>172</v>
      </c>
      <c r="L389" s="5" t="s">
        <v>173</v>
      </c>
      <c r="M389" s="5" t="s">
        <v>174</v>
      </c>
      <c r="N389" s="5" t="s">
        <v>175</v>
      </c>
      <c r="O389" s="5" t="s">
        <v>176</v>
      </c>
      <c r="P389" s="5" t="s">
        <v>177</v>
      </c>
      <c r="Q389" s="5" t="s">
        <v>178</v>
      </c>
      <c r="R389" s="5" t="s">
        <v>199</v>
      </c>
      <c r="S389" s="5" t="s">
        <v>180</v>
      </c>
      <c r="T389" s="5" t="s">
        <v>223</v>
      </c>
      <c r="U389" s="5" t="s">
        <v>224</v>
      </c>
      <c r="V389" s="5" t="s">
        <v>199</v>
      </c>
      <c r="W389" s="5" t="s">
        <v>180</v>
      </c>
      <c r="X389" s="5" t="s">
        <v>225</v>
      </c>
      <c r="Y389" s="5" t="s">
        <v>226</v>
      </c>
      <c r="Z389" s="5" t="s">
        <v>227</v>
      </c>
      <c r="AA389" s="5" t="s">
        <v>228</v>
      </c>
      <c r="AB389" s="5" t="s">
        <v>229</v>
      </c>
      <c r="AC389" s="5" t="s">
        <v>230</v>
      </c>
      <c r="AD389" s="5" t="s">
        <v>231</v>
      </c>
      <c r="AE389" s="5" t="s">
        <v>232</v>
      </c>
      <c r="AF389" s="6" t="s">
        <v>233</v>
      </c>
      <c r="AG389" s="6" t="s">
        <v>234</v>
      </c>
      <c r="AH389" s="6" t="s">
        <v>235</v>
      </c>
      <c r="AI389" s="5" t="s">
        <v>236</v>
      </c>
      <c r="AJ389" s="5" t="s">
        <v>237</v>
      </c>
      <c r="AK389" s="5" t="s">
        <v>238</v>
      </c>
      <c r="AL389" s="5" t="s">
        <v>239</v>
      </c>
      <c r="AM389" s="5" t="s">
        <v>240</v>
      </c>
      <c r="AN389" s="5" t="s">
        <v>241</v>
      </c>
      <c r="AO389" s="5" t="s">
        <v>242</v>
      </c>
      <c r="AP389" s="5" t="s">
        <v>243</v>
      </c>
      <c r="AQ389" s="5" t="s">
        <v>244</v>
      </c>
      <c r="AR389" s="5" t="s">
        <v>245</v>
      </c>
      <c r="AS389" s="5" t="s">
        <v>246</v>
      </c>
      <c r="AT389" s="5" t="s">
        <v>247</v>
      </c>
      <c r="AU389" s="5" t="s">
        <v>248</v>
      </c>
      <c r="AV389" s="5" t="s">
        <v>249</v>
      </c>
      <c r="AW389" s="5" t="s">
        <v>250</v>
      </c>
      <c r="AX389" s="5" t="s">
        <v>251</v>
      </c>
      <c r="AY389" s="5" t="s">
        <v>252</v>
      </c>
      <c r="AZ389" s="5" t="s">
        <v>253</v>
      </c>
    </row>
    <row r="390" spans="3:52" ht="18.600000000000001">
      <c r="C390" s="13">
        <f>IF(D390&lt;&gt;"",COUNTA($D$10:D390),"")</f>
        <v>324</v>
      </c>
      <c r="D390" s="14" t="s">
        <v>200</v>
      </c>
      <c r="E390" s="14">
        <v>3</v>
      </c>
      <c r="F390" s="14">
        <v>3</v>
      </c>
      <c r="G390" s="14">
        <v>2.4</v>
      </c>
      <c r="H390" s="14">
        <v>1</v>
      </c>
      <c r="I390" s="14">
        <v>2</v>
      </c>
      <c r="J390" s="14">
        <v>1.75</v>
      </c>
      <c r="K390" s="14">
        <v>3</v>
      </c>
      <c r="L390" s="15">
        <v>0.1</v>
      </c>
      <c r="M390" s="15">
        <v>0</v>
      </c>
      <c r="N390" s="14">
        <v>21</v>
      </c>
      <c r="O390" s="14">
        <v>50</v>
      </c>
      <c r="P390" s="13">
        <v>45</v>
      </c>
      <c r="Q390" s="13">
        <v>85</v>
      </c>
      <c r="R390" s="13" t="s">
        <v>12</v>
      </c>
      <c r="S390" s="13">
        <v>120</v>
      </c>
      <c r="T390" s="13">
        <v>0</v>
      </c>
      <c r="U390" s="13">
        <v>100</v>
      </c>
      <c r="V390" s="13" t="str">
        <f>R390</f>
        <v>ISO 8</v>
      </c>
      <c r="W390" s="13">
        <f>S390</f>
        <v>120</v>
      </c>
      <c r="X390" s="16">
        <f>E390*F390*10.76</f>
        <v>96.84</v>
      </c>
      <c r="Y390" s="16">
        <f>X390*G390*3.28</f>
        <v>762.32447999999999</v>
      </c>
      <c r="Z390" s="16">
        <f>Y390*S390/60</f>
        <v>1524.64896</v>
      </c>
      <c r="AA390" s="16">
        <f>Z390*L390</f>
        <v>152.46489600000001</v>
      </c>
      <c r="AB390" s="16">
        <f>IF(N390="Amb",Z390,Z390*M390)</f>
        <v>0</v>
      </c>
      <c r="AC390" s="16">
        <f>IF(ISNUMBER(N390), (AA390*0.075*60/2.20462)*BP390/7000, "Ambient")</f>
        <v>0</v>
      </c>
      <c r="AD390" s="16" t="e">
        <f>IF(ISNUMBER(N390), CEILING(CF390/(0.68*BP390),25), "Ambient")</f>
        <v>#DIV/0!</v>
      </c>
      <c r="AE390" s="16" t="e">
        <f>CEILING(MAX((Z390+AA390),AD390),25)</f>
        <v>#DIV/0!</v>
      </c>
      <c r="AF390" s="16" t="e">
        <f>CEILING(IF(OR($R390="ISO 6",$R390="GRADE B",$R390="1K",$R390=1000),AE390*1/175,IF(OR($R390="ISO 5",$R390="GRADE A",$R390=100),AE390*1/100,IF(OR($R390="ISO 7",$R390="GRADE C",$R390="10K",$R390=10000),$AE390*1/250,IF(OR($R390="ISO 8",$R390="GRADE D",$R390="100K",$R390=100000),$AE390*1/250,IF(OR($R390="NC",$R390="20 Micron",$R390="5 Micron",$R390="N C"),$AE390*1/350,0))))),2)</f>
        <v>#DIV/0!</v>
      </c>
      <c r="AG390" s="16" t="e">
        <f>IF(ISNUMBER(N390), CEILING(MAX(AI390,AJ390),0.5), "Ambient")</f>
        <v>#DIV/0!</v>
      </c>
      <c r="AH390" s="838" t="s">
        <v>85</v>
      </c>
      <c r="AI390" s="17">
        <f>IF(ISNUMBER(N390), CEILING(CE390/12000,0.5), "Ambient")</f>
        <v>0</v>
      </c>
      <c r="AJ390" s="17" t="e">
        <f>IF(ISNUMBER(N390),CEILING(AE390/(IF(AH390="C",400,300)),0.5), "Ambient")</f>
        <v>#DIV/0!</v>
      </c>
      <c r="AK390" s="891" t="e">
        <f>CEILING(SUM(AE390:AE405),250)</f>
        <v>#DIV/0!</v>
      </c>
      <c r="AL390" s="18" t="s">
        <v>254</v>
      </c>
      <c r="AM390" s="889">
        <v>150</v>
      </c>
      <c r="AN390" s="891" t="e">
        <f>IF(AK390&lt;=1300,200,IF(AK390&lt;=1600,225,IF(AK390&lt;=2100,250,IF(AK390&lt;=2700,280,IF(AK390&lt;=3450,315,IF(AK390&lt;=4250,355,IF(AK390&lt;=5250,400,IF(AK390&lt;=6750,450,IF(AK390&lt;=8500,500,IF(AK390&lt;=10750,560,IF(AK390&lt;=13500,630,IF(AK390&lt;=17000,710,IF(AK390&lt;=21500,800,IF(AK390&lt;=27000,900,IF(AK390&lt;=34000,1000,IF(AK390&lt;=43000,1120,IF(AK390&lt;=49000,1200,IF(AK390&lt;=68000,1450,"Refer"))))))))))))))))))</f>
        <v>#DIV/0!</v>
      </c>
      <c r="AO390" s="888" t="e">
        <f>IF(AK390*AM390/(6356*0.7*0.9*1.1*25.4)&lt;=1,1,IF(AK390*AM390/(6356*0.7*0.9*1.1*25.4)&lt;=1.5,1.5,IF(AK390*AM390/(6356*0.7*0.9*1.1*25.4)&lt;=2,2,IF(AK390*AM390/(6356*0.7*0.9*1.1*25.4)&lt;=3,3,IF(AK390*AM390/(6356*0.7*0.9*1.1*25.4)&lt;=5,5,IF(AK390*AM390/(6356*0.7*0.9*1.1*25.4)&lt;=7.5,7.5,IF(AK390*AM390/(6356*0.7*0.9*1.1*25.4)&lt;=10,10,IF(AK390*AM390/(6356*0.7*0.9*1.1*25.4)&lt;=12.5,12.5,IF(AK390*AM390/(6356*0.7*0.9*1.1*25.4)&lt;=15,15,IF(AK390*AM390/(6356*0.7*0.9*1.1*25.4)&lt;=20,20,IF(AK390*AM390/(6356*0.7*0.9*1.1*25.4)&lt;=25,25,IF(AK390*AM390/(6356*0.7*0.9*1.1*25.4)&lt;=30,30,IF(AK390*AM390/(6356*0.7*0.9*1.1*25.4)&lt;=40,40,IF(AK390*AM390/(6356*0.7*0.9*1.1*25.4)&lt;=50,50,IF(AK390*AM390/(6356*0.7*0.9*1.1*25.4)&lt;=60,60,IF(AK390*AM390/(6356*0.7*0.9*1.1*25.4)&lt;=75,75,"Refer"))))))))))))))))</f>
        <v>#DIV/0!</v>
      </c>
      <c r="AP390" s="891" t="e">
        <f>IF(AND(AQ390=0, N390="Amb"), "Amb",IF((AL391-250)*(AL393-150)*10.76/(1000*1000) &gt;= MAX(AI406,AJ406), 4,IF((AL391-250)*(AL393-150)*10.76*1.5/(1000*1000) &gt;= MAX(AI406,AJ406), 6,IF((AL391-250)*(AL393-150)*10.76*2/(1000*1000) &gt;= MAX(AI406,AJ406), 8, 0))
 )
)</f>
        <v>#DIV/0!</v>
      </c>
      <c r="AQ390" s="891" t="e">
        <f>AG406</f>
        <v>#DIV/0!</v>
      </c>
      <c r="AR390" s="889">
        <f>_xlfn.SWITCH(TRIM(UPPER(R390)),"ISO 9", 3,"ISO 8", 4,"Grade D", 4,"Class 100,000", 4,"Class 100K", 4,"ISO 7", 3,"Grade C", 3,"Class 10,000", 3,"Class 10K", 3,"ISO 6", 3,"Class 1,000", 3,"Class 1K", 3,"ISO 5", 4,"Grade A", 4,"Grade B", 4,"Class 100", 4,"ISO 4", 3,"ISO 3", 4,"ISO 2", 4,"ISO 1", 4,"NCV20",1,"NCV-10",2,"NCV-5",3,"NCAC-10",1,"NCAC-5",2,"NCAC-1",3,3)</f>
        <v>4</v>
      </c>
      <c r="AS390" s="888" t="e">
        <f>MAX(AI406,AJ406)*24/6</f>
        <v>#DIV/0!</v>
      </c>
      <c r="AT390" s="888" t="e">
        <f>AS390*0.06309</f>
        <v>#DIV/0!</v>
      </c>
      <c r="AU390" s="890">
        <v>2</v>
      </c>
      <c r="AV390" s="888" t="e">
        <f>SQRT((4*AS390*0.00006309)/(3.14*AU390))*1000</f>
        <v>#DIV/0!</v>
      </c>
      <c r="AW390" s="888"/>
      <c r="AX390" s="888"/>
      <c r="AY390" s="887"/>
      <c r="AZ390" s="888"/>
    </row>
    <row r="391" spans="3:52" ht="18.600000000000001">
      <c r="C391" s="13">
        <f>IF(D391&lt;&gt;"",COUNTA($D$10:D391),"")</f>
        <v>325</v>
      </c>
      <c r="D391" s="14" t="s">
        <v>201</v>
      </c>
      <c r="E391" s="14">
        <v>1.8</v>
      </c>
      <c r="F391" s="14">
        <v>2.2000000000000002</v>
      </c>
      <c r="G391" s="14">
        <v>2.4</v>
      </c>
      <c r="H391" s="14">
        <v>2</v>
      </c>
      <c r="I391" s="14">
        <v>1</v>
      </c>
      <c r="J391" s="14">
        <v>1.75</v>
      </c>
      <c r="K391" s="14">
        <v>3</v>
      </c>
      <c r="L391" s="15">
        <v>0.1</v>
      </c>
      <c r="M391" s="15">
        <v>0</v>
      </c>
      <c r="N391" s="14">
        <v>21</v>
      </c>
      <c r="O391" s="14">
        <v>50</v>
      </c>
      <c r="P391" s="13">
        <v>45</v>
      </c>
      <c r="Q391" s="13">
        <v>85</v>
      </c>
      <c r="R391" s="13" t="s">
        <v>12</v>
      </c>
      <c r="S391" s="13">
        <v>120</v>
      </c>
      <c r="T391" s="13">
        <v>0</v>
      </c>
      <c r="U391" s="13">
        <v>100</v>
      </c>
      <c r="V391" s="13" t="str">
        <f t="shared" ref="V391:W405" si="289">R391</f>
        <v>ISO 8</v>
      </c>
      <c r="W391" s="13">
        <f t="shared" si="289"/>
        <v>120</v>
      </c>
      <c r="X391" s="16">
        <f t="shared" ref="X391:X405" si="290">E391*F391*10.76</f>
        <v>42.6096</v>
      </c>
      <c r="Y391" s="16">
        <f t="shared" ref="Y391:Y405" si="291">X391*G391*3.28</f>
        <v>335.4227712</v>
      </c>
      <c r="Z391" s="16">
        <f t="shared" ref="Z391:Z405" si="292">Y391*S391/60</f>
        <v>670.8455424</v>
      </c>
      <c r="AA391" s="16">
        <f t="shared" ref="AA391:AA405" si="293">Z391*L391</f>
        <v>67.084554240000003</v>
      </c>
      <c r="AB391" s="16">
        <f t="shared" ref="AB391:AB405" si="294">IF(N391="Amb",Z391,Z391*M391)</f>
        <v>0</v>
      </c>
      <c r="AC391" s="16">
        <f t="shared" ref="AC391:AC405" si="295">IF(ISNUMBER(N391), (AA391*0.075*60/2.20462)*BP391/7000, "Ambient")</f>
        <v>0</v>
      </c>
      <c r="AD391" s="16" t="e">
        <f t="shared" ref="AD391:AD397" si="296">IF(ISNUMBER(N391), CEILING(CF391/(0.68*BP391),25), "Ambient")</f>
        <v>#DIV/0!</v>
      </c>
      <c r="AE391" s="16" t="e">
        <f t="shared" ref="AE391:AE405" si="297">CEILING(MAX((Z391+AA391),AD391),25)</f>
        <v>#DIV/0!</v>
      </c>
      <c r="AF391" s="16" t="e">
        <f t="shared" ref="AF391:AF405" si="298">CEILING(IF(OR($R391="ISO 6",$R391="GRADE B",$R391="1K",$R391=1000),AE391*1/175,IF(OR($R391="ISO 5",$R391="GRADE A",$R391=100),AE391*1/100,IF(OR($R391="ISO 7",$R391="GRADE C",$R391="10K",$R391=10000),$AE391*1/250,IF(OR($R391="ISO 8",$R391="GRADE D",$R391="100K",$R391=100000),$AE391*1/250,IF(OR($R391="NC",$R391="20 Micron",$R391="5 Micron",$R391="N C"),$AE391*1/350,0))))),2)</f>
        <v>#DIV/0!</v>
      </c>
      <c r="AG391" s="16" t="e">
        <f t="shared" ref="AG391:AG405" si="299">IF(ISNUMBER(N391), CEILING(MAX(AI391,AJ391),0.5), "Ambient")</f>
        <v>#DIV/0!</v>
      </c>
      <c r="AH391" s="838" t="s">
        <v>85</v>
      </c>
      <c r="AI391" s="17">
        <f t="shared" ref="AI391:AI405" si="300">IF(ISNUMBER(N391), CEILING(CE391/12000,0.5), "Ambient")</f>
        <v>0</v>
      </c>
      <c r="AJ391" s="17" t="e">
        <f t="shared" ref="AJ391:AJ405" si="301">IF(ISNUMBER(N391),CEILING(AE391/(IF(AH391="C",400,300)),0.5), "Ambient")</f>
        <v>#DIV/0!</v>
      </c>
      <c r="AK391" s="891"/>
      <c r="AL391" s="18" t="e">
        <f>IF(AK390&lt;=2000,950,(IF(AK390&lt;=3000,1150,(IF(AK390&lt;=8000,1550,(IF(AK390&lt;=10000,1750,(IF(AK390&lt;=18000,2050,(IF(AK390&lt;=32000,2900,(IF(AK390&lt;=40000,3600,4000)))))))))))))</f>
        <v>#DIV/0!</v>
      </c>
      <c r="AM391" s="889"/>
      <c r="AN391" s="891"/>
      <c r="AO391" s="888"/>
      <c r="AP391" s="891"/>
      <c r="AQ391" s="891"/>
      <c r="AR391" s="889"/>
      <c r="AS391" s="888"/>
      <c r="AT391" s="888"/>
      <c r="AU391" s="890"/>
      <c r="AV391" s="888"/>
      <c r="AW391" s="888"/>
      <c r="AX391" s="888"/>
      <c r="AY391" s="887"/>
      <c r="AZ391" s="888"/>
    </row>
    <row r="392" spans="3:52" ht="18.600000000000001">
      <c r="C392" s="13">
        <f>IF(D392&lt;&gt;"",COUNTA($D$10:D392),"")</f>
        <v>326</v>
      </c>
      <c r="D392" s="14" t="s">
        <v>202</v>
      </c>
      <c r="E392" s="14">
        <v>1.5</v>
      </c>
      <c r="F392" s="14">
        <v>2.8</v>
      </c>
      <c r="G392" s="14">
        <v>2.4</v>
      </c>
      <c r="H392" s="14">
        <v>2</v>
      </c>
      <c r="I392" s="14">
        <v>3</v>
      </c>
      <c r="J392" s="14">
        <v>1.75</v>
      </c>
      <c r="K392" s="14">
        <v>3</v>
      </c>
      <c r="L392" s="15">
        <v>0.1</v>
      </c>
      <c r="M392" s="15">
        <v>0</v>
      </c>
      <c r="N392" s="14">
        <v>21</v>
      </c>
      <c r="O392" s="14">
        <v>50</v>
      </c>
      <c r="P392" s="13">
        <v>45</v>
      </c>
      <c r="Q392" s="13">
        <v>85</v>
      </c>
      <c r="R392" s="13" t="s">
        <v>12</v>
      </c>
      <c r="S392" s="13">
        <v>120</v>
      </c>
      <c r="T392" s="13">
        <v>0</v>
      </c>
      <c r="U392" s="13">
        <v>100</v>
      </c>
      <c r="V392" s="13" t="str">
        <f t="shared" si="289"/>
        <v>ISO 8</v>
      </c>
      <c r="W392" s="13">
        <f t="shared" si="289"/>
        <v>120</v>
      </c>
      <c r="X392" s="16">
        <f t="shared" si="290"/>
        <v>45.191999999999993</v>
      </c>
      <c r="Y392" s="16">
        <f t="shared" si="291"/>
        <v>355.75142399999993</v>
      </c>
      <c r="Z392" s="16">
        <f t="shared" si="292"/>
        <v>711.50284799999986</v>
      </c>
      <c r="AA392" s="16">
        <f t="shared" si="293"/>
        <v>71.150284799999994</v>
      </c>
      <c r="AB392" s="16">
        <f t="shared" si="294"/>
        <v>0</v>
      </c>
      <c r="AC392" s="16">
        <f t="shared" si="295"/>
        <v>0</v>
      </c>
      <c r="AD392" s="16" t="e">
        <f t="shared" si="296"/>
        <v>#DIV/0!</v>
      </c>
      <c r="AE392" s="16" t="e">
        <f t="shared" si="297"/>
        <v>#DIV/0!</v>
      </c>
      <c r="AF392" s="16" t="e">
        <f t="shared" si="298"/>
        <v>#DIV/0!</v>
      </c>
      <c r="AG392" s="16" t="e">
        <f t="shared" si="299"/>
        <v>#DIV/0!</v>
      </c>
      <c r="AH392" s="838" t="s">
        <v>85</v>
      </c>
      <c r="AI392" s="17">
        <f t="shared" si="300"/>
        <v>0</v>
      </c>
      <c r="AJ392" s="17" t="e">
        <f t="shared" si="301"/>
        <v>#DIV/0!</v>
      </c>
      <c r="AK392" s="891"/>
      <c r="AL392" s="18" t="s">
        <v>255</v>
      </c>
      <c r="AM392" s="889"/>
      <c r="AN392" s="891"/>
      <c r="AO392" s="888"/>
      <c r="AP392" s="891"/>
      <c r="AQ392" s="891"/>
      <c r="AR392" s="889"/>
      <c r="AS392" s="888"/>
      <c r="AT392" s="888"/>
      <c r="AU392" s="890"/>
      <c r="AV392" s="888"/>
      <c r="AW392" s="888"/>
      <c r="AX392" s="888"/>
      <c r="AY392" s="887"/>
      <c r="AZ392" s="888"/>
    </row>
    <row r="393" spans="3:52" ht="18.600000000000001">
      <c r="C393" s="13">
        <f>IF(D393&lt;&gt;"",COUNTA($D$10:D393),"")</f>
        <v>327</v>
      </c>
      <c r="D393" s="14" t="s">
        <v>203</v>
      </c>
      <c r="E393" s="14">
        <v>2.1</v>
      </c>
      <c r="F393" s="14">
        <v>3.5</v>
      </c>
      <c r="G393" s="14">
        <v>2.4</v>
      </c>
      <c r="H393" s="14">
        <v>0</v>
      </c>
      <c r="I393" s="14">
        <v>1</v>
      </c>
      <c r="J393" s="14">
        <v>1.75</v>
      </c>
      <c r="K393" s="14">
        <v>3</v>
      </c>
      <c r="L393" s="15">
        <v>0.1</v>
      </c>
      <c r="M393" s="15">
        <v>0</v>
      </c>
      <c r="N393" s="14">
        <v>21</v>
      </c>
      <c r="O393" s="14">
        <v>50</v>
      </c>
      <c r="P393" s="13">
        <v>45</v>
      </c>
      <c r="Q393" s="13">
        <v>85</v>
      </c>
      <c r="R393" s="13" t="s">
        <v>12</v>
      </c>
      <c r="S393" s="13">
        <v>120</v>
      </c>
      <c r="T393" s="13">
        <v>0</v>
      </c>
      <c r="U393" s="13">
        <v>100</v>
      </c>
      <c r="V393" s="13" t="str">
        <f t="shared" si="289"/>
        <v>ISO 8</v>
      </c>
      <c r="W393" s="13">
        <f t="shared" si="289"/>
        <v>120</v>
      </c>
      <c r="X393" s="16">
        <f t="shared" si="290"/>
        <v>79.085999999999999</v>
      </c>
      <c r="Y393" s="16">
        <f t="shared" si="291"/>
        <v>622.56499199999996</v>
      </c>
      <c r="Z393" s="16">
        <f t="shared" si="292"/>
        <v>1245.1299839999999</v>
      </c>
      <c r="AA393" s="16">
        <f t="shared" si="293"/>
        <v>124.5129984</v>
      </c>
      <c r="AB393" s="16">
        <f t="shared" si="294"/>
        <v>0</v>
      </c>
      <c r="AC393" s="16">
        <f t="shared" si="295"/>
        <v>0</v>
      </c>
      <c r="AD393" s="16" t="e">
        <f t="shared" si="296"/>
        <v>#DIV/0!</v>
      </c>
      <c r="AE393" s="16" t="e">
        <f t="shared" si="297"/>
        <v>#DIV/0!</v>
      </c>
      <c r="AF393" s="16" t="e">
        <f t="shared" si="298"/>
        <v>#DIV/0!</v>
      </c>
      <c r="AG393" s="16" t="e">
        <f t="shared" si="299"/>
        <v>#DIV/0!</v>
      </c>
      <c r="AH393" s="838" t="s">
        <v>85</v>
      </c>
      <c r="AI393" s="17">
        <f t="shared" si="300"/>
        <v>0</v>
      </c>
      <c r="AJ393" s="17" t="e">
        <f t="shared" si="301"/>
        <v>#DIV/0!</v>
      </c>
      <c r="AK393" s="891"/>
      <c r="AL393" s="18" t="e">
        <f>IF(AK390&lt;=2000,950,(IF(AK390&lt;=4000,1100,(IF(AK390&lt;=6000,1250,(IF(AK390&lt;=10000,1550,(IF(AK390&lt;=15000,1750,(IF(AK390&lt;=24000,2050,(IF(AK390&lt;=40000,2900,3600)))))))))))))</f>
        <v>#DIV/0!</v>
      </c>
      <c r="AM393" s="889"/>
      <c r="AN393" s="891"/>
      <c r="AO393" s="888"/>
      <c r="AP393" s="891"/>
      <c r="AQ393" s="891"/>
      <c r="AR393" s="889"/>
      <c r="AS393" s="888"/>
      <c r="AT393" s="888"/>
      <c r="AU393" s="890"/>
      <c r="AV393" s="888"/>
      <c r="AW393" s="888"/>
      <c r="AX393" s="888"/>
      <c r="AY393" s="887"/>
      <c r="AZ393" s="888"/>
    </row>
    <row r="394" spans="3:52" ht="18.600000000000001">
      <c r="C394" s="13">
        <f>IF(D394&lt;&gt;"",COUNTA($D$10:D394),"")</f>
        <v>328</v>
      </c>
      <c r="D394" s="14" t="s">
        <v>204</v>
      </c>
      <c r="E394" s="14">
        <v>2.7</v>
      </c>
      <c r="F394" s="14">
        <v>4</v>
      </c>
      <c r="G394" s="14">
        <v>2.4</v>
      </c>
      <c r="H394" s="14">
        <v>2</v>
      </c>
      <c r="I394" s="14">
        <v>1</v>
      </c>
      <c r="J394" s="14">
        <v>1.75</v>
      </c>
      <c r="K394" s="14">
        <v>3</v>
      </c>
      <c r="L394" s="15">
        <v>0.1</v>
      </c>
      <c r="M394" s="15">
        <v>0</v>
      </c>
      <c r="N394" s="14">
        <v>21</v>
      </c>
      <c r="O394" s="14">
        <v>50</v>
      </c>
      <c r="P394" s="13">
        <v>45</v>
      </c>
      <c r="Q394" s="13">
        <v>85</v>
      </c>
      <c r="R394" s="13" t="s">
        <v>12</v>
      </c>
      <c r="S394" s="13">
        <v>120</v>
      </c>
      <c r="T394" s="13">
        <v>0</v>
      </c>
      <c r="U394" s="13">
        <v>100</v>
      </c>
      <c r="V394" s="13" t="str">
        <f t="shared" si="289"/>
        <v>ISO 8</v>
      </c>
      <c r="W394" s="13">
        <f t="shared" si="289"/>
        <v>120</v>
      </c>
      <c r="X394" s="16">
        <f t="shared" si="290"/>
        <v>116.208</v>
      </c>
      <c r="Y394" s="16">
        <f t="shared" si="291"/>
        <v>914.78937599999995</v>
      </c>
      <c r="Z394" s="16">
        <f t="shared" si="292"/>
        <v>1829.5787519999999</v>
      </c>
      <c r="AA394" s="16">
        <f t="shared" si="293"/>
        <v>182.95787519999999</v>
      </c>
      <c r="AB394" s="16">
        <f t="shared" si="294"/>
        <v>0</v>
      </c>
      <c r="AC394" s="16">
        <f t="shared" si="295"/>
        <v>0</v>
      </c>
      <c r="AD394" s="16" t="e">
        <f t="shared" si="296"/>
        <v>#DIV/0!</v>
      </c>
      <c r="AE394" s="16" t="e">
        <f t="shared" si="297"/>
        <v>#DIV/0!</v>
      </c>
      <c r="AF394" s="16" t="e">
        <f t="shared" si="298"/>
        <v>#DIV/0!</v>
      </c>
      <c r="AG394" s="16" t="e">
        <f t="shared" si="299"/>
        <v>#DIV/0!</v>
      </c>
      <c r="AH394" s="838" t="s">
        <v>85</v>
      </c>
      <c r="AI394" s="17">
        <f t="shared" si="300"/>
        <v>0</v>
      </c>
      <c r="AJ394" s="17" t="e">
        <f t="shared" si="301"/>
        <v>#DIV/0!</v>
      </c>
      <c r="AK394" s="891"/>
      <c r="AL394" s="18" t="s">
        <v>256</v>
      </c>
      <c r="AM394" s="889"/>
      <c r="AN394" s="891"/>
      <c r="AO394" s="888"/>
      <c r="AP394" s="891"/>
      <c r="AQ394" s="891"/>
      <c r="AR394" s="889"/>
      <c r="AS394" s="888"/>
      <c r="AT394" s="888"/>
      <c r="AU394" s="890"/>
      <c r="AV394" s="888"/>
      <c r="AW394" s="888"/>
      <c r="AX394" s="888"/>
      <c r="AY394" s="887"/>
      <c r="AZ394" s="888"/>
    </row>
    <row r="395" spans="3:52" ht="18.600000000000001">
      <c r="C395" s="13">
        <f>IF(D395&lt;&gt;"",COUNTA($D$10:D395),"")</f>
        <v>329</v>
      </c>
      <c r="D395" s="14" t="s">
        <v>205</v>
      </c>
      <c r="E395" s="14">
        <v>3.8</v>
      </c>
      <c r="F395" s="14">
        <v>4.2</v>
      </c>
      <c r="G395" s="14">
        <v>2.4</v>
      </c>
      <c r="H395" s="14">
        <v>3</v>
      </c>
      <c r="I395" s="14">
        <v>3</v>
      </c>
      <c r="J395" s="14">
        <v>1.75</v>
      </c>
      <c r="K395" s="14">
        <v>3</v>
      </c>
      <c r="L395" s="15">
        <v>0.1</v>
      </c>
      <c r="M395" s="15">
        <v>0</v>
      </c>
      <c r="N395" s="14">
        <v>21</v>
      </c>
      <c r="O395" s="14">
        <v>50</v>
      </c>
      <c r="P395" s="13">
        <v>45</v>
      </c>
      <c r="Q395" s="13">
        <v>85</v>
      </c>
      <c r="R395" s="13" t="s">
        <v>12</v>
      </c>
      <c r="S395" s="13">
        <v>120</v>
      </c>
      <c r="T395" s="13">
        <v>0</v>
      </c>
      <c r="U395" s="13">
        <v>100</v>
      </c>
      <c r="V395" s="13" t="str">
        <f t="shared" si="289"/>
        <v>ISO 8</v>
      </c>
      <c r="W395" s="13">
        <f t="shared" si="289"/>
        <v>120</v>
      </c>
      <c r="X395" s="16">
        <f t="shared" si="290"/>
        <v>171.72959999999998</v>
      </c>
      <c r="Y395" s="16">
        <f t="shared" si="291"/>
        <v>1351.8554111999997</v>
      </c>
      <c r="Z395" s="16">
        <f t="shared" si="292"/>
        <v>2703.7108223999994</v>
      </c>
      <c r="AA395" s="16">
        <f t="shared" si="293"/>
        <v>270.37108223999996</v>
      </c>
      <c r="AB395" s="16">
        <f t="shared" si="294"/>
        <v>0</v>
      </c>
      <c r="AC395" s="16">
        <f t="shared" si="295"/>
        <v>0</v>
      </c>
      <c r="AD395" s="16" t="e">
        <f t="shared" si="296"/>
        <v>#DIV/0!</v>
      </c>
      <c r="AE395" s="16" t="e">
        <f t="shared" si="297"/>
        <v>#DIV/0!</v>
      </c>
      <c r="AF395" s="16" t="e">
        <f t="shared" si="298"/>
        <v>#DIV/0!</v>
      </c>
      <c r="AG395" s="16" t="e">
        <f t="shared" si="299"/>
        <v>#DIV/0!</v>
      </c>
      <c r="AH395" s="838" t="s">
        <v>85</v>
      </c>
      <c r="AI395" s="17">
        <f t="shared" si="300"/>
        <v>0</v>
      </c>
      <c r="AJ395" s="17" t="e">
        <f t="shared" si="301"/>
        <v>#DIV/0!</v>
      </c>
      <c r="AK395" s="891"/>
      <c r="AL395" s="18" t="e">
        <f>IF(AL399&lt;4000,AL399,AL399+400)</f>
        <v>#DIV/0!</v>
      </c>
      <c r="AM395" s="889"/>
      <c r="AN395" s="891"/>
      <c r="AO395" s="888"/>
      <c r="AP395" s="891"/>
      <c r="AQ395" s="891"/>
      <c r="AR395" s="889"/>
      <c r="AS395" s="888"/>
      <c r="AT395" s="888"/>
      <c r="AU395" s="890"/>
      <c r="AV395" s="888"/>
      <c r="AW395" s="888"/>
      <c r="AX395" s="888"/>
      <c r="AY395" s="887"/>
      <c r="AZ395" s="888"/>
    </row>
    <row r="396" spans="3:52" ht="18.600000000000001">
      <c r="C396" s="13">
        <f>IF(D396&lt;&gt;"",COUNTA($D$10:D396),"")</f>
        <v>330</v>
      </c>
      <c r="D396" s="14" t="s">
        <v>206</v>
      </c>
      <c r="E396" s="14">
        <v>3.1</v>
      </c>
      <c r="F396" s="14">
        <v>2.6</v>
      </c>
      <c r="G396" s="14">
        <v>2.4</v>
      </c>
      <c r="H396" s="14">
        <v>2</v>
      </c>
      <c r="I396" s="14">
        <v>1</v>
      </c>
      <c r="J396" s="14">
        <v>1.75</v>
      </c>
      <c r="K396" s="14">
        <v>3</v>
      </c>
      <c r="L396" s="15">
        <v>0.1</v>
      </c>
      <c r="M396" s="15">
        <v>0</v>
      </c>
      <c r="N396" s="14">
        <v>21</v>
      </c>
      <c r="O396" s="14">
        <v>50</v>
      </c>
      <c r="P396" s="13">
        <v>45</v>
      </c>
      <c r="Q396" s="13">
        <v>85</v>
      </c>
      <c r="R396" s="13" t="s">
        <v>12</v>
      </c>
      <c r="S396" s="13">
        <v>120</v>
      </c>
      <c r="T396" s="13">
        <v>0</v>
      </c>
      <c r="U396" s="13">
        <v>100</v>
      </c>
      <c r="V396" s="13" t="str">
        <f t="shared" si="289"/>
        <v>ISO 8</v>
      </c>
      <c r="W396" s="13">
        <f t="shared" si="289"/>
        <v>120</v>
      </c>
      <c r="X396" s="16">
        <f t="shared" si="290"/>
        <v>86.7256</v>
      </c>
      <c r="Y396" s="16">
        <f t="shared" si="291"/>
        <v>682.70392319999996</v>
      </c>
      <c r="Z396" s="16">
        <f t="shared" si="292"/>
        <v>1365.4078463999999</v>
      </c>
      <c r="AA396" s="16">
        <f t="shared" si="293"/>
        <v>136.54078464</v>
      </c>
      <c r="AB396" s="16">
        <f t="shared" si="294"/>
        <v>0</v>
      </c>
      <c r="AC396" s="16">
        <f t="shared" si="295"/>
        <v>0</v>
      </c>
      <c r="AD396" s="16" t="e">
        <f t="shared" si="296"/>
        <v>#DIV/0!</v>
      </c>
      <c r="AE396" s="16" t="e">
        <f t="shared" si="297"/>
        <v>#DIV/0!</v>
      </c>
      <c r="AF396" s="16" t="e">
        <f t="shared" si="298"/>
        <v>#DIV/0!</v>
      </c>
      <c r="AG396" s="16" t="e">
        <f t="shared" si="299"/>
        <v>#DIV/0!</v>
      </c>
      <c r="AH396" s="838" t="s">
        <v>85</v>
      </c>
      <c r="AI396" s="17">
        <f t="shared" si="300"/>
        <v>0</v>
      </c>
      <c r="AJ396" s="17" t="e">
        <f t="shared" si="301"/>
        <v>#DIV/0!</v>
      </c>
      <c r="AK396" s="891"/>
      <c r="AL396" s="18"/>
      <c r="AM396" s="889"/>
      <c r="AN396" s="891"/>
      <c r="AO396" s="888"/>
      <c r="AP396" s="891"/>
      <c r="AQ396" s="891"/>
      <c r="AR396" s="889"/>
      <c r="AS396" s="888"/>
      <c r="AT396" s="888"/>
      <c r="AU396" s="890"/>
      <c r="AV396" s="888"/>
      <c r="AW396" s="888"/>
      <c r="AX396" s="888"/>
      <c r="AY396" s="887"/>
      <c r="AZ396" s="888"/>
    </row>
    <row r="397" spans="3:52" ht="18.600000000000001">
      <c r="C397" s="13">
        <f>IF(D397&lt;&gt;"",COUNTA($D$10:D397),"")</f>
        <v>331</v>
      </c>
      <c r="D397" s="14" t="s">
        <v>207</v>
      </c>
      <c r="E397" s="14">
        <v>1.9</v>
      </c>
      <c r="F397" s="14">
        <v>2.4</v>
      </c>
      <c r="G397" s="14">
        <v>2.4</v>
      </c>
      <c r="H397" s="14">
        <v>3</v>
      </c>
      <c r="I397" s="14">
        <v>2</v>
      </c>
      <c r="J397" s="14">
        <v>1.75</v>
      </c>
      <c r="K397" s="14">
        <v>3</v>
      </c>
      <c r="L397" s="15">
        <v>0.1</v>
      </c>
      <c r="M397" s="15">
        <v>0</v>
      </c>
      <c r="N397" s="14">
        <v>21</v>
      </c>
      <c r="O397" s="14">
        <v>50</v>
      </c>
      <c r="P397" s="13">
        <v>45</v>
      </c>
      <c r="Q397" s="13">
        <v>85</v>
      </c>
      <c r="R397" s="13" t="s">
        <v>12</v>
      </c>
      <c r="S397" s="13">
        <v>120</v>
      </c>
      <c r="T397" s="13">
        <v>0</v>
      </c>
      <c r="U397" s="13">
        <v>100</v>
      </c>
      <c r="V397" s="13" t="str">
        <f t="shared" si="289"/>
        <v>ISO 8</v>
      </c>
      <c r="W397" s="13">
        <f t="shared" si="289"/>
        <v>120</v>
      </c>
      <c r="X397" s="16">
        <f t="shared" si="290"/>
        <v>49.065599999999996</v>
      </c>
      <c r="Y397" s="16">
        <f t="shared" si="291"/>
        <v>386.24440319999997</v>
      </c>
      <c r="Z397" s="16">
        <f t="shared" si="292"/>
        <v>772.48880639999993</v>
      </c>
      <c r="AA397" s="16">
        <f t="shared" si="293"/>
        <v>77.248880639999996</v>
      </c>
      <c r="AB397" s="16">
        <f t="shared" si="294"/>
        <v>0</v>
      </c>
      <c r="AC397" s="16">
        <f t="shared" si="295"/>
        <v>0</v>
      </c>
      <c r="AD397" s="16" t="e">
        <f t="shared" si="296"/>
        <v>#DIV/0!</v>
      </c>
      <c r="AE397" s="16" t="e">
        <f t="shared" si="297"/>
        <v>#DIV/0!</v>
      </c>
      <c r="AF397" s="16" t="e">
        <f t="shared" si="298"/>
        <v>#DIV/0!</v>
      </c>
      <c r="AG397" s="16" t="e">
        <f t="shared" si="299"/>
        <v>#DIV/0!</v>
      </c>
      <c r="AH397" s="838" t="s">
        <v>85</v>
      </c>
      <c r="AI397" s="17">
        <f t="shared" si="300"/>
        <v>0</v>
      </c>
      <c r="AJ397" s="17" t="e">
        <f t="shared" si="301"/>
        <v>#DIV/0!</v>
      </c>
      <c r="AK397" s="891"/>
      <c r="AL397" s="18"/>
      <c r="AM397" s="889"/>
      <c r="AN397" s="891"/>
      <c r="AO397" s="888"/>
      <c r="AP397" s="891"/>
      <c r="AQ397" s="891"/>
      <c r="AR397" s="889"/>
      <c r="AS397" s="888"/>
      <c r="AT397" s="888"/>
      <c r="AU397" s="890"/>
      <c r="AV397" s="888"/>
      <c r="AW397" s="888"/>
      <c r="AX397" s="888"/>
      <c r="AY397" s="887"/>
      <c r="AZ397" s="888"/>
    </row>
    <row r="398" spans="3:52" ht="18.600000000000001">
      <c r="C398" s="13">
        <f>IF(D398&lt;&gt;"",COUNTA($D$10:D398),"")</f>
        <v>332</v>
      </c>
      <c r="D398" s="14" t="s">
        <v>208</v>
      </c>
      <c r="E398" s="14">
        <v>3</v>
      </c>
      <c r="F398" s="14">
        <v>2.9</v>
      </c>
      <c r="G398" s="14">
        <v>2.4</v>
      </c>
      <c r="H398" s="14">
        <v>2</v>
      </c>
      <c r="I398" s="14">
        <v>1</v>
      </c>
      <c r="J398" s="14">
        <v>1.75</v>
      </c>
      <c r="K398" s="14">
        <v>3</v>
      </c>
      <c r="L398" s="15">
        <v>0.1</v>
      </c>
      <c r="M398" s="15">
        <v>0</v>
      </c>
      <c r="N398" s="14">
        <v>21</v>
      </c>
      <c r="O398" s="14">
        <v>50</v>
      </c>
      <c r="P398" s="13">
        <v>45</v>
      </c>
      <c r="Q398" s="13">
        <v>85</v>
      </c>
      <c r="R398" s="13" t="s">
        <v>12</v>
      </c>
      <c r="S398" s="13">
        <v>120</v>
      </c>
      <c r="T398" s="13">
        <v>0</v>
      </c>
      <c r="U398" s="13">
        <v>100</v>
      </c>
      <c r="V398" s="13" t="str">
        <f t="shared" si="289"/>
        <v>ISO 8</v>
      </c>
      <c r="W398" s="13">
        <f t="shared" si="289"/>
        <v>120</v>
      </c>
      <c r="X398" s="16">
        <f t="shared" si="290"/>
        <v>93.611999999999995</v>
      </c>
      <c r="Y398" s="16">
        <f t="shared" si="291"/>
        <v>736.91366399999993</v>
      </c>
      <c r="Z398" s="16">
        <f t="shared" si="292"/>
        <v>1473.8273279999999</v>
      </c>
      <c r="AA398" s="16">
        <f t="shared" si="293"/>
        <v>147.38273279999999</v>
      </c>
      <c r="AB398" s="16">
        <f t="shared" si="294"/>
        <v>0</v>
      </c>
      <c r="AC398" s="16">
        <f t="shared" si="295"/>
        <v>0</v>
      </c>
      <c r="AD398" s="16" t="e">
        <f>IF(ISNUMBER(N398), CEILING(CF398/(0.68*BP398),25), "Ambient")</f>
        <v>#DIV/0!</v>
      </c>
      <c r="AE398" s="16" t="e">
        <f t="shared" si="297"/>
        <v>#DIV/0!</v>
      </c>
      <c r="AF398" s="16" t="e">
        <f t="shared" si="298"/>
        <v>#DIV/0!</v>
      </c>
      <c r="AG398" s="16" t="e">
        <f t="shared" si="299"/>
        <v>#DIV/0!</v>
      </c>
      <c r="AH398" s="838" t="s">
        <v>85</v>
      </c>
      <c r="AI398" s="17">
        <f t="shared" si="300"/>
        <v>0</v>
      </c>
      <c r="AJ398" s="17" t="e">
        <f t="shared" si="301"/>
        <v>#DIV/0!</v>
      </c>
      <c r="AK398" s="891"/>
      <c r="AL398" s="18"/>
      <c r="AM398" s="889"/>
      <c r="AN398" s="891"/>
      <c r="AO398" s="888"/>
      <c r="AP398" s="891"/>
      <c r="AQ398" s="891"/>
      <c r="AR398" s="889"/>
      <c r="AS398" s="888"/>
      <c r="AT398" s="888"/>
      <c r="AU398" s="890"/>
      <c r="AV398" s="888"/>
      <c r="AW398" s="888"/>
      <c r="AX398" s="888"/>
      <c r="AY398" s="887"/>
      <c r="AZ398" s="888"/>
    </row>
    <row r="399" spans="3:52" ht="18.600000000000001">
      <c r="C399" s="13">
        <f>IF(D399&lt;&gt;"",COUNTA($D$10:D399),"")</f>
        <v>333</v>
      </c>
      <c r="D399" s="14" t="s">
        <v>209</v>
      </c>
      <c r="E399" s="14">
        <v>2.4</v>
      </c>
      <c r="F399" s="14">
        <v>2</v>
      </c>
      <c r="G399" s="14">
        <v>2.4</v>
      </c>
      <c r="H399" s="14">
        <v>2</v>
      </c>
      <c r="I399" s="14">
        <v>1</v>
      </c>
      <c r="J399" s="14">
        <v>1.75</v>
      </c>
      <c r="K399" s="14">
        <v>3</v>
      </c>
      <c r="L399" s="15">
        <v>0.1</v>
      </c>
      <c r="M399" s="15">
        <v>0</v>
      </c>
      <c r="N399" s="14">
        <v>21</v>
      </c>
      <c r="O399" s="14">
        <v>50</v>
      </c>
      <c r="P399" s="13">
        <v>45</v>
      </c>
      <c r="Q399" s="13">
        <v>85</v>
      </c>
      <c r="R399" s="13" t="s">
        <v>12</v>
      </c>
      <c r="S399" s="13">
        <v>120</v>
      </c>
      <c r="T399" s="13">
        <v>0</v>
      </c>
      <c r="U399" s="13">
        <v>100</v>
      </c>
      <c r="V399" s="13" t="str">
        <f t="shared" si="289"/>
        <v>ISO 8</v>
      </c>
      <c r="W399" s="13">
        <f t="shared" si="289"/>
        <v>120</v>
      </c>
      <c r="X399" s="16">
        <f t="shared" si="290"/>
        <v>51.647999999999996</v>
      </c>
      <c r="Y399" s="16">
        <f t="shared" si="291"/>
        <v>406.57305599999995</v>
      </c>
      <c r="Z399" s="16">
        <f t="shared" si="292"/>
        <v>813.1461119999999</v>
      </c>
      <c r="AA399" s="16">
        <f t="shared" si="293"/>
        <v>81.314611200000002</v>
      </c>
      <c r="AB399" s="16">
        <f t="shared" si="294"/>
        <v>0</v>
      </c>
      <c r="AC399" s="16">
        <f t="shared" si="295"/>
        <v>0</v>
      </c>
      <c r="AD399" s="16" t="e">
        <f t="shared" ref="AD399:AD405" si="302">IF(ISNUMBER(N399), CEILING(CF399/(0.68*BP399),25), "Ambient")</f>
        <v>#DIV/0!</v>
      </c>
      <c r="AE399" s="16" t="e">
        <f t="shared" si="297"/>
        <v>#DIV/0!</v>
      </c>
      <c r="AF399" s="16" t="e">
        <f t="shared" si="298"/>
        <v>#DIV/0!</v>
      </c>
      <c r="AG399" s="16" t="e">
        <f t="shared" si="299"/>
        <v>#DIV/0!</v>
      </c>
      <c r="AH399" s="838" t="s">
        <v>85</v>
      </c>
      <c r="AI399" s="17">
        <f t="shared" si="300"/>
        <v>0</v>
      </c>
      <c r="AJ399" s="17" t="e">
        <f t="shared" si="301"/>
        <v>#DIV/0!</v>
      </c>
      <c r="AK399" s="891"/>
      <c r="AL399" s="174" t="e">
        <f>IF(AN390&lt;=315,1600,(IF(AN390=355,1650,(IF(AN390=400,1650,(IF(AN390=450,1700,(IF(AN390=500,1700,(IF(AN390=560,1800,(IF(AN390=630,2000,(IF(AN390=710,2200,2500)))))))))))))))+IF(AR390=2,1800,(IF(AR390=3,2300,(IF(AR390=4,3300,0)))))+IF(AP390&lt;=4,600,(IF(AP390&lt;=6,800,(IF(AP390&lt;=8,1000,1200)))))</f>
        <v>#DIV/0!</v>
      </c>
      <c r="AM399" s="889"/>
      <c r="AN399" s="891"/>
      <c r="AO399" s="888"/>
      <c r="AP399" s="891"/>
      <c r="AQ399" s="891"/>
      <c r="AR399" s="889"/>
      <c r="AS399" s="888"/>
      <c r="AT399" s="888"/>
      <c r="AU399" s="890"/>
      <c r="AV399" s="888"/>
      <c r="AW399" s="888"/>
      <c r="AX399" s="888"/>
      <c r="AY399" s="887"/>
      <c r="AZ399" s="888"/>
    </row>
    <row r="400" spans="3:52" ht="18.600000000000001">
      <c r="C400" s="13">
        <f>IF(D400&lt;&gt;"",COUNTA($D$10:D400),"")</f>
        <v>334</v>
      </c>
      <c r="D400" s="14" t="s">
        <v>210</v>
      </c>
      <c r="E400" s="14">
        <v>2.1</v>
      </c>
      <c r="F400" s="14">
        <v>1.8</v>
      </c>
      <c r="G400" s="14">
        <v>2.4</v>
      </c>
      <c r="H400" s="14">
        <v>2</v>
      </c>
      <c r="I400" s="14">
        <v>1</v>
      </c>
      <c r="J400" s="14">
        <v>1.75</v>
      </c>
      <c r="K400" s="14">
        <v>3</v>
      </c>
      <c r="L400" s="15">
        <v>0.1</v>
      </c>
      <c r="M400" s="15">
        <v>0</v>
      </c>
      <c r="N400" s="14">
        <v>21</v>
      </c>
      <c r="O400" s="14">
        <v>50</v>
      </c>
      <c r="P400" s="13">
        <v>45</v>
      </c>
      <c r="Q400" s="13">
        <v>85</v>
      </c>
      <c r="R400" s="13" t="s">
        <v>12</v>
      </c>
      <c r="S400" s="13">
        <v>120</v>
      </c>
      <c r="T400" s="13">
        <v>0</v>
      </c>
      <c r="U400" s="13">
        <v>100</v>
      </c>
      <c r="V400" s="13" t="str">
        <f t="shared" si="289"/>
        <v>ISO 8</v>
      </c>
      <c r="W400" s="13">
        <f t="shared" si="289"/>
        <v>120</v>
      </c>
      <c r="X400" s="16">
        <f t="shared" si="290"/>
        <v>40.672800000000002</v>
      </c>
      <c r="Y400" s="16">
        <f t="shared" si="291"/>
        <v>320.17628159999998</v>
      </c>
      <c r="Z400" s="16">
        <f t="shared" si="292"/>
        <v>640.35256319999996</v>
      </c>
      <c r="AA400" s="16">
        <f t="shared" si="293"/>
        <v>64.035256320000002</v>
      </c>
      <c r="AB400" s="16">
        <f t="shared" si="294"/>
        <v>0</v>
      </c>
      <c r="AC400" s="16">
        <f t="shared" si="295"/>
        <v>0</v>
      </c>
      <c r="AD400" s="16" t="e">
        <f t="shared" si="302"/>
        <v>#DIV/0!</v>
      </c>
      <c r="AE400" s="16" t="e">
        <f t="shared" si="297"/>
        <v>#DIV/0!</v>
      </c>
      <c r="AF400" s="16" t="e">
        <f t="shared" si="298"/>
        <v>#DIV/0!</v>
      </c>
      <c r="AG400" s="16" t="e">
        <f t="shared" si="299"/>
        <v>#DIV/0!</v>
      </c>
      <c r="AH400" s="838" t="s">
        <v>85</v>
      </c>
      <c r="AI400" s="17">
        <f t="shared" si="300"/>
        <v>0</v>
      </c>
      <c r="AJ400" s="17" t="e">
        <f t="shared" si="301"/>
        <v>#DIV/0!</v>
      </c>
      <c r="AK400" s="891"/>
      <c r="AL400" s="18"/>
      <c r="AM400" s="889"/>
      <c r="AN400" s="891"/>
      <c r="AO400" s="888"/>
      <c r="AP400" s="891"/>
      <c r="AQ400" s="891"/>
      <c r="AR400" s="889"/>
      <c r="AS400" s="888"/>
      <c r="AT400" s="888"/>
      <c r="AU400" s="890"/>
      <c r="AV400" s="888"/>
      <c r="AW400" s="888"/>
      <c r="AX400" s="888"/>
      <c r="AY400" s="887"/>
      <c r="AZ400" s="888"/>
    </row>
    <row r="401" spans="3:52" ht="18.600000000000001">
      <c r="C401" s="13">
        <f>IF(D401&lt;&gt;"",COUNTA($D$10:D401),"")</f>
        <v>335</v>
      </c>
      <c r="D401" s="14" t="s">
        <v>211</v>
      </c>
      <c r="E401" s="14">
        <v>1.8</v>
      </c>
      <c r="F401" s="14">
        <v>1.9</v>
      </c>
      <c r="G401" s="14">
        <v>2.4</v>
      </c>
      <c r="H401" s="14">
        <v>2</v>
      </c>
      <c r="I401" s="14">
        <v>1</v>
      </c>
      <c r="J401" s="14">
        <v>1.75</v>
      </c>
      <c r="K401" s="14">
        <v>3</v>
      </c>
      <c r="L401" s="15">
        <v>0.1</v>
      </c>
      <c r="M401" s="15">
        <v>0</v>
      </c>
      <c r="N401" s="14">
        <v>21</v>
      </c>
      <c r="O401" s="14">
        <v>50</v>
      </c>
      <c r="P401" s="13">
        <v>45</v>
      </c>
      <c r="Q401" s="13">
        <v>85</v>
      </c>
      <c r="R401" s="13" t="s">
        <v>12</v>
      </c>
      <c r="S401" s="13">
        <v>120</v>
      </c>
      <c r="T401" s="13">
        <v>0</v>
      </c>
      <c r="U401" s="13">
        <v>100</v>
      </c>
      <c r="V401" s="13" t="str">
        <f t="shared" si="289"/>
        <v>ISO 8</v>
      </c>
      <c r="W401" s="13">
        <f t="shared" si="289"/>
        <v>120</v>
      </c>
      <c r="X401" s="16">
        <f t="shared" si="290"/>
        <v>36.799199999999999</v>
      </c>
      <c r="Y401" s="16">
        <f t="shared" si="291"/>
        <v>289.68330239999995</v>
      </c>
      <c r="Z401" s="16">
        <f t="shared" si="292"/>
        <v>579.36660479999989</v>
      </c>
      <c r="AA401" s="16">
        <f t="shared" si="293"/>
        <v>57.936660479999993</v>
      </c>
      <c r="AB401" s="16">
        <f t="shared" si="294"/>
        <v>0</v>
      </c>
      <c r="AC401" s="16">
        <f t="shared" si="295"/>
        <v>0</v>
      </c>
      <c r="AD401" s="16" t="e">
        <f t="shared" si="302"/>
        <v>#DIV/0!</v>
      </c>
      <c r="AE401" s="16" t="e">
        <f t="shared" si="297"/>
        <v>#DIV/0!</v>
      </c>
      <c r="AF401" s="16" t="e">
        <f t="shared" si="298"/>
        <v>#DIV/0!</v>
      </c>
      <c r="AG401" s="16" t="e">
        <f t="shared" si="299"/>
        <v>#DIV/0!</v>
      </c>
      <c r="AH401" s="838" t="s">
        <v>85</v>
      </c>
      <c r="AI401" s="17">
        <f t="shared" si="300"/>
        <v>0</v>
      </c>
      <c r="AJ401" s="17" t="e">
        <f t="shared" si="301"/>
        <v>#DIV/0!</v>
      </c>
      <c r="AK401" s="891"/>
      <c r="AL401" s="18"/>
      <c r="AM401" s="889"/>
      <c r="AN401" s="891"/>
      <c r="AO401" s="888"/>
      <c r="AP401" s="891"/>
      <c r="AQ401" s="891"/>
      <c r="AR401" s="889"/>
      <c r="AS401" s="888"/>
      <c r="AT401" s="888"/>
      <c r="AU401" s="890"/>
      <c r="AV401" s="888"/>
      <c r="AW401" s="888"/>
      <c r="AX401" s="888"/>
      <c r="AY401" s="887"/>
      <c r="AZ401" s="888"/>
    </row>
    <row r="402" spans="3:52" ht="18.600000000000001">
      <c r="C402" s="13">
        <f>IF(D402&lt;&gt;"",COUNTA($D$10:D402),"")</f>
        <v>336</v>
      </c>
      <c r="D402" s="14" t="s">
        <v>212</v>
      </c>
      <c r="E402" s="14">
        <v>1.9</v>
      </c>
      <c r="F402" s="14">
        <v>2</v>
      </c>
      <c r="G402" s="14">
        <v>2.4</v>
      </c>
      <c r="H402" s="14">
        <v>2</v>
      </c>
      <c r="I402" s="14">
        <v>1</v>
      </c>
      <c r="J402" s="14">
        <v>1.75</v>
      </c>
      <c r="K402" s="14">
        <v>3</v>
      </c>
      <c r="L402" s="15">
        <v>0.1</v>
      </c>
      <c r="M402" s="15">
        <v>0</v>
      </c>
      <c r="N402" s="14">
        <v>21</v>
      </c>
      <c r="O402" s="14">
        <v>50</v>
      </c>
      <c r="P402" s="13">
        <v>45</v>
      </c>
      <c r="Q402" s="13">
        <v>85</v>
      </c>
      <c r="R402" s="13" t="s">
        <v>12</v>
      </c>
      <c r="S402" s="13">
        <v>120</v>
      </c>
      <c r="T402" s="13">
        <v>0</v>
      </c>
      <c r="U402" s="13">
        <v>100</v>
      </c>
      <c r="V402" s="13" t="str">
        <f t="shared" si="289"/>
        <v>ISO 8</v>
      </c>
      <c r="W402" s="13">
        <f t="shared" si="289"/>
        <v>120</v>
      </c>
      <c r="X402" s="16">
        <f t="shared" si="290"/>
        <v>40.887999999999998</v>
      </c>
      <c r="Y402" s="16">
        <f t="shared" si="291"/>
        <v>321.87033599999995</v>
      </c>
      <c r="Z402" s="16">
        <f t="shared" si="292"/>
        <v>643.7406719999999</v>
      </c>
      <c r="AA402" s="16">
        <f t="shared" si="293"/>
        <v>64.374067199999999</v>
      </c>
      <c r="AB402" s="16">
        <f t="shared" si="294"/>
        <v>0</v>
      </c>
      <c r="AC402" s="16">
        <f t="shared" si="295"/>
        <v>0</v>
      </c>
      <c r="AD402" s="16" t="e">
        <f t="shared" si="302"/>
        <v>#DIV/0!</v>
      </c>
      <c r="AE402" s="16" t="e">
        <f t="shared" si="297"/>
        <v>#DIV/0!</v>
      </c>
      <c r="AF402" s="16" t="e">
        <f t="shared" si="298"/>
        <v>#DIV/0!</v>
      </c>
      <c r="AG402" s="16" t="e">
        <f t="shared" si="299"/>
        <v>#DIV/0!</v>
      </c>
      <c r="AH402" s="838" t="s">
        <v>85</v>
      </c>
      <c r="AI402" s="17">
        <f t="shared" si="300"/>
        <v>0</v>
      </c>
      <c r="AJ402" s="17" t="e">
        <f t="shared" si="301"/>
        <v>#DIV/0!</v>
      </c>
      <c r="AK402" s="891"/>
      <c r="AL402" s="18"/>
      <c r="AM402" s="889"/>
      <c r="AN402" s="891"/>
      <c r="AO402" s="888"/>
      <c r="AP402" s="891"/>
      <c r="AQ402" s="891"/>
      <c r="AR402" s="889"/>
      <c r="AS402" s="888"/>
      <c r="AT402" s="888"/>
      <c r="AU402" s="890"/>
      <c r="AV402" s="888"/>
      <c r="AW402" s="888"/>
      <c r="AX402" s="888"/>
      <c r="AY402" s="887"/>
      <c r="AZ402" s="888"/>
    </row>
    <row r="403" spans="3:52" ht="18.600000000000001">
      <c r="C403" s="13">
        <f>IF(D403&lt;&gt;"",COUNTA($D$10:D403),"")</f>
        <v>337</v>
      </c>
      <c r="D403" s="14" t="s">
        <v>213</v>
      </c>
      <c r="E403" s="14">
        <v>2.2999999999999998</v>
      </c>
      <c r="F403" s="14">
        <v>2.2000000000000002</v>
      </c>
      <c r="G403" s="14">
        <v>2.4</v>
      </c>
      <c r="H403" s="14">
        <v>2</v>
      </c>
      <c r="I403" s="14">
        <v>1</v>
      </c>
      <c r="J403" s="14">
        <v>1.75</v>
      </c>
      <c r="K403" s="14">
        <v>3</v>
      </c>
      <c r="L403" s="15">
        <v>0.1</v>
      </c>
      <c r="M403" s="15">
        <v>0</v>
      </c>
      <c r="N403" s="14">
        <v>21</v>
      </c>
      <c r="O403" s="14">
        <v>50</v>
      </c>
      <c r="P403" s="13">
        <v>45</v>
      </c>
      <c r="Q403" s="13">
        <v>85</v>
      </c>
      <c r="R403" s="13" t="s">
        <v>12</v>
      </c>
      <c r="S403" s="13">
        <v>120</v>
      </c>
      <c r="T403" s="13">
        <v>0</v>
      </c>
      <c r="U403" s="13">
        <v>100</v>
      </c>
      <c r="V403" s="13" t="str">
        <f t="shared" si="289"/>
        <v>ISO 8</v>
      </c>
      <c r="W403" s="13">
        <f t="shared" si="289"/>
        <v>120</v>
      </c>
      <c r="X403" s="16">
        <f t="shared" si="290"/>
        <v>54.445599999999992</v>
      </c>
      <c r="Y403" s="16">
        <f t="shared" si="291"/>
        <v>428.59576319999991</v>
      </c>
      <c r="Z403" s="16">
        <f t="shared" si="292"/>
        <v>857.19152639999982</v>
      </c>
      <c r="AA403" s="16">
        <f t="shared" si="293"/>
        <v>85.71915263999999</v>
      </c>
      <c r="AB403" s="16">
        <f t="shared" si="294"/>
        <v>0</v>
      </c>
      <c r="AC403" s="16">
        <f t="shared" si="295"/>
        <v>0</v>
      </c>
      <c r="AD403" s="16" t="e">
        <f t="shared" si="302"/>
        <v>#DIV/0!</v>
      </c>
      <c r="AE403" s="16" t="e">
        <f t="shared" si="297"/>
        <v>#DIV/0!</v>
      </c>
      <c r="AF403" s="16" t="e">
        <f t="shared" si="298"/>
        <v>#DIV/0!</v>
      </c>
      <c r="AG403" s="16" t="e">
        <f t="shared" si="299"/>
        <v>#DIV/0!</v>
      </c>
      <c r="AH403" s="838" t="s">
        <v>85</v>
      </c>
      <c r="AI403" s="17">
        <f t="shared" si="300"/>
        <v>0</v>
      </c>
      <c r="AJ403" s="17" t="e">
        <f t="shared" si="301"/>
        <v>#DIV/0!</v>
      </c>
      <c r="AK403" s="891"/>
      <c r="AL403" s="18"/>
      <c r="AM403" s="889"/>
      <c r="AN403" s="891"/>
      <c r="AO403" s="888"/>
      <c r="AP403" s="891"/>
      <c r="AQ403" s="891"/>
      <c r="AR403" s="889"/>
      <c r="AS403" s="888"/>
      <c r="AT403" s="888"/>
      <c r="AU403" s="890"/>
      <c r="AV403" s="888"/>
      <c r="AW403" s="888"/>
      <c r="AX403" s="888"/>
      <c r="AY403" s="887"/>
      <c r="AZ403" s="888"/>
    </row>
    <row r="404" spans="3:52" ht="18.600000000000001">
      <c r="C404" s="13">
        <f>IF(D404&lt;&gt;"",COUNTA($D$10:D404),"")</f>
        <v>338</v>
      </c>
      <c r="D404" s="14" t="s">
        <v>214</v>
      </c>
      <c r="E404" s="14">
        <v>2.2000000000000002</v>
      </c>
      <c r="F404" s="14">
        <v>2.8</v>
      </c>
      <c r="G404" s="14">
        <v>2.4</v>
      </c>
      <c r="H404" s="14">
        <v>2</v>
      </c>
      <c r="I404" s="14">
        <v>1</v>
      </c>
      <c r="J404" s="14">
        <v>1.75</v>
      </c>
      <c r="K404" s="14">
        <v>3</v>
      </c>
      <c r="L404" s="15">
        <v>0.1</v>
      </c>
      <c r="M404" s="15">
        <v>0</v>
      </c>
      <c r="N404" s="14">
        <v>21</v>
      </c>
      <c r="O404" s="14">
        <v>50</v>
      </c>
      <c r="P404" s="13">
        <v>45</v>
      </c>
      <c r="Q404" s="13">
        <v>85</v>
      </c>
      <c r="R404" s="13" t="s">
        <v>12</v>
      </c>
      <c r="S404" s="13">
        <v>120</v>
      </c>
      <c r="T404" s="13">
        <v>0</v>
      </c>
      <c r="U404" s="13">
        <v>100</v>
      </c>
      <c r="V404" s="13" t="str">
        <f t="shared" si="289"/>
        <v>ISO 8</v>
      </c>
      <c r="W404" s="13">
        <f t="shared" si="289"/>
        <v>120</v>
      </c>
      <c r="X404" s="16">
        <f t="shared" si="290"/>
        <v>66.281599999999997</v>
      </c>
      <c r="Y404" s="16">
        <f t="shared" si="291"/>
        <v>521.76875519999999</v>
      </c>
      <c r="Z404" s="16">
        <f t="shared" si="292"/>
        <v>1043.5375104</v>
      </c>
      <c r="AA404" s="16">
        <f t="shared" si="293"/>
        <v>104.35375104000001</v>
      </c>
      <c r="AB404" s="16">
        <f t="shared" si="294"/>
        <v>0</v>
      </c>
      <c r="AC404" s="16">
        <f t="shared" si="295"/>
        <v>0</v>
      </c>
      <c r="AD404" s="16" t="e">
        <f t="shared" si="302"/>
        <v>#DIV/0!</v>
      </c>
      <c r="AE404" s="16" t="e">
        <f t="shared" si="297"/>
        <v>#DIV/0!</v>
      </c>
      <c r="AF404" s="16" t="e">
        <f t="shared" si="298"/>
        <v>#DIV/0!</v>
      </c>
      <c r="AG404" s="16" t="e">
        <f t="shared" si="299"/>
        <v>#DIV/0!</v>
      </c>
      <c r="AH404" s="838" t="s">
        <v>85</v>
      </c>
      <c r="AI404" s="17">
        <f t="shared" si="300"/>
        <v>0</v>
      </c>
      <c r="AJ404" s="17" t="e">
        <f t="shared" si="301"/>
        <v>#DIV/0!</v>
      </c>
      <c r="AK404" s="891"/>
      <c r="AL404" s="18"/>
      <c r="AM404" s="889"/>
      <c r="AN404" s="891"/>
      <c r="AO404" s="888"/>
      <c r="AP404" s="891"/>
      <c r="AQ404" s="891"/>
      <c r="AR404" s="889"/>
      <c r="AS404" s="888"/>
      <c r="AT404" s="888"/>
      <c r="AU404" s="890"/>
      <c r="AV404" s="888"/>
      <c r="AW404" s="888"/>
      <c r="AX404" s="888"/>
      <c r="AY404" s="887"/>
      <c r="AZ404" s="888"/>
    </row>
    <row r="405" spans="3:52" ht="18.600000000000001">
      <c r="C405" s="13">
        <f>IF(D405&lt;&gt;"",COUNTA($D$10:D405),"")</f>
        <v>339</v>
      </c>
      <c r="D405" s="14" t="s">
        <v>215</v>
      </c>
      <c r="E405" s="14">
        <v>2.8</v>
      </c>
      <c r="F405" s="14">
        <v>2.4</v>
      </c>
      <c r="G405" s="14">
        <v>2.4</v>
      </c>
      <c r="H405" s="14">
        <v>2</v>
      </c>
      <c r="I405" s="14">
        <v>1</v>
      </c>
      <c r="J405" s="14">
        <v>1.75</v>
      </c>
      <c r="K405" s="14">
        <v>3</v>
      </c>
      <c r="L405" s="15">
        <v>0.1</v>
      </c>
      <c r="M405" s="15">
        <v>0</v>
      </c>
      <c r="N405" s="14">
        <v>21</v>
      </c>
      <c r="O405" s="14">
        <v>50</v>
      </c>
      <c r="P405" s="13">
        <v>45</v>
      </c>
      <c r="Q405" s="13">
        <v>85</v>
      </c>
      <c r="R405" s="13" t="s">
        <v>12</v>
      </c>
      <c r="S405" s="13">
        <v>120</v>
      </c>
      <c r="T405" s="13">
        <v>0</v>
      </c>
      <c r="U405" s="13">
        <v>100</v>
      </c>
      <c r="V405" s="13" t="str">
        <f t="shared" si="289"/>
        <v>ISO 8</v>
      </c>
      <c r="W405" s="13">
        <f t="shared" si="289"/>
        <v>120</v>
      </c>
      <c r="X405" s="16">
        <f t="shared" si="290"/>
        <v>72.307199999999995</v>
      </c>
      <c r="Y405" s="16">
        <f t="shared" si="291"/>
        <v>569.20227839999995</v>
      </c>
      <c r="Z405" s="16">
        <f t="shared" si="292"/>
        <v>1138.4045567999999</v>
      </c>
      <c r="AA405" s="16">
        <f t="shared" si="293"/>
        <v>113.84045567999999</v>
      </c>
      <c r="AB405" s="16">
        <f t="shared" si="294"/>
        <v>0</v>
      </c>
      <c r="AC405" s="16">
        <f t="shared" si="295"/>
        <v>0</v>
      </c>
      <c r="AD405" s="16" t="e">
        <f t="shared" si="302"/>
        <v>#DIV/0!</v>
      </c>
      <c r="AE405" s="16" t="e">
        <f t="shared" si="297"/>
        <v>#DIV/0!</v>
      </c>
      <c r="AF405" s="16" t="e">
        <f t="shared" si="298"/>
        <v>#DIV/0!</v>
      </c>
      <c r="AG405" s="16" t="e">
        <f t="shared" si="299"/>
        <v>#DIV/0!</v>
      </c>
      <c r="AH405" s="838" t="s">
        <v>85</v>
      </c>
      <c r="AI405" s="17">
        <f t="shared" si="300"/>
        <v>0</v>
      </c>
      <c r="AJ405" s="17" t="e">
        <f t="shared" si="301"/>
        <v>#DIV/0!</v>
      </c>
      <c r="AK405" s="891"/>
      <c r="AL405" s="18"/>
      <c r="AM405" s="889"/>
      <c r="AN405" s="891"/>
      <c r="AO405" s="888"/>
      <c r="AP405" s="891"/>
      <c r="AQ405" s="891"/>
      <c r="AR405" s="889"/>
      <c r="AS405" s="888"/>
      <c r="AT405" s="888"/>
      <c r="AU405" s="890"/>
      <c r="AV405" s="888"/>
      <c r="AW405" s="888"/>
      <c r="AX405" s="888"/>
      <c r="AY405" s="887"/>
      <c r="AZ405" s="888"/>
    </row>
    <row r="406" spans="3:52">
      <c r="C406" s="19"/>
      <c r="D406" s="19"/>
      <c r="E406" s="19"/>
      <c r="F406" s="19"/>
      <c r="G406" s="19"/>
      <c r="H406" s="19"/>
      <c r="I406" s="19"/>
      <c r="J406" s="19"/>
      <c r="K406" s="19"/>
      <c r="L406" s="19"/>
      <c r="M406" s="19"/>
      <c r="N406" s="19"/>
      <c r="O406" s="19"/>
      <c r="P406" s="19"/>
      <c r="Q406" s="19"/>
      <c r="R406" s="19"/>
      <c r="S406" s="19"/>
      <c r="T406" s="19"/>
      <c r="U406" s="19"/>
      <c r="V406" s="19"/>
      <c r="W406" s="19"/>
      <c r="X406" s="20">
        <f>SUM(X390:X405)</f>
        <v>1144.1108000000002</v>
      </c>
      <c r="Y406" s="20">
        <f t="shared" ref="Y406:AG406" si="303">SUM(Y390:Y405)</f>
        <v>9006.4402175999985</v>
      </c>
      <c r="Z406" s="20">
        <f t="shared" si="303"/>
        <v>18012.880435199997</v>
      </c>
      <c r="AA406" s="20">
        <f t="shared" si="303"/>
        <v>1801.2880435199995</v>
      </c>
      <c r="AB406" s="20">
        <f t="shared" si="303"/>
        <v>0</v>
      </c>
      <c r="AC406" s="20">
        <f t="shared" si="303"/>
        <v>0</v>
      </c>
      <c r="AD406" s="20" t="e">
        <f t="shared" si="303"/>
        <v>#DIV/0!</v>
      </c>
      <c r="AE406" s="20" t="e">
        <f t="shared" si="303"/>
        <v>#DIV/0!</v>
      </c>
      <c r="AF406" s="20" t="e">
        <f t="shared" si="303"/>
        <v>#DIV/0!</v>
      </c>
      <c r="AG406" s="20" t="e">
        <f t="shared" si="303"/>
        <v>#DIV/0!</v>
      </c>
      <c r="AH406" s="841"/>
      <c r="AI406" s="20">
        <f t="shared" ref="AI406:AJ406" si="304">SUM(AI390:AI405)</f>
        <v>0</v>
      </c>
      <c r="AJ406" s="20" t="e">
        <f t="shared" si="304"/>
        <v>#DIV/0!</v>
      </c>
      <c r="AK406" s="21"/>
      <c r="AL406" s="21"/>
      <c r="AM406" s="21"/>
      <c r="AN406" s="21"/>
      <c r="AO406" s="21"/>
      <c r="AP406" s="21"/>
      <c r="AQ406" s="21"/>
      <c r="AR406" s="21"/>
      <c r="AS406" s="21"/>
      <c r="AT406" s="21"/>
      <c r="AU406" s="21"/>
      <c r="AV406" s="21"/>
      <c r="AW406" s="21"/>
      <c r="AX406" s="21"/>
      <c r="AY406" s="21"/>
      <c r="AZ406" s="21"/>
    </row>
  </sheetData>
  <mergeCells count="300">
    <mergeCell ref="AV390:AV405"/>
    <mergeCell ref="AW390:AW405"/>
    <mergeCell ref="AX390:AX405"/>
    <mergeCell ref="AY390:AY405"/>
    <mergeCell ref="AZ390:AZ405"/>
    <mergeCell ref="AZ370:AZ385"/>
    <mergeCell ref="AK390:AK405"/>
    <mergeCell ref="AM390:AM405"/>
    <mergeCell ref="AN390:AN405"/>
    <mergeCell ref="AO390:AO405"/>
    <mergeCell ref="AP390:AP405"/>
    <mergeCell ref="AQ390:AQ405"/>
    <mergeCell ref="AR390:AR405"/>
    <mergeCell ref="AS390:AS405"/>
    <mergeCell ref="AT390:AT405"/>
    <mergeCell ref="AT370:AT385"/>
    <mergeCell ref="AU370:AU385"/>
    <mergeCell ref="AV370:AV385"/>
    <mergeCell ref="AW370:AW385"/>
    <mergeCell ref="AX370:AX385"/>
    <mergeCell ref="AY370:AY385"/>
    <mergeCell ref="AK370:AK385"/>
    <mergeCell ref="AM370:AM385"/>
    <mergeCell ref="AN370:AN385"/>
    <mergeCell ref="AQ370:AQ385"/>
    <mergeCell ref="AU390:AU405"/>
    <mergeCell ref="AK330:AK345"/>
    <mergeCell ref="AM330:AM345"/>
    <mergeCell ref="AN330:AN345"/>
    <mergeCell ref="AO330:AO345"/>
    <mergeCell ref="AP330:AP345"/>
    <mergeCell ref="AT350:AT365"/>
    <mergeCell ref="AU350:AU365"/>
    <mergeCell ref="AW290:AW305"/>
    <mergeCell ref="AX290:AX305"/>
    <mergeCell ref="AY290:AY305"/>
    <mergeCell ref="AK290:AK305"/>
    <mergeCell ref="AM290:AM305"/>
    <mergeCell ref="AN290:AN305"/>
    <mergeCell ref="AR370:AR385"/>
    <mergeCell ref="AS370:AS385"/>
    <mergeCell ref="AS350:AS365"/>
    <mergeCell ref="AX330:AX345"/>
    <mergeCell ref="AY330:AY345"/>
    <mergeCell ref="AK350:AK365"/>
    <mergeCell ref="AM350:AM365"/>
    <mergeCell ref="AN350:AN365"/>
    <mergeCell ref="AO350:AO365"/>
    <mergeCell ref="AP350:AP365"/>
    <mergeCell ref="AQ350:AQ365"/>
    <mergeCell ref="AR350:AR365"/>
    <mergeCell ref="AR330:AR345"/>
    <mergeCell ref="AS330:AS345"/>
    <mergeCell ref="AT330:AT345"/>
    <mergeCell ref="AU330:AU345"/>
    <mergeCell ref="AO370:AO385"/>
    <mergeCell ref="AP370:AP385"/>
    <mergeCell ref="AK310:AK325"/>
    <mergeCell ref="AM310:AM325"/>
    <mergeCell ref="AN310:AN325"/>
    <mergeCell ref="AO310:AO325"/>
    <mergeCell ref="AP310:AP325"/>
    <mergeCell ref="AQ310:AQ325"/>
    <mergeCell ref="AR310:AR325"/>
    <mergeCell ref="AS310:AS325"/>
    <mergeCell ref="AT310:AT325"/>
    <mergeCell ref="AX310:AX325"/>
    <mergeCell ref="AQ330:AQ345"/>
    <mergeCell ref="AY350:AY365"/>
    <mergeCell ref="AZ350:AZ365"/>
    <mergeCell ref="AY310:AY325"/>
    <mergeCell ref="AZ310:AZ325"/>
    <mergeCell ref="AZ330:AZ345"/>
    <mergeCell ref="AX350:AX365"/>
    <mergeCell ref="AO290:AO305"/>
    <mergeCell ref="AP290:AP305"/>
    <mergeCell ref="AQ290:AQ305"/>
    <mergeCell ref="AR290:AR305"/>
    <mergeCell ref="AS290:AS305"/>
    <mergeCell ref="AZ290:AZ305"/>
    <mergeCell ref="AT290:AT305"/>
    <mergeCell ref="AU290:AU305"/>
    <mergeCell ref="AV290:AV305"/>
    <mergeCell ref="AV330:AV345"/>
    <mergeCell ref="AW330:AW345"/>
    <mergeCell ref="AU310:AU325"/>
    <mergeCell ref="AV310:AV325"/>
    <mergeCell ref="AW310:AW325"/>
    <mergeCell ref="AV350:AV365"/>
    <mergeCell ref="AW350:AW365"/>
    <mergeCell ref="AX250:AX265"/>
    <mergeCell ref="AY250:AY265"/>
    <mergeCell ref="AZ250:AZ265"/>
    <mergeCell ref="AT250:AT265"/>
    <mergeCell ref="AU250:AU265"/>
    <mergeCell ref="AV250:AV265"/>
    <mergeCell ref="AW250:AW265"/>
    <mergeCell ref="AY270:AY285"/>
    <mergeCell ref="AZ270:AZ285"/>
    <mergeCell ref="AT270:AT285"/>
    <mergeCell ref="AU270:AU285"/>
    <mergeCell ref="AV270:AV285"/>
    <mergeCell ref="AW270:AW285"/>
    <mergeCell ref="AX270:AX285"/>
    <mergeCell ref="AR270:AR285"/>
    <mergeCell ref="AR250:AR265"/>
    <mergeCell ref="AS250:AS265"/>
    <mergeCell ref="AK250:AK265"/>
    <mergeCell ref="AM250:AM265"/>
    <mergeCell ref="AN250:AN265"/>
    <mergeCell ref="AO250:AO265"/>
    <mergeCell ref="AP250:AP265"/>
    <mergeCell ref="AQ250:AQ265"/>
    <mergeCell ref="AS270:AS285"/>
    <mergeCell ref="AN210:AN225"/>
    <mergeCell ref="AO210:AO225"/>
    <mergeCell ref="AP210:AP225"/>
    <mergeCell ref="AQ210:AQ225"/>
    <mergeCell ref="AK270:AK285"/>
    <mergeCell ref="AM270:AM285"/>
    <mergeCell ref="AN270:AN285"/>
    <mergeCell ref="AO270:AO285"/>
    <mergeCell ref="AP270:AP285"/>
    <mergeCell ref="AQ270:AQ285"/>
    <mergeCell ref="AU230:AU245"/>
    <mergeCell ref="AV230:AV245"/>
    <mergeCell ref="AW230:AW245"/>
    <mergeCell ref="AX230:AX245"/>
    <mergeCell ref="AY230:AY245"/>
    <mergeCell ref="AZ230:AZ245"/>
    <mergeCell ref="AZ210:AZ225"/>
    <mergeCell ref="AK230:AK245"/>
    <mergeCell ref="AM230:AM245"/>
    <mergeCell ref="AN230:AN245"/>
    <mergeCell ref="AO230:AO245"/>
    <mergeCell ref="AP230:AP245"/>
    <mergeCell ref="AQ230:AQ245"/>
    <mergeCell ref="AR230:AR245"/>
    <mergeCell ref="AS230:AS245"/>
    <mergeCell ref="AT230:AT245"/>
    <mergeCell ref="AT210:AT225"/>
    <mergeCell ref="AU210:AU225"/>
    <mergeCell ref="AV210:AV225"/>
    <mergeCell ref="AW210:AW225"/>
    <mergeCell ref="AX210:AX225"/>
    <mergeCell ref="AY210:AY225"/>
    <mergeCell ref="AK210:AK225"/>
    <mergeCell ref="AM210:AM225"/>
    <mergeCell ref="AK170:AK185"/>
    <mergeCell ref="AM170:AM185"/>
    <mergeCell ref="AN170:AN185"/>
    <mergeCell ref="AO170:AO185"/>
    <mergeCell ref="AP170:AP185"/>
    <mergeCell ref="AT190:AT205"/>
    <mergeCell ref="AU190:AU205"/>
    <mergeCell ref="AV190:AV205"/>
    <mergeCell ref="AW190:AW205"/>
    <mergeCell ref="AW130:AW145"/>
    <mergeCell ref="AX130:AX145"/>
    <mergeCell ref="AY130:AY145"/>
    <mergeCell ref="AK130:AK145"/>
    <mergeCell ref="AM130:AM145"/>
    <mergeCell ref="AN130:AN145"/>
    <mergeCell ref="AR210:AR225"/>
    <mergeCell ref="AS210:AS225"/>
    <mergeCell ref="AS190:AS205"/>
    <mergeCell ref="AX170:AX185"/>
    <mergeCell ref="AY170:AY185"/>
    <mergeCell ref="AK190:AK205"/>
    <mergeCell ref="AM190:AM205"/>
    <mergeCell ref="AN190:AN205"/>
    <mergeCell ref="AO190:AO205"/>
    <mergeCell ref="AP190:AP205"/>
    <mergeCell ref="AQ190:AQ205"/>
    <mergeCell ref="AR190:AR205"/>
    <mergeCell ref="AR170:AR185"/>
    <mergeCell ref="AS170:AS185"/>
    <mergeCell ref="AT170:AT185"/>
    <mergeCell ref="AU170:AU185"/>
    <mergeCell ref="AV170:AV185"/>
    <mergeCell ref="AW170:AW185"/>
    <mergeCell ref="AK150:AK165"/>
    <mergeCell ref="AM150:AM165"/>
    <mergeCell ref="AN150:AN165"/>
    <mergeCell ref="AO150:AO165"/>
    <mergeCell ref="AP150:AP165"/>
    <mergeCell ref="AQ150:AQ165"/>
    <mergeCell ref="AR150:AR165"/>
    <mergeCell ref="AS150:AS165"/>
    <mergeCell ref="AT150:AT165"/>
    <mergeCell ref="AU150:AU165"/>
    <mergeCell ref="AV150:AV165"/>
    <mergeCell ref="AW150:AW165"/>
    <mergeCell ref="AX150:AX165"/>
    <mergeCell ref="AQ170:AQ185"/>
    <mergeCell ref="AY190:AY205"/>
    <mergeCell ref="AZ190:AZ205"/>
    <mergeCell ref="AY150:AY165"/>
    <mergeCell ref="AZ150:AZ165"/>
    <mergeCell ref="AZ170:AZ185"/>
    <mergeCell ref="AX190:AX205"/>
    <mergeCell ref="AO130:AO145"/>
    <mergeCell ref="AP130:AP145"/>
    <mergeCell ref="AQ130:AQ145"/>
    <mergeCell ref="AR130:AR145"/>
    <mergeCell ref="AS130:AS145"/>
    <mergeCell ref="AS110:AS125"/>
    <mergeCell ref="AX90:AX105"/>
    <mergeCell ref="AY90:AY105"/>
    <mergeCell ref="AZ90:AZ105"/>
    <mergeCell ref="AT90:AT105"/>
    <mergeCell ref="AU90:AU105"/>
    <mergeCell ref="AV90:AV105"/>
    <mergeCell ref="AW90:AW105"/>
    <mergeCell ref="AY110:AY125"/>
    <mergeCell ref="AZ110:AZ125"/>
    <mergeCell ref="AT110:AT125"/>
    <mergeCell ref="AU110:AU125"/>
    <mergeCell ref="AV110:AV125"/>
    <mergeCell ref="AW110:AW125"/>
    <mergeCell ref="AX110:AX125"/>
    <mergeCell ref="AZ130:AZ145"/>
    <mergeCell ref="AT130:AT145"/>
    <mergeCell ref="AU130:AU145"/>
    <mergeCell ref="AV130:AV145"/>
    <mergeCell ref="AR110:AR125"/>
    <mergeCell ref="AR90:AR105"/>
    <mergeCell ref="AS90:AS105"/>
    <mergeCell ref="AK90:AK105"/>
    <mergeCell ref="AM90:AM105"/>
    <mergeCell ref="AN90:AN105"/>
    <mergeCell ref="AO90:AO105"/>
    <mergeCell ref="AP90:AP105"/>
    <mergeCell ref="AQ90:AQ105"/>
    <mergeCell ref="AN50:AN65"/>
    <mergeCell ref="AO50:AO65"/>
    <mergeCell ref="AP50:AP65"/>
    <mergeCell ref="AQ50:AQ65"/>
    <mergeCell ref="AK110:AK125"/>
    <mergeCell ref="AM110:AM125"/>
    <mergeCell ref="AN110:AN125"/>
    <mergeCell ref="AO110:AO125"/>
    <mergeCell ref="AP110:AP125"/>
    <mergeCell ref="AQ110:AQ125"/>
    <mergeCell ref="AU70:AU85"/>
    <mergeCell ref="AV70:AV85"/>
    <mergeCell ref="AW70:AW85"/>
    <mergeCell ref="AX70:AX85"/>
    <mergeCell ref="AY70:AY85"/>
    <mergeCell ref="AZ70:AZ85"/>
    <mergeCell ref="AZ50:AZ65"/>
    <mergeCell ref="AK70:AK85"/>
    <mergeCell ref="AM70:AM85"/>
    <mergeCell ref="AN70:AN85"/>
    <mergeCell ref="AO70:AO85"/>
    <mergeCell ref="AP70:AP85"/>
    <mergeCell ref="AQ70:AQ85"/>
    <mergeCell ref="AR70:AR85"/>
    <mergeCell ref="AS70:AS85"/>
    <mergeCell ref="AT70:AT85"/>
    <mergeCell ref="AT50:AT65"/>
    <mergeCell ref="AU50:AU65"/>
    <mergeCell ref="AV50:AV65"/>
    <mergeCell ref="AW50:AW65"/>
    <mergeCell ref="AX50:AX65"/>
    <mergeCell ref="AY50:AY65"/>
    <mergeCell ref="AK50:AK65"/>
    <mergeCell ref="AM50:AM65"/>
    <mergeCell ref="AK30:AK45"/>
    <mergeCell ref="AM30:AM45"/>
    <mergeCell ref="AN30:AN45"/>
    <mergeCell ref="AO30:AO45"/>
    <mergeCell ref="AP30:AP45"/>
    <mergeCell ref="AQ30:AQ45"/>
    <mergeCell ref="AR30:AR45"/>
    <mergeCell ref="AR10:AR25"/>
    <mergeCell ref="AS10:AS25"/>
    <mergeCell ref="AK10:AK25"/>
    <mergeCell ref="AM10:AM25"/>
    <mergeCell ref="AN10:AN25"/>
    <mergeCell ref="AO10:AO25"/>
    <mergeCell ref="AP10:AP25"/>
    <mergeCell ref="AQ10:AQ25"/>
    <mergeCell ref="AY30:AY45"/>
    <mergeCell ref="AZ30:AZ45"/>
    <mergeCell ref="AR50:AR65"/>
    <mergeCell ref="AS50:AS65"/>
    <mergeCell ref="AS30:AS45"/>
    <mergeCell ref="AX10:AX25"/>
    <mergeCell ref="AY10:AY25"/>
    <mergeCell ref="AZ10:AZ25"/>
    <mergeCell ref="AT10:AT25"/>
    <mergeCell ref="AU10:AU25"/>
    <mergeCell ref="AV10:AV25"/>
    <mergeCell ref="AW10:AW25"/>
    <mergeCell ref="AT30:AT45"/>
    <mergeCell ref="AU30:AU45"/>
    <mergeCell ref="AV30:AV45"/>
    <mergeCell ref="AW30:AW45"/>
    <mergeCell ref="AX30:AX45"/>
  </mergeCells>
  <dataValidations count="1">
    <dataValidation type="decimal" allowBlank="1" showInputMessage="1" showErrorMessage="1" promptTitle="Restricted range" prompt="only between 0.5m/s to 2.5 m/s" sqref="AU10:AU18 AU30:AU38 AU50:AU58 AU70:AU78 AU90:AU98 AU110:AU118 AU130:AU138 AU150:AU158 AU170:AU178 AU190:AU198 AU210:AU218 AU230:AU238 AU250:AU258 AU270:AU278 AU290:AU298 AU310:AU318 AU330:AU338 AU350:AU358 AU370:AU378 AU390:AU398" xr:uid="{FF908CA2-D5CD-4E03-9610-974292397627}">
      <formula1>0.5</formula1>
      <formula2>2.5</formula2>
    </dataValidation>
  </dataValidations>
  <pageMargins left="0.70866141732283472" right="0.70866141732283472" top="0.74803149606299213" bottom="0.74803149606299213" header="0.31496062992125984" footer="0.31496062992125984"/>
  <pageSetup paperSize="9"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6B40-FEA4-4DD4-9B98-8BB0EADC3A2D}">
  <dimension ref="C17:AX586"/>
  <sheetViews>
    <sheetView topLeftCell="A28" zoomScale="47" workbookViewId="0">
      <selection activeCell="I36" sqref="I36"/>
    </sheetView>
  </sheetViews>
  <sheetFormatPr defaultColWidth="8.85546875" defaultRowHeight="12.6"/>
  <cols>
    <col min="1" max="1" width="8.85546875" style="28"/>
    <col min="2" max="2" width="3.85546875" style="28" customWidth="1"/>
    <col min="3" max="3" width="7.5703125" style="28" customWidth="1"/>
    <col min="4" max="4" width="11.85546875" style="28" customWidth="1"/>
    <col min="5" max="5" width="7.5703125" style="28" customWidth="1"/>
    <col min="6" max="6" width="7.85546875" style="28" customWidth="1"/>
    <col min="7" max="7" width="8.5703125" style="28" customWidth="1"/>
    <col min="8" max="8" width="8.42578125" style="28" customWidth="1"/>
    <col min="9" max="9" width="28.85546875" style="28" customWidth="1"/>
    <col min="10" max="10" width="7" style="28" customWidth="1"/>
    <col min="11" max="11" width="8.85546875" style="28"/>
    <col min="12" max="12" width="11.42578125" style="28" customWidth="1"/>
    <col min="13" max="13" width="15.140625" style="28" customWidth="1"/>
    <col min="14" max="14" width="10.5703125" style="28" customWidth="1"/>
    <col min="15" max="16" width="13.85546875" style="28" customWidth="1"/>
    <col min="17" max="17" width="11.5703125" style="28" customWidth="1"/>
    <col min="18" max="18" width="11.85546875" style="28" customWidth="1"/>
    <col min="19" max="19" width="14" style="28" customWidth="1"/>
    <col min="20" max="20" width="12.28515625" style="28" customWidth="1"/>
    <col min="21" max="22" width="10.140625" style="28" customWidth="1"/>
    <col min="23" max="23" width="14.85546875" style="28" customWidth="1"/>
    <col min="24" max="24" width="6.42578125" style="28" customWidth="1"/>
    <col min="25" max="25" width="9.140625" style="28" customWidth="1"/>
    <col min="26" max="27" width="6.42578125" style="28" customWidth="1"/>
    <col min="28" max="28" width="6.5703125" style="28" customWidth="1"/>
    <col min="29" max="29" width="6.42578125" style="28" customWidth="1"/>
    <col min="30" max="31" width="6.85546875" style="28" customWidth="1"/>
    <col min="32" max="32" width="11.5703125" style="28" customWidth="1"/>
    <col min="33" max="33" width="11.140625" style="28" customWidth="1"/>
    <col min="34" max="35" width="14.5703125" style="28" customWidth="1"/>
    <col min="36" max="36" width="12" style="28" customWidth="1"/>
    <col min="37" max="37" width="11.5703125" style="28" customWidth="1"/>
    <col min="38" max="38" width="19.85546875" style="28" customWidth="1"/>
    <col min="39" max="39" width="17" style="28" customWidth="1"/>
    <col min="40" max="40" width="17.140625" style="28" customWidth="1"/>
    <col min="41" max="41" width="9.5703125" style="28" customWidth="1"/>
    <col min="42" max="42" width="10.5703125" style="28" customWidth="1"/>
    <col min="43" max="49" width="9.140625" style="28" customWidth="1"/>
    <col min="50" max="50" width="8.85546875" style="28"/>
    <col min="51" max="51" width="10.5703125" style="28" bestFit="1" customWidth="1"/>
    <col min="52" max="16384" width="8.85546875" style="28"/>
  </cols>
  <sheetData>
    <row r="17" spans="3:40" ht="14.1">
      <c r="C17" s="903"/>
      <c r="D17" s="903"/>
      <c r="E17" s="903"/>
      <c r="F17" s="903"/>
      <c r="G17" s="903"/>
      <c r="H17" s="903"/>
      <c r="I17" s="903"/>
      <c r="J17" s="903"/>
      <c r="K17" s="903"/>
      <c r="L17" s="903"/>
      <c r="M17" s="903"/>
      <c r="N17" s="903"/>
      <c r="O17" s="903"/>
      <c r="P17" s="30"/>
    </row>
    <row r="18" spans="3:40" ht="15" customHeight="1">
      <c r="C18" s="904"/>
      <c r="D18" s="904"/>
      <c r="E18" s="904"/>
      <c r="F18" s="904"/>
      <c r="G18" s="904"/>
      <c r="H18" s="904"/>
      <c r="I18" s="904"/>
      <c r="J18" s="904"/>
      <c r="K18" s="904"/>
      <c r="L18" s="904"/>
      <c r="M18" s="904"/>
      <c r="N18" s="904"/>
      <c r="O18" s="904"/>
      <c r="P18" s="30"/>
    </row>
    <row r="19" spans="3:40" ht="15" customHeight="1">
      <c r="C19" s="31"/>
      <c r="D19" s="31"/>
      <c r="E19" s="31"/>
      <c r="F19" s="31"/>
      <c r="G19" s="31"/>
      <c r="H19" s="32"/>
      <c r="I19" s="33"/>
      <c r="J19" s="34"/>
      <c r="K19" s="34"/>
      <c r="L19" s="31"/>
      <c r="M19" s="35"/>
      <c r="N19" s="36"/>
      <c r="O19" s="37"/>
      <c r="P19" s="37"/>
    </row>
    <row r="20" spans="3:40" ht="12.75" customHeight="1">
      <c r="C20" s="38"/>
      <c r="D20" s="32"/>
      <c r="E20" s="31"/>
      <c r="F20" s="31"/>
      <c r="G20" s="39"/>
      <c r="H20" s="38"/>
      <c r="I20" s="40"/>
      <c r="J20" s="40"/>
      <c r="K20" s="40"/>
      <c r="L20" s="38"/>
      <c r="M20" s="41"/>
      <c r="N20" s="36"/>
      <c r="O20" s="36"/>
      <c r="P20" s="36"/>
    </row>
    <row r="21" spans="3:40" ht="15" hidden="1" customHeight="1">
      <c r="C21" s="905"/>
      <c r="D21" s="906"/>
      <c r="E21" s="906"/>
      <c r="F21" s="906"/>
      <c r="G21" s="906"/>
      <c r="H21" s="906"/>
      <c r="I21" s="906"/>
      <c r="J21" s="906"/>
      <c r="K21" s="906"/>
      <c r="L21" s="906"/>
      <c r="M21" s="906"/>
      <c r="N21" s="43"/>
      <c r="O21" s="43"/>
      <c r="P21" s="43"/>
    </row>
    <row r="22" spans="3:40" ht="15" hidden="1" customHeight="1"/>
    <row r="23" spans="3:40" ht="5.25" customHeight="1">
      <c r="C23" s="905"/>
      <c r="D23" s="906"/>
      <c r="E23" s="906"/>
      <c r="F23" s="906"/>
      <c r="G23" s="906"/>
      <c r="H23" s="906"/>
      <c r="I23" s="906"/>
      <c r="J23" s="906"/>
      <c r="K23" s="906"/>
      <c r="L23" s="906"/>
      <c r="M23" s="906"/>
      <c r="N23" s="43"/>
      <c r="O23" s="43"/>
      <c r="P23" s="43"/>
    </row>
    <row r="24" spans="3:40" ht="14.1">
      <c r="C24" s="44" t="s">
        <v>257</v>
      </c>
      <c r="D24" s="42"/>
      <c r="E24" s="42"/>
      <c r="F24" s="42"/>
      <c r="G24" s="42"/>
      <c r="H24" s="42"/>
      <c r="I24" s="42"/>
      <c r="J24" s="42"/>
      <c r="K24" s="42"/>
      <c r="L24" s="42"/>
      <c r="M24" s="42"/>
      <c r="N24" s="43"/>
      <c r="O24" s="43"/>
      <c r="P24" s="43"/>
    </row>
    <row r="25" spans="3:40" ht="5.25" customHeight="1" thickBot="1"/>
    <row r="26" spans="3:40">
      <c r="C26" s="907" t="s">
        <v>164</v>
      </c>
      <c r="D26" s="909" t="s">
        <v>258</v>
      </c>
      <c r="E26" s="909"/>
      <c r="F26" s="909"/>
      <c r="G26" s="909"/>
      <c r="H26" s="909"/>
      <c r="I26" s="909"/>
      <c r="J26" s="909" t="s">
        <v>259</v>
      </c>
      <c r="K26" s="909" t="s">
        <v>260</v>
      </c>
      <c r="L26" s="909" t="s">
        <v>261</v>
      </c>
      <c r="M26" s="909"/>
      <c r="N26" s="909" t="s">
        <v>262</v>
      </c>
      <c r="O26" s="911"/>
      <c r="P26" s="45"/>
    </row>
    <row r="27" spans="3:40" ht="12.95" thickBot="1">
      <c r="C27" s="908"/>
      <c r="D27" s="910"/>
      <c r="E27" s="910"/>
      <c r="F27" s="910"/>
      <c r="G27" s="910"/>
      <c r="H27" s="910"/>
      <c r="I27" s="910"/>
      <c r="J27" s="910"/>
      <c r="K27" s="910"/>
      <c r="L27" s="46" t="s">
        <v>263</v>
      </c>
      <c r="M27" s="46" t="s">
        <v>264</v>
      </c>
      <c r="N27" s="46" t="s">
        <v>263</v>
      </c>
      <c r="O27" s="47" t="s">
        <v>264</v>
      </c>
      <c r="P27" s="45"/>
      <c r="Q27" s="29"/>
      <c r="R27" s="29"/>
      <c r="S27" s="29"/>
      <c r="T27" s="29"/>
      <c r="U27" s="29"/>
      <c r="V27" s="29"/>
      <c r="W27" s="29"/>
      <c r="X27" s="29"/>
      <c r="Y27" s="29"/>
    </row>
    <row r="28" spans="3:40" ht="12.95">
      <c r="C28" s="48" t="s">
        <v>265</v>
      </c>
      <c r="D28" s="892" t="s">
        <v>266</v>
      </c>
      <c r="E28" s="893"/>
      <c r="F28" s="893"/>
      <c r="G28" s="893"/>
      <c r="H28" s="893"/>
      <c r="I28" s="894"/>
      <c r="J28" s="49"/>
      <c r="K28" s="49"/>
      <c r="L28" s="49"/>
      <c r="M28" s="49"/>
      <c r="N28" s="49"/>
      <c r="O28" s="50"/>
      <c r="P28" s="45"/>
      <c r="Q28" s="29"/>
      <c r="R28" s="29"/>
      <c r="S28" s="29"/>
      <c r="T28" s="29"/>
      <c r="U28" s="29"/>
      <c r="V28" s="29"/>
      <c r="W28" s="29"/>
      <c r="X28" s="29"/>
      <c r="Y28" s="29"/>
    </row>
    <row r="29" spans="3:40" ht="12.95">
      <c r="C29" s="51"/>
      <c r="D29" s="895"/>
      <c r="E29" s="896"/>
      <c r="F29" s="896"/>
      <c r="G29" s="896"/>
      <c r="H29" s="896"/>
      <c r="I29" s="897"/>
      <c r="J29" s="52"/>
      <c r="K29" s="52"/>
      <c r="L29" s="53"/>
      <c r="M29" s="53"/>
      <c r="N29" s="53"/>
      <c r="O29" s="54"/>
      <c r="P29" s="55"/>
      <c r="AM29" s="56"/>
      <c r="AN29" s="56"/>
    </row>
    <row r="30" spans="3:40">
      <c r="C30" s="57"/>
      <c r="D30" s="898"/>
      <c r="E30" s="899"/>
      <c r="F30" s="899"/>
      <c r="G30" s="899"/>
      <c r="H30" s="899"/>
      <c r="I30" s="900"/>
      <c r="J30" s="52"/>
      <c r="K30" s="52"/>
      <c r="L30" s="53"/>
      <c r="M30" s="53"/>
      <c r="N30" s="53"/>
      <c r="O30" s="54"/>
      <c r="P30" s="55"/>
      <c r="AM30" s="56"/>
      <c r="AN30" s="56"/>
    </row>
    <row r="31" spans="3:40" ht="237.6">
      <c r="C31" s="57"/>
      <c r="D31" s="849" t="s">
        <v>267</v>
      </c>
      <c r="E31" s="847"/>
      <c r="F31" s="847"/>
      <c r="G31" s="847"/>
      <c r="H31" s="847"/>
      <c r="I31" s="848"/>
      <c r="J31" s="845"/>
      <c r="K31" s="845"/>
      <c r="L31" s="846"/>
      <c r="M31" s="846"/>
      <c r="N31" s="53"/>
      <c r="O31" s="54"/>
      <c r="P31" s="55"/>
      <c r="AG31" s="822"/>
      <c r="AH31" s="822"/>
      <c r="AI31" s="822"/>
      <c r="AJ31" s="822"/>
      <c r="AK31" s="822"/>
      <c r="AL31" s="822"/>
      <c r="AM31" s="823" t="s">
        <v>268</v>
      </c>
      <c r="AN31" s="823" t="s">
        <v>269</v>
      </c>
    </row>
    <row r="32" spans="3:40" ht="20.100000000000001">
      <c r="C32" s="57"/>
      <c r="D32" s="819"/>
      <c r="E32" s="820"/>
      <c r="F32" s="820"/>
      <c r="G32" s="820"/>
      <c r="H32" s="820"/>
      <c r="I32" s="821"/>
      <c r="J32" s="52"/>
      <c r="K32" s="52"/>
      <c r="L32" s="53"/>
      <c r="M32" s="53"/>
      <c r="N32" s="53"/>
      <c r="O32" s="54"/>
      <c r="P32" s="55"/>
      <c r="AG32" s="824" t="s">
        <v>173</v>
      </c>
      <c r="AH32" s="824"/>
      <c r="AI32" s="824"/>
      <c r="AJ32" s="824"/>
      <c r="AK32" s="824"/>
      <c r="AL32" s="824" t="s">
        <v>96</v>
      </c>
      <c r="AM32" s="825"/>
      <c r="AN32" s="825"/>
    </row>
    <row r="33" spans="3:40" ht="20.100000000000001">
      <c r="C33" s="57"/>
      <c r="D33" s="819"/>
      <c r="E33" s="820"/>
      <c r="F33" s="820"/>
      <c r="G33" s="820"/>
      <c r="H33" s="820"/>
      <c r="I33" s="821"/>
      <c r="J33" s="52"/>
      <c r="K33" s="52"/>
      <c r="L33" s="53"/>
      <c r="M33" s="53"/>
      <c r="N33" s="53"/>
      <c r="O33" s="54"/>
      <c r="P33" s="55"/>
      <c r="AG33" s="824" t="s">
        <v>270</v>
      </c>
      <c r="AH33" s="824" t="s">
        <v>271</v>
      </c>
      <c r="AI33" s="824" t="s">
        <v>219</v>
      </c>
      <c r="AJ33" s="824" t="s">
        <v>272</v>
      </c>
      <c r="AK33" s="824" t="s">
        <v>273</v>
      </c>
      <c r="AL33" s="824" t="s">
        <v>270</v>
      </c>
      <c r="AM33" s="825"/>
      <c r="AN33" s="825"/>
    </row>
    <row r="34" spans="3:40" ht="14.1" customHeight="1">
      <c r="C34" s="57"/>
      <c r="D34" s="901" t="str">
        <f>"AHU - " &amp; INT((ROW()-34)/14)+1 &amp; "  " &amp; IF(I35&gt;0,"Air-Conditioning System " &amp; IF(OR(G38="Header", G38="C"), "(Chilled Water)",IF(OR(G38="Distributor", G38="D"), "(DX)", "Ventilation System")),IF(NOT(I35&gt;0), "Ventilation System ( SUPPLY )", "Refer"))</f>
        <v>AHU - 1  Air-Conditioning System (DX)</v>
      </c>
      <c r="E34" s="901"/>
      <c r="F34" s="901"/>
      <c r="G34" s="901"/>
      <c r="H34" s="901"/>
      <c r="I34" s="901"/>
      <c r="J34" s="52"/>
      <c r="K34" s="52"/>
      <c r="L34" s="53"/>
      <c r="M34" s="53"/>
      <c r="N34" s="53"/>
      <c r="O34" s="54"/>
      <c r="P34" s="55"/>
      <c r="AM34" s="56"/>
      <c r="AN34" s="56"/>
    </row>
    <row r="35" spans="3:40" ht="14.1">
      <c r="C35" s="57"/>
      <c r="D35" s="832" t="s">
        <v>274</v>
      </c>
      <c r="E35" s="833" t="str">
        <f>'BOD-Cold &amp; Amb.'!R10</f>
        <v>Class100K</v>
      </c>
      <c r="F35" s="832" t="s">
        <v>275</v>
      </c>
      <c r="G35" s="833">
        <f>'BOD-Cold &amp; Amb.'!AK10</f>
        <v>15750</v>
      </c>
      <c r="H35" s="832" t="s">
        <v>276</v>
      </c>
      <c r="I35" s="833">
        <f>'BOD-Cold &amp; Amb.'!AQ10</f>
        <v>56</v>
      </c>
      <c r="J35" s="902" t="s">
        <v>277</v>
      </c>
      <c r="K35" s="902">
        <v>1</v>
      </c>
      <c r="L35" s="917">
        <f>Q35</f>
        <v>867500</v>
      </c>
      <c r="M35" s="902">
        <f>K35*L35</f>
        <v>867500</v>
      </c>
      <c r="N35" s="902"/>
      <c r="O35" s="902"/>
      <c r="P35" s="902"/>
      <c r="Q35" s="913">
        <f t="shared" ref="Q35" si="0">CEILING((S35+T35+U35+V35+W35),250)</f>
        <v>867500</v>
      </c>
      <c r="R35" s="913">
        <f>IF(I35&gt;0,625,375)</f>
        <v>625</v>
      </c>
      <c r="S35" s="913">
        <f>(E36*G36*3*10.76+E36*I36*2*10.76+G36*I36*2*10.76)*R35/(1000*1000)</f>
        <v>410140.9375</v>
      </c>
      <c r="T35" s="913">
        <f>I35*4*1050</f>
        <v>235200</v>
      </c>
      <c r="U35" s="916">
        <f>_xlfn.IFS(
  G35&lt;=2000,5000,
  G35&lt;=5000,8000,
  G35&lt;=10000,10000,
  G35&lt;=18000,15000,
  G35&lt;=40000,20000,
  G35&gt;40000,25000
)</f>
        <v>15000</v>
      </c>
      <c r="V35" s="912">
        <f t="shared" ref="V35" si="1">IF(X35=200,17150,(IF(X35=225,18150,(IF(X35=250,18900,(IF(X35=280,19150,(IF(X35=315,19650,(IF(X35=355,21900,(IF(X35=400,24400,0)))))))))))))+IF(X35=450,31000,(IF(X35=500,37450,(IF(X35=560,45650,(IF(X35=630,58900,(IF(X35=710,77950,0)))))))))+IF(X35=800,119650,(IF(X35=900,153300,(IF(X35=1000,178900,(IF(X35=1120,286500,(IF(X35=1250,394500,(IF(X35=1450,461500,0)))))))))))</f>
        <v>77950</v>
      </c>
      <c r="W35" s="913">
        <f>_xlfn.IFS(
  $I$37=0.5,16600,
  $I$37=1,19050,
  $I$37=1.5,21750,
  $I$37=2,23600,
  $I$37=3,30000,
  $I$37=5,38000,
  $I$37=7.5,52300,
  $I$37=10,59600,
  $I$37=12.5,100350,
  $I$37=15,106000,
  $I$37=20,129150,
  $I$37=25,146050,
  $I$37=30,173600,
  $I$51=40,233900,
  $I$37=50,304650,
  $I$37=60,350000,
  $I$37=70,400000
)</f>
        <v>129150</v>
      </c>
      <c r="X35" s="912">
        <f>E37</f>
        <v>710</v>
      </c>
      <c r="Y35" s="912">
        <f t="shared" ref="Y35" si="2">IF(G35&lt;=6750,450,(IF(G35&lt;=8500,500,(IF(G35&lt;=10750,560,(IF(G35&lt;=13500,630,(IF(G35&lt;=17000,710,(IF(G35&lt;=21500,800,(IF(G35&lt;=27000,900,(IF(G35&lt;=34000,1000,0)))))))))))))))</f>
        <v>710</v>
      </c>
      <c r="Z35" s="912">
        <f t="shared" ref="Z35" si="3">IF(G35&lt;=1300,200,(IF(G35&lt;=1600,225,(IF(G35&lt;=2100,250,(IF(G35&lt;=2700,280,(IF(G35&lt;=3450,315,(IF(G35&lt;=4250,355,(IF(G35&lt;=5250,400,(IF(G35&lt;=6750,450,0)))))))))))))))</f>
        <v>0</v>
      </c>
      <c r="AA35" s="912">
        <f t="shared" ref="AA35" si="4">IF(G35&lt;=2000,5000,(IF(G35&lt;=5000,8000,(IF(G35&lt;=10000,10000,(IF(G35&lt;=18000,15000,(IF(G35&lt;=40000,20000,10000)))))))))</f>
        <v>15000</v>
      </c>
      <c r="AB35" s="912">
        <f>IF(E36=950,2,(IF(E36=1150,3,(IF(E36=1550,4,(IF(E36=1750,5,(IF(E36=2050,6,(IF(E36=2900,8,(IF(E36=3600,10,12)))))))))))))</f>
        <v>6</v>
      </c>
      <c r="AC35" s="912">
        <f>IF(G36=950,2,(IF(G36=1150,3,(IF(G36=1550,4,(IF(G36=1750,5,(IF(G36=2050,6,(IF(G36=2900,8,(IF(G36=3600,10,12)))))))))))))</f>
        <v>6</v>
      </c>
      <c r="AD35" s="912">
        <f t="shared" ref="AD35" si="5">AC35*AB35</f>
        <v>36</v>
      </c>
      <c r="AE35" s="912">
        <v>150</v>
      </c>
      <c r="AF35" s="912">
        <f t="shared" ref="AF35" si="6">CEILING((SQRT(G35/1000))*4*2*AE35*1.25*K35,100)</f>
        <v>6000</v>
      </c>
      <c r="AG35" s="912">
        <f>E43*F43*H43/(305*305)</f>
        <v>0</v>
      </c>
      <c r="AH35" s="912">
        <f>E44*F44*H44/(305*305)</f>
        <v>36</v>
      </c>
      <c r="AI35" s="912">
        <f>H45*E45*F45/(305*305)</f>
        <v>36</v>
      </c>
      <c r="AJ35" s="912">
        <f>H46*E46*F46/(305*305)</f>
        <v>36</v>
      </c>
      <c r="AK35" s="912">
        <f>H47*E47*F47/(305*305)</f>
        <v>0</v>
      </c>
      <c r="AL35" s="912" t="b">
        <f>IF(I35=0,0)</f>
        <v>0</v>
      </c>
      <c r="AM35" s="915">
        <f t="shared" ref="AM35" si="7">(G35*2.2/1100)</f>
        <v>31.5</v>
      </c>
      <c r="AN35" s="915">
        <f t="shared" ref="AN35" si="8">(G35*1/1100)</f>
        <v>14.318181818181818</v>
      </c>
    </row>
    <row r="36" spans="3:40" ht="14.1">
      <c r="C36" s="57"/>
      <c r="D36" s="832" t="s">
        <v>278</v>
      </c>
      <c r="E36" s="833">
        <f>'BOD-Cold &amp; Amb.'!AL11</f>
        <v>2050</v>
      </c>
      <c r="F36" s="832" t="s">
        <v>279</v>
      </c>
      <c r="G36" s="833">
        <f>'BOD-Cold &amp; Amb.'!AL13</f>
        <v>2050</v>
      </c>
      <c r="H36" s="832" t="s">
        <v>280</v>
      </c>
      <c r="I36" s="833">
        <f>'BOD-Cold &amp; Amb.'!AL15</f>
        <v>5900</v>
      </c>
      <c r="J36" s="902"/>
      <c r="K36" s="902"/>
      <c r="L36" s="902"/>
      <c r="M36" s="902"/>
      <c r="N36" s="902"/>
      <c r="O36" s="902"/>
      <c r="P36" s="902"/>
      <c r="Q36" s="913"/>
      <c r="R36" s="913"/>
      <c r="S36" s="913"/>
      <c r="T36" s="913"/>
      <c r="U36" s="912"/>
      <c r="V36" s="912"/>
      <c r="W36" s="913"/>
      <c r="X36" s="912"/>
      <c r="Y36" s="912"/>
      <c r="Z36" s="912"/>
      <c r="AA36" s="912"/>
      <c r="AB36" s="912"/>
      <c r="AC36" s="912"/>
      <c r="AD36" s="912"/>
      <c r="AE36" s="912"/>
      <c r="AF36" s="912"/>
      <c r="AG36" s="912"/>
      <c r="AH36" s="912"/>
      <c r="AI36" s="912"/>
      <c r="AJ36" s="912"/>
      <c r="AK36" s="912"/>
      <c r="AL36" s="912"/>
      <c r="AM36" s="915"/>
      <c r="AN36" s="915"/>
    </row>
    <row r="37" spans="3:40" ht="14.1">
      <c r="C37" s="57"/>
      <c r="D37" s="832" t="s">
        <v>281</v>
      </c>
      <c r="E37" s="833">
        <f>'BOD-Cold &amp; Amb.'!AN10</f>
        <v>710</v>
      </c>
      <c r="F37" s="832" t="s">
        <v>282</v>
      </c>
      <c r="G37" s="833">
        <f>'BOD-Cold &amp; Amb.'!AM10</f>
        <v>125</v>
      </c>
      <c r="H37" s="832" t="s">
        <v>283</v>
      </c>
      <c r="I37" s="833">
        <f>'BOD-Cold &amp; Amb.'!AO10</f>
        <v>20</v>
      </c>
      <c r="J37" s="902"/>
      <c r="K37" s="902"/>
      <c r="L37" s="902"/>
      <c r="M37" s="902"/>
      <c r="N37" s="902"/>
      <c r="O37" s="902"/>
      <c r="P37" s="902"/>
      <c r="Q37" s="913"/>
      <c r="R37" s="913"/>
      <c r="S37" s="913"/>
      <c r="T37" s="913"/>
      <c r="U37" s="912"/>
      <c r="V37" s="912"/>
      <c r="W37" s="913"/>
      <c r="X37" s="912"/>
      <c r="Y37" s="912"/>
      <c r="Z37" s="912"/>
      <c r="AA37" s="912"/>
      <c r="AB37" s="912"/>
      <c r="AC37" s="912"/>
      <c r="AD37" s="912"/>
      <c r="AE37" s="912"/>
      <c r="AF37" s="912"/>
      <c r="AG37" s="912"/>
      <c r="AH37" s="912"/>
      <c r="AI37" s="912"/>
      <c r="AJ37" s="912"/>
      <c r="AK37" s="912"/>
      <c r="AL37" s="912"/>
      <c r="AM37" s="915"/>
      <c r="AN37" s="915"/>
    </row>
    <row r="38" spans="3:40" ht="21.6" customHeight="1">
      <c r="C38" s="57"/>
      <c r="D38" s="832" t="s">
        <v>284</v>
      </c>
      <c r="E38" s="833">
        <f>'BOD-Cold &amp; Amb.'!AP10</f>
        <v>8</v>
      </c>
      <c r="F38" s="832" t="s">
        <v>285</v>
      </c>
      <c r="G38" s="837" t="str">
        <f>IF(OR(I35=0, E38="Amb"), "Amb",IF('BOD-Cold &amp; Amb.'!AH10="C", "Header",IF('BOD-Cold &amp; Amb.'!AH10="D", "Distributor", "Refer")))</f>
        <v>Distributor</v>
      </c>
      <c r="H38" s="832" t="s">
        <v>286</v>
      </c>
      <c r="I38" s="833" t="str">
        <f>IF(OR(I35=0, E38=0), 0,ROUND(((( I35/E38)*304.8)/(E36-400))*1000,0)&amp;" h "&amp;" x " &amp; (E36-400)&amp;" w ")</f>
        <v xml:space="preserve">1293 h  x 1650 w </v>
      </c>
      <c r="J38" s="902"/>
      <c r="K38" s="902"/>
      <c r="L38" s="902"/>
      <c r="M38" s="902"/>
      <c r="N38" s="902"/>
      <c r="O38" s="902"/>
      <c r="P38" s="902"/>
      <c r="Q38" s="913"/>
      <c r="R38" s="913"/>
      <c r="S38" s="913"/>
      <c r="T38" s="913"/>
      <c r="U38" s="912"/>
      <c r="V38" s="912"/>
      <c r="W38" s="913"/>
      <c r="X38" s="912"/>
      <c r="Y38" s="912"/>
      <c r="Z38" s="912"/>
      <c r="AA38" s="912"/>
      <c r="AB38" s="912"/>
      <c r="AC38" s="912"/>
      <c r="AD38" s="912"/>
      <c r="AE38" s="912"/>
      <c r="AF38" s="912"/>
      <c r="AG38" s="912"/>
      <c r="AH38" s="912"/>
      <c r="AI38" s="912"/>
      <c r="AJ38" s="912"/>
      <c r="AK38" s="912"/>
      <c r="AL38" s="912"/>
      <c r="AM38" s="915"/>
      <c r="AN38" s="915"/>
    </row>
    <row r="39" spans="3:40" ht="27.95" customHeight="1">
      <c r="C39" s="57"/>
      <c r="D39" s="832" t="s">
        <v>287</v>
      </c>
      <c r="E39" s="833">
        <f>'BOD-Cold &amp; Amb.'!AR10</f>
        <v>3</v>
      </c>
      <c r="F39" s="832" t="s">
        <v>288</v>
      </c>
      <c r="G39" s="834" t="str">
        <f>IF(E39=5,"20µ,10µ, 5µ, 1µ &amp; 0.3µ (HEPA Plenum Fitted 95% eff.)",IF(E39=4,"10µ, 5µ, 1µ &amp; 0.3µ (HEPA Plenum Fitted 95% eff.)",IF(E39=3,"10µ, 5µ &amp; 1µ ",IF(E39=2,"10µ  &amp; 5µ",IF(E39=1,"10µ","Filter Ratings")))))</f>
        <v xml:space="preserve">10µ, 5µ &amp; 1µ </v>
      </c>
      <c r="H39" s="835"/>
      <c r="I39" s="834"/>
      <c r="J39" s="902"/>
      <c r="K39" s="902"/>
      <c r="L39" s="902"/>
      <c r="M39" s="902"/>
      <c r="N39" s="902"/>
      <c r="O39" s="902"/>
      <c r="P39" s="902"/>
      <c r="Q39" s="913"/>
      <c r="R39" s="913"/>
      <c r="S39" s="913"/>
      <c r="T39" s="913"/>
      <c r="U39" s="912"/>
      <c r="V39" s="912"/>
      <c r="W39" s="913"/>
      <c r="X39" s="912"/>
      <c r="Y39" s="912"/>
      <c r="Z39" s="912"/>
      <c r="AA39" s="912"/>
      <c r="AB39" s="912"/>
      <c r="AC39" s="912"/>
      <c r="AD39" s="912"/>
      <c r="AE39" s="912"/>
      <c r="AF39" s="912"/>
      <c r="AG39" s="912"/>
      <c r="AH39" s="912"/>
      <c r="AI39" s="912"/>
      <c r="AJ39" s="912"/>
      <c r="AK39" s="912"/>
      <c r="AL39" s="912"/>
      <c r="AM39" s="915"/>
      <c r="AN39" s="915"/>
    </row>
    <row r="40" spans="3:40" ht="12.6" customHeight="1">
      <c r="C40" s="57"/>
      <c r="D40" s="914" t="s">
        <v>289</v>
      </c>
      <c r="E40" s="914"/>
      <c r="F40" s="914"/>
      <c r="G40" s="914"/>
      <c r="H40" s="914"/>
      <c r="I40" s="914"/>
      <c r="J40" s="902"/>
      <c r="K40" s="902"/>
      <c r="L40" s="902"/>
      <c r="M40" s="902"/>
      <c r="N40" s="902"/>
      <c r="O40" s="902"/>
      <c r="P40" s="902"/>
      <c r="Q40" s="913"/>
      <c r="R40" s="913"/>
      <c r="S40" s="913"/>
      <c r="T40" s="913"/>
      <c r="U40" s="912"/>
      <c r="V40" s="912"/>
      <c r="W40" s="913"/>
      <c r="X40" s="912"/>
      <c r="Y40" s="912"/>
      <c r="Z40" s="912"/>
      <c r="AA40" s="912"/>
      <c r="AB40" s="912"/>
      <c r="AC40" s="912"/>
      <c r="AD40" s="912"/>
      <c r="AE40" s="912"/>
      <c r="AF40" s="912"/>
      <c r="AG40" s="912"/>
      <c r="AH40" s="912"/>
      <c r="AI40" s="912"/>
      <c r="AJ40" s="912"/>
      <c r="AK40" s="912"/>
      <c r="AL40" s="912"/>
      <c r="AM40" s="915"/>
      <c r="AN40" s="915"/>
    </row>
    <row r="41" spans="3:40" ht="24.95">
      <c r="C41" s="57"/>
      <c r="D41" s="58" t="s">
        <v>290</v>
      </c>
      <c r="E41" s="58" t="s">
        <v>291</v>
      </c>
      <c r="F41" s="58" t="s">
        <v>292</v>
      </c>
      <c r="G41" s="58" t="s">
        <v>293</v>
      </c>
      <c r="H41" s="58" t="s">
        <v>294</v>
      </c>
      <c r="I41" s="834"/>
      <c r="J41" s="902"/>
      <c r="K41" s="902"/>
      <c r="L41" s="902"/>
      <c r="M41" s="902"/>
      <c r="N41" s="902"/>
      <c r="O41" s="902"/>
      <c r="P41" s="902"/>
      <c r="Q41" s="913"/>
      <c r="R41" s="913"/>
      <c r="S41" s="913"/>
      <c r="T41" s="913"/>
      <c r="U41" s="912"/>
      <c r="V41" s="912"/>
      <c r="W41" s="913"/>
      <c r="X41" s="912"/>
      <c r="Y41" s="912"/>
      <c r="Z41" s="912"/>
      <c r="AA41" s="912"/>
      <c r="AB41" s="912"/>
      <c r="AC41" s="912"/>
      <c r="AD41" s="912"/>
      <c r="AE41" s="912"/>
      <c r="AF41" s="912"/>
      <c r="AG41" s="912"/>
      <c r="AH41" s="912"/>
      <c r="AI41" s="912"/>
      <c r="AJ41" s="912"/>
      <c r="AK41" s="912"/>
      <c r="AL41" s="912"/>
      <c r="AM41" s="915"/>
      <c r="AN41" s="915"/>
    </row>
    <row r="42" spans="3:40" ht="14.1">
      <c r="C42" s="57"/>
      <c r="D42" s="58"/>
      <c r="E42" s="58">
        <f>IF(E36&lt;=950,2,(IF(E36&lt;=1200,3,(IF(E36&lt;=1550,4,(IF(E36&lt;=1750,5,(IF(E36&lt;=2050,6,(IF(E36&lt;=2900,8,(IF(E36&lt;=3600,10,IF(E36&lt;=4000,12,0))))))))))))))</f>
        <v>6</v>
      </c>
      <c r="F42" s="58">
        <f>IF(G36&lt;=950,2,(IF(G36&lt;=1200,3,(IF(G36&lt;=1550,4,(IF(G36&lt;=1750,5,(IF(G36&lt;=2050,6,(IF(G36&lt;=2900,8,(IF(G36&lt;=3600,10,IF(E36&lt;=4000,12,0))))))))))))))</f>
        <v>6</v>
      </c>
      <c r="G42" s="58"/>
      <c r="H42" s="60"/>
      <c r="I42" s="834"/>
      <c r="J42" s="902"/>
      <c r="K42" s="902"/>
      <c r="L42" s="902"/>
      <c r="M42" s="902"/>
      <c r="N42" s="902"/>
      <c r="O42" s="902"/>
      <c r="P42" s="902"/>
      <c r="Q42" s="913"/>
      <c r="R42" s="913"/>
      <c r="S42" s="913"/>
      <c r="T42" s="913"/>
      <c r="U42" s="912"/>
      <c r="V42" s="912"/>
      <c r="W42" s="913"/>
      <c r="X42" s="912"/>
      <c r="Y42" s="912"/>
      <c r="Z42" s="912"/>
      <c r="AA42" s="912"/>
      <c r="AB42" s="912"/>
      <c r="AC42" s="912"/>
      <c r="AD42" s="912"/>
      <c r="AE42" s="912"/>
      <c r="AF42" s="912"/>
      <c r="AG42" s="912"/>
      <c r="AH42" s="912"/>
      <c r="AI42" s="912"/>
      <c r="AJ42" s="912"/>
      <c r="AK42" s="912"/>
      <c r="AL42" s="912"/>
      <c r="AM42" s="915"/>
      <c r="AN42" s="915"/>
    </row>
    <row r="43" spans="3:40" ht="14.1">
      <c r="C43" s="57"/>
      <c r="D43" s="58">
        <f>IF(AND(I35=0, OR(E39=1, E39=2, E39=3, E39=4, E39=5)), "20µ", 0)</f>
        <v>0</v>
      </c>
      <c r="E43" s="58">
        <f>IF(OR(D43=0),0,IF(MOD($E$42*$F$42,2)=0,"610",IF(MOD($E$42*$F$42,2.5)=0,"760",IF(MOD($E$42*$F$42,3)=0,"915","Refer"))))</f>
        <v>0</v>
      </c>
      <c r="F43" s="58">
        <f>IF(OR(D43=0),0,IF(MOD($E$42*$F$42,4)=0,"610",IF(MOD($E$42*$F$42,5)=0,"760",IF(MOD($E$42*$F$42,6)=0,"915","Refer"))))</f>
        <v>0</v>
      </c>
      <c r="G43" s="58">
        <f>IF(D43=0,0,100)</f>
        <v>0</v>
      </c>
      <c r="H43" s="60">
        <f>ROUND(IF(D43=0,0,($E$42*$F$42*305*305)/(E43*F43)),0)</f>
        <v>0</v>
      </c>
      <c r="I43" s="834"/>
      <c r="J43" s="902"/>
      <c r="K43" s="902"/>
      <c r="L43" s="902"/>
      <c r="M43" s="902"/>
      <c r="N43" s="902"/>
      <c r="O43" s="902"/>
      <c r="P43" s="902"/>
      <c r="Q43" s="55"/>
      <c r="R43" s="55"/>
      <c r="S43" s="55"/>
      <c r="T43" s="55"/>
      <c r="U43" s="45"/>
      <c r="V43" s="45"/>
      <c r="W43" s="55"/>
      <c r="X43" s="45"/>
      <c r="Y43" s="45"/>
      <c r="Z43" s="45"/>
      <c r="AA43" s="45"/>
      <c r="AB43" s="45"/>
      <c r="AC43" s="45"/>
      <c r="AD43" s="45"/>
      <c r="AE43" s="45"/>
      <c r="AF43" s="45"/>
      <c r="AG43" s="45"/>
      <c r="AH43" s="45"/>
      <c r="AI43" s="45"/>
      <c r="AJ43" s="45"/>
      <c r="AK43" s="45"/>
      <c r="AL43" s="45"/>
      <c r="AM43" s="63"/>
      <c r="AN43" s="63"/>
    </row>
    <row r="44" spans="3:40" ht="14.1">
      <c r="C44" s="57"/>
      <c r="D44" s="58" t="str">
        <f>IF(E39=5,"10µ",IF(E39=4,"10µ",IF(E39=3,"10µ",IF(E39=2,"10µ",IF(E39=1,"10µ",0)))))</f>
        <v>10µ</v>
      </c>
      <c r="E44" s="58" t="str">
        <f>IF(OR(D44=0),0,IF(MOD($E$42*$F$42,2)=0,"610",IF(MOD($E$42*$F$42,2.5)=0,"760",IF(MOD($E$42*$F$42,3)=0,"915","Refer"))))</f>
        <v>610</v>
      </c>
      <c r="F44" s="58" t="str">
        <f t="shared" ref="F44:F47" si="9">IF(OR(D44=0),0,IF(MOD($E$42*$F$42,4)=0,"610",IF(MOD($E$42*$F$42,5)=0,"760",IF(MOD($E$42*$F$42,6)=0,"915","Refer"))))</f>
        <v>610</v>
      </c>
      <c r="G44" s="58">
        <f>IF(D44=0,0,150)</f>
        <v>150</v>
      </c>
      <c r="H44" s="60">
        <f t="shared" ref="H44:H47" si="10">ROUND(IF(D44=0,0,($E$42*$F$42*305*305)/(E44*F44)),0)</f>
        <v>9</v>
      </c>
      <c r="I44" s="834"/>
      <c r="J44" s="902"/>
      <c r="K44" s="902"/>
      <c r="L44" s="902"/>
      <c r="M44" s="902"/>
      <c r="N44" s="902"/>
      <c r="O44" s="902"/>
      <c r="P44" s="902"/>
      <c r="Q44" s="913"/>
      <c r="R44" s="913"/>
      <c r="S44" s="913"/>
      <c r="T44" s="913"/>
      <c r="U44" s="912"/>
      <c r="V44" s="912"/>
      <c r="W44" s="913"/>
      <c r="X44" s="912"/>
      <c r="Y44" s="912"/>
      <c r="Z44" s="912"/>
      <c r="AA44" s="912"/>
      <c r="AB44" s="912"/>
      <c r="AC44" s="912"/>
      <c r="AD44" s="912"/>
      <c r="AE44" s="912"/>
      <c r="AF44" s="912"/>
      <c r="AG44" s="912"/>
      <c r="AH44" s="912"/>
      <c r="AI44" s="912"/>
      <c r="AJ44" s="912"/>
      <c r="AK44" s="912"/>
      <c r="AL44" s="912"/>
      <c r="AM44" s="915"/>
      <c r="AN44" s="915"/>
    </row>
    <row r="45" spans="3:40" ht="14.1">
      <c r="C45" s="57"/>
      <c r="D45" s="58" t="str">
        <f>IF(E39=5,"5µ",IF(E39=4,"5µ",IF(E39=3,"5µ",IF(E39=2,"5µ",0))))</f>
        <v>5µ</v>
      </c>
      <c r="E45" s="58" t="str">
        <f t="shared" ref="E45:E47" si="11">IF(OR(D45=0),0,IF(MOD($E$42*$F$42,2)=0,"610",IF(MOD($E$42*$F$42,2.5)=0,"760",IF(MOD($E$42*$F$42,3)=0,"915","Refer"))))</f>
        <v>610</v>
      </c>
      <c r="F45" s="58" t="str">
        <f t="shared" si="9"/>
        <v>610</v>
      </c>
      <c r="G45" s="58">
        <f>IF(D45=0,0,300)</f>
        <v>300</v>
      </c>
      <c r="H45" s="60">
        <f t="shared" si="10"/>
        <v>9</v>
      </c>
      <c r="I45" s="834"/>
      <c r="J45" s="902"/>
      <c r="K45" s="902"/>
      <c r="L45" s="902"/>
      <c r="M45" s="902"/>
      <c r="N45" s="902"/>
      <c r="O45" s="902"/>
      <c r="P45" s="902"/>
      <c r="Q45" s="913"/>
      <c r="R45" s="913"/>
      <c r="S45" s="913"/>
      <c r="T45" s="913"/>
      <c r="U45" s="912"/>
      <c r="V45" s="912"/>
      <c r="W45" s="913"/>
      <c r="X45" s="912"/>
      <c r="Y45" s="912"/>
      <c r="Z45" s="912"/>
      <c r="AA45" s="912"/>
      <c r="AB45" s="912"/>
      <c r="AC45" s="912"/>
      <c r="AD45" s="912"/>
      <c r="AE45" s="912"/>
      <c r="AF45" s="912"/>
      <c r="AG45" s="912"/>
      <c r="AH45" s="912"/>
      <c r="AI45" s="912"/>
      <c r="AJ45" s="912"/>
      <c r="AK45" s="912"/>
      <c r="AL45" s="912"/>
      <c r="AM45" s="915"/>
      <c r="AN45" s="915"/>
    </row>
    <row r="46" spans="3:40" ht="14.1">
      <c r="C46" s="57"/>
      <c r="D46" s="58" t="str">
        <f>IF(E39=5,"1µ",IF(E39=4,"1µ",IF(E39=3,"1µ",0)))</f>
        <v>1µ</v>
      </c>
      <c r="E46" s="58" t="str">
        <f t="shared" si="11"/>
        <v>610</v>
      </c>
      <c r="F46" s="58" t="str">
        <f t="shared" si="9"/>
        <v>610</v>
      </c>
      <c r="G46" s="58">
        <f>IF(D46=0,0,300)</f>
        <v>300</v>
      </c>
      <c r="H46" s="60">
        <f t="shared" si="10"/>
        <v>9</v>
      </c>
      <c r="I46" s="834"/>
      <c r="J46" s="902"/>
      <c r="K46" s="902"/>
      <c r="L46" s="902"/>
      <c r="M46" s="902"/>
      <c r="N46" s="902"/>
      <c r="O46" s="902"/>
      <c r="P46" s="902"/>
      <c r="Q46" s="913"/>
      <c r="R46" s="913"/>
      <c r="S46" s="913"/>
      <c r="T46" s="913"/>
      <c r="U46" s="912"/>
      <c r="V46" s="912"/>
      <c r="W46" s="913"/>
      <c r="X46" s="912"/>
      <c r="Y46" s="912"/>
      <c r="Z46" s="912"/>
      <c r="AA46" s="912"/>
      <c r="AB46" s="912"/>
      <c r="AC46" s="912"/>
      <c r="AD46" s="912"/>
      <c r="AE46" s="912"/>
      <c r="AF46" s="912"/>
      <c r="AG46" s="912"/>
      <c r="AH46" s="912"/>
      <c r="AI46" s="912"/>
      <c r="AJ46" s="912"/>
      <c r="AK46" s="912"/>
      <c r="AL46" s="912"/>
      <c r="AM46" s="915"/>
      <c r="AN46" s="915"/>
    </row>
    <row r="47" spans="3:40" ht="21" customHeight="1">
      <c r="C47" s="57"/>
      <c r="D47" s="854">
        <f>IF(E39=5,"0.3µHEPA(95%)",IF(E39=4,"0.3µHEPA(95%)",0))</f>
        <v>0</v>
      </c>
      <c r="E47" s="58">
        <f t="shared" si="11"/>
        <v>0</v>
      </c>
      <c r="F47" s="58">
        <f t="shared" si="9"/>
        <v>0</v>
      </c>
      <c r="G47" s="58">
        <f>IF(D47=0,0,300)</f>
        <v>0</v>
      </c>
      <c r="H47" s="60">
        <f t="shared" si="10"/>
        <v>0</v>
      </c>
      <c r="I47" s="836"/>
      <c r="J47" s="902"/>
      <c r="K47" s="902"/>
      <c r="L47" s="902"/>
      <c r="M47" s="902"/>
      <c r="N47" s="902"/>
      <c r="O47" s="902"/>
      <c r="P47" s="902"/>
      <c r="Q47" s="913"/>
      <c r="R47" s="913"/>
      <c r="S47" s="913"/>
      <c r="T47" s="913"/>
      <c r="U47" s="912"/>
      <c r="V47" s="912"/>
      <c r="W47" s="913"/>
      <c r="X47" s="912"/>
      <c r="Y47" s="912"/>
      <c r="Z47" s="912"/>
      <c r="AA47" s="912"/>
      <c r="AB47" s="912"/>
      <c r="AC47" s="912"/>
      <c r="AD47" s="912"/>
      <c r="AE47" s="912"/>
      <c r="AF47" s="912"/>
      <c r="AG47" s="912"/>
      <c r="AH47" s="912"/>
      <c r="AI47" s="912"/>
      <c r="AJ47" s="912"/>
      <c r="AK47" s="912"/>
      <c r="AL47" s="912"/>
      <c r="AM47" s="915"/>
      <c r="AN47" s="915"/>
    </row>
    <row r="48" spans="3:40" ht="14.1" customHeight="1">
      <c r="C48" s="57"/>
      <c r="D48" s="850" t="s">
        <v>295</v>
      </c>
      <c r="E48" s="852" t="str">
        <f>"AHU - " &amp; INT((ROW()-34)/14) &amp; "  " &amp; IF(I35&gt;0,"Air-Conditioning System " &amp; IF(OR(G38="Header", G38="C"), "(Chilled Water)",IF(OR(G38="Distributor", G38="D"), "(DX)", "Ventilation System")),IF(NOT(I35&gt;0), "Ventilation System ( EXHAUST )", "NOT APPLICABLE / Refer"))</f>
        <v>AHU - 1  Air-Conditioning System (DX)</v>
      </c>
      <c r="F48" s="852"/>
      <c r="G48" s="852"/>
      <c r="H48" s="853"/>
      <c r="I48" s="851"/>
      <c r="J48" s="52"/>
      <c r="K48" s="52"/>
      <c r="L48" s="52"/>
      <c r="M48" s="52"/>
      <c r="N48" s="52"/>
      <c r="O48" s="828"/>
      <c r="P48" s="828"/>
      <c r="Q48" s="55"/>
      <c r="R48" s="55"/>
      <c r="S48" s="55"/>
      <c r="T48" s="55"/>
      <c r="U48" s="45"/>
      <c r="V48" s="45"/>
      <c r="W48" s="55"/>
      <c r="X48" s="45"/>
      <c r="Y48" s="45"/>
      <c r="Z48" s="45"/>
      <c r="AA48" s="45"/>
      <c r="AB48" s="45"/>
      <c r="AC48" s="45"/>
      <c r="AD48" s="45"/>
      <c r="AE48" s="45"/>
      <c r="AF48" s="45"/>
      <c r="AG48" s="45"/>
      <c r="AH48" s="45"/>
      <c r="AI48" s="45"/>
      <c r="AJ48" s="45"/>
      <c r="AK48" s="45"/>
      <c r="AL48" s="45"/>
      <c r="AM48" s="63"/>
      <c r="AN48" s="63"/>
    </row>
    <row r="49" spans="3:40" ht="21">
      <c r="C49" s="57"/>
      <c r="D49" s="832" t="s">
        <v>287</v>
      </c>
      <c r="E49" s="833">
        <v>1</v>
      </c>
      <c r="F49" s="854" t="s">
        <v>275</v>
      </c>
      <c r="G49" s="833">
        <f>IF(I35=0,CEILING('BOD-Cold &amp; Amb.'!AB26,100),0)</f>
        <v>0</v>
      </c>
      <c r="H49" s="832" t="s">
        <v>288</v>
      </c>
      <c r="I49" s="834" t="str">
        <f>IF(E49=5,"20µ,10µ, 5µ, 1µ &amp; 0.3µ (HEPA Plenum Fitted 95% eff.)",IF(E49=4,"20µ,10µ, 5µ, 1µ ",IF(E49=3,"20µ, 10µ &amp; 5µ ",IF(E49=2,"20µ  &amp; 10µ",IF(E49=1,"20µ","Filter Ratings")))))</f>
        <v>20µ</v>
      </c>
      <c r="J49" s="902" t="s">
        <v>277</v>
      </c>
      <c r="K49" s="902">
        <v>1</v>
      </c>
      <c r="L49" s="917">
        <f>Q52</f>
        <v>406750</v>
      </c>
      <c r="M49" s="902">
        <f>K49*L49</f>
        <v>406750</v>
      </c>
      <c r="N49" s="52"/>
      <c r="O49" s="828"/>
      <c r="P49" s="828"/>
      <c r="Q49" s="55"/>
      <c r="R49" s="55"/>
      <c r="S49" s="55"/>
      <c r="T49" s="55"/>
      <c r="U49" s="45"/>
      <c r="V49" s="45"/>
      <c r="W49" s="55"/>
      <c r="X49" s="45"/>
      <c r="Y49" s="45"/>
      <c r="Z49" s="45"/>
      <c r="AA49" s="45"/>
      <c r="AB49" s="45"/>
      <c r="AC49" s="45"/>
      <c r="AD49" s="45"/>
      <c r="AE49" s="45"/>
      <c r="AF49" s="45"/>
      <c r="AG49" s="45"/>
      <c r="AH49" s="45"/>
      <c r="AI49" s="45"/>
      <c r="AJ49" s="45"/>
      <c r="AK49" s="45"/>
      <c r="AL49" s="45"/>
      <c r="AM49" s="63"/>
      <c r="AN49" s="63"/>
    </row>
    <row r="50" spans="3:40" ht="14.1">
      <c r="C50" s="57"/>
      <c r="D50" s="855" t="s">
        <v>278</v>
      </c>
      <c r="E50" s="833">
        <f>'BOD-Cold &amp; Amb.'!AL11</f>
        <v>2050</v>
      </c>
      <c r="F50" s="855" t="s">
        <v>279</v>
      </c>
      <c r="G50" s="833">
        <f>'BOD-Cold &amp; Amb.'!AL13</f>
        <v>2050</v>
      </c>
      <c r="H50" s="855" t="s">
        <v>280</v>
      </c>
      <c r="I50" s="833">
        <f>IF(E51&lt;=315,1600,(IF(E51=355,1650,(IF(E51=400,1650,(IF(E51=450,1700,(IF(E51=500,1700,(IF(E51=560,1800,(IF(E51=630,2000,(IF(E51=710,2200,2500)))))))))))))))+IF(E49=1,800,(IF(E49=2,1300,(IF(E49=3,2300,(IF(E49=4,3300,(IF(E49=3,4000,0)))))))))</f>
        <v>2400</v>
      </c>
      <c r="J50" s="902"/>
      <c r="K50" s="902"/>
      <c r="L50" s="902"/>
      <c r="M50" s="902"/>
      <c r="N50" s="52"/>
      <c r="O50" s="828"/>
      <c r="P50" s="828"/>
      <c r="Q50" s="55"/>
      <c r="R50" s="55"/>
      <c r="S50" s="55"/>
      <c r="T50" s="55"/>
      <c r="U50" s="45"/>
      <c r="V50" s="45"/>
      <c r="W50" s="55"/>
      <c r="X50" s="45"/>
      <c r="Y50" s="45"/>
      <c r="Z50" s="45"/>
      <c r="AA50" s="45"/>
      <c r="AB50" s="45"/>
      <c r="AC50" s="45"/>
      <c r="AD50" s="45"/>
      <c r="AE50" s="45"/>
      <c r="AF50" s="45"/>
      <c r="AG50" s="45"/>
      <c r="AH50" s="45"/>
      <c r="AI50" s="45"/>
      <c r="AJ50" s="45"/>
      <c r="AK50" s="45"/>
      <c r="AL50" s="45"/>
      <c r="AM50" s="63"/>
      <c r="AN50" s="63"/>
    </row>
    <row r="51" spans="3:40" ht="14.1">
      <c r="C51" s="57"/>
      <c r="D51" s="855" t="s">
        <v>281</v>
      </c>
      <c r="E51" s="833">
        <f>IF(G49&lt;=1300,200,IF(G49&lt;=1600,225,IF(G49&lt;=2100,250,IF(G49&lt;=2700,280,IF(G49&lt;=3450,315,IF(G49&lt;=4250,355,IF(G49&lt;=5250,400,IF(G49&lt;=6750,450,IF(G49&lt;=8500,500,IF(G49&lt;=10750,560,IF(G49&lt;=13500,630,IF(G49&lt;=17000,710,IF(G49&lt;=21500,800,IF(G49&lt;=27000,900,IF(G49&lt;=34000,1000,IF(G49&lt;=43000,1120,IF(G49&lt;=49000,1200,IF(G49&lt;=68000,1450,"Refer"))))))))))))))))))</f>
        <v>200</v>
      </c>
      <c r="F51" s="855" t="s">
        <v>282</v>
      </c>
      <c r="G51" s="833">
        <f>IF(E49=5,135,IF(E49=4,110,IF(E49=3,90,IF(E49=2,65,IF(E49=1,50,"Filter Ratings")))))</f>
        <v>50</v>
      </c>
      <c r="H51" s="855" t="s">
        <v>283</v>
      </c>
      <c r="I51" s="833">
        <f>IF(G49*G51/(6356*0.7*0.9*1.1*25.4)&lt;=1,1,IF(G49*G51/(6356*0.7*0.9*1.1*25.4)&lt;=1.5,1.5,IF(G49*G51/(6356*0.7*0.9*1.1*25.4)&lt;=2,2,IF(G49*G51/(6356*0.7*0.9*1.1*25.4)&lt;=3,3,IF(G49*G51/(6356*0.7*0.9*1.1*25.4)&lt;=5,5,IF(G49*G51/(6356*0.7*0.9*1.1*25.4)&lt;=7.5,7.5,IF(G49*G51/(6356*0.7*0.9*1.1*25.4)&lt;=10,10,IF(G49*G51/(6356*0.7*0.9*1.1*25.4)&lt;=12.5,12.5,IF(G49*G51/(6356*0.7*0.9*1.1*25.4)&lt;=15,15,IF(G49*G51/(6356*0.7*0.9*1.1*25.4)&lt;=20,20,IF(G49*G51/(6356*0.7*0.9*1.1*25.4)&lt;=25,25,IF(G49*G51/(6356*0.7*0.9*1.1*25.4)&lt;=30,30,IF(G49*G51/(6356*0.7*0.9*1.1*25.4)&lt;=40,40,IF(G49*G51/(6356*0.7*0.9*1.1*25.4)&lt;=50,50,IF(G49*G51/(6356*0.7*0.9*1.1*25.4)&lt;=60,60,IF(G49*G51/(6356*0.7*0.9*1.1*25.4)&lt;=75,75,"Refer"))))))))))))))))</f>
        <v>1</v>
      </c>
      <c r="J51" s="902"/>
      <c r="K51" s="902"/>
      <c r="L51" s="902"/>
      <c r="M51" s="902"/>
      <c r="N51" s="52"/>
      <c r="O51" s="828"/>
      <c r="P51" s="828"/>
      <c r="Q51" s="55"/>
      <c r="R51" s="55"/>
      <c r="S51" s="55"/>
      <c r="T51" s="55"/>
      <c r="U51" s="45"/>
      <c r="V51" s="45"/>
      <c r="W51" s="55"/>
      <c r="X51" s="45"/>
      <c r="Y51" s="45"/>
      <c r="Z51" s="45"/>
      <c r="AA51" s="45"/>
      <c r="AB51" s="45"/>
      <c r="AC51" s="45"/>
      <c r="AD51" s="45"/>
      <c r="AE51" s="45"/>
      <c r="AF51" s="45"/>
      <c r="AG51" s="45"/>
      <c r="AH51" s="45"/>
      <c r="AI51" s="45"/>
      <c r="AJ51" s="45"/>
      <c r="AK51" s="45"/>
      <c r="AL51" s="45"/>
      <c r="AM51" s="63"/>
      <c r="AN51" s="63"/>
    </row>
    <row r="52" spans="3:40" ht="24.95">
      <c r="C52" s="57"/>
      <c r="D52" s="58" t="s">
        <v>290</v>
      </c>
      <c r="E52" s="58" t="s">
        <v>291</v>
      </c>
      <c r="F52" s="58" t="s">
        <v>292</v>
      </c>
      <c r="G52" s="58" t="s">
        <v>293</v>
      </c>
      <c r="H52" s="58" t="s">
        <v>294</v>
      </c>
      <c r="I52" s="834"/>
      <c r="J52" s="902"/>
      <c r="K52" s="902"/>
      <c r="L52" s="902"/>
      <c r="M52" s="902"/>
      <c r="N52" s="52"/>
      <c r="O52" s="828"/>
      <c r="P52" s="828"/>
      <c r="Q52" s="913">
        <f t="shared" ref="Q52" si="12">CEILING((S52+T52+U52+V52+W52),250)</f>
        <v>406750</v>
      </c>
      <c r="R52" s="913">
        <f>IF(I52&gt;0,625,375)</f>
        <v>375</v>
      </c>
      <c r="S52" s="913">
        <f>($E$50*$G$50*3*10.76+$E$50*$I$50*2*10.76+$G$50*$I$50*2*10.76)*R52/(1000*1000)</f>
        <v>130280.0625</v>
      </c>
      <c r="T52" s="913">
        <f>$I$35*4*1050</f>
        <v>235200</v>
      </c>
      <c r="U52" s="912">
        <f>_xlfn.IFS(
  $G$49&lt;=2000,5000,
  $G$49&lt;=5000,8000,
  $G$49&lt;=10000,10000,
  $G$49&lt;=18000,15000,
  $G$49&lt;=40000,20000,
  $G$49&gt;40000,25000
)</f>
        <v>5000</v>
      </c>
      <c r="V52" s="912">
        <f t="shared" ref="V52" si="13">IF(X52=200,17150,(IF(X52=225,18150,(IF(X52=250,18900,(IF(X52=280,19150,(IF(X52=315,19650,(IF(X52=355,21900,(IF(X52=400,24400,0)))))))))))))+IF(X52=450,31000,(IF(X52=500,37450,(IF(X52=560,45650,(IF(X52=630,58900,(IF(X52=710,77950,0)))))))))+IF(X52=800,119650,(IF(X52=900,153300,(IF(X52=1000,178900,(IF(X52=1120,286500,(IF(X52=1250,394500,(IF(X52=1450,461500,0)))))))))))</f>
        <v>17150</v>
      </c>
      <c r="W52" s="913">
        <f>_xlfn.IFS(
  $I$51=0.5,16600,
  $I$51=1,19050,
  $I$51=1.5,21750,
  $I$51=2,23600,
  $I$51=3,30000,
  $I$51=5,38000,
  $I$51=7.5,52300,
  $I$51=10,59600,
  $I$51=12.5,100350,
  $I$51=15,106000,
  $I$51=20,129150,
  $I$51=25,146050,
  $I$51=30,173600,
  $I$51=40,233900,
  $I$51=50,304650,
  $I$51=60,350000,
  $I$51=70,400000
)</f>
        <v>19050</v>
      </c>
      <c r="X52" s="912">
        <f>E51</f>
        <v>200</v>
      </c>
      <c r="Y52" s="912">
        <f t="shared" ref="Y52" si="14">IF(G52&lt;=6750,450,(IF(G52&lt;=8500,500,(IF(G52&lt;=10750,560,(IF(G52&lt;=13500,630,(IF(G52&lt;=17000,710,(IF(G52&lt;=21500,800,(IF(G52&lt;=27000,900,(IF(G52&lt;=34000,1000,0)))))))))))))))</f>
        <v>0</v>
      </c>
      <c r="Z52" s="912">
        <f t="shared" ref="Z52" si="15">IF(G52&lt;=1300,200,(IF(G52&lt;=1600,225,(IF(G52&lt;=2100,250,(IF(G52&lt;=2700,280,(IF(G52&lt;=3450,315,(IF(G52&lt;=4250,355,(IF(G52&lt;=5250,400,(IF(G52&lt;=6750,450,0)))))))))))))))</f>
        <v>0</v>
      </c>
      <c r="AA52" s="912">
        <f t="shared" ref="AA52" si="16">IF(G52&lt;=2000,5000,(IF(G52&lt;=5000,8000,(IF(G52&lt;=10000,10000,(IF(G52&lt;=18000,15000,(IF(G52&lt;=40000,20000,10000)))))))))</f>
        <v>10000</v>
      </c>
      <c r="AB52" s="912">
        <f>IF(E53=950,2,(IF(E53=1150,3,(IF(E53=1550,4,(IF(E53=1750,5,(IF(E53=2050,6,(IF(E53=2900,8,(IF(E53=3600,10,12)))))))))))))</f>
        <v>12</v>
      </c>
      <c r="AC52" s="912">
        <f>IF(G53=950,2,(IF(G53=1150,3,(IF(G53=1550,4,(IF(G53=1750,5,(IF(G53=2050,6,(IF(G53=2900,8,(IF(G53=3600,10,12)))))))))))))</f>
        <v>12</v>
      </c>
      <c r="AD52" s="912">
        <f t="shared" ref="AD52" si="17">AC52*AB52</f>
        <v>144</v>
      </c>
      <c r="AE52" s="912">
        <v>150</v>
      </c>
      <c r="AF52" s="912">
        <f>CEILING((SQRT(G49/1000))*4*2*AE52*1.25*K49,100)</f>
        <v>0</v>
      </c>
      <c r="AG52" s="912">
        <f>E60*F60*H60/(305*305)</f>
        <v>0</v>
      </c>
      <c r="AH52" s="912">
        <f>E61*F61*H61/(305*305)</f>
        <v>0</v>
      </c>
      <c r="AI52" s="912" t="b">
        <f>IF(I35=0,0)</f>
        <v>0</v>
      </c>
      <c r="AJ52" s="912">
        <f>H55*E55*F55/(305*305)</f>
        <v>0</v>
      </c>
      <c r="AK52" s="912">
        <f>H55*E55*F55/(305*305)</f>
        <v>0</v>
      </c>
      <c r="AL52" s="912">
        <f>E54*F54*H54/(305*305)</f>
        <v>0</v>
      </c>
      <c r="AM52" s="915">
        <f>(G49*2.2/1100)</f>
        <v>0</v>
      </c>
      <c r="AN52" s="915">
        <f>(G49*1/1100)</f>
        <v>0</v>
      </c>
    </row>
    <row r="53" spans="3:40" ht="14.1">
      <c r="C53" s="57"/>
      <c r="D53" s="58"/>
      <c r="E53" s="58">
        <f>IF(E50&lt;=950,2,(IF(E50&lt;=1200,3,(IF(E50&lt;=1550,4,(IF(E50&lt;=1750,5,(IF(E50&lt;=2050,6,(IF(E50&lt;=2900,8,(IF(E50&lt;=3600,10,IF(E50&lt;=4000,12,0))))))))))))))</f>
        <v>6</v>
      </c>
      <c r="F53" s="58">
        <f>IF(G50&lt;=950,2,(IF(G50&lt;=1200,3,(IF(G50&lt;=1550,4,(IF(G50&lt;=1750,5,(IF(G50&lt;=2050,6,(IF(G50&lt;=2900,8,(IF(G50&lt;=3600,10,IF(E50&lt;=4000,12,0))))))))))))))</f>
        <v>6</v>
      </c>
      <c r="G53" s="58"/>
      <c r="H53" s="60"/>
      <c r="I53" s="834"/>
      <c r="J53" s="902"/>
      <c r="K53" s="902"/>
      <c r="L53" s="902"/>
      <c r="M53" s="902"/>
      <c r="N53" s="52"/>
      <c r="O53" s="828"/>
      <c r="P53" s="828"/>
      <c r="Q53" s="913"/>
      <c r="R53" s="913"/>
      <c r="S53" s="913"/>
      <c r="T53" s="913"/>
      <c r="U53" s="912"/>
      <c r="V53" s="912"/>
      <c r="W53" s="913"/>
      <c r="X53" s="912"/>
      <c r="Y53" s="912"/>
      <c r="Z53" s="912"/>
      <c r="AA53" s="912"/>
      <c r="AB53" s="912"/>
      <c r="AC53" s="912"/>
      <c r="AD53" s="912"/>
      <c r="AE53" s="912"/>
      <c r="AF53" s="912"/>
      <c r="AG53" s="912"/>
      <c r="AH53" s="912"/>
      <c r="AI53" s="912"/>
      <c r="AJ53" s="912"/>
      <c r="AK53" s="912"/>
      <c r="AL53" s="912"/>
      <c r="AM53" s="915"/>
      <c r="AN53" s="915"/>
    </row>
    <row r="54" spans="3:40" ht="14.1">
      <c r="C54" s="57"/>
      <c r="D54" s="58">
        <f>IF(AND(I35=0, OR(E49=1, E49=2, E49=3, E49=4, E49=5)), "20µ", 0)</f>
        <v>0</v>
      </c>
      <c r="E54" s="58">
        <f>IF(OR(D54=0),0,IF(MOD($E$53*$F$53,2)=0,"610",IF(MOD($E$53*$F$53,2.5)=0,"760",IF(MOD($E$53*$F$53,3)=0,"915","Refer"))))</f>
        <v>0</v>
      </c>
      <c r="F54" s="58">
        <f>IF(OR(D54=0),0,IF(MOD($E$53*$F$53,4)=0,"610",IF(MOD($E$53*$F$53,5)=0,"760",IF(MOD($E$53*$F$53,6)=0,"915","Refer"))))</f>
        <v>0</v>
      </c>
      <c r="G54" s="58">
        <f>IF(D54=0,0,100)</f>
        <v>0</v>
      </c>
      <c r="H54" s="60">
        <f>ROUND(IF(D54=0,0,($E$53*$F$53*305*305)/(E54*F54)),0)</f>
        <v>0</v>
      </c>
      <c r="I54" s="834"/>
      <c r="J54" s="902"/>
      <c r="K54" s="902"/>
      <c r="L54" s="902"/>
      <c r="M54" s="902"/>
      <c r="N54" s="52"/>
      <c r="O54" s="828"/>
      <c r="P54" s="828"/>
      <c r="Q54" s="55"/>
      <c r="R54" s="55"/>
      <c r="S54" s="55"/>
      <c r="T54" s="55"/>
      <c r="U54" s="45"/>
      <c r="V54" s="45"/>
      <c r="W54" s="55"/>
      <c r="X54" s="45"/>
      <c r="Y54" s="45"/>
      <c r="Z54" s="45"/>
      <c r="AA54" s="45"/>
      <c r="AB54" s="45"/>
      <c r="AC54" s="45"/>
      <c r="AD54" s="45"/>
      <c r="AE54" s="45"/>
      <c r="AF54" s="45"/>
      <c r="AG54" s="45"/>
      <c r="AH54" s="45"/>
      <c r="AI54" s="45"/>
      <c r="AJ54" s="45"/>
      <c r="AK54" s="45"/>
      <c r="AL54" s="45"/>
      <c r="AM54" s="63"/>
      <c r="AN54" s="63"/>
    </row>
    <row r="55" spans="3:40" ht="14.1">
      <c r="C55" s="57"/>
      <c r="D55" s="58">
        <f>IF(AND(I35=0, OR( E49=2, E49=3, E49=4, E49=5)), "10µ", 0)</f>
        <v>0</v>
      </c>
      <c r="E55" s="58">
        <f t="shared" ref="E55:E58" si="18">IF(OR(D55=0),0,IF(MOD($E$53*$F$53,2)=0,"610",IF(MOD($E$53*$F$53,2.5)=0,"760",IF(MOD($E$53*$F$53,3)=0,"915","Refer"))))</f>
        <v>0</v>
      </c>
      <c r="F55" s="58">
        <f t="shared" ref="F55:F58" si="19">IF(OR(D55=0),0,IF(MOD($E$53*$F$53,4)=0,"610",IF(MOD($E$53*$F$53,5)=0,"760",IF(MOD($E$53*$F$53,6)=0,"915","Refer"))))</f>
        <v>0</v>
      </c>
      <c r="G55" s="58">
        <f>IF(D55=0,0,150)</f>
        <v>0</v>
      </c>
      <c r="H55" s="60">
        <f t="shared" ref="H55:H58" si="20">ROUND(IF(D55=0,0,($E$53*$F$53*305*305)/(E55*F55)),0)</f>
        <v>0</v>
      </c>
      <c r="I55" s="834"/>
      <c r="J55" s="902"/>
      <c r="K55" s="902"/>
      <c r="L55" s="902"/>
      <c r="M55" s="902"/>
      <c r="N55" s="52"/>
      <c r="O55" s="828"/>
      <c r="P55" s="828"/>
      <c r="Q55" s="55"/>
      <c r="R55" s="55"/>
      <c r="S55" s="55"/>
      <c r="T55" s="55"/>
      <c r="U55" s="45"/>
      <c r="V55" s="45"/>
      <c r="W55" s="55"/>
      <c r="X55" s="45"/>
      <c r="Y55" s="45"/>
      <c r="Z55" s="45"/>
      <c r="AA55" s="45"/>
      <c r="AB55" s="45"/>
      <c r="AC55" s="45"/>
      <c r="AD55" s="45"/>
      <c r="AE55" s="45"/>
      <c r="AF55" s="45"/>
      <c r="AG55" s="45"/>
      <c r="AH55" s="45"/>
      <c r="AI55" s="45"/>
      <c r="AJ55" s="45"/>
      <c r="AK55" s="45"/>
      <c r="AL55" s="45"/>
      <c r="AM55" s="63"/>
      <c r="AN55" s="63"/>
    </row>
    <row r="56" spans="3:40" ht="14.1">
      <c r="C56" s="57"/>
      <c r="D56" s="58">
        <f>IF(AND(I35=0, OR(E49=3, E49=4, E49=5)), "5µ", 0)</f>
        <v>0</v>
      </c>
      <c r="E56" s="58">
        <f t="shared" si="18"/>
        <v>0</v>
      </c>
      <c r="F56" s="58">
        <f t="shared" si="19"/>
        <v>0</v>
      </c>
      <c r="G56" s="58">
        <f>IF(D56=0,0,300)</f>
        <v>0</v>
      </c>
      <c r="H56" s="60">
        <f t="shared" si="20"/>
        <v>0</v>
      </c>
      <c r="I56" s="834"/>
      <c r="J56" s="902"/>
      <c r="K56" s="902"/>
      <c r="L56" s="902"/>
      <c r="M56" s="902"/>
      <c r="N56" s="52"/>
      <c r="O56" s="828"/>
      <c r="P56" s="828"/>
      <c r="Q56" s="55"/>
      <c r="R56" s="55"/>
      <c r="S56" s="55"/>
      <c r="T56" s="55"/>
      <c r="U56" s="45"/>
      <c r="V56" s="45"/>
      <c r="W56" s="55"/>
      <c r="X56" s="45"/>
      <c r="Y56" s="45"/>
      <c r="Z56" s="45"/>
      <c r="AA56" s="45"/>
      <c r="AB56" s="45"/>
      <c r="AC56" s="45"/>
      <c r="AD56" s="45"/>
      <c r="AE56" s="45"/>
      <c r="AF56" s="45"/>
      <c r="AG56" s="45"/>
      <c r="AH56" s="45"/>
      <c r="AI56" s="45"/>
      <c r="AJ56" s="45"/>
      <c r="AK56" s="45"/>
      <c r="AL56" s="45"/>
      <c r="AM56" s="63"/>
      <c r="AN56" s="63"/>
    </row>
    <row r="57" spans="3:40" ht="14.1">
      <c r="C57" s="57"/>
      <c r="D57" s="58">
        <f>IF(AND(I35=0, OR(E49=4, E49=5)), "1µ", 0)</f>
        <v>0</v>
      </c>
      <c r="E57" s="58">
        <f t="shared" si="18"/>
        <v>0</v>
      </c>
      <c r="F57" s="58">
        <f t="shared" si="19"/>
        <v>0</v>
      </c>
      <c r="G57" s="58">
        <f>IF(D57=0,0,300)</f>
        <v>0</v>
      </c>
      <c r="H57" s="60">
        <f t="shared" si="20"/>
        <v>0</v>
      </c>
      <c r="I57" s="834"/>
      <c r="J57" s="902"/>
      <c r="K57" s="902"/>
      <c r="L57" s="902"/>
      <c r="M57" s="902"/>
      <c r="N57" s="52"/>
      <c r="O57" s="828"/>
      <c r="P57" s="828"/>
      <c r="Q57" s="55"/>
      <c r="R57" s="55"/>
      <c r="S57" s="55"/>
      <c r="T57" s="55"/>
      <c r="U57" s="45"/>
      <c r="V57" s="45"/>
      <c r="W57" s="55"/>
      <c r="X57" s="45"/>
      <c r="Y57" s="45"/>
      <c r="Z57" s="45"/>
      <c r="AA57" s="45"/>
      <c r="AB57" s="45"/>
      <c r="AC57" s="45"/>
      <c r="AD57" s="45"/>
      <c r="AE57" s="45"/>
      <c r="AF57" s="45"/>
      <c r="AG57" s="45"/>
      <c r="AH57" s="45"/>
      <c r="AI57" s="45"/>
      <c r="AJ57" s="45"/>
      <c r="AK57" s="45"/>
      <c r="AL57" s="45"/>
      <c r="AM57" s="63"/>
      <c r="AN57" s="63"/>
    </row>
    <row r="58" spans="3:40" ht="14.1">
      <c r="C58" s="57"/>
      <c r="D58" s="854">
        <f>IF(AND(I35=0, OR(E49=5)), "0.3µHEPA(95%)", 0)</f>
        <v>0</v>
      </c>
      <c r="E58" s="58">
        <f t="shared" si="18"/>
        <v>0</v>
      </c>
      <c r="F58" s="58">
        <f t="shared" si="19"/>
        <v>0</v>
      </c>
      <c r="G58" s="58">
        <f>IF(D58=0,0,300)</f>
        <v>0</v>
      </c>
      <c r="H58" s="60">
        <f t="shared" si="20"/>
        <v>0</v>
      </c>
      <c r="I58" s="836"/>
      <c r="J58" s="902"/>
      <c r="K58" s="902"/>
      <c r="L58" s="902"/>
      <c r="M58" s="902"/>
      <c r="N58" s="52"/>
      <c r="O58" s="828"/>
      <c r="P58" s="828"/>
      <c r="Q58" s="55"/>
      <c r="R58" s="55"/>
      <c r="S58" s="55"/>
      <c r="T58" s="55"/>
      <c r="U58" s="45"/>
      <c r="V58" s="45"/>
      <c r="W58" s="55"/>
      <c r="X58" s="45"/>
      <c r="Y58" s="45"/>
      <c r="Z58" s="45"/>
      <c r="AA58" s="45"/>
      <c r="AB58" s="45"/>
      <c r="AC58" s="45"/>
      <c r="AD58" s="45"/>
      <c r="AE58" s="45"/>
      <c r="AF58" s="45"/>
      <c r="AG58" s="45"/>
      <c r="AH58" s="45"/>
      <c r="AI58" s="45"/>
      <c r="AJ58" s="45"/>
      <c r="AK58" s="45"/>
      <c r="AL58" s="45"/>
      <c r="AM58" s="63"/>
      <c r="AN58" s="63"/>
    </row>
    <row r="59" spans="3:40" ht="14.1">
      <c r="C59" s="57"/>
      <c r="D59" s="826"/>
      <c r="E59" s="182"/>
      <c r="F59" s="182"/>
      <c r="G59" s="182"/>
      <c r="H59" s="45"/>
      <c r="I59" s="827"/>
      <c r="J59" s="52"/>
      <c r="K59" s="52"/>
      <c r="L59" s="52"/>
      <c r="M59" s="52"/>
      <c r="N59" s="52"/>
      <c r="O59" s="828"/>
      <c r="P59" s="828"/>
      <c r="Q59" s="55"/>
      <c r="R59" s="55"/>
      <c r="S59" s="55"/>
      <c r="T59" s="55"/>
      <c r="U59" s="45"/>
      <c r="V59" s="45"/>
      <c r="W59" s="55"/>
      <c r="X59" s="45"/>
      <c r="Y59" s="45"/>
      <c r="Z59" s="45"/>
      <c r="AA59" s="45"/>
      <c r="AB59" s="45"/>
      <c r="AC59" s="45"/>
      <c r="AD59" s="45"/>
      <c r="AE59" s="45"/>
      <c r="AF59" s="45"/>
      <c r="AG59" s="45"/>
      <c r="AH59" s="45"/>
      <c r="AI59" s="45"/>
      <c r="AJ59" s="45"/>
      <c r="AK59" s="45"/>
      <c r="AL59" s="45"/>
      <c r="AM59" s="63"/>
      <c r="AN59" s="63"/>
    </row>
    <row r="60" spans="3:40" ht="14.1">
      <c r="C60" s="57"/>
      <c r="D60" s="826"/>
      <c r="E60" s="182"/>
      <c r="F60" s="182"/>
      <c r="G60" s="182"/>
      <c r="H60" s="45"/>
      <c r="I60" s="827"/>
      <c r="J60" s="52"/>
      <c r="K60" s="52"/>
      <c r="L60" s="52"/>
      <c r="M60" s="52"/>
      <c r="N60" s="52"/>
      <c r="O60" s="828"/>
      <c r="P60" s="828"/>
      <c r="Q60" s="55"/>
      <c r="R60" s="55"/>
      <c r="S60" s="55"/>
      <c r="T60" s="55"/>
      <c r="U60" s="45"/>
      <c r="V60" s="45"/>
      <c r="W60" s="55"/>
      <c r="X60" s="45"/>
      <c r="Y60" s="45"/>
      <c r="Z60" s="45"/>
      <c r="AA60" s="45"/>
      <c r="AB60" s="45"/>
      <c r="AC60" s="45"/>
      <c r="AD60" s="45"/>
      <c r="AE60" s="45"/>
      <c r="AF60" s="45"/>
      <c r="AG60" s="45"/>
      <c r="AH60" s="45"/>
      <c r="AI60" s="45"/>
      <c r="AJ60" s="45"/>
      <c r="AK60" s="45"/>
      <c r="AL60" s="45"/>
      <c r="AM60" s="63"/>
      <c r="AN60" s="63"/>
    </row>
    <row r="61" spans="3:40" ht="14.1" customHeight="1">
      <c r="C61" s="57"/>
      <c r="D61" s="901" t="str">
        <f>"AHU - " &amp; INT((ROW()-34)/14)+1 &amp; "  " &amp; IF(I62&gt;0,"Air-Conditioning System " &amp; IF(OR(G65="Header", G65="C"), "(Chilled Water)",IF(OR(G65="Distributor", G65="D"), "(DX)", "Ventilation System")),IF(NOT(I62&gt;0), "Ventilation System ( SUPPLY )", "Refer"))</f>
        <v>AHU - 2  Air-Conditioning System (DX)</v>
      </c>
      <c r="E61" s="901"/>
      <c r="F61" s="901"/>
      <c r="G61" s="901"/>
      <c r="H61" s="901"/>
      <c r="I61" s="901"/>
      <c r="J61" s="52"/>
      <c r="K61" s="52"/>
      <c r="L61" s="53"/>
      <c r="M61" s="53"/>
      <c r="N61" s="53"/>
      <c r="O61" s="54"/>
      <c r="P61" s="55"/>
      <c r="AM61" s="56"/>
      <c r="AN61" s="56"/>
    </row>
    <row r="62" spans="3:40" ht="14.1">
      <c r="C62" s="57"/>
      <c r="D62" s="175" t="s">
        <v>274</v>
      </c>
      <c r="E62" s="180" t="str">
        <f>'BOD-Cold &amp; Amb.'!R30</f>
        <v>ISO 6</v>
      </c>
      <c r="F62" s="175" t="s">
        <v>275</v>
      </c>
      <c r="G62" s="180">
        <f>'BOD-Cold &amp; Amb.'!AK30</f>
        <v>48500</v>
      </c>
      <c r="H62" s="175" t="s">
        <v>276</v>
      </c>
      <c r="I62" s="181">
        <f>'BOD-Cold &amp; Amb.'!AQ30</f>
        <v>124.5</v>
      </c>
      <c r="J62" s="902" t="s">
        <v>277</v>
      </c>
      <c r="K62" s="902">
        <v>1</v>
      </c>
      <c r="L62" s="917">
        <f>Q62</f>
        <v>1911500</v>
      </c>
      <c r="M62" s="902">
        <f>K62*L62</f>
        <v>1911500</v>
      </c>
      <c r="N62" s="902"/>
      <c r="O62" s="902"/>
      <c r="P62" s="902"/>
      <c r="Q62" s="918">
        <f t="shared" ref="Q62" si="21">CEILING((S62+T62+U62+V62+W62),250)</f>
        <v>1911500</v>
      </c>
      <c r="R62" s="913">
        <f>IF(I62&gt;0,625,375)</f>
        <v>625</v>
      </c>
      <c r="S62" s="913">
        <f>(E63*G63*3*10.76+E63*I63*2*10.76+G63*I63*2*10.76)*R62/(1000*1000)</f>
        <v>883396</v>
      </c>
      <c r="T62" s="913">
        <f>I62*4*1050</f>
        <v>522900</v>
      </c>
      <c r="U62" s="912">
        <f>IF(G62&lt;=2000,5000,(IF(G62&lt;=5000,8000,(IF(G62&lt;=10000,10000,(IF(G62&lt;=18000,15000,(IF(G62&lt;=40000,20000,25000)))))))))</f>
        <v>25000</v>
      </c>
      <c r="V62" s="912">
        <f t="shared" ref="V62" si="22">IF(X62=200,17150,(IF(X62=225,18150,(IF(X62=250,18900,(IF(X62=280,19150,(IF(X62=315,19650,(IF(X62=355,21900,(IF(X62=400,24400,0)))))))))))))+IF(X62=450,31000,(IF(X62=500,37450,(IF(X62=560,45650,(IF(X62=630,58900,(IF(X62=710,77950,0)))))))))+IF(X62=800,119650,(IF(X62=900,153300,(IF(X62=1000,178900,(IF(X62=1120,286500,(IF(X62=1250,394500,(IF(X62=1450,461500,0)))))))))))</f>
        <v>0</v>
      </c>
      <c r="W62" s="913">
        <f>IF(I64=0.5,16600,(IF(I64=1,19050,(IF(I64=1.5,21750,(IF(I64=2,23600,(IF(I64=3,30000,(IF(I64=5,38000,0)))))))))))*1.2+IF(I64=7.5,52300,(IF(I64=10,59600,0)))*1.2+IF(I64=12.5,100350,(IF(I64=15,106000,(IF(I64=20,129150,(IF(I64=25,146050,(IF(I64=30,173600,(IF(I64=40,233900,(IF(I64=50,304650,IF(I64=60,350000,400000)))))))))))))*1.2)</f>
        <v>480000</v>
      </c>
      <c r="X62" s="912">
        <f>E64</f>
        <v>1200</v>
      </c>
      <c r="Y62" s="912">
        <f t="shared" ref="Y62" si="23">IF(G62&lt;=6750,450,(IF(G62&lt;=8500,500,(IF(G62&lt;=10750,560,(IF(G62&lt;=13500,630,(IF(G62&lt;=17000,710,(IF(G62&lt;=21500,800,(IF(G62&lt;=27000,900,(IF(G62&lt;=34000,1000,0)))))))))))))))</f>
        <v>0</v>
      </c>
      <c r="Z62" s="912">
        <f t="shared" ref="Z62" si="24">IF(G62&lt;=1300,200,(IF(G62&lt;=1600,225,(IF(G62&lt;=2100,250,(IF(G62&lt;=2700,280,(IF(G62&lt;=3450,315,(IF(G62&lt;=4250,355,(IF(G62&lt;=5250,400,(IF(G62&lt;=6750,450,0)))))))))))))))</f>
        <v>0</v>
      </c>
      <c r="AA62" s="912">
        <f t="shared" ref="AA62" si="25">IF(G62&lt;=2000,5000,(IF(G62&lt;=5000,8000,(IF(G62&lt;=10000,10000,(IF(G62&lt;=18000,15000,(IF(G62&lt;=40000,20000,10000)))))))))</f>
        <v>10000</v>
      </c>
      <c r="AB62" s="912">
        <f>IF(E63=950,2,(IF(E63=1150,3,(IF(E63=1550,4,(IF(E63=1750,5,(IF(E63=2050,6,(IF(E63=2900,8,(IF(E63=3600,10,12)))))))))))))</f>
        <v>12</v>
      </c>
      <c r="AC62" s="912">
        <f>IF(G63=950,2,(IF(G63=1150,3,(IF(G63=1550,4,(IF(G63=1750,5,(IF(G63=2050,6,(IF(G63=2900,8,(IF(G63=3600,10,12)))))))))))))</f>
        <v>10</v>
      </c>
      <c r="AD62" s="912">
        <f t="shared" ref="AD62" si="26">AC62*AB62</f>
        <v>120</v>
      </c>
      <c r="AE62" s="912">
        <v>150</v>
      </c>
      <c r="AF62" s="912">
        <f t="shared" ref="AF62" si="27">CEILING((SQRT(G62/1000))*4*2*AE62*1.25*K62,100)</f>
        <v>10500</v>
      </c>
      <c r="AG62" s="912">
        <f>E70*F70*H70/(305*305)</f>
        <v>0</v>
      </c>
      <c r="AH62" s="912">
        <f>E71*F71*H71/(305*305)</f>
        <v>36</v>
      </c>
      <c r="AI62" s="912">
        <f>H72*E72*F72/(305*305)</f>
        <v>36</v>
      </c>
      <c r="AJ62" s="912">
        <f>H73*E73*F73/(305*305)</f>
        <v>36</v>
      </c>
      <c r="AK62" s="912">
        <f>H74*E74*F74/(305*305)</f>
        <v>0</v>
      </c>
      <c r="AL62" s="912"/>
      <c r="AM62" s="915">
        <f t="shared" ref="AM62" si="28">(G62*2.2/1100)</f>
        <v>97.000000000000014</v>
      </c>
      <c r="AN62" s="915">
        <f t="shared" ref="AN62" si="29">(G62*1/1100)</f>
        <v>44.090909090909093</v>
      </c>
    </row>
    <row r="63" spans="3:40" ht="14.1">
      <c r="C63" s="57"/>
      <c r="D63" s="175" t="s">
        <v>278</v>
      </c>
      <c r="E63" s="180">
        <f>'BOD-Cold &amp; Amb.'!AL31</f>
        <v>4000</v>
      </c>
      <c r="F63" s="175" t="s">
        <v>279</v>
      </c>
      <c r="G63" s="180">
        <f>'BOD-Cold &amp; Amb.'!AL33</f>
        <v>3600</v>
      </c>
      <c r="H63" s="175" t="s">
        <v>280</v>
      </c>
      <c r="I63" s="181">
        <f>'BOD-Cold &amp; Amb.'!AL35</f>
        <v>5800</v>
      </c>
      <c r="J63" s="902"/>
      <c r="K63" s="902"/>
      <c r="L63" s="917"/>
      <c r="M63" s="902"/>
      <c r="N63" s="902"/>
      <c r="O63" s="902"/>
      <c r="P63" s="902"/>
      <c r="Q63" s="918"/>
      <c r="R63" s="913"/>
      <c r="S63" s="913"/>
      <c r="T63" s="913"/>
      <c r="U63" s="912"/>
      <c r="V63" s="912"/>
      <c r="W63" s="913"/>
      <c r="X63" s="912"/>
      <c r="Y63" s="912"/>
      <c r="Z63" s="912"/>
      <c r="AA63" s="912"/>
      <c r="AB63" s="912"/>
      <c r="AC63" s="912"/>
      <c r="AD63" s="912"/>
      <c r="AE63" s="912"/>
      <c r="AF63" s="912"/>
      <c r="AG63" s="912"/>
      <c r="AH63" s="912"/>
      <c r="AI63" s="912"/>
      <c r="AJ63" s="912"/>
      <c r="AK63" s="912"/>
      <c r="AL63" s="912"/>
      <c r="AM63" s="915"/>
      <c r="AN63" s="915"/>
    </row>
    <row r="64" spans="3:40" ht="14.1">
      <c r="C64" s="57"/>
      <c r="D64" s="175" t="s">
        <v>281</v>
      </c>
      <c r="E64" s="180">
        <f>'BOD-Cold &amp; Amb.'!AN30</f>
        <v>1200</v>
      </c>
      <c r="F64" s="176" t="s">
        <v>282</v>
      </c>
      <c r="G64" s="180">
        <f>'BOD-Cold &amp; Amb.'!AM30</f>
        <v>150</v>
      </c>
      <c r="H64" s="176" t="s">
        <v>283</v>
      </c>
      <c r="I64" s="181">
        <f>'BOD-Cold &amp; Amb.'!AO30</f>
        <v>75</v>
      </c>
      <c r="J64" s="902"/>
      <c r="K64" s="902"/>
      <c r="L64" s="917"/>
      <c r="M64" s="902"/>
      <c r="N64" s="902"/>
      <c r="O64" s="902"/>
      <c r="P64" s="902"/>
      <c r="Q64" s="918"/>
      <c r="R64" s="913"/>
      <c r="S64" s="913"/>
      <c r="T64" s="913"/>
      <c r="U64" s="912"/>
      <c r="V64" s="912"/>
      <c r="W64" s="913"/>
      <c r="X64" s="912"/>
      <c r="Y64" s="912"/>
      <c r="Z64" s="912"/>
      <c r="AA64" s="912"/>
      <c r="AB64" s="912"/>
      <c r="AC64" s="912"/>
      <c r="AD64" s="912"/>
      <c r="AE64" s="912"/>
      <c r="AF64" s="912"/>
      <c r="AG64" s="912"/>
      <c r="AH64" s="912"/>
      <c r="AI64" s="912"/>
      <c r="AJ64" s="912"/>
      <c r="AK64" s="912"/>
      <c r="AL64" s="912"/>
      <c r="AM64" s="915"/>
      <c r="AN64" s="915"/>
    </row>
    <row r="65" spans="3:40" ht="21.6" customHeight="1">
      <c r="C65" s="57"/>
      <c r="D65" s="832" t="s">
        <v>284</v>
      </c>
      <c r="E65" s="833">
        <f>'BOD-Cold &amp; Amb.'!AP30</f>
        <v>4</v>
      </c>
      <c r="F65" s="832" t="s">
        <v>285</v>
      </c>
      <c r="G65" s="837" t="str">
        <f>IF(OR(I62=0, E65="Amb"), "Amb",IF('BOD-Cold &amp; Amb.'!AH25="C", "Header",IF('BOD-Cold &amp; Amb.'!AH25="D", "Distributor", "Refer")))</f>
        <v>Distributor</v>
      </c>
      <c r="H65" s="832" t="s">
        <v>286</v>
      </c>
      <c r="I65" s="833" t="str">
        <f>IF(OR(I62=0, E65=0), 0,ROUND(((( I62/E65)*304.8)/(E63-400))*1000,0)&amp;" h "&amp;" x " &amp; (E63-400)&amp;" w ")</f>
        <v xml:space="preserve">2635 h  x 3600 w </v>
      </c>
      <c r="J65" s="902"/>
      <c r="K65" s="902"/>
      <c r="L65" s="917"/>
      <c r="M65" s="902"/>
      <c r="N65" s="902"/>
      <c r="O65" s="902"/>
      <c r="P65" s="902"/>
      <c r="Q65" s="918"/>
      <c r="R65" s="913"/>
      <c r="S65" s="913"/>
      <c r="T65" s="913"/>
      <c r="U65" s="912"/>
      <c r="V65" s="912"/>
      <c r="W65" s="913"/>
      <c r="X65" s="912"/>
      <c r="Y65" s="912"/>
      <c r="Z65" s="912"/>
      <c r="AA65" s="912"/>
      <c r="AB65" s="912"/>
      <c r="AC65" s="912"/>
      <c r="AD65" s="912"/>
      <c r="AE65" s="912"/>
      <c r="AF65" s="912"/>
      <c r="AG65" s="912"/>
      <c r="AH65" s="912"/>
      <c r="AI65" s="912"/>
      <c r="AJ65" s="912"/>
      <c r="AK65" s="912"/>
      <c r="AL65" s="912"/>
      <c r="AM65" s="915"/>
      <c r="AN65" s="915"/>
    </row>
    <row r="66" spans="3:40" ht="21" customHeight="1">
      <c r="C66" s="57"/>
      <c r="D66" s="175" t="s">
        <v>287</v>
      </c>
      <c r="E66" s="180">
        <f>'BOD-Cold &amp; Amb.'!AR30</f>
        <v>3</v>
      </c>
      <c r="F66" s="176" t="s">
        <v>288</v>
      </c>
      <c r="G66" s="180" t="str">
        <f>IF(E66=4,"10µ, 5µ, 1µ &amp; 0.3µ (HEPA Plenum Fitted 95% eff.)",IF(E66=3,"10µ, 5µ &amp; 1µ ",IF(E66=2,"10µ  &amp; 5µ",IF(E66=1,"10µ", "Filter Ratings"))))</f>
        <v xml:space="preserve">10µ, 5µ &amp; 1µ </v>
      </c>
      <c r="H66" s="843"/>
      <c r="I66" s="181"/>
      <c r="J66" s="902"/>
      <c r="K66" s="902"/>
      <c r="L66" s="917"/>
      <c r="M66" s="902"/>
      <c r="N66" s="902"/>
      <c r="O66" s="902"/>
      <c r="P66" s="902"/>
      <c r="Q66" s="918"/>
      <c r="R66" s="913"/>
      <c r="S66" s="913"/>
      <c r="T66" s="913"/>
      <c r="U66" s="912"/>
      <c r="V66" s="912"/>
      <c r="W66" s="913"/>
      <c r="X66" s="912"/>
      <c r="Y66" s="912"/>
      <c r="Z66" s="912"/>
      <c r="AA66" s="912"/>
      <c r="AB66" s="912"/>
      <c r="AC66" s="912"/>
      <c r="AD66" s="912"/>
      <c r="AE66" s="912"/>
      <c r="AF66" s="912"/>
      <c r="AG66" s="912"/>
      <c r="AH66" s="912"/>
      <c r="AI66" s="912"/>
      <c r="AJ66" s="912"/>
      <c r="AK66" s="912"/>
      <c r="AL66" s="912"/>
      <c r="AM66" s="915"/>
      <c r="AN66" s="915"/>
    </row>
    <row r="67" spans="3:40" ht="12.6" customHeight="1">
      <c r="C67" s="57"/>
      <c r="D67" s="919" t="s">
        <v>289</v>
      </c>
      <c r="E67" s="920"/>
      <c r="F67" s="920"/>
      <c r="G67" s="920"/>
      <c r="H67" s="920"/>
      <c r="I67" s="921"/>
      <c r="J67" s="902"/>
      <c r="K67" s="902"/>
      <c r="L67" s="917"/>
      <c r="M67" s="902"/>
      <c r="N67" s="902"/>
      <c r="O67" s="902"/>
      <c r="P67" s="902"/>
      <c r="Q67" s="918"/>
      <c r="R67" s="913"/>
      <c r="S67" s="913"/>
      <c r="T67" s="913"/>
      <c r="U67" s="912"/>
      <c r="V67" s="912"/>
      <c r="W67" s="913"/>
      <c r="X67" s="912"/>
      <c r="Y67" s="912"/>
      <c r="Z67" s="912"/>
      <c r="AA67" s="912"/>
      <c r="AB67" s="912"/>
      <c r="AC67" s="912"/>
      <c r="AD67" s="912"/>
      <c r="AE67" s="912"/>
      <c r="AF67" s="912"/>
      <c r="AG67" s="912"/>
      <c r="AH67" s="912"/>
      <c r="AI67" s="912"/>
      <c r="AJ67" s="912"/>
      <c r="AK67" s="912"/>
      <c r="AL67" s="912"/>
      <c r="AM67" s="915"/>
      <c r="AN67" s="915"/>
    </row>
    <row r="68" spans="3:40" ht="24.95">
      <c r="C68" s="57"/>
      <c r="D68" s="58" t="s">
        <v>290</v>
      </c>
      <c r="E68" s="58" t="s">
        <v>291</v>
      </c>
      <c r="F68" s="58" t="s">
        <v>292</v>
      </c>
      <c r="G68" s="58" t="s">
        <v>293</v>
      </c>
      <c r="H68" s="58" t="s">
        <v>294</v>
      </c>
      <c r="I68" s="181"/>
      <c r="J68" s="902"/>
      <c r="K68" s="902"/>
      <c r="L68" s="917"/>
      <c r="M68" s="902"/>
      <c r="N68" s="902"/>
      <c r="O68" s="902"/>
      <c r="P68" s="902"/>
      <c r="Q68" s="918"/>
      <c r="R68" s="913"/>
      <c r="S68" s="913"/>
      <c r="T68" s="913"/>
      <c r="U68" s="912"/>
      <c r="V68" s="912"/>
      <c r="W68" s="913"/>
      <c r="X68" s="912"/>
      <c r="Y68" s="912"/>
      <c r="Z68" s="912"/>
      <c r="AA68" s="912"/>
      <c r="AB68" s="912"/>
      <c r="AC68" s="912"/>
      <c r="AD68" s="912"/>
      <c r="AE68" s="912"/>
      <c r="AF68" s="912"/>
      <c r="AG68" s="912"/>
      <c r="AH68" s="912"/>
      <c r="AI68" s="912"/>
      <c r="AJ68" s="912"/>
      <c r="AK68" s="912"/>
      <c r="AL68" s="912"/>
      <c r="AM68" s="915"/>
      <c r="AN68" s="915"/>
    </row>
    <row r="69" spans="3:40" ht="14.1">
      <c r="C69" s="57"/>
      <c r="D69" s="58"/>
      <c r="E69" s="58">
        <f>IF(E63&lt;=950,2,(IF(E63&lt;=1150,3,(IF(E63&lt;=1550,4,(IF(E63&lt;=1750,5,(IF(E63&lt;=2050,6,(IF(E63&lt;=2900,8,(IF(E63&lt;=3600,10,IF(E63&lt;=4000,12,0))))))))))))))</f>
        <v>12</v>
      </c>
      <c r="F69" s="58">
        <f>IF(G63&lt;=950,2,(IF(G63&lt;=1150,3,(IF(G63&lt;=1550,4,(IF(G63&lt;=1750,5,(IF(G63&lt;=2050,6,(IF(G63&lt;=2900,8,(IF(G63&lt;=3600,10,IF(E63&lt;=4000,12,0))))))))))))))</f>
        <v>10</v>
      </c>
      <c r="G69" s="58"/>
      <c r="H69" s="60"/>
      <c r="I69" s="833"/>
      <c r="J69" s="902"/>
      <c r="K69" s="902"/>
      <c r="L69" s="917"/>
      <c r="M69" s="902"/>
      <c r="N69" s="902"/>
      <c r="O69" s="902"/>
      <c r="P69" s="902"/>
      <c r="Q69" s="918"/>
      <c r="R69" s="913"/>
      <c r="S69" s="913"/>
      <c r="T69" s="913"/>
      <c r="U69" s="912"/>
      <c r="V69" s="912"/>
      <c r="W69" s="913"/>
      <c r="X69" s="912"/>
      <c r="Y69" s="912"/>
      <c r="Z69" s="912"/>
      <c r="AA69" s="912"/>
      <c r="AB69" s="912"/>
      <c r="AC69" s="912"/>
      <c r="AD69" s="912"/>
      <c r="AE69" s="912"/>
      <c r="AF69" s="912"/>
      <c r="AG69" s="912"/>
      <c r="AH69" s="912"/>
      <c r="AI69" s="912"/>
      <c r="AJ69" s="912"/>
      <c r="AK69" s="912"/>
      <c r="AL69" s="912"/>
      <c r="AM69" s="915"/>
      <c r="AN69" s="915"/>
    </row>
    <row r="70" spans="3:40" ht="14.1">
      <c r="C70" s="57"/>
      <c r="D70" s="58">
        <f>IF(AND(I62=0, OR(E66=1, E66=2, E66=3, E66=4, E66=5)), "20µ", 0)</f>
        <v>0</v>
      </c>
      <c r="E70" s="58">
        <f>IF(OR(D70=0),0,IF(MOD($E$42*$F$42,2)=0,"610",IF(MOD($E$42*$F$42,2.5)=0,"760",IF(MOD($E$42*$F$42,3)=0,"915","Refer"))))</f>
        <v>0</v>
      </c>
      <c r="F70" s="58">
        <f>IF(OR(D70=0),0,IF(MOD($E$42*$F$42,6)=0,"915",IF(MOD($E$42*$F$42,5)=0,"760",IF(MOD($E$42*$F$42,4)=0,"610","Refer"))))</f>
        <v>0</v>
      </c>
      <c r="G70" s="58">
        <f>IF(D70=0,0,100)</f>
        <v>0</v>
      </c>
      <c r="H70" s="60">
        <f>IF(D70=0,0,($E$42*$F$42*305*305)/(E70*F70))</f>
        <v>0</v>
      </c>
      <c r="I70" s="833"/>
      <c r="J70" s="902"/>
      <c r="K70" s="902"/>
      <c r="L70" s="917"/>
      <c r="M70" s="902"/>
      <c r="N70" s="902"/>
      <c r="O70" s="902"/>
      <c r="P70" s="902"/>
      <c r="Q70" s="55"/>
      <c r="R70" s="55"/>
      <c r="S70" s="55"/>
      <c r="T70" s="55"/>
      <c r="U70" s="45"/>
      <c r="V70" s="45"/>
      <c r="W70" s="55"/>
      <c r="X70" s="45"/>
      <c r="Y70" s="45"/>
      <c r="Z70" s="45"/>
      <c r="AA70" s="45"/>
      <c r="AB70" s="45"/>
      <c r="AC70" s="45"/>
      <c r="AD70" s="45"/>
      <c r="AE70" s="45"/>
      <c r="AF70" s="45"/>
      <c r="AG70" s="45"/>
      <c r="AH70" s="45"/>
      <c r="AI70" s="45"/>
      <c r="AJ70" s="45"/>
      <c r="AK70" s="45"/>
      <c r="AL70" s="45"/>
      <c r="AM70" s="63"/>
      <c r="AN70" s="63"/>
    </row>
    <row r="71" spans="3:40" ht="14.1">
      <c r="C71" s="57"/>
      <c r="D71" s="58" t="str">
        <f>IF(E66=4,"10µ",IF(E66=3,"10µ",IF(E66=2,"10µ",IF(E66=1,"10µ",0))))</f>
        <v>10µ</v>
      </c>
      <c r="E71" s="58" t="str">
        <f>IF(OR(D71=0),0,IF(MOD($E$42*$F$42,2)=0,"610",IF(MOD($E$42*$F$42,2.5)=0,"760",IF(MOD($E$42*$F$42,3)=0,"915","Refer"))))</f>
        <v>610</v>
      </c>
      <c r="F71" s="58" t="str">
        <f>IF(OR(D71=0),0,IF(MOD($E$42*$F$42,6)=0,"915",IF(MOD($E$42*$F$42,5)=0,"760",IF(MOD($E$42*$F$42,4)=0,"610","Refer"))))</f>
        <v>915</v>
      </c>
      <c r="G71" s="58">
        <f>IF(D71=0,0,150)</f>
        <v>150</v>
      </c>
      <c r="H71" s="60">
        <f>IF(D71=0,0,($E$42*$F$42*305*305)/(E71*F71))</f>
        <v>6</v>
      </c>
      <c r="I71" s="833"/>
      <c r="J71" s="902"/>
      <c r="K71" s="902"/>
      <c r="L71" s="917"/>
      <c r="M71" s="902"/>
      <c r="N71" s="902"/>
      <c r="O71" s="902"/>
      <c r="P71" s="902"/>
      <c r="Q71" s="918"/>
      <c r="R71" s="913"/>
      <c r="S71" s="913"/>
      <c r="T71" s="913"/>
      <c r="U71" s="912"/>
      <c r="V71" s="912"/>
      <c r="W71" s="913"/>
      <c r="X71" s="912"/>
      <c r="Y71" s="912"/>
      <c r="Z71" s="912"/>
      <c r="AA71" s="912"/>
      <c r="AB71" s="912"/>
      <c r="AC71" s="912"/>
      <c r="AD71" s="912"/>
      <c r="AE71" s="912"/>
      <c r="AF71" s="912"/>
      <c r="AG71" s="912"/>
      <c r="AH71" s="912"/>
      <c r="AI71" s="912"/>
      <c r="AJ71" s="912"/>
      <c r="AK71" s="912"/>
      <c r="AL71" s="912"/>
      <c r="AM71" s="915"/>
      <c r="AN71" s="915"/>
    </row>
    <row r="72" spans="3:40" ht="14.1">
      <c r="C72" s="57"/>
      <c r="D72" s="58" t="str">
        <f>IF(E66=4,"5µ",IF(E66=3,"5µ",IF(E66=2,"5µ",0)))</f>
        <v>5µ</v>
      </c>
      <c r="E72" s="58" t="str">
        <f t="shared" ref="E72:E74" si="30">IF(OR(D72=0),0,IF(MOD($E$42*$F$42,2)=0,"610",IF(MOD($E$42*$F$42,2.5)=0,"760",IF(MOD($E$42*$F$42,3)=0,"915","Refer"))))</f>
        <v>610</v>
      </c>
      <c r="F72" s="58" t="str">
        <f>IF(OR(D72=0),0,IF(MOD($E$42*$F$42,6)=0,"915",IF(MOD($E$42*$F$42,5)=0,"760",IF(MOD($E$42*$F$42,4)=0,"610","Refer"))))</f>
        <v>915</v>
      </c>
      <c r="G72" s="58">
        <f>IF(D72=0,0,300)</f>
        <v>300</v>
      </c>
      <c r="H72" s="60">
        <f>IF(D72=0,0,($E$42*$F$42*305*305)/(E72*F72))</f>
        <v>6</v>
      </c>
      <c r="I72" s="833"/>
      <c r="J72" s="902"/>
      <c r="K72" s="902"/>
      <c r="L72" s="917"/>
      <c r="M72" s="902"/>
      <c r="N72" s="902"/>
      <c r="O72" s="902"/>
      <c r="P72" s="902"/>
      <c r="Q72" s="918"/>
      <c r="R72" s="913"/>
      <c r="S72" s="913"/>
      <c r="T72" s="913"/>
      <c r="U72" s="912"/>
      <c r="V72" s="912"/>
      <c r="W72" s="913"/>
      <c r="X72" s="912"/>
      <c r="Y72" s="912"/>
      <c r="Z72" s="912"/>
      <c r="AA72" s="912"/>
      <c r="AB72" s="912"/>
      <c r="AC72" s="912"/>
      <c r="AD72" s="912"/>
      <c r="AE72" s="912"/>
      <c r="AF72" s="912"/>
      <c r="AG72" s="912"/>
      <c r="AH72" s="912"/>
      <c r="AI72" s="912"/>
      <c r="AJ72" s="912"/>
      <c r="AK72" s="912"/>
      <c r="AL72" s="912"/>
      <c r="AM72" s="915"/>
      <c r="AN72" s="915"/>
    </row>
    <row r="73" spans="3:40" ht="14.1">
      <c r="C73" s="57"/>
      <c r="D73" s="58" t="str">
        <f>IF(E66=4,"1µ",IF(E66=3,"1µ",0))</f>
        <v>1µ</v>
      </c>
      <c r="E73" s="58" t="str">
        <f t="shared" si="30"/>
        <v>610</v>
      </c>
      <c r="F73" s="58" t="str">
        <f>IF(OR(D73=0),0,IF(MOD($E$42*$F$42,6)=0,"915",IF(MOD($E$42*$F$42,5)=0,"760",IF(MOD($E$42*$F$42,4)=0,"610","Refer"))))</f>
        <v>915</v>
      </c>
      <c r="G73" s="58">
        <f>IF(D73=0,0,300)</f>
        <v>300</v>
      </c>
      <c r="H73" s="60">
        <f>IF(D73=0,0,($E$42*$F$42*305*305)/(E73*F73))</f>
        <v>6</v>
      </c>
      <c r="I73" s="833"/>
      <c r="J73" s="902"/>
      <c r="K73" s="902"/>
      <c r="L73" s="917"/>
      <c r="M73" s="902"/>
      <c r="N73" s="902"/>
      <c r="O73" s="902"/>
      <c r="P73" s="902"/>
      <c r="Q73" s="918"/>
      <c r="R73" s="913"/>
      <c r="S73" s="913"/>
      <c r="T73" s="913"/>
      <c r="U73" s="912"/>
      <c r="V73" s="912"/>
      <c r="W73" s="913"/>
      <c r="X73" s="912"/>
      <c r="Y73" s="912"/>
      <c r="Z73" s="912"/>
      <c r="AA73" s="912"/>
      <c r="AB73" s="912"/>
      <c r="AC73" s="912"/>
      <c r="AD73" s="912"/>
      <c r="AE73" s="912"/>
      <c r="AF73" s="912"/>
      <c r="AG73" s="912"/>
      <c r="AH73" s="912"/>
      <c r="AI73" s="912"/>
      <c r="AJ73" s="912"/>
      <c r="AK73" s="912"/>
      <c r="AL73" s="912"/>
      <c r="AM73" s="915"/>
      <c r="AN73" s="915"/>
    </row>
    <row r="74" spans="3:40" ht="14.1">
      <c r="C74" s="57"/>
      <c r="D74" s="58">
        <f>IF(E66=4,"0.3µ 95% Eff. HEPA Filetr",0)</f>
        <v>0</v>
      </c>
      <c r="E74" s="58">
        <f t="shared" si="30"/>
        <v>0</v>
      </c>
      <c r="F74" s="58">
        <f>IF(OR(D74=0),0,IF(MOD($E$42*$F$42,6)=0,"915",IF(MOD($E$42*$F$42,5)=0,"760",IF(MOD($E$42*$F$42,4)=0,"610","Refer"))))</f>
        <v>0</v>
      </c>
      <c r="G74" s="58">
        <f>IF(D74=0,0,300)</f>
        <v>0</v>
      </c>
      <c r="H74" s="60">
        <f>IF(D74=0,0,($E$42*$F$42*305*305)/(E74*F74))</f>
        <v>0</v>
      </c>
      <c r="I74" s="836"/>
      <c r="J74" s="902"/>
      <c r="K74" s="902"/>
      <c r="L74" s="917"/>
      <c r="M74" s="902"/>
      <c r="N74" s="902"/>
      <c r="O74" s="902"/>
      <c r="P74" s="902"/>
      <c r="Q74" s="918"/>
      <c r="R74" s="913"/>
      <c r="S74" s="913"/>
      <c r="T74" s="913"/>
      <c r="U74" s="912"/>
      <c r="V74" s="912"/>
      <c r="W74" s="913"/>
      <c r="X74" s="912"/>
      <c r="Y74" s="912"/>
      <c r="Z74" s="912"/>
      <c r="AA74" s="912"/>
      <c r="AB74" s="912"/>
      <c r="AC74" s="912"/>
      <c r="AD74" s="912"/>
      <c r="AE74" s="912"/>
      <c r="AF74" s="912"/>
      <c r="AG74" s="912"/>
      <c r="AH74" s="912"/>
      <c r="AI74" s="912"/>
      <c r="AJ74" s="912"/>
      <c r="AK74" s="912"/>
      <c r="AL74" s="912"/>
      <c r="AM74" s="915"/>
      <c r="AN74" s="915"/>
    </row>
    <row r="75" spans="3:40" ht="14.1">
      <c r="C75" s="57"/>
      <c r="D75" s="826"/>
      <c r="E75" s="182"/>
      <c r="F75" s="182"/>
      <c r="G75" s="182"/>
      <c r="H75" s="182"/>
      <c r="I75" s="827"/>
      <c r="J75" s="52"/>
      <c r="K75" s="52"/>
      <c r="L75" s="52"/>
      <c r="M75" s="52"/>
      <c r="N75" s="52"/>
      <c r="O75" s="828"/>
      <c r="P75" s="828"/>
      <c r="Q75" s="55"/>
      <c r="R75" s="55"/>
      <c r="S75" s="55"/>
      <c r="T75" s="55"/>
      <c r="U75" s="45"/>
      <c r="V75" s="45"/>
      <c r="W75" s="55"/>
      <c r="X75" s="45"/>
      <c r="Y75" s="45"/>
      <c r="Z75" s="45"/>
      <c r="AA75" s="45"/>
      <c r="AB75" s="45"/>
      <c r="AC75" s="45"/>
      <c r="AD75" s="45"/>
      <c r="AE75" s="45"/>
      <c r="AF75" s="45"/>
      <c r="AG75" s="45"/>
      <c r="AH75" s="45"/>
      <c r="AI75" s="45"/>
      <c r="AJ75" s="45"/>
      <c r="AK75" s="45"/>
      <c r="AL75" s="45"/>
      <c r="AM75" s="63"/>
      <c r="AN75" s="63"/>
    </row>
    <row r="76" spans="3:40" ht="14.1" customHeight="1">
      <c r="C76" s="57"/>
      <c r="D76" s="901" t="str">
        <f>"AHU - " &amp; INT((ROW()-34)/14)+1 &amp; "  " &amp; IF(I77&gt;0,"Air-Conditioning System " &amp; IF(OR(G80="Header", G80="C"), "(Chilled Water)",IF(OR(G80="Distributor", G80="D"), "(DX)", "Ventilation System")),IF(NOT(I77&gt;0), "Ventilation System ( SUPPLY )", "Refer"))</f>
        <v>AHU - 4  Air-Conditioning System (Chilled Water)</v>
      </c>
      <c r="E76" s="901"/>
      <c r="F76" s="901"/>
      <c r="G76" s="901"/>
      <c r="H76" s="901"/>
      <c r="I76" s="901"/>
      <c r="J76" s="52"/>
      <c r="K76" s="52"/>
      <c r="L76" s="53"/>
      <c r="M76" s="53"/>
      <c r="N76" s="53"/>
      <c r="O76" s="54"/>
      <c r="P76" s="55"/>
      <c r="AM76" s="56"/>
      <c r="AN76" s="56"/>
    </row>
    <row r="77" spans="3:40" ht="14.1">
      <c r="C77" s="57"/>
      <c r="D77" s="175" t="s">
        <v>274</v>
      </c>
      <c r="E77" s="843" t="str">
        <f>'BOD-Cold &amp; Amb.'!R50</f>
        <v>GRADE A</v>
      </c>
      <c r="F77" s="175" t="s">
        <v>275</v>
      </c>
      <c r="G77" s="180">
        <f>'BOD-Cold &amp; Amb.'!AK50</f>
        <v>47000</v>
      </c>
      <c r="H77" s="175" t="s">
        <v>276</v>
      </c>
      <c r="I77" s="181">
        <f>'BOD-Cold &amp; Amb.'!AQ50</f>
        <v>159</v>
      </c>
      <c r="J77" s="902" t="s">
        <v>277</v>
      </c>
      <c r="K77" s="902">
        <v>1</v>
      </c>
      <c r="L77" s="917">
        <f>Q77</f>
        <v>2179000</v>
      </c>
      <c r="M77" s="902">
        <f>K77*L77</f>
        <v>2179000</v>
      </c>
      <c r="N77" s="902"/>
      <c r="O77" s="902"/>
      <c r="P77" s="902"/>
      <c r="Q77" s="913">
        <f t="shared" ref="Q77" si="31">CEILING((S77+T77+U77+V77+W77),250)</f>
        <v>2179000</v>
      </c>
      <c r="R77" s="913">
        <f>IF(I77&gt;0,625,375)</f>
        <v>625</v>
      </c>
      <c r="S77" s="913">
        <f>(E78*G78*3*10.76+E78*I78*2*10.76+G78*I78*2*10.76)*R77/(1000*1000)</f>
        <v>1006060</v>
      </c>
      <c r="T77" s="913">
        <f>I77*4*1050</f>
        <v>667800</v>
      </c>
      <c r="U77" s="912">
        <f>IF(G77&lt;=2000,5000,(IF(G77&lt;=5000,8000,(IF(G77&lt;=10000,10000,(IF(G77&lt;=18000,15000,(IF(G77&lt;=40000,20000,25000)))))))))</f>
        <v>25000</v>
      </c>
      <c r="V77" s="912">
        <f t="shared" ref="V77" si="32">IF(X77=200,17150,(IF(X77=225,18150,(IF(X77=250,18900,(IF(X77=280,19150,(IF(X77=315,19650,(IF(X77=355,21900,(IF(X77=400,24400,0)))))))))))))+IF(X77=450,31000,(IF(X77=500,37450,(IF(X77=560,45650,(IF(X77=630,58900,(IF(X77=710,77950,0)))))))))+IF(X77=800,119650,(IF(X77=900,153300,(IF(X77=1000,178900,(IF(X77=1120,286500,(IF(X77=1250,394500,(IF(X77=1450,461500,0)))))))))))</f>
        <v>0</v>
      </c>
      <c r="W77" s="913">
        <f>IF(I79=0.5,16600,(IF(I79=1,19050,(IF(I79=1.5,21750,(IF(I79=2,23600,(IF(I79=3,30000,(IF(I79=5,38000,0)))))))))))*1.2+IF(I79=7.5,52300,(IF(I79=10,59600,0)))*1.2+IF(I79=12.5,100350,(IF(I79=15,106000,(IF(I79=20,129150,(IF(I79=25,146050,(IF(I79=30,173600,(IF(I79=40,233900,(IF(I79=50,304650,IF(I79=60,350000,400000)))))))))))))*1.2)</f>
        <v>480000</v>
      </c>
      <c r="X77" s="912">
        <f>E79</f>
        <v>1200</v>
      </c>
      <c r="Y77" s="912">
        <f t="shared" ref="Y77" si="33">IF(G77&lt;=6750,450,(IF(G77&lt;=8500,500,(IF(G77&lt;=10750,560,(IF(G77&lt;=13500,630,(IF(G77&lt;=17000,710,(IF(G77&lt;=21500,800,(IF(G77&lt;=27000,900,(IF(G77&lt;=34000,1000,0)))))))))))))))</f>
        <v>0</v>
      </c>
      <c r="Z77" s="912">
        <f t="shared" ref="Z77" si="34">IF(G77&lt;=1300,200,(IF(G77&lt;=1600,225,(IF(G77&lt;=2100,250,(IF(G77&lt;=2700,280,(IF(G77&lt;=3450,315,(IF(G77&lt;=4250,355,(IF(G77&lt;=5250,400,(IF(G77&lt;=6750,450,0)))))))))))))))</f>
        <v>0</v>
      </c>
      <c r="AA77" s="912">
        <f t="shared" ref="AA77" si="35">IF(G77&lt;=2000,5000,(IF(G77&lt;=5000,8000,(IF(G77&lt;=10000,10000,(IF(G77&lt;=18000,15000,(IF(G77&lt;=40000,20000,10000)))))))))</f>
        <v>10000</v>
      </c>
      <c r="AB77" s="912">
        <f>IF(E78=950,2,(IF(E78=1150,3,(IF(E78=1550,4,(IF(E78=1750,5,(IF(E78=2050,6,(IF(E78=2900,8,(IF(E78=3600,10,12)))))))))))))</f>
        <v>12</v>
      </c>
      <c r="AC77" s="912">
        <f>IF(G78=950,2,(IF(G78=1150,3,(IF(G78=1550,4,(IF(G78=1750,5,(IF(G78=2050,6,(IF(G78=2900,8,(IF(G78=3600,10,12)))))))))))))</f>
        <v>10</v>
      </c>
      <c r="AD77" s="912">
        <f t="shared" ref="AD77" si="36">AC77*AB77</f>
        <v>120</v>
      </c>
      <c r="AE77" s="912">
        <v>150</v>
      </c>
      <c r="AF77" s="912">
        <f t="shared" ref="AF77" si="37">CEILING((SQRT(G77/1000))*4*2*AE77*1.25*K77,100)</f>
        <v>10300</v>
      </c>
      <c r="AG77" s="912">
        <f>E85*F85*H85/(305*305)</f>
        <v>0</v>
      </c>
      <c r="AH77" s="912">
        <f>E86*F86*H86/(305*305)</f>
        <v>36</v>
      </c>
      <c r="AI77" s="912">
        <f>H87*E87*F87/(305*305)</f>
        <v>36</v>
      </c>
      <c r="AJ77" s="912">
        <f>H88*E88*F88/(305*305)</f>
        <v>36</v>
      </c>
      <c r="AK77" s="912">
        <f>H89*E89*F89/(305*305)</f>
        <v>36</v>
      </c>
      <c r="AL77" s="912"/>
      <c r="AM77" s="915">
        <f t="shared" ref="AM77" si="38">(G77*2.2/1100)</f>
        <v>94.000000000000014</v>
      </c>
      <c r="AN77" s="915">
        <f t="shared" ref="AN77" si="39">(G77*1/1100)</f>
        <v>42.727272727272727</v>
      </c>
    </row>
    <row r="78" spans="3:40" ht="14.1">
      <c r="C78" s="57"/>
      <c r="D78" s="175" t="s">
        <v>278</v>
      </c>
      <c r="E78" s="180">
        <f>'BOD-Cold &amp; Amb.'!AL51</f>
        <v>4000</v>
      </c>
      <c r="F78" s="175" t="s">
        <v>279</v>
      </c>
      <c r="G78" s="180">
        <f>'BOD-Cold &amp; Amb.'!AL53</f>
        <v>3600</v>
      </c>
      <c r="H78" s="175" t="s">
        <v>280</v>
      </c>
      <c r="I78" s="181">
        <f>'BOD-Cold &amp; Amb.'!AL55</f>
        <v>7000</v>
      </c>
      <c r="J78" s="902"/>
      <c r="K78" s="902"/>
      <c r="L78" s="902"/>
      <c r="M78" s="902"/>
      <c r="N78" s="902"/>
      <c r="O78" s="902"/>
      <c r="P78" s="902"/>
      <c r="Q78" s="913"/>
      <c r="R78" s="913"/>
      <c r="S78" s="913"/>
      <c r="T78" s="913"/>
      <c r="U78" s="912"/>
      <c r="V78" s="912"/>
      <c r="W78" s="913"/>
      <c r="X78" s="912"/>
      <c r="Y78" s="912"/>
      <c r="Z78" s="912"/>
      <c r="AA78" s="912"/>
      <c r="AB78" s="912"/>
      <c r="AC78" s="912"/>
      <c r="AD78" s="912"/>
      <c r="AE78" s="912"/>
      <c r="AF78" s="912"/>
      <c r="AG78" s="912"/>
      <c r="AH78" s="912"/>
      <c r="AI78" s="912"/>
      <c r="AJ78" s="912"/>
      <c r="AK78" s="912"/>
      <c r="AL78" s="912"/>
      <c r="AM78" s="915"/>
      <c r="AN78" s="915"/>
    </row>
    <row r="79" spans="3:40" ht="14.1">
      <c r="C79" s="57"/>
      <c r="D79" s="175" t="s">
        <v>281</v>
      </c>
      <c r="E79" s="180">
        <f>'BOD-Cold &amp; Amb.'!AN50</f>
        <v>1200</v>
      </c>
      <c r="F79" s="176" t="s">
        <v>282</v>
      </c>
      <c r="G79" s="180">
        <f>'BOD-Cold &amp; Amb.'!AM50</f>
        <v>150</v>
      </c>
      <c r="H79" s="176" t="s">
        <v>283</v>
      </c>
      <c r="I79" s="181">
        <f>'BOD-Cold &amp; Amb.'!AO50</f>
        <v>75</v>
      </c>
      <c r="J79" s="902"/>
      <c r="K79" s="902"/>
      <c r="L79" s="902"/>
      <c r="M79" s="902"/>
      <c r="N79" s="902"/>
      <c r="O79" s="902"/>
      <c r="P79" s="902"/>
      <c r="Q79" s="913"/>
      <c r="R79" s="913"/>
      <c r="S79" s="913"/>
      <c r="T79" s="913"/>
      <c r="U79" s="912"/>
      <c r="V79" s="912"/>
      <c r="W79" s="913"/>
      <c r="X79" s="912"/>
      <c r="Y79" s="912"/>
      <c r="Z79" s="912"/>
      <c r="AA79" s="912"/>
      <c r="AB79" s="912"/>
      <c r="AC79" s="912"/>
      <c r="AD79" s="912"/>
      <c r="AE79" s="912"/>
      <c r="AF79" s="912"/>
      <c r="AG79" s="912"/>
      <c r="AH79" s="912"/>
      <c r="AI79" s="912"/>
      <c r="AJ79" s="912"/>
      <c r="AK79" s="912"/>
      <c r="AL79" s="912"/>
      <c r="AM79" s="915"/>
      <c r="AN79" s="915"/>
    </row>
    <row r="80" spans="3:40" ht="21.6" customHeight="1">
      <c r="C80" s="57"/>
      <c r="D80" s="175" t="s">
        <v>284</v>
      </c>
      <c r="E80" s="180">
        <f>'BOD-Cold &amp; Amb.'!AP50</f>
        <v>6</v>
      </c>
      <c r="F80" s="832" t="s">
        <v>285</v>
      </c>
      <c r="G80" s="837" t="str">
        <f>IF(OR(I77=0, E80="Amb"), "Amb",IF('BOD-Cold &amp; Amb.'!AH40="C", "Header",IF('BOD-Cold &amp; Amb.'!AH40="D", "Distributor", "Refer")))</f>
        <v>Header</v>
      </c>
      <c r="H80" s="832" t="s">
        <v>286</v>
      </c>
      <c r="I80" s="833" t="str">
        <f>IF(OR(I77=0, E80=0), 0,ROUND(((( I77/E80)*304.8)/(E78-400))*1000,0)&amp;" h "&amp;" x " &amp; (E78-400)&amp;" w ")</f>
        <v xml:space="preserve">2244 h  x 3600 w </v>
      </c>
      <c r="J80" s="902"/>
      <c r="K80" s="902"/>
      <c r="L80" s="902"/>
      <c r="M80" s="902"/>
      <c r="N80" s="902"/>
      <c r="O80" s="902"/>
      <c r="P80" s="902"/>
      <c r="Q80" s="913"/>
      <c r="R80" s="913"/>
      <c r="S80" s="913"/>
      <c r="T80" s="913"/>
      <c r="U80" s="912"/>
      <c r="V80" s="912"/>
      <c r="W80" s="913"/>
      <c r="X80" s="912"/>
      <c r="Y80" s="912"/>
      <c r="Z80" s="912"/>
      <c r="AA80" s="912"/>
      <c r="AB80" s="912"/>
      <c r="AC80" s="912"/>
      <c r="AD80" s="912"/>
      <c r="AE80" s="912"/>
      <c r="AF80" s="912"/>
      <c r="AG80" s="912"/>
      <c r="AH80" s="912"/>
      <c r="AI80" s="912"/>
      <c r="AJ80" s="912"/>
      <c r="AK80" s="912"/>
      <c r="AL80" s="912"/>
      <c r="AM80" s="915"/>
      <c r="AN80" s="915"/>
    </row>
    <row r="81" spans="3:40" ht="27.95">
      <c r="C81" s="57"/>
      <c r="D81" s="175" t="s">
        <v>287</v>
      </c>
      <c r="E81" s="180">
        <f>'BOD-Cold &amp; Amb.'!AR50</f>
        <v>4</v>
      </c>
      <c r="F81" s="176" t="s">
        <v>288</v>
      </c>
      <c r="G81" s="177" t="str">
        <f>IF(E81=4,"10µ, 5µ, 1µ &amp; 0.3µ (HEPA Plenum Fitted 95% eff.)",IF(E81=3,"10µ, 5µ &amp; 1µ ",IF(E81=2,"10µ  &amp; 5µ",IF(E81=1,"10µ", "Filter Ratings"))))</f>
        <v>10µ, 5µ, 1µ &amp; 0.3µ (HEPA Plenum Fitted 95% eff.)</v>
      </c>
      <c r="H81" s="178"/>
      <c r="I81" s="179"/>
      <c r="J81" s="902"/>
      <c r="K81" s="902"/>
      <c r="L81" s="902"/>
      <c r="M81" s="902"/>
      <c r="N81" s="902"/>
      <c r="O81" s="902"/>
      <c r="P81" s="902"/>
      <c r="Q81" s="913"/>
      <c r="R81" s="913"/>
      <c r="S81" s="913"/>
      <c r="T81" s="913"/>
      <c r="U81" s="912"/>
      <c r="V81" s="912"/>
      <c r="W81" s="913"/>
      <c r="X81" s="912"/>
      <c r="Y81" s="912"/>
      <c r="Z81" s="912"/>
      <c r="AA81" s="912"/>
      <c r="AB81" s="912"/>
      <c r="AC81" s="912"/>
      <c r="AD81" s="912"/>
      <c r="AE81" s="912"/>
      <c r="AF81" s="912"/>
      <c r="AG81" s="912"/>
      <c r="AH81" s="912"/>
      <c r="AI81" s="912"/>
      <c r="AJ81" s="912"/>
      <c r="AK81" s="912"/>
      <c r="AL81" s="912"/>
      <c r="AM81" s="915"/>
      <c r="AN81" s="915"/>
    </row>
    <row r="82" spans="3:40">
      <c r="C82" s="57"/>
      <c r="D82" s="922" t="s">
        <v>289</v>
      </c>
      <c r="E82" s="923"/>
      <c r="F82" s="923"/>
      <c r="G82" s="923"/>
      <c r="H82" s="923"/>
      <c r="I82" s="924"/>
      <c r="J82" s="902"/>
      <c r="K82" s="902"/>
      <c r="L82" s="902"/>
      <c r="M82" s="902"/>
      <c r="N82" s="902"/>
      <c r="O82" s="902"/>
      <c r="P82" s="902"/>
      <c r="Q82" s="913"/>
      <c r="R82" s="913"/>
      <c r="S82" s="913"/>
      <c r="T82" s="913"/>
      <c r="U82" s="912"/>
      <c r="V82" s="912"/>
      <c r="W82" s="913"/>
      <c r="X82" s="912"/>
      <c r="Y82" s="912"/>
      <c r="Z82" s="912"/>
      <c r="AA82" s="912"/>
      <c r="AB82" s="912"/>
      <c r="AC82" s="912"/>
      <c r="AD82" s="912"/>
      <c r="AE82" s="912"/>
      <c r="AF82" s="912"/>
      <c r="AG82" s="912"/>
      <c r="AH82" s="912"/>
      <c r="AI82" s="912"/>
      <c r="AJ82" s="912"/>
      <c r="AK82" s="912"/>
      <c r="AL82" s="912"/>
      <c r="AM82" s="915"/>
      <c r="AN82" s="915"/>
    </row>
    <row r="83" spans="3:40" ht="24.95">
      <c r="C83" s="57"/>
      <c r="D83" s="58" t="s">
        <v>290</v>
      </c>
      <c r="E83" s="58" t="s">
        <v>291</v>
      </c>
      <c r="F83" s="58" t="s">
        <v>292</v>
      </c>
      <c r="G83" s="58" t="s">
        <v>293</v>
      </c>
      <c r="H83" s="58" t="s">
        <v>294</v>
      </c>
      <c r="I83" s="179"/>
      <c r="J83" s="902"/>
      <c r="K83" s="902"/>
      <c r="L83" s="902"/>
      <c r="M83" s="902"/>
      <c r="N83" s="902"/>
      <c r="O83" s="902"/>
      <c r="P83" s="902"/>
      <c r="Q83" s="913"/>
      <c r="R83" s="913"/>
      <c r="S83" s="913"/>
      <c r="T83" s="913"/>
      <c r="U83" s="912"/>
      <c r="V83" s="912"/>
      <c r="W83" s="913"/>
      <c r="X83" s="912"/>
      <c r="Y83" s="912"/>
      <c r="Z83" s="912"/>
      <c r="AA83" s="912"/>
      <c r="AB83" s="912"/>
      <c r="AC83" s="912"/>
      <c r="AD83" s="912"/>
      <c r="AE83" s="912"/>
      <c r="AF83" s="912"/>
      <c r="AG83" s="912"/>
      <c r="AH83" s="912"/>
      <c r="AI83" s="912"/>
      <c r="AJ83" s="912"/>
      <c r="AK83" s="912"/>
      <c r="AL83" s="912"/>
      <c r="AM83" s="915"/>
      <c r="AN83" s="915"/>
    </row>
    <row r="84" spans="3:40" ht="14.1">
      <c r="C84" s="57"/>
      <c r="D84" s="58"/>
      <c r="E84" s="58">
        <f>IF(E78&lt;=950,2,(IF(E78&lt;=1150,3,(IF(E78&lt;=1550,4,(IF(E78&lt;=1750,5,(IF(E78&lt;=2050,6,(IF(E78&lt;=2900,8,(IF(E78&lt;=3600,10,IF(E78&lt;=4000,12,0))))))))))))))</f>
        <v>12</v>
      </c>
      <c r="F84" s="58">
        <f>IF(G78&lt;=950,2,(IF(G78&lt;=1150,3,(IF(G78&lt;=1550,4,(IF(G78&lt;=1750,5,(IF(G78&lt;=2050,6,(IF(G78&lt;=2900,8,(IF(G78&lt;=3600,10,IF(E78&lt;=4000,12,0))))))))))))))</f>
        <v>10</v>
      </c>
      <c r="G84" s="58"/>
      <c r="H84" s="60"/>
      <c r="I84" s="834"/>
      <c r="J84" s="902"/>
      <c r="K84" s="902"/>
      <c r="L84" s="902"/>
      <c r="M84" s="902"/>
      <c r="N84" s="902"/>
      <c r="O84" s="902"/>
      <c r="P84" s="902"/>
      <c r="Q84" s="913"/>
      <c r="R84" s="913"/>
      <c r="S84" s="913"/>
      <c r="T84" s="913"/>
      <c r="U84" s="912"/>
      <c r="V84" s="912"/>
      <c r="W84" s="913"/>
      <c r="X84" s="912"/>
      <c r="Y84" s="912"/>
      <c r="Z84" s="912"/>
      <c r="AA84" s="912"/>
      <c r="AB84" s="912"/>
      <c r="AC84" s="912"/>
      <c r="AD84" s="912"/>
      <c r="AE84" s="912"/>
      <c r="AF84" s="912"/>
      <c r="AG84" s="912"/>
      <c r="AH84" s="912"/>
      <c r="AI84" s="912"/>
      <c r="AJ84" s="912"/>
      <c r="AK84" s="912"/>
      <c r="AL84" s="912"/>
      <c r="AM84" s="915"/>
      <c r="AN84" s="915"/>
    </row>
    <row r="85" spans="3:40" ht="14.1">
      <c r="C85" s="57"/>
      <c r="D85" s="58">
        <f>IF(AND(I77=0, OR(E81=1, E81=2, E81=3, E81=4, E81=5)), "20µ", 0)</f>
        <v>0</v>
      </c>
      <c r="E85" s="58">
        <f>IF(OR(D85=0),0,IF(MOD($E$42*$F$42,2)=0,"610",IF(MOD($E$42*$F$42,2.5)=0,"760",IF(MOD($E$42*$F$42,3)=0,"915","Refer"))))</f>
        <v>0</v>
      </c>
      <c r="F85" s="58">
        <f>IF(OR(D85=0),0,IF(MOD($E$42*$F$42,6)=0,"915",IF(MOD($E$42*$F$42,5)=0,"760",IF(MOD($E$42*$F$42,4)=0,"610","Refer"))))</f>
        <v>0</v>
      </c>
      <c r="G85" s="58">
        <f>IF(D85=0,0,100)</f>
        <v>0</v>
      </c>
      <c r="H85" s="60">
        <f>IF(D85=0,0,($E$42*$F$42*305*305)/(E85*F85))</f>
        <v>0</v>
      </c>
      <c r="I85" s="834"/>
      <c r="J85" s="902"/>
      <c r="K85" s="902"/>
      <c r="L85" s="902"/>
      <c r="M85" s="902"/>
      <c r="N85" s="902"/>
      <c r="O85" s="902"/>
      <c r="P85" s="902"/>
      <c r="Q85" s="55"/>
      <c r="R85" s="55"/>
      <c r="S85" s="55"/>
      <c r="T85" s="55"/>
      <c r="U85" s="45"/>
      <c r="V85" s="45"/>
      <c r="W85" s="55"/>
      <c r="X85" s="45"/>
      <c r="Y85" s="45"/>
      <c r="Z85" s="45"/>
      <c r="AA85" s="45"/>
      <c r="AB85" s="45"/>
      <c r="AC85" s="45"/>
      <c r="AD85" s="45"/>
      <c r="AE85" s="45"/>
      <c r="AF85" s="45"/>
      <c r="AG85" s="45"/>
      <c r="AH85" s="45"/>
      <c r="AI85" s="45"/>
      <c r="AJ85" s="45"/>
      <c r="AK85" s="45"/>
      <c r="AL85" s="45"/>
      <c r="AM85" s="63"/>
      <c r="AN85" s="63"/>
    </row>
    <row r="86" spans="3:40" ht="14.1">
      <c r="C86" s="57"/>
      <c r="D86" s="58" t="str">
        <f>IF(E81=4,"10µ",IF(E81=3,"10µ",IF(E81=2,"10µ",IF(E81=1,"10µ",0))))</f>
        <v>10µ</v>
      </c>
      <c r="E86" s="58" t="str">
        <f>IF(OR(D86=0),0,IF(MOD($E$42*$F$42,2)=0,"610",IF(MOD($E$42*$F$42,2.5)=0,"760",IF(MOD($E$42*$F$42,3)=0,"915","Refer"))))</f>
        <v>610</v>
      </c>
      <c r="F86" s="58" t="str">
        <f>IF(OR(D86=0),0,IF(MOD($E$42*$F$42,6)=0,"915",IF(MOD($E$42*$F$42,5)=0,"760",IF(MOD($E$42*$F$42,4)=0,"610","Refer"))))</f>
        <v>915</v>
      </c>
      <c r="G86" s="58">
        <f>IF(D86=0,0,150)</f>
        <v>150</v>
      </c>
      <c r="H86" s="60">
        <f>IF(D86=0,0,($E$42*$F$42*305*305)/(E86*F86))</f>
        <v>6</v>
      </c>
      <c r="I86" s="834"/>
      <c r="J86" s="902"/>
      <c r="K86" s="902"/>
      <c r="L86" s="902"/>
      <c r="M86" s="902"/>
      <c r="N86" s="902"/>
      <c r="O86" s="902"/>
      <c r="P86" s="902"/>
      <c r="Q86" s="913"/>
      <c r="R86" s="913"/>
      <c r="S86" s="913"/>
      <c r="T86" s="913"/>
      <c r="U86" s="912"/>
      <c r="V86" s="912"/>
      <c r="W86" s="913"/>
      <c r="X86" s="912"/>
      <c r="Y86" s="912"/>
      <c r="Z86" s="912"/>
      <c r="AA86" s="912"/>
      <c r="AB86" s="912"/>
      <c r="AC86" s="912"/>
      <c r="AD86" s="912"/>
      <c r="AE86" s="912"/>
      <c r="AF86" s="912"/>
      <c r="AG86" s="912"/>
      <c r="AH86" s="912"/>
      <c r="AI86" s="912"/>
      <c r="AJ86" s="912"/>
      <c r="AK86" s="912"/>
      <c r="AL86" s="912"/>
      <c r="AM86" s="915"/>
      <c r="AN86" s="915"/>
    </row>
    <row r="87" spans="3:40" ht="14.1">
      <c r="C87" s="57"/>
      <c r="D87" s="58" t="str">
        <f>IF(E81=4,"5µ",IF(E81=3,"5µ",IF(E81=2,"5µ",0)))</f>
        <v>5µ</v>
      </c>
      <c r="E87" s="58" t="str">
        <f t="shared" ref="E87:E89" si="40">IF(OR(D87=0),0,IF(MOD($E$42*$F$42,2)=0,"610",IF(MOD($E$42*$F$42,2.5)=0,"760",IF(MOD($E$42*$F$42,3)=0,"915","Refer"))))</f>
        <v>610</v>
      </c>
      <c r="F87" s="58" t="str">
        <f>IF(OR(D87=0),0,IF(MOD($E$42*$F$42,6)=0,"915",IF(MOD($E$42*$F$42,5)=0,"760",IF(MOD($E$42*$F$42,4)=0,"610","Refer"))))</f>
        <v>915</v>
      </c>
      <c r="G87" s="58">
        <f>IF(D87=0,0,300)</f>
        <v>300</v>
      </c>
      <c r="H87" s="60">
        <f>IF(D87=0,0,($E$42*$F$42*305*305)/(E87*F87))</f>
        <v>6</v>
      </c>
      <c r="I87" s="834"/>
      <c r="J87" s="902"/>
      <c r="K87" s="902"/>
      <c r="L87" s="902"/>
      <c r="M87" s="902"/>
      <c r="N87" s="902"/>
      <c r="O87" s="902"/>
      <c r="P87" s="902"/>
      <c r="Q87" s="913"/>
      <c r="R87" s="913"/>
      <c r="S87" s="913"/>
      <c r="T87" s="913"/>
      <c r="U87" s="912"/>
      <c r="V87" s="912"/>
      <c r="W87" s="913"/>
      <c r="X87" s="912"/>
      <c r="Y87" s="912"/>
      <c r="Z87" s="912"/>
      <c r="AA87" s="912"/>
      <c r="AB87" s="912"/>
      <c r="AC87" s="912"/>
      <c r="AD87" s="912"/>
      <c r="AE87" s="912"/>
      <c r="AF87" s="912"/>
      <c r="AG87" s="912"/>
      <c r="AH87" s="912"/>
      <c r="AI87" s="912"/>
      <c r="AJ87" s="912"/>
      <c r="AK87" s="912"/>
      <c r="AL87" s="912"/>
      <c r="AM87" s="915"/>
      <c r="AN87" s="915"/>
    </row>
    <row r="88" spans="3:40" ht="14.1">
      <c r="C88" s="57"/>
      <c r="D88" s="58" t="str">
        <f>IF(E81=4,"1µ",IF(E81=3,"1µ",0))</f>
        <v>1µ</v>
      </c>
      <c r="E88" s="58" t="str">
        <f t="shared" si="40"/>
        <v>610</v>
      </c>
      <c r="F88" s="58" t="str">
        <f>IF(OR(D88=0),0,IF(MOD($E$42*$F$42,6)=0,"915",IF(MOD($E$42*$F$42,5)=0,"760",IF(MOD($E$42*$F$42,4)=0,"610","Refer"))))</f>
        <v>915</v>
      </c>
      <c r="G88" s="58">
        <f>IF(D88=0,0,300)</f>
        <v>300</v>
      </c>
      <c r="H88" s="60">
        <f>IF(D88=0,0,($E$42*$F$42*305*305)/(E88*F88))</f>
        <v>6</v>
      </c>
      <c r="I88" s="834"/>
      <c r="J88" s="902"/>
      <c r="K88" s="902"/>
      <c r="L88" s="902"/>
      <c r="M88" s="902"/>
      <c r="N88" s="902"/>
      <c r="O88" s="902"/>
      <c r="P88" s="902"/>
      <c r="Q88" s="913"/>
      <c r="R88" s="913"/>
      <c r="S88" s="913"/>
      <c r="T88" s="913"/>
      <c r="U88" s="912"/>
      <c r="V88" s="912"/>
      <c r="W88" s="913"/>
      <c r="X88" s="912"/>
      <c r="Y88" s="912"/>
      <c r="Z88" s="912"/>
      <c r="AA88" s="912"/>
      <c r="AB88" s="912"/>
      <c r="AC88" s="912"/>
      <c r="AD88" s="912"/>
      <c r="AE88" s="912"/>
      <c r="AF88" s="912"/>
      <c r="AG88" s="912"/>
      <c r="AH88" s="912"/>
      <c r="AI88" s="912"/>
      <c r="AJ88" s="912"/>
      <c r="AK88" s="912"/>
      <c r="AL88" s="912"/>
      <c r="AM88" s="915"/>
      <c r="AN88" s="915"/>
    </row>
    <row r="89" spans="3:40" ht="37.5">
      <c r="C89" s="57"/>
      <c r="D89" s="58" t="str">
        <f>IF(E81=4,"0.3µ 95% Eff. HEPA Filetr",0)</f>
        <v>0.3µ 95% Eff. HEPA Filetr</v>
      </c>
      <c r="E89" s="58" t="str">
        <f t="shared" si="40"/>
        <v>610</v>
      </c>
      <c r="F89" s="58" t="str">
        <f>IF(OR(D89=0),0,IF(MOD($E$42*$F$42,6)=0,"915",IF(MOD($E$42*$F$42,5)=0,"760",IF(MOD($E$42*$F$42,4)=0,"610","Refer"))))</f>
        <v>915</v>
      </c>
      <c r="G89" s="58">
        <f>IF(D89=0,0,300)</f>
        <v>300</v>
      </c>
      <c r="H89" s="60">
        <f>IF(D89=0,0,($E$42*$F$42*305*305)/(E89*F89))</f>
        <v>6</v>
      </c>
      <c r="I89" s="836"/>
      <c r="J89" s="902"/>
      <c r="K89" s="902"/>
      <c r="L89" s="902"/>
      <c r="M89" s="902"/>
      <c r="N89" s="902"/>
      <c r="O89" s="902"/>
      <c r="P89" s="902"/>
      <c r="Q89" s="913"/>
      <c r="R89" s="913"/>
      <c r="S89" s="913"/>
      <c r="T89" s="913"/>
      <c r="U89" s="912"/>
      <c r="V89" s="912"/>
      <c r="W89" s="913"/>
      <c r="X89" s="912"/>
      <c r="Y89" s="912"/>
      <c r="Z89" s="912"/>
      <c r="AA89" s="912"/>
      <c r="AB89" s="912"/>
      <c r="AC89" s="912"/>
      <c r="AD89" s="912"/>
      <c r="AE89" s="912"/>
      <c r="AF89" s="912"/>
      <c r="AG89" s="912"/>
      <c r="AH89" s="912"/>
      <c r="AI89" s="912"/>
      <c r="AJ89" s="912"/>
      <c r="AK89" s="912"/>
      <c r="AL89" s="912"/>
      <c r="AM89" s="915"/>
      <c r="AN89" s="915"/>
    </row>
    <row r="90" spans="3:40" ht="14.1">
      <c r="C90" s="57"/>
      <c r="D90" s="826"/>
      <c r="E90" s="182"/>
      <c r="F90" s="182"/>
      <c r="G90" s="182"/>
      <c r="H90" s="182"/>
      <c r="I90" s="827"/>
      <c r="J90" s="52"/>
      <c r="K90" s="52"/>
      <c r="L90" s="52"/>
      <c r="M90" s="52"/>
      <c r="N90" s="52"/>
      <c r="O90" s="828"/>
      <c r="P90" s="828"/>
      <c r="Q90" s="55"/>
      <c r="R90" s="55"/>
      <c r="S90" s="55"/>
      <c r="T90" s="55"/>
      <c r="U90" s="45"/>
      <c r="V90" s="45"/>
      <c r="W90" s="55"/>
      <c r="X90" s="45"/>
      <c r="Y90" s="45"/>
      <c r="Z90" s="45"/>
      <c r="AA90" s="45"/>
      <c r="AB90" s="45"/>
      <c r="AC90" s="45"/>
      <c r="AD90" s="45"/>
      <c r="AE90" s="45"/>
      <c r="AF90" s="45"/>
      <c r="AG90" s="45"/>
      <c r="AH90" s="45"/>
      <c r="AI90" s="45"/>
      <c r="AJ90" s="45"/>
      <c r="AK90" s="45"/>
      <c r="AL90" s="45"/>
      <c r="AM90" s="63"/>
      <c r="AN90" s="63"/>
    </row>
    <row r="91" spans="3:40" ht="14.1" customHeight="1">
      <c r="C91" s="57"/>
      <c r="D91" s="901" t="str">
        <f>"AHU - " &amp; INT((ROW()-34)/14)+1 &amp; "  " &amp; IF(I92&gt;0,"Air-Conditioning System " &amp; IF(OR(G95="Header", G95="C"), "(Chilled Water)",IF(OR(G95="Distributor", G95="D"), "(DX)", "Ventilation System")),IF(NOT(I92&gt;0), "Ventilation System ( SUPPLY )", "Refer"))</f>
        <v>AHU - 5  Air-Conditioning System (DX)</v>
      </c>
      <c r="E91" s="901"/>
      <c r="F91" s="901"/>
      <c r="G91" s="901"/>
      <c r="H91" s="901"/>
      <c r="I91" s="901"/>
      <c r="J91" s="52"/>
      <c r="K91" s="52"/>
      <c r="L91" s="53"/>
      <c r="M91" s="53"/>
      <c r="N91" s="53"/>
      <c r="O91" s="54"/>
      <c r="P91" s="55"/>
      <c r="AM91" s="56"/>
      <c r="AN91" s="56"/>
    </row>
    <row r="92" spans="3:40" ht="14.1">
      <c r="C92" s="57"/>
      <c r="D92" s="175" t="s">
        <v>274</v>
      </c>
      <c r="E92" s="180" t="str">
        <f>'BOD-Cold &amp; Amb.'!R70</f>
        <v>10K</v>
      </c>
      <c r="F92" s="175" t="s">
        <v>275</v>
      </c>
      <c r="G92" s="180">
        <f>'BOD-Cold &amp; Amb.'!AK70</f>
        <v>36500</v>
      </c>
      <c r="H92" s="175" t="s">
        <v>276</v>
      </c>
      <c r="I92" s="181">
        <f>'BOD-Cold &amp; Amb.'!AQ70</f>
        <v>94</v>
      </c>
      <c r="J92" s="902" t="s">
        <v>277</v>
      </c>
      <c r="K92" s="902">
        <v>1</v>
      </c>
      <c r="L92" s="917">
        <f>Q92</f>
        <v>1784750</v>
      </c>
      <c r="M92" s="902">
        <f>K92*L92</f>
        <v>1784750</v>
      </c>
      <c r="N92" s="902"/>
      <c r="O92" s="902"/>
      <c r="P92" s="902"/>
      <c r="Q92" s="913">
        <f t="shared" ref="Q92" si="41">CEILING((S92+T92+U92+V92+W92),250)</f>
        <v>1784750</v>
      </c>
      <c r="R92" s="913">
        <f>IF(I92&gt;0,625,375)</f>
        <v>625</v>
      </c>
      <c r="S92" s="913">
        <f>(E93*G93*3*10.76+E93*I93*2*10.76+G93*I93*2*10.76)*R92/(1000*1000)</f>
        <v>717692</v>
      </c>
      <c r="T92" s="913">
        <f>I92*4*1050</f>
        <v>394800</v>
      </c>
      <c r="U92" s="912">
        <f>IF(G92&lt;=2000,5000,(IF(G92&lt;=5000,8000,(IF(G92&lt;=10000,10000,(IF(G92&lt;=18000,15000,(IF(G92&lt;=40000,20000,25000)))))))))</f>
        <v>20000</v>
      </c>
      <c r="V92" s="912">
        <f t="shared" ref="V92" si="42">IF(X92=200,17150,(IF(X92=225,18150,(IF(X92=250,18900,(IF(X92=280,19150,(IF(X92=315,19650,(IF(X92=355,21900,(IF(X92=400,24400,0)))))))))))))+IF(X92=450,31000,(IF(X92=500,37450,(IF(X92=560,45650,(IF(X92=630,58900,(IF(X92=710,77950,0)))))))))+IF(X92=800,119650,(IF(X92=900,153300,(IF(X92=1000,178900,(IF(X92=1120,286500,(IF(X92=1250,394500,(IF(X92=1450,461500,0)))))))))))</f>
        <v>286500</v>
      </c>
      <c r="W92" s="913">
        <f>IF(I94=0.5,16600,(IF(I94=1,19050,(IF(I94=1.5,21750,(IF(I94=2,23600,(IF(I94=3,30000,(IF(I94=5,38000,0)))))))))))*1.2+IF(I94=7.5,52300,(IF(I94=10,59600,0)))*1.2+IF(I94=12.5,100350,(IF(I94=15,106000,(IF(I94=20,129150,(IF(I94=25,146050,(IF(I94=30,173600,(IF(I94=40,233900,(IF(I94=50,304650,IF(I94=60,350000,400000)))))))))))))*1.2)</f>
        <v>365580</v>
      </c>
      <c r="X92" s="912">
        <f>E94</f>
        <v>1120</v>
      </c>
      <c r="Y92" s="912">
        <f t="shared" ref="Y92" si="43">IF(G92&lt;=6750,450,(IF(G92&lt;=8500,500,(IF(G92&lt;=10750,560,(IF(G92&lt;=13500,630,(IF(G92&lt;=17000,710,(IF(G92&lt;=21500,800,(IF(G92&lt;=27000,900,(IF(G92&lt;=34000,1000,0)))))))))))))))</f>
        <v>0</v>
      </c>
      <c r="Z92" s="912">
        <f t="shared" ref="Z92" si="44">IF(G92&lt;=1300,200,(IF(G92&lt;=1600,225,(IF(G92&lt;=2100,250,(IF(G92&lt;=2700,280,(IF(G92&lt;=3450,315,(IF(G92&lt;=4250,355,(IF(G92&lt;=5250,400,(IF(G92&lt;=6750,450,0)))))))))))))))</f>
        <v>0</v>
      </c>
      <c r="AA92" s="912">
        <f t="shared" ref="AA92" si="45">IF(G92&lt;=2000,5000,(IF(G92&lt;=5000,8000,(IF(G92&lt;=10000,10000,(IF(G92&lt;=18000,15000,(IF(G92&lt;=40000,20000,10000)))))))))</f>
        <v>20000</v>
      </c>
      <c r="AB92" s="912">
        <f>IF(E93=950,2,(IF(E93=1150,3,(IF(E93=1550,4,(IF(E93=1750,5,(IF(E93=2050,6,(IF(E93=2900,8,(IF(E93=3600,10,12)))))))))))))</f>
        <v>10</v>
      </c>
      <c r="AC92" s="912">
        <f>IF(G93=950,2,(IF(G93=1150,3,(IF(G93=1550,4,(IF(G93=1750,5,(IF(G93=2050,6,(IF(G93=2900,8,(IF(G93=3600,10,12)))))))))))))</f>
        <v>8</v>
      </c>
      <c r="AD92" s="912">
        <f t="shared" ref="AD92" si="46">AC92*AB92</f>
        <v>80</v>
      </c>
      <c r="AE92" s="912">
        <v>150</v>
      </c>
      <c r="AF92" s="912">
        <f t="shared" ref="AF92" si="47">CEILING((SQRT(G92/1000))*4*2*AE92*1.25*K92,100)</f>
        <v>9100</v>
      </c>
      <c r="AG92" s="912">
        <f>E100*F100*H100/(305*305)</f>
        <v>0</v>
      </c>
      <c r="AH92" s="912">
        <f>E101*F101*H101/(305*305)</f>
        <v>36</v>
      </c>
      <c r="AI92" s="912">
        <f>H102*E102*F102/(305*305)</f>
        <v>36</v>
      </c>
      <c r="AJ92" s="912">
        <f>H103*E103*F103/(305*305)</f>
        <v>36</v>
      </c>
      <c r="AK92" s="912">
        <f>H104*E104*F104/(305*305)</f>
        <v>0</v>
      </c>
      <c r="AL92" s="912"/>
      <c r="AM92" s="915">
        <f t="shared" ref="AM92" si="48">(G92*2.2/1100)</f>
        <v>73</v>
      </c>
      <c r="AN92" s="915">
        <f t="shared" ref="AN92" si="49">(G92*1/1100)</f>
        <v>33.18181818181818</v>
      </c>
    </row>
    <row r="93" spans="3:40" ht="14.1">
      <c r="C93" s="57"/>
      <c r="D93" s="175" t="s">
        <v>278</v>
      </c>
      <c r="E93" s="180">
        <f>'BOD-Cold &amp; Amb.'!AL71</f>
        <v>3600</v>
      </c>
      <c r="F93" s="175" t="s">
        <v>279</v>
      </c>
      <c r="G93" s="180">
        <f>'BOD-Cold &amp; Amb.'!AL73</f>
        <v>2900</v>
      </c>
      <c r="H93" s="175" t="s">
        <v>280</v>
      </c>
      <c r="I93" s="181">
        <f>'BOD-Cold &amp; Amb.'!AL75</f>
        <v>5800</v>
      </c>
      <c r="J93" s="902"/>
      <c r="K93" s="902"/>
      <c r="L93" s="902"/>
      <c r="M93" s="902"/>
      <c r="N93" s="902"/>
      <c r="O93" s="902"/>
      <c r="P93" s="902"/>
      <c r="Q93" s="913"/>
      <c r="R93" s="913"/>
      <c r="S93" s="913"/>
      <c r="T93" s="913"/>
      <c r="U93" s="912"/>
      <c r="V93" s="912"/>
      <c r="W93" s="913"/>
      <c r="X93" s="912"/>
      <c r="Y93" s="912"/>
      <c r="Z93" s="912"/>
      <c r="AA93" s="912"/>
      <c r="AB93" s="912"/>
      <c r="AC93" s="912"/>
      <c r="AD93" s="912"/>
      <c r="AE93" s="912"/>
      <c r="AF93" s="912"/>
      <c r="AG93" s="912"/>
      <c r="AH93" s="912"/>
      <c r="AI93" s="912"/>
      <c r="AJ93" s="912"/>
      <c r="AK93" s="912"/>
      <c r="AL93" s="912"/>
      <c r="AM93" s="915"/>
      <c r="AN93" s="915"/>
    </row>
    <row r="94" spans="3:40" ht="14.1">
      <c r="C94" s="57"/>
      <c r="D94" s="175" t="s">
        <v>281</v>
      </c>
      <c r="E94" s="180">
        <f>'BOD-Cold &amp; Amb.'!AN70</f>
        <v>1120</v>
      </c>
      <c r="F94" s="176" t="s">
        <v>282</v>
      </c>
      <c r="G94" s="180">
        <f>'BOD-Cold &amp; Amb.'!AM70</f>
        <v>150</v>
      </c>
      <c r="H94" s="176" t="s">
        <v>283</v>
      </c>
      <c r="I94" s="181">
        <f>'BOD-Cold &amp; Amb.'!AO70</f>
        <v>50</v>
      </c>
      <c r="J94" s="902"/>
      <c r="K94" s="902"/>
      <c r="L94" s="902"/>
      <c r="M94" s="902"/>
      <c r="N94" s="902"/>
      <c r="O94" s="902"/>
      <c r="P94" s="902"/>
      <c r="Q94" s="913"/>
      <c r="R94" s="913"/>
      <c r="S94" s="913"/>
      <c r="T94" s="913"/>
      <c r="U94" s="912"/>
      <c r="V94" s="912"/>
      <c r="W94" s="913"/>
      <c r="X94" s="912"/>
      <c r="Y94" s="912"/>
      <c r="Z94" s="912"/>
      <c r="AA94" s="912"/>
      <c r="AB94" s="912"/>
      <c r="AC94" s="912"/>
      <c r="AD94" s="912"/>
      <c r="AE94" s="912"/>
      <c r="AF94" s="912"/>
      <c r="AG94" s="912"/>
      <c r="AH94" s="912"/>
      <c r="AI94" s="912"/>
      <c r="AJ94" s="912"/>
      <c r="AK94" s="912"/>
      <c r="AL94" s="912"/>
      <c r="AM94" s="915"/>
      <c r="AN94" s="915"/>
    </row>
    <row r="95" spans="3:40" ht="21.6" customHeight="1">
      <c r="C95" s="57"/>
      <c r="D95" s="175" t="s">
        <v>284</v>
      </c>
      <c r="E95" s="180">
        <f>'BOD-Cold &amp; Amb.'!AP70</f>
        <v>4</v>
      </c>
      <c r="F95" s="832" t="s">
        <v>285</v>
      </c>
      <c r="G95" s="837" t="str">
        <f>IF(OR(I92=0, E95="Amb"), "Amb",IF('BOD-Cold &amp; Amb.'!AH55="C", "Header",IF('BOD-Cold &amp; Amb.'!AH55="D", "Distributor", "Refer")))</f>
        <v>Distributor</v>
      </c>
      <c r="H95" s="832" t="s">
        <v>286</v>
      </c>
      <c r="I95" s="833" t="str">
        <f>IF(OR(I92=0, E95=0), 0,ROUND(((( I92/E95)*304.8)/(E93-400))*1000,0)&amp;" h "&amp;" x " &amp; (E93-400)&amp;" w ")</f>
        <v xml:space="preserve">2238 h  x 3200 w </v>
      </c>
      <c r="J95" s="902"/>
      <c r="K95" s="902"/>
      <c r="L95" s="902"/>
      <c r="M95" s="902"/>
      <c r="N95" s="902"/>
      <c r="O95" s="902"/>
      <c r="P95" s="902"/>
      <c r="Q95" s="913"/>
      <c r="R95" s="913"/>
      <c r="S95" s="913"/>
      <c r="T95" s="913"/>
      <c r="U95" s="912"/>
      <c r="V95" s="912"/>
      <c r="W95" s="913"/>
      <c r="X95" s="912"/>
      <c r="Y95" s="912"/>
      <c r="Z95" s="912"/>
      <c r="AA95" s="912"/>
      <c r="AB95" s="912"/>
      <c r="AC95" s="912"/>
      <c r="AD95" s="912"/>
      <c r="AE95" s="912"/>
      <c r="AF95" s="912"/>
      <c r="AG95" s="912"/>
      <c r="AH95" s="912"/>
      <c r="AI95" s="912"/>
      <c r="AJ95" s="912"/>
      <c r="AK95" s="912"/>
      <c r="AL95" s="912"/>
      <c r="AM95" s="915"/>
      <c r="AN95" s="915"/>
    </row>
    <row r="96" spans="3:40" ht="21">
      <c r="C96" s="57"/>
      <c r="D96" s="175" t="s">
        <v>287</v>
      </c>
      <c r="E96" s="180">
        <f>'BOD-Cold &amp; Amb.'!AR70</f>
        <v>3</v>
      </c>
      <c r="F96" s="176" t="s">
        <v>288</v>
      </c>
      <c r="G96" s="177" t="str">
        <f>IF(E96=4,"10µ, 5µ, 1µ &amp; 0.3µ (HEPA Plenum Fitted 95% eff.)",IF(E96=3,"10µ, 5µ &amp; 1µ ",IF(E96=2,"10µ  &amp; 5µ",IF(E96=1,"10µ", "Filter Ratings"))))</f>
        <v xml:space="preserve">10µ, 5µ &amp; 1µ </v>
      </c>
      <c r="H96" s="178"/>
      <c r="I96" s="179"/>
      <c r="J96" s="902"/>
      <c r="K96" s="902"/>
      <c r="L96" s="902"/>
      <c r="M96" s="902"/>
      <c r="N96" s="902"/>
      <c r="O96" s="902"/>
      <c r="P96" s="902"/>
      <c r="Q96" s="913"/>
      <c r="R96" s="913"/>
      <c r="S96" s="913"/>
      <c r="T96" s="913"/>
      <c r="U96" s="912"/>
      <c r="V96" s="912"/>
      <c r="W96" s="913"/>
      <c r="X96" s="912"/>
      <c r="Y96" s="912"/>
      <c r="Z96" s="912"/>
      <c r="AA96" s="912"/>
      <c r="AB96" s="912"/>
      <c r="AC96" s="912"/>
      <c r="AD96" s="912"/>
      <c r="AE96" s="912"/>
      <c r="AF96" s="912"/>
      <c r="AG96" s="912"/>
      <c r="AH96" s="912"/>
      <c r="AI96" s="912"/>
      <c r="AJ96" s="912"/>
      <c r="AK96" s="912"/>
      <c r="AL96" s="912"/>
      <c r="AM96" s="915"/>
      <c r="AN96" s="915"/>
    </row>
    <row r="97" spans="3:40">
      <c r="C97" s="57"/>
      <c r="D97" s="922" t="s">
        <v>289</v>
      </c>
      <c r="E97" s="923"/>
      <c r="F97" s="923"/>
      <c r="G97" s="923"/>
      <c r="H97" s="923"/>
      <c r="I97" s="924"/>
      <c r="J97" s="902"/>
      <c r="K97" s="902"/>
      <c r="L97" s="902"/>
      <c r="M97" s="902"/>
      <c r="N97" s="902"/>
      <c r="O97" s="902"/>
      <c r="P97" s="902"/>
      <c r="Q97" s="913"/>
      <c r="R97" s="913"/>
      <c r="S97" s="913"/>
      <c r="T97" s="913"/>
      <c r="U97" s="912"/>
      <c r="V97" s="912"/>
      <c r="W97" s="913"/>
      <c r="X97" s="912"/>
      <c r="Y97" s="912"/>
      <c r="Z97" s="912"/>
      <c r="AA97" s="912"/>
      <c r="AB97" s="912"/>
      <c r="AC97" s="912"/>
      <c r="AD97" s="912"/>
      <c r="AE97" s="912"/>
      <c r="AF97" s="912"/>
      <c r="AG97" s="912"/>
      <c r="AH97" s="912"/>
      <c r="AI97" s="912"/>
      <c r="AJ97" s="912"/>
      <c r="AK97" s="912"/>
      <c r="AL97" s="912"/>
      <c r="AM97" s="915"/>
      <c r="AN97" s="915"/>
    </row>
    <row r="98" spans="3:40" ht="24.95">
      <c r="C98" s="57"/>
      <c r="D98" s="58" t="s">
        <v>290</v>
      </c>
      <c r="E98" s="58" t="s">
        <v>291</v>
      </c>
      <c r="F98" s="58" t="s">
        <v>292</v>
      </c>
      <c r="G98" s="58" t="s">
        <v>293</v>
      </c>
      <c r="H98" s="58" t="s">
        <v>294</v>
      </c>
      <c r="I98" s="179"/>
      <c r="J98" s="902"/>
      <c r="K98" s="902"/>
      <c r="L98" s="902"/>
      <c r="M98" s="902"/>
      <c r="N98" s="902"/>
      <c r="O98" s="902"/>
      <c r="P98" s="902"/>
      <c r="Q98" s="913"/>
      <c r="R98" s="913"/>
      <c r="S98" s="913"/>
      <c r="T98" s="913"/>
      <c r="U98" s="912"/>
      <c r="V98" s="912"/>
      <c r="W98" s="913"/>
      <c r="X98" s="912"/>
      <c r="Y98" s="912"/>
      <c r="Z98" s="912"/>
      <c r="AA98" s="912"/>
      <c r="AB98" s="912"/>
      <c r="AC98" s="912"/>
      <c r="AD98" s="912"/>
      <c r="AE98" s="912"/>
      <c r="AF98" s="912"/>
      <c r="AG98" s="912"/>
      <c r="AH98" s="912"/>
      <c r="AI98" s="912"/>
      <c r="AJ98" s="912"/>
      <c r="AK98" s="912"/>
      <c r="AL98" s="912"/>
      <c r="AM98" s="915"/>
      <c r="AN98" s="915"/>
    </row>
    <row r="99" spans="3:40" ht="14.1">
      <c r="C99" s="57"/>
      <c r="D99" s="58"/>
      <c r="E99" s="58">
        <f>IF(E93&lt;=950,2,(IF(E93&lt;=1150,3,(IF(E93&lt;=1550,4,(IF(E93&lt;=1750,5,(IF(E93&lt;=2050,6,(IF(E93&lt;=2900,8,(IF(E93&lt;=3600,10,IF(E93&lt;=4000,12,0))))))))))))))</f>
        <v>10</v>
      </c>
      <c r="F99" s="58">
        <f>IF(G93&lt;=950,2,(IF(G93&lt;=1150,3,(IF(G93&lt;=1550,4,(IF(G93&lt;=1750,5,(IF(G93&lt;=2050,6,(IF(G93&lt;=2900,8,(IF(G93&lt;=3600,10,IF(E93&lt;=4000,12,0))))))))))))))</f>
        <v>8</v>
      </c>
      <c r="G99" s="58"/>
      <c r="H99" s="60"/>
      <c r="I99" s="834"/>
      <c r="J99" s="902"/>
      <c r="K99" s="902"/>
      <c r="L99" s="902"/>
      <c r="M99" s="902"/>
      <c r="N99" s="902"/>
      <c r="O99" s="902"/>
      <c r="P99" s="902"/>
      <c r="Q99" s="913"/>
      <c r="R99" s="913"/>
      <c r="S99" s="913"/>
      <c r="T99" s="913"/>
      <c r="U99" s="912"/>
      <c r="V99" s="912"/>
      <c r="W99" s="913"/>
      <c r="X99" s="912"/>
      <c r="Y99" s="912"/>
      <c r="Z99" s="912"/>
      <c r="AA99" s="912"/>
      <c r="AB99" s="912"/>
      <c r="AC99" s="912"/>
      <c r="AD99" s="912"/>
      <c r="AE99" s="912"/>
      <c r="AF99" s="912"/>
      <c r="AG99" s="912"/>
      <c r="AH99" s="912"/>
      <c r="AI99" s="912"/>
      <c r="AJ99" s="912"/>
      <c r="AK99" s="912"/>
      <c r="AL99" s="912"/>
      <c r="AM99" s="915"/>
      <c r="AN99" s="915"/>
    </row>
    <row r="100" spans="3:40" ht="14.1">
      <c r="C100" s="57"/>
      <c r="D100" s="58">
        <f>IF(AND(I92=0, OR(E96=1, E96=2, E96=3, E96=4, E96=5)), "20µ", 0)</f>
        <v>0</v>
      </c>
      <c r="E100" s="58">
        <f>IF(OR(D100=0),0,IF(MOD($E$42*$F$42,2)=0,"610",IF(MOD($E$42*$F$42,2.5)=0,"760",IF(MOD($E$42*$F$42,3)=0,"915","Refer"))))</f>
        <v>0</v>
      </c>
      <c r="F100" s="58">
        <f>IF(OR(D100=0),0,IF(MOD($E$42*$F$42,6)=0,"915",IF(MOD($E$42*$F$42,5)=0,"760",IF(MOD($E$42*$F$42,4)=0,"610","Refer"))))</f>
        <v>0</v>
      </c>
      <c r="G100" s="58">
        <f>IF(D100=0,0,100)</f>
        <v>0</v>
      </c>
      <c r="H100" s="60">
        <f>IF(D100=0,0,($E$42*$F$42*305*305)/(E100*F100))</f>
        <v>0</v>
      </c>
      <c r="I100" s="834"/>
      <c r="J100" s="902"/>
      <c r="K100" s="902"/>
      <c r="L100" s="902"/>
      <c r="M100" s="902"/>
      <c r="N100" s="902"/>
      <c r="O100" s="902"/>
      <c r="P100" s="902"/>
      <c r="Q100" s="55"/>
      <c r="R100" s="55"/>
      <c r="S100" s="55"/>
      <c r="T100" s="55"/>
      <c r="U100" s="45"/>
      <c r="V100" s="45"/>
      <c r="W100" s="55"/>
      <c r="X100" s="45"/>
      <c r="Y100" s="45"/>
      <c r="Z100" s="45"/>
      <c r="AA100" s="45"/>
      <c r="AB100" s="45"/>
      <c r="AC100" s="45"/>
      <c r="AD100" s="45"/>
      <c r="AE100" s="45"/>
      <c r="AF100" s="45"/>
      <c r="AG100" s="45"/>
      <c r="AH100" s="45"/>
      <c r="AI100" s="45"/>
      <c r="AJ100" s="45"/>
      <c r="AK100" s="45"/>
      <c r="AL100" s="45"/>
      <c r="AM100" s="63"/>
      <c r="AN100" s="63"/>
    </row>
    <row r="101" spans="3:40" ht="14.1">
      <c r="C101" s="57"/>
      <c r="D101" s="58" t="str">
        <f>IF(E96=4,"10µ",IF(E96=3,"10µ",IF(E96=2,"10µ",IF(E96=1,"10µ",0))))</f>
        <v>10µ</v>
      </c>
      <c r="E101" s="58" t="str">
        <f>IF(OR(D101=0),0,IF(MOD($E$42*$F$42,2)=0,"610",IF(MOD($E$42*$F$42,2.5)=0,"760",IF(MOD($E$42*$F$42,3)=0,"915","Refer"))))</f>
        <v>610</v>
      </c>
      <c r="F101" s="58" t="str">
        <f>IF(OR(D101=0),0,IF(MOD($E$42*$F$42,6)=0,"915",IF(MOD($E$42*$F$42,5)=0,"760",IF(MOD($E$42*$F$42,4)=0,"610","Refer"))))</f>
        <v>915</v>
      </c>
      <c r="G101" s="58">
        <f>IF(D101=0,0,150)</f>
        <v>150</v>
      </c>
      <c r="H101" s="60">
        <f>IF(D101=0,0,($E$42*$F$42*305*305)/(E101*F101))</f>
        <v>6</v>
      </c>
      <c r="I101" s="834"/>
      <c r="J101" s="902"/>
      <c r="K101" s="902"/>
      <c r="L101" s="902"/>
      <c r="M101" s="902"/>
      <c r="N101" s="902"/>
      <c r="O101" s="902"/>
      <c r="P101" s="902"/>
      <c r="Q101" s="913"/>
      <c r="R101" s="913"/>
      <c r="S101" s="913"/>
      <c r="T101" s="913"/>
      <c r="U101" s="912"/>
      <c r="V101" s="912"/>
      <c r="W101" s="913"/>
      <c r="X101" s="912"/>
      <c r="Y101" s="912"/>
      <c r="Z101" s="912"/>
      <c r="AA101" s="912"/>
      <c r="AB101" s="912"/>
      <c r="AC101" s="912"/>
      <c r="AD101" s="912"/>
      <c r="AE101" s="912"/>
      <c r="AF101" s="912"/>
      <c r="AG101" s="912"/>
      <c r="AH101" s="912"/>
      <c r="AI101" s="912"/>
      <c r="AJ101" s="912"/>
      <c r="AK101" s="912"/>
      <c r="AL101" s="912"/>
      <c r="AM101" s="915"/>
      <c r="AN101" s="915"/>
    </row>
    <row r="102" spans="3:40" ht="14.1">
      <c r="C102" s="57"/>
      <c r="D102" s="58" t="str">
        <f>IF(E96=4,"5µ",IF(E96=3,"5µ",IF(E96=2,"5µ",0)))</f>
        <v>5µ</v>
      </c>
      <c r="E102" s="58" t="str">
        <f t="shared" ref="E102:E104" si="50">IF(OR(D102=0),0,IF(MOD($E$42*$F$42,2)=0,"610",IF(MOD($E$42*$F$42,2.5)=0,"760",IF(MOD($E$42*$F$42,3)=0,"915","Refer"))))</f>
        <v>610</v>
      </c>
      <c r="F102" s="58" t="str">
        <f>IF(OR(D102=0),0,IF(MOD($E$42*$F$42,6)=0,"915",IF(MOD($E$42*$F$42,5)=0,"760",IF(MOD($E$42*$F$42,4)=0,"610","Refer"))))</f>
        <v>915</v>
      </c>
      <c r="G102" s="58">
        <f>IF(D102=0,0,300)</f>
        <v>300</v>
      </c>
      <c r="H102" s="60">
        <f>IF(D102=0,0,($E$42*$F$42*305*305)/(E102*F102))</f>
        <v>6</v>
      </c>
      <c r="I102" s="834"/>
      <c r="J102" s="902"/>
      <c r="K102" s="902"/>
      <c r="L102" s="902"/>
      <c r="M102" s="902"/>
      <c r="N102" s="902"/>
      <c r="O102" s="902"/>
      <c r="P102" s="902"/>
      <c r="Q102" s="913"/>
      <c r="R102" s="913"/>
      <c r="S102" s="913"/>
      <c r="T102" s="913"/>
      <c r="U102" s="912"/>
      <c r="V102" s="912"/>
      <c r="W102" s="913"/>
      <c r="X102" s="912"/>
      <c r="Y102" s="912"/>
      <c r="Z102" s="912"/>
      <c r="AA102" s="912"/>
      <c r="AB102" s="912"/>
      <c r="AC102" s="912"/>
      <c r="AD102" s="912"/>
      <c r="AE102" s="912"/>
      <c r="AF102" s="912"/>
      <c r="AG102" s="912"/>
      <c r="AH102" s="912"/>
      <c r="AI102" s="912"/>
      <c r="AJ102" s="912"/>
      <c r="AK102" s="912"/>
      <c r="AL102" s="912"/>
      <c r="AM102" s="915"/>
      <c r="AN102" s="915"/>
    </row>
    <row r="103" spans="3:40" ht="14.1">
      <c r="C103" s="57"/>
      <c r="D103" s="58" t="str">
        <f>IF(E96=4,"1µ",IF(E96=3,"1µ",0))</f>
        <v>1µ</v>
      </c>
      <c r="E103" s="58" t="str">
        <f t="shared" si="50"/>
        <v>610</v>
      </c>
      <c r="F103" s="58" t="str">
        <f>IF(OR(D103=0),0,IF(MOD($E$42*$F$42,6)=0,"915",IF(MOD($E$42*$F$42,5)=0,"760",IF(MOD($E$42*$F$42,4)=0,"610","Refer"))))</f>
        <v>915</v>
      </c>
      <c r="G103" s="58">
        <f>IF(D103=0,0,300)</f>
        <v>300</v>
      </c>
      <c r="H103" s="60">
        <f>IF(D103=0,0,($E$42*$F$42*305*305)/(E103*F103))</f>
        <v>6</v>
      </c>
      <c r="I103" s="834"/>
      <c r="J103" s="902"/>
      <c r="K103" s="902"/>
      <c r="L103" s="902"/>
      <c r="M103" s="902"/>
      <c r="N103" s="902"/>
      <c r="O103" s="902"/>
      <c r="P103" s="902"/>
      <c r="Q103" s="913"/>
      <c r="R103" s="913"/>
      <c r="S103" s="913"/>
      <c r="T103" s="913"/>
      <c r="U103" s="912"/>
      <c r="V103" s="912"/>
      <c r="W103" s="913"/>
      <c r="X103" s="912"/>
      <c r="Y103" s="912"/>
      <c r="Z103" s="912"/>
      <c r="AA103" s="912"/>
      <c r="AB103" s="912"/>
      <c r="AC103" s="912"/>
      <c r="AD103" s="912"/>
      <c r="AE103" s="912"/>
      <c r="AF103" s="912"/>
      <c r="AG103" s="912"/>
      <c r="AH103" s="912"/>
      <c r="AI103" s="912"/>
      <c r="AJ103" s="912"/>
      <c r="AK103" s="912"/>
      <c r="AL103" s="912"/>
      <c r="AM103" s="915"/>
      <c r="AN103" s="915"/>
    </row>
    <row r="104" spans="3:40" ht="14.1">
      <c r="C104" s="57"/>
      <c r="D104" s="58">
        <f>IF(E96=4,"0.3µ 95% Eff. HEPA Filetr",0)</f>
        <v>0</v>
      </c>
      <c r="E104" s="58">
        <f t="shared" si="50"/>
        <v>0</v>
      </c>
      <c r="F104" s="58">
        <f>IF(OR(D104=0),0,IF(MOD($E$42*$F$42,6)=0,"915",IF(MOD($E$42*$F$42,5)=0,"760",IF(MOD($E$42*$F$42,4)=0,"610","Refer"))))</f>
        <v>0</v>
      </c>
      <c r="G104" s="58">
        <f>IF(D104=0,0,300)</f>
        <v>0</v>
      </c>
      <c r="H104" s="60">
        <f>IF(D104=0,0,($E$42*$F$42*305*305)/(E104*F104))</f>
        <v>0</v>
      </c>
      <c r="I104" s="836"/>
      <c r="J104" s="902"/>
      <c r="K104" s="902"/>
      <c r="L104" s="902"/>
      <c r="M104" s="902"/>
      <c r="N104" s="902"/>
      <c r="O104" s="902"/>
      <c r="P104" s="902"/>
      <c r="Q104" s="913"/>
      <c r="R104" s="913"/>
      <c r="S104" s="913"/>
      <c r="T104" s="913"/>
      <c r="U104" s="912"/>
      <c r="V104" s="912"/>
      <c r="W104" s="913"/>
      <c r="X104" s="912"/>
      <c r="Y104" s="912"/>
      <c r="Z104" s="912"/>
      <c r="AA104" s="912"/>
      <c r="AB104" s="912"/>
      <c r="AC104" s="912"/>
      <c r="AD104" s="912"/>
      <c r="AE104" s="912"/>
      <c r="AF104" s="912"/>
      <c r="AG104" s="912"/>
      <c r="AH104" s="912"/>
      <c r="AI104" s="912"/>
      <c r="AJ104" s="912"/>
      <c r="AK104" s="912"/>
      <c r="AL104" s="912"/>
      <c r="AM104" s="915"/>
      <c r="AN104" s="915"/>
    </row>
    <row r="105" spans="3:40" ht="14.1">
      <c r="C105" s="57"/>
      <c r="D105" s="826"/>
      <c r="E105" s="182"/>
      <c r="F105" s="182"/>
      <c r="G105" s="182"/>
      <c r="H105" s="182"/>
      <c r="I105" s="827"/>
      <c r="J105" s="52"/>
      <c r="K105" s="52"/>
      <c r="L105" s="52"/>
      <c r="M105" s="52"/>
      <c r="N105" s="52"/>
      <c r="O105" s="828"/>
      <c r="P105" s="828"/>
      <c r="Q105" s="55"/>
      <c r="R105" s="55"/>
      <c r="S105" s="55"/>
      <c r="T105" s="55"/>
      <c r="U105" s="45"/>
      <c r="V105" s="45"/>
      <c r="W105" s="55"/>
      <c r="X105" s="45"/>
      <c r="Y105" s="45"/>
      <c r="Z105" s="45"/>
      <c r="AA105" s="45"/>
      <c r="AB105" s="45"/>
      <c r="AC105" s="45"/>
      <c r="AD105" s="45"/>
      <c r="AE105" s="45"/>
      <c r="AF105" s="45"/>
      <c r="AG105" s="45"/>
      <c r="AH105" s="45"/>
      <c r="AI105" s="45"/>
      <c r="AJ105" s="45"/>
      <c r="AK105" s="45"/>
      <c r="AL105" s="45"/>
      <c r="AM105" s="63"/>
      <c r="AN105" s="63"/>
    </row>
    <row r="106" spans="3:40" ht="14.1" customHeight="1">
      <c r="C106" s="57"/>
      <c r="D106" s="901" t="str">
        <f>"AHU - " &amp; INT((ROW()-34)/14)+1 &amp; "  " &amp; IF(I107&gt;0,"Air-Conditioning System " &amp; IF(OR(G110="Header", G110="C"), "(Chilled Water)",IF(OR(G110="Distributor", G110="D"), "(DX)", "Ventilation System")),IF(NOT(I107&gt;0), "Ventilation System ( SUPPLY )", "Refer"))</f>
        <v>AHU - 6  Air-Conditioning System (Chilled Water)</v>
      </c>
      <c r="E106" s="901"/>
      <c r="F106" s="901"/>
      <c r="G106" s="901"/>
      <c r="H106" s="901"/>
      <c r="I106" s="901"/>
      <c r="J106" s="52"/>
      <c r="K106" s="52"/>
      <c r="L106" s="53"/>
      <c r="M106" s="53"/>
      <c r="N106" s="53"/>
      <c r="O106" s="54"/>
      <c r="P106" s="55"/>
      <c r="AM106" s="56"/>
      <c r="AN106" s="56"/>
    </row>
    <row r="107" spans="3:40" ht="14.1">
      <c r="C107" s="57"/>
      <c r="D107" s="175" t="s">
        <v>274</v>
      </c>
      <c r="E107" s="180" t="str">
        <f>'BOD-Cold &amp; Amb.'!R90</f>
        <v>NC</v>
      </c>
      <c r="F107" s="175" t="s">
        <v>275</v>
      </c>
      <c r="G107" s="180">
        <f>'BOD-Cold &amp; Amb.'!AK90</f>
        <v>27500</v>
      </c>
      <c r="H107" s="175" t="s">
        <v>276</v>
      </c>
      <c r="I107" s="181">
        <f>'BOD-Cold &amp; Amb.'!AQ90</f>
        <v>74.5</v>
      </c>
      <c r="J107" s="902" t="s">
        <v>277</v>
      </c>
      <c r="K107" s="902">
        <v>1</v>
      </c>
      <c r="L107" s="917">
        <f>Q107</f>
        <v>1414750</v>
      </c>
      <c r="M107" s="902">
        <f>K107*L107</f>
        <v>1414750</v>
      </c>
      <c r="N107" s="902"/>
      <c r="O107" s="902"/>
      <c r="P107" s="902"/>
      <c r="Q107" s="913">
        <f t="shared" ref="Q107" si="51">CEILING((S107+T107+U107+V107+W107),250)</f>
        <v>1414750</v>
      </c>
      <c r="R107" s="913">
        <f>IF(I107&gt;0,625,375)</f>
        <v>625</v>
      </c>
      <c r="S107" s="913">
        <f>(E108*G108*3*10.76+E108*I108*2*10.76+G108*I108*2*10.76)*R107/(1000*1000)</f>
        <v>622129.75</v>
      </c>
      <c r="T107" s="913">
        <f>I107*4*1050</f>
        <v>312900</v>
      </c>
      <c r="U107" s="912">
        <f>IF(G107&lt;=2000,5000,(IF(G107&lt;=5000,8000,(IF(G107&lt;=10000,10000,(IF(G107&lt;=18000,15000,(IF(G107&lt;=40000,20000,25000)))))))))</f>
        <v>20000</v>
      </c>
      <c r="V107" s="912">
        <f t="shared" ref="V107" si="52">IF(X107=200,17150,(IF(X107=225,18150,(IF(X107=250,18900,(IF(X107=280,19150,(IF(X107=315,19650,(IF(X107=355,21900,(IF(X107=400,24400,0)))))))))))))+IF(X107=450,31000,(IF(X107=500,37450,(IF(X107=560,45650,(IF(X107=630,58900,(IF(X107=710,77950,0)))))))))+IF(X107=800,119650,(IF(X107=900,153300,(IF(X107=1000,178900,(IF(X107=1120,286500,(IF(X107=1250,394500,(IF(X107=1450,461500,0)))))))))))</f>
        <v>178900</v>
      </c>
      <c r="W107" s="913">
        <f>IF(I109=0.5,16600,(IF(I109=1,19050,(IF(I109=1.5,21750,(IF(I109=2,23600,(IF(I109=3,30000,(IF(I109=5,38000,0)))))))))))*1.2+IF(I109=7.5,52300,(IF(I109=10,59600,0)))*1.2+IF(I109=12.5,100350,(IF(I109=15,106000,(IF(I109=20,129150,(IF(I109=25,146050,(IF(I109=30,173600,(IF(I109=40,233900,(IF(I109=50,304650,IF(I109=60,350000,400000)))))))))))))*1.2)</f>
        <v>280680</v>
      </c>
      <c r="X107" s="912">
        <f>E109</f>
        <v>1000</v>
      </c>
      <c r="Y107" s="912">
        <f t="shared" ref="Y107" si="53">IF(G107&lt;=6750,450,(IF(G107&lt;=8500,500,(IF(G107&lt;=10750,560,(IF(G107&lt;=13500,630,(IF(G107&lt;=17000,710,(IF(G107&lt;=21500,800,(IF(G107&lt;=27000,900,(IF(G107&lt;=34000,1000,0)))))))))))))))</f>
        <v>1000</v>
      </c>
      <c r="Z107" s="912">
        <f t="shared" ref="Z107" si="54">IF(G107&lt;=1300,200,(IF(G107&lt;=1600,225,(IF(G107&lt;=2100,250,(IF(G107&lt;=2700,280,(IF(G107&lt;=3450,315,(IF(G107&lt;=4250,355,(IF(G107&lt;=5250,400,(IF(G107&lt;=6750,450,0)))))))))))))))</f>
        <v>0</v>
      </c>
      <c r="AA107" s="912">
        <f t="shared" ref="AA107" si="55">IF(G107&lt;=2000,5000,(IF(G107&lt;=5000,8000,(IF(G107&lt;=10000,10000,(IF(G107&lt;=18000,15000,(IF(G107&lt;=40000,20000,10000)))))))))</f>
        <v>20000</v>
      </c>
      <c r="AB107" s="912">
        <f>IF(E108=950,2,(IF(E108=1150,3,(IF(E108=1550,4,(IF(E108=1750,5,(IF(E108=2050,6,(IF(E108=2900,8,(IF(E108=3600,10,12)))))))))))))</f>
        <v>8</v>
      </c>
      <c r="AC107" s="912">
        <f>IF(G108=950,2,(IF(G108=1150,3,(IF(G108=1550,4,(IF(G108=1750,5,(IF(G108=2050,6,(IF(G108=2900,8,(IF(G108=3600,10,12)))))))))))))</f>
        <v>8</v>
      </c>
      <c r="AD107" s="912">
        <f t="shared" ref="AD107" si="56">AC107*AB107</f>
        <v>64</v>
      </c>
      <c r="AE107" s="912">
        <v>150</v>
      </c>
      <c r="AF107" s="912">
        <f t="shared" ref="AF107" si="57">CEILING((SQRT(G107/1000))*4*2*AE107*1.25*K107,100)</f>
        <v>7900</v>
      </c>
      <c r="AG107" s="912">
        <f>E115*F115*H115/(305*305)</f>
        <v>0</v>
      </c>
      <c r="AH107" s="912">
        <f>E116*F116*H116/(305*305)</f>
        <v>36</v>
      </c>
      <c r="AI107" s="912">
        <f>H117*E117*F117/(305*305)</f>
        <v>36</v>
      </c>
      <c r="AJ107" s="912">
        <f>H118*E118*F118/(305*305)</f>
        <v>36</v>
      </c>
      <c r="AK107" s="912">
        <f>H119*E119*F119/(305*305)</f>
        <v>0</v>
      </c>
      <c r="AL107" s="912"/>
      <c r="AM107" s="915">
        <f t="shared" ref="AM107" si="58">(G107*2.2/1100)</f>
        <v>55.000000000000007</v>
      </c>
      <c r="AN107" s="915">
        <f t="shared" ref="AN107" si="59">(G107*1/1100)</f>
        <v>25</v>
      </c>
    </row>
    <row r="108" spans="3:40" ht="14.1">
      <c r="C108" s="57"/>
      <c r="D108" s="175" t="s">
        <v>278</v>
      </c>
      <c r="E108" s="180">
        <f>'BOD-Cold &amp; Amb.'!AL91</f>
        <v>2900</v>
      </c>
      <c r="F108" s="175" t="s">
        <v>279</v>
      </c>
      <c r="G108" s="180">
        <f>'BOD-Cold &amp; Amb.'!AL93</f>
        <v>2900</v>
      </c>
      <c r="H108" s="175" t="s">
        <v>280</v>
      </c>
      <c r="I108" s="181">
        <f>'BOD-Cold &amp; Amb.'!AL95</f>
        <v>5800</v>
      </c>
      <c r="J108" s="902"/>
      <c r="K108" s="902"/>
      <c r="L108" s="902"/>
      <c r="M108" s="902"/>
      <c r="N108" s="902"/>
      <c r="O108" s="902"/>
      <c r="P108" s="902"/>
      <c r="Q108" s="913"/>
      <c r="R108" s="913"/>
      <c r="S108" s="913"/>
      <c r="T108" s="913"/>
      <c r="U108" s="912"/>
      <c r="V108" s="912"/>
      <c r="W108" s="913"/>
      <c r="X108" s="912"/>
      <c r="Y108" s="912"/>
      <c r="Z108" s="912"/>
      <c r="AA108" s="912"/>
      <c r="AB108" s="912"/>
      <c r="AC108" s="912"/>
      <c r="AD108" s="912"/>
      <c r="AE108" s="912"/>
      <c r="AF108" s="912"/>
      <c r="AG108" s="912"/>
      <c r="AH108" s="912"/>
      <c r="AI108" s="912"/>
      <c r="AJ108" s="912"/>
      <c r="AK108" s="912"/>
      <c r="AL108" s="912"/>
      <c r="AM108" s="915"/>
      <c r="AN108" s="915"/>
    </row>
    <row r="109" spans="3:40" ht="14.1">
      <c r="C109" s="57"/>
      <c r="D109" s="175" t="s">
        <v>281</v>
      </c>
      <c r="E109" s="180">
        <f>'BOD-Cold &amp; Amb.'!AN90</f>
        <v>1000</v>
      </c>
      <c r="F109" s="176" t="s">
        <v>282</v>
      </c>
      <c r="G109" s="180">
        <f>'BOD-Cold &amp; Amb.'!AM90</f>
        <v>150</v>
      </c>
      <c r="H109" s="176" t="s">
        <v>283</v>
      </c>
      <c r="I109" s="181">
        <f>'BOD-Cold &amp; Amb.'!AO90</f>
        <v>40</v>
      </c>
      <c r="J109" s="902"/>
      <c r="K109" s="902"/>
      <c r="L109" s="902"/>
      <c r="M109" s="902"/>
      <c r="N109" s="902"/>
      <c r="O109" s="902"/>
      <c r="P109" s="902"/>
      <c r="Q109" s="913"/>
      <c r="R109" s="913"/>
      <c r="S109" s="913"/>
      <c r="T109" s="913"/>
      <c r="U109" s="912"/>
      <c r="V109" s="912"/>
      <c r="W109" s="913"/>
      <c r="X109" s="912"/>
      <c r="Y109" s="912"/>
      <c r="Z109" s="912"/>
      <c r="AA109" s="912"/>
      <c r="AB109" s="912"/>
      <c r="AC109" s="912"/>
      <c r="AD109" s="912"/>
      <c r="AE109" s="912"/>
      <c r="AF109" s="912"/>
      <c r="AG109" s="912"/>
      <c r="AH109" s="912"/>
      <c r="AI109" s="912"/>
      <c r="AJ109" s="912"/>
      <c r="AK109" s="912"/>
      <c r="AL109" s="912"/>
      <c r="AM109" s="915"/>
      <c r="AN109" s="915"/>
    </row>
    <row r="110" spans="3:40" ht="21.6" customHeight="1">
      <c r="C110" s="57"/>
      <c r="D110" s="175" t="s">
        <v>284</v>
      </c>
      <c r="E110" s="180">
        <f>'BOD-Cold &amp; Amb.'!AP90</f>
        <v>4</v>
      </c>
      <c r="F110" s="832" t="s">
        <v>285</v>
      </c>
      <c r="G110" s="837" t="str">
        <f>IF(OR(I107=0, E110="Amb"), "Amb",IF('BOD-Cold &amp; Amb.'!AH70="C", "Header",IF('BOD-Cold &amp; Amb.'!AH70="D", "Distributor", "Refer")))</f>
        <v>Header</v>
      </c>
      <c r="H110" s="832" t="s">
        <v>286</v>
      </c>
      <c r="I110" s="833" t="str">
        <f>IF(OR(I107=0, E110=0), 0,ROUND(((( I107/E110)*304.8)/(E108-400))*1000,0)&amp;" h "&amp;" x " &amp; (E108-400)&amp;" w ")</f>
        <v xml:space="preserve">2271 h  x 2500 w </v>
      </c>
      <c r="J110" s="902"/>
      <c r="K110" s="902"/>
      <c r="L110" s="902"/>
      <c r="M110" s="902"/>
      <c r="N110" s="902"/>
      <c r="O110" s="902"/>
      <c r="P110" s="902"/>
      <c r="Q110" s="913"/>
      <c r="R110" s="913"/>
      <c r="S110" s="913"/>
      <c r="T110" s="913"/>
      <c r="U110" s="912"/>
      <c r="V110" s="912"/>
      <c r="W110" s="913"/>
      <c r="X110" s="912"/>
      <c r="Y110" s="912"/>
      <c r="Z110" s="912"/>
      <c r="AA110" s="912"/>
      <c r="AB110" s="912"/>
      <c r="AC110" s="912"/>
      <c r="AD110" s="912"/>
      <c r="AE110" s="912"/>
      <c r="AF110" s="912"/>
      <c r="AG110" s="912"/>
      <c r="AH110" s="912"/>
      <c r="AI110" s="912"/>
      <c r="AJ110" s="912"/>
      <c r="AK110" s="912"/>
      <c r="AL110" s="912"/>
      <c r="AM110" s="915"/>
      <c r="AN110" s="915"/>
    </row>
    <row r="111" spans="3:40" ht="21">
      <c r="C111" s="57"/>
      <c r="D111" s="175" t="s">
        <v>287</v>
      </c>
      <c r="E111" s="180">
        <f>'BOD-Cold &amp; Amb.'!AR90</f>
        <v>3</v>
      </c>
      <c r="F111" s="176" t="s">
        <v>288</v>
      </c>
      <c r="G111" s="177" t="str">
        <f>IF(E111=4,"10µ, 5µ, 1µ &amp; 0.3µ (HEPA Plenum Fitted 95% eff.)",IF(E111=3,"10µ, 5µ &amp; 1µ ",IF(E111=2,"10µ  &amp; 5µ",IF(E111=1,"10µ", "Filter Ratings"))))</f>
        <v xml:space="preserve">10µ, 5µ &amp; 1µ </v>
      </c>
      <c r="H111" s="178"/>
      <c r="I111" s="179"/>
      <c r="J111" s="902"/>
      <c r="K111" s="902"/>
      <c r="L111" s="902"/>
      <c r="M111" s="902"/>
      <c r="N111" s="902"/>
      <c r="O111" s="902"/>
      <c r="P111" s="902"/>
      <c r="Q111" s="913"/>
      <c r="R111" s="913"/>
      <c r="S111" s="913"/>
      <c r="T111" s="913"/>
      <c r="U111" s="912"/>
      <c r="V111" s="912"/>
      <c r="W111" s="913"/>
      <c r="X111" s="912"/>
      <c r="Y111" s="912"/>
      <c r="Z111" s="912"/>
      <c r="AA111" s="912"/>
      <c r="AB111" s="912"/>
      <c r="AC111" s="912"/>
      <c r="AD111" s="912"/>
      <c r="AE111" s="912"/>
      <c r="AF111" s="912"/>
      <c r="AG111" s="912"/>
      <c r="AH111" s="912"/>
      <c r="AI111" s="912"/>
      <c r="AJ111" s="912"/>
      <c r="AK111" s="912"/>
      <c r="AL111" s="912"/>
      <c r="AM111" s="915"/>
      <c r="AN111" s="915"/>
    </row>
    <row r="112" spans="3:40">
      <c r="C112" s="57"/>
      <c r="D112" s="922" t="s">
        <v>289</v>
      </c>
      <c r="E112" s="923"/>
      <c r="F112" s="923"/>
      <c r="G112" s="923"/>
      <c r="H112" s="923"/>
      <c r="I112" s="924"/>
      <c r="J112" s="902"/>
      <c r="K112" s="902"/>
      <c r="L112" s="902"/>
      <c r="M112" s="902"/>
      <c r="N112" s="902"/>
      <c r="O112" s="902"/>
      <c r="P112" s="902"/>
      <c r="Q112" s="913"/>
      <c r="R112" s="913"/>
      <c r="S112" s="913"/>
      <c r="T112" s="913"/>
      <c r="U112" s="912"/>
      <c r="V112" s="912"/>
      <c r="W112" s="913"/>
      <c r="X112" s="912"/>
      <c r="Y112" s="912"/>
      <c r="Z112" s="912"/>
      <c r="AA112" s="912"/>
      <c r="AB112" s="912"/>
      <c r="AC112" s="912"/>
      <c r="AD112" s="912"/>
      <c r="AE112" s="912"/>
      <c r="AF112" s="912"/>
      <c r="AG112" s="912"/>
      <c r="AH112" s="912"/>
      <c r="AI112" s="912"/>
      <c r="AJ112" s="912"/>
      <c r="AK112" s="912"/>
      <c r="AL112" s="912"/>
      <c r="AM112" s="915"/>
      <c r="AN112" s="915"/>
    </row>
    <row r="113" spans="3:40" ht="24.95">
      <c r="C113" s="57"/>
      <c r="D113" s="58" t="s">
        <v>290</v>
      </c>
      <c r="E113" s="58" t="s">
        <v>291</v>
      </c>
      <c r="F113" s="58" t="s">
        <v>292</v>
      </c>
      <c r="G113" s="58" t="s">
        <v>293</v>
      </c>
      <c r="H113" s="58" t="s">
        <v>294</v>
      </c>
      <c r="I113" s="179"/>
      <c r="J113" s="902"/>
      <c r="K113" s="902"/>
      <c r="L113" s="902"/>
      <c r="M113" s="902"/>
      <c r="N113" s="902"/>
      <c r="O113" s="902"/>
      <c r="P113" s="902"/>
      <c r="Q113" s="913"/>
      <c r="R113" s="913"/>
      <c r="S113" s="913"/>
      <c r="T113" s="913"/>
      <c r="U113" s="912"/>
      <c r="V113" s="912"/>
      <c r="W113" s="913"/>
      <c r="X113" s="912"/>
      <c r="Y113" s="912"/>
      <c r="Z113" s="912"/>
      <c r="AA113" s="912"/>
      <c r="AB113" s="912"/>
      <c r="AC113" s="912"/>
      <c r="AD113" s="912"/>
      <c r="AE113" s="912"/>
      <c r="AF113" s="912"/>
      <c r="AG113" s="912"/>
      <c r="AH113" s="912"/>
      <c r="AI113" s="912"/>
      <c r="AJ113" s="912"/>
      <c r="AK113" s="912"/>
      <c r="AL113" s="912"/>
      <c r="AM113" s="915"/>
      <c r="AN113" s="915"/>
    </row>
    <row r="114" spans="3:40" ht="14.1">
      <c r="C114" s="57"/>
      <c r="D114" s="58"/>
      <c r="E114" s="58">
        <f>IF(E108&lt;=950,2,(IF(E108&lt;=1150,3,(IF(E108&lt;=1550,4,(IF(E108&lt;=1750,5,(IF(E108&lt;=2050,6,(IF(E108&lt;=2900,8,(IF(E108&lt;=3600,10,IF(E108&lt;=4000,12,0))))))))))))))</f>
        <v>8</v>
      </c>
      <c r="F114" s="58">
        <f>IF(G108&lt;=950,2,(IF(G108&lt;=1150,3,(IF(G108&lt;=1550,4,(IF(G108&lt;=1750,5,(IF(G108&lt;=2050,6,(IF(G108&lt;=2900,8,(IF(G108&lt;=3600,10,IF(E108&lt;=4000,12,0))))))))))))))</f>
        <v>8</v>
      </c>
      <c r="G114" s="58"/>
      <c r="H114" s="60"/>
      <c r="I114" s="834"/>
      <c r="J114" s="902"/>
      <c r="K114" s="902"/>
      <c r="L114" s="902"/>
      <c r="M114" s="902"/>
      <c r="N114" s="902"/>
      <c r="O114" s="902"/>
      <c r="P114" s="902"/>
      <c r="Q114" s="913"/>
      <c r="R114" s="913"/>
      <c r="S114" s="913"/>
      <c r="T114" s="913"/>
      <c r="U114" s="912"/>
      <c r="V114" s="912"/>
      <c r="W114" s="913"/>
      <c r="X114" s="912"/>
      <c r="Y114" s="912"/>
      <c r="Z114" s="912"/>
      <c r="AA114" s="912"/>
      <c r="AB114" s="912"/>
      <c r="AC114" s="912"/>
      <c r="AD114" s="912"/>
      <c r="AE114" s="912"/>
      <c r="AF114" s="912"/>
      <c r="AG114" s="912"/>
      <c r="AH114" s="912"/>
      <c r="AI114" s="912"/>
      <c r="AJ114" s="912"/>
      <c r="AK114" s="912"/>
      <c r="AL114" s="912"/>
      <c r="AM114" s="915"/>
      <c r="AN114" s="915"/>
    </row>
    <row r="115" spans="3:40" ht="14.1">
      <c r="C115" s="57"/>
      <c r="D115" s="58">
        <f>IF(AND(I107=0, OR(E111=1, E111=2, E111=3, E111=4, E111=5)), "20µ", 0)</f>
        <v>0</v>
      </c>
      <c r="E115" s="58">
        <f>IF(OR(D115=0),0,IF(MOD($E$42*$F$42,2)=0,"610",IF(MOD($E$42*$F$42,2.5)=0,"760",IF(MOD($E$42*$F$42,3)=0,"915","Refer"))))</f>
        <v>0</v>
      </c>
      <c r="F115" s="58">
        <f>IF(OR(D115=0),0,IF(MOD($E$42*$F$42,6)=0,"915",IF(MOD($E$42*$F$42,5)=0,"760",IF(MOD($E$42*$F$42,4)=0,"610","Refer"))))</f>
        <v>0</v>
      </c>
      <c r="G115" s="58">
        <f>IF(D115=0,0,100)</f>
        <v>0</v>
      </c>
      <c r="H115" s="60">
        <f>IF(D115=0,0,($E$42*$F$42*305*305)/(E115*F115))</f>
        <v>0</v>
      </c>
      <c r="I115" s="834"/>
      <c r="J115" s="902"/>
      <c r="K115" s="902"/>
      <c r="L115" s="902"/>
      <c r="M115" s="902"/>
      <c r="N115" s="902"/>
      <c r="O115" s="902"/>
      <c r="P115" s="902"/>
      <c r="Q115" s="55"/>
      <c r="R115" s="55"/>
      <c r="S115" s="55"/>
      <c r="T115" s="55"/>
      <c r="U115" s="45"/>
      <c r="V115" s="45"/>
      <c r="W115" s="55"/>
      <c r="X115" s="45"/>
      <c r="Y115" s="45"/>
      <c r="Z115" s="45"/>
      <c r="AA115" s="45"/>
      <c r="AB115" s="45"/>
      <c r="AC115" s="45"/>
      <c r="AD115" s="45"/>
      <c r="AE115" s="45"/>
      <c r="AF115" s="45"/>
      <c r="AG115" s="45"/>
      <c r="AH115" s="45"/>
      <c r="AI115" s="45"/>
      <c r="AJ115" s="45"/>
      <c r="AK115" s="45"/>
      <c r="AL115" s="45"/>
      <c r="AM115" s="63"/>
      <c r="AN115" s="63"/>
    </row>
    <row r="116" spans="3:40" ht="14.1">
      <c r="C116" s="57"/>
      <c r="D116" s="58" t="str">
        <f>IF(E111=4,"10µ",IF(E111=3,"10µ",IF(E111=2,"10µ",IF(E111=1,"10µ",0))))</f>
        <v>10µ</v>
      </c>
      <c r="E116" s="58" t="str">
        <f>IF(OR(D116=0),0,IF(MOD($E$42*$F$42,2)=0,"610",IF(MOD($E$42*$F$42,2.5)=0,"760",IF(MOD($E$42*$F$42,3)=0,"915","Refer"))))</f>
        <v>610</v>
      </c>
      <c r="F116" s="58" t="str">
        <f>IF(OR(D116=0),0,IF(MOD($E$42*$F$42,6)=0,"915",IF(MOD($E$42*$F$42,5)=0,"760",IF(MOD($E$42*$F$42,4)=0,"610","Refer"))))</f>
        <v>915</v>
      </c>
      <c r="G116" s="58">
        <f>IF(D116=0,0,150)</f>
        <v>150</v>
      </c>
      <c r="H116" s="60">
        <f>IF(D116=0,0,($E$42*$F$42*305*305)/(E116*F116))</f>
        <v>6</v>
      </c>
      <c r="I116" s="834"/>
      <c r="J116" s="902"/>
      <c r="K116" s="902"/>
      <c r="L116" s="902"/>
      <c r="M116" s="902"/>
      <c r="N116" s="902"/>
      <c r="O116" s="902"/>
      <c r="P116" s="902"/>
      <c r="Q116" s="913"/>
      <c r="R116" s="913"/>
      <c r="S116" s="913"/>
      <c r="T116" s="913"/>
      <c r="U116" s="912"/>
      <c r="V116" s="912"/>
      <c r="W116" s="913"/>
      <c r="X116" s="912"/>
      <c r="Y116" s="912"/>
      <c r="Z116" s="912"/>
      <c r="AA116" s="912"/>
      <c r="AB116" s="912"/>
      <c r="AC116" s="912"/>
      <c r="AD116" s="912"/>
      <c r="AE116" s="912"/>
      <c r="AF116" s="912"/>
      <c r="AG116" s="912"/>
      <c r="AH116" s="912"/>
      <c r="AI116" s="912"/>
      <c r="AJ116" s="912"/>
      <c r="AK116" s="912"/>
      <c r="AL116" s="912"/>
      <c r="AM116" s="915"/>
      <c r="AN116" s="915"/>
    </row>
    <row r="117" spans="3:40" ht="14.1">
      <c r="C117" s="57"/>
      <c r="D117" s="58" t="str">
        <f>IF(E111=4,"5µ",IF(E111=3,"5µ",IF(E111=2,"5µ",0)))</f>
        <v>5µ</v>
      </c>
      <c r="E117" s="58" t="str">
        <f t="shared" ref="E117:E119" si="60">IF(OR(D117=0),0,IF(MOD($E$42*$F$42,2)=0,"610",IF(MOD($E$42*$F$42,2.5)=0,"760",IF(MOD($E$42*$F$42,3)=0,"915","Refer"))))</f>
        <v>610</v>
      </c>
      <c r="F117" s="58" t="str">
        <f>IF(OR(D117=0),0,IF(MOD($E$42*$F$42,6)=0,"915",IF(MOD($E$42*$F$42,5)=0,"760",IF(MOD($E$42*$F$42,4)=0,"610","Refer"))))</f>
        <v>915</v>
      </c>
      <c r="G117" s="58">
        <f>IF(D117=0,0,300)</f>
        <v>300</v>
      </c>
      <c r="H117" s="60">
        <f>IF(D117=0,0,($E$42*$F$42*305*305)/(E117*F117))</f>
        <v>6</v>
      </c>
      <c r="I117" s="834"/>
      <c r="J117" s="902"/>
      <c r="K117" s="902"/>
      <c r="L117" s="902"/>
      <c r="M117" s="902"/>
      <c r="N117" s="902"/>
      <c r="O117" s="902"/>
      <c r="P117" s="902"/>
      <c r="Q117" s="913"/>
      <c r="R117" s="913"/>
      <c r="S117" s="913"/>
      <c r="T117" s="913"/>
      <c r="U117" s="912"/>
      <c r="V117" s="912"/>
      <c r="W117" s="913"/>
      <c r="X117" s="912"/>
      <c r="Y117" s="912"/>
      <c r="Z117" s="912"/>
      <c r="AA117" s="912"/>
      <c r="AB117" s="912"/>
      <c r="AC117" s="912"/>
      <c r="AD117" s="912"/>
      <c r="AE117" s="912"/>
      <c r="AF117" s="912"/>
      <c r="AG117" s="912"/>
      <c r="AH117" s="912"/>
      <c r="AI117" s="912"/>
      <c r="AJ117" s="912"/>
      <c r="AK117" s="912"/>
      <c r="AL117" s="912"/>
      <c r="AM117" s="915"/>
      <c r="AN117" s="915"/>
    </row>
    <row r="118" spans="3:40" ht="14.1">
      <c r="C118" s="57"/>
      <c r="D118" s="58" t="str">
        <f>IF(E111=4,"1µ",IF(E111=3,"1µ",0))</f>
        <v>1µ</v>
      </c>
      <c r="E118" s="58" t="str">
        <f t="shared" si="60"/>
        <v>610</v>
      </c>
      <c r="F118" s="58" t="str">
        <f>IF(OR(D118=0),0,IF(MOD($E$42*$F$42,6)=0,"915",IF(MOD($E$42*$F$42,5)=0,"760",IF(MOD($E$42*$F$42,4)=0,"610","Refer"))))</f>
        <v>915</v>
      </c>
      <c r="G118" s="58">
        <f>IF(D118=0,0,300)</f>
        <v>300</v>
      </c>
      <c r="H118" s="60">
        <f>IF(D118=0,0,($E$42*$F$42*305*305)/(E118*F118))</f>
        <v>6</v>
      </c>
      <c r="I118" s="834"/>
      <c r="J118" s="902"/>
      <c r="K118" s="902"/>
      <c r="L118" s="902"/>
      <c r="M118" s="902"/>
      <c r="N118" s="902"/>
      <c r="O118" s="902"/>
      <c r="P118" s="902"/>
      <c r="Q118" s="913"/>
      <c r="R118" s="913"/>
      <c r="S118" s="913"/>
      <c r="T118" s="913"/>
      <c r="U118" s="912"/>
      <c r="V118" s="912"/>
      <c r="W118" s="913"/>
      <c r="X118" s="912"/>
      <c r="Y118" s="912"/>
      <c r="Z118" s="912"/>
      <c r="AA118" s="912"/>
      <c r="AB118" s="912"/>
      <c r="AC118" s="912"/>
      <c r="AD118" s="912"/>
      <c r="AE118" s="912"/>
      <c r="AF118" s="912"/>
      <c r="AG118" s="912"/>
      <c r="AH118" s="912"/>
      <c r="AI118" s="912"/>
      <c r="AJ118" s="912"/>
      <c r="AK118" s="912"/>
      <c r="AL118" s="912"/>
      <c r="AM118" s="915"/>
      <c r="AN118" s="915"/>
    </row>
    <row r="119" spans="3:40" ht="14.1">
      <c r="C119" s="57"/>
      <c r="D119" s="58">
        <f>IF(E111=4,"0.3µ 95% Eff. HEPA Filetr",0)</f>
        <v>0</v>
      </c>
      <c r="E119" s="58">
        <f t="shared" si="60"/>
        <v>0</v>
      </c>
      <c r="F119" s="58">
        <f>IF(OR(D119=0),0,IF(MOD($E$42*$F$42,6)=0,"915",IF(MOD($E$42*$F$42,5)=0,"760",IF(MOD($E$42*$F$42,4)=0,"610","Refer"))))</f>
        <v>0</v>
      </c>
      <c r="G119" s="58">
        <f>IF(D119=0,0,300)</f>
        <v>0</v>
      </c>
      <c r="H119" s="60">
        <f>IF(D119=0,0,($E$42*$F$42*305*305)/(E119*F119))</f>
        <v>0</v>
      </c>
      <c r="I119" s="836"/>
      <c r="J119" s="902"/>
      <c r="K119" s="902"/>
      <c r="L119" s="902"/>
      <c r="M119" s="902"/>
      <c r="N119" s="902"/>
      <c r="O119" s="902"/>
      <c r="P119" s="902"/>
      <c r="Q119" s="913"/>
      <c r="R119" s="913"/>
      <c r="S119" s="913"/>
      <c r="T119" s="913"/>
      <c r="U119" s="912"/>
      <c r="V119" s="912"/>
      <c r="W119" s="913"/>
      <c r="X119" s="912"/>
      <c r="Y119" s="912"/>
      <c r="Z119" s="912"/>
      <c r="AA119" s="912"/>
      <c r="AB119" s="912"/>
      <c r="AC119" s="912"/>
      <c r="AD119" s="912"/>
      <c r="AE119" s="912"/>
      <c r="AF119" s="912"/>
      <c r="AG119" s="912"/>
      <c r="AH119" s="912"/>
      <c r="AI119" s="912"/>
      <c r="AJ119" s="912"/>
      <c r="AK119" s="912"/>
      <c r="AL119" s="912"/>
      <c r="AM119" s="915"/>
      <c r="AN119" s="915"/>
    </row>
    <row r="120" spans="3:40" ht="14.1">
      <c r="C120" s="57"/>
      <c r="D120" s="826"/>
      <c r="E120" s="182"/>
      <c r="F120" s="182"/>
      <c r="G120" s="182"/>
      <c r="H120" s="182"/>
      <c r="I120" s="827"/>
      <c r="J120" s="52"/>
      <c r="K120" s="52"/>
      <c r="L120" s="52"/>
      <c r="M120" s="52"/>
      <c r="N120" s="52"/>
      <c r="O120" s="828"/>
      <c r="P120" s="828"/>
      <c r="Q120" s="55"/>
      <c r="R120" s="55"/>
      <c r="S120" s="55"/>
      <c r="T120" s="55"/>
      <c r="U120" s="45"/>
      <c r="V120" s="45"/>
      <c r="W120" s="55"/>
      <c r="X120" s="45"/>
      <c r="Y120" s="45"/>
      <c r="Z120" s="45"/>
      <c r="AA120" s="45"/>
      <c r="AB120" s="45"/>
      <c r="AC120" s="45"/>
      <c r="AD120" s="45"/>
      <c r="AE120" s="45"/>
      <c r="AF120" s="45"/>
      <c r="AG120" s="45"/>
      <c r="AH120" s="45"/>
      <c r="AI120" s="45"/>
      <c r="AJ120" s="45"/>
      <c r="AK120" s="45"/>
      <c r="AL120" s="45"/>
      <c r="AM120" s="63"/>
      <c r="AN120" s="63"/>
    </row>
    <row r="121" spans="3:40" ht="14.1" customHeight="1">
      <c r="C121" s="57"/>
      <c r="D121" s="901" t="str">
        <f>"AHU - " &amp; INT((ROW()-34)/14)+1 &amp; "  " &amp; IF(I122&gt;0,"Air-Conditioning System " &amp; IF(OR(G125="Header", G125="C"), "(Chilled Water)",IF(OR(G125="Distributor", G125="D"), "(DX)", "Ventilation System")),IF(NOT(I122&gt;0), "Ventilation System ( SUPPLY )", "Refer"))</f>
        <v>AHU - 7  Air-Conditioning System (Chilled Water)</v>
      </c>
      <c r="E121" s="901"/>
      <c r="F121" s="901"/>
      <c r="G121" s="901"/>
      <c r="H121" s="901"/>
      <c r="I121" s="901"/>
      <c r="J121" s="52"/>
      <c r="K121" s="52"/>
      <c r="L121" s="53"/>
      <c r="M121" s="53"/>
      <c r="N121" s="53"/>
      <c r="O121" s="54"/>
      <c r="P121" s="55"/>
      <c r="AM121" s="56"/>
      <c r="AN121" s="56"/>
    </row>
    <row r="122" spans="3:40" ht="14.1" customHeight="1">
      <c r="C122" s="57"/>
      <c r="D122" s="175" t="s">
        <v>274</v>
      </c>
      <c r="E122" s="180" t="str">
        <f>'BOD-Cold &amp; Amb.'!R110</f>
        <v>5 Micron</v>
      </c>
      <c r="F122" s="175" t="s">
        <v>275</v>
      </c>
      <c r="G122" s="180">
        <f>'BOD-Cold &amp; Amb.'!AK110</f>
        <v>28250</v>
      </c>
      <c r="H122" s="175" t="s">
        <v>276</v>
      </c>
      <c r="I122" s="181">
        <f>'BOD-Cold &amp; Amb.'!AQ110</f>
        <v>98</v>
      </c>
      <c r="J122" s="902" t="s">
        <v>277</v>
      </c>
      <c r="K122" s="902">
        <v>1</v>
      </c>
      <c r="L122" s="917">
        <f>Q122</f>
        <v>1529000</v>
      </c>
      <c r="M122" s="902">
        <f>K122*L122</f>
        <v>1529000</v>
      </c>
      <c r="N122" s="902"/>
      <c r="O122" s="902"/>
      <c r="P122" s="902"/>
      <c r="Q122" s="913">
        <f t="shared" ref="Q122" si="61">CEILING((S122+T122+U122+V122+W122),250)</f>
        <v>1529000</v>
      </c>
      <c r="R122" s="913">
        <f>IF(I122&gt;0,625,375)</f>
        <v>625</v>
      </c>
      <c r="S122" s="913">
        <f>(E123*G123*3*10.76+E123*I123*2*10.76+G123*I123*2*10.76)*R122/(1000*1000)</f>
        <v>637731.75</v>
      </c>
      <c r="T122" s="913">
        <f>I122*4*1050</f>
        <v>411600</v>
      </c>
      <c r="U122" s="912">
        <f>IF(G122&lt;=2000,5000,(IF(G122&lt;=5000,8000,(IF(G122&lt;=10000,10000,(IF(G122&lt;=18000,15000,(IF(G122&lt;=40000,20000,25000)))))))))</f>
        <v>20000</v>
      </c>
      <c r="V122" s="912">
        <f t="shared" ref="V122" si="62">IF(X122=200,17150,(IF(X122=225,18150,(IF(X122=250,18900,(IF(X122=280,19150,(IF(X122=315,19650,(IF(X122=355,21900,(IF(X122=400,24400,0)))))))))))))+IF(X122=450,31000,(IF(X122=500,37450,(IF(X122=560,45650,(IF(X122=630,58900,(IF(X122=710,77950,0)))))))))+IF(X122=800,119650,(IF(X122=900,153300,(IF(X122=1000,178900,(IF(X122=1120,286500,(IF(X122=1250,394500,(IF(X122=1450,461500,0)))))))))))</f>
        <v>178900</v>
      </c>
      <c r="W122" s="913">
        <f>IF(I124=0.5,16600,(IF(I124=1,19050,(IF(I124=1.5,21750,(IF(I124=2,23600,(IF(I124=3,30000,(IF(I124=5,38000,0)))))))))))*1.2+IF(I124=7.5,52300,(IF(I124=10,59600,0)))*1.2+IF(I124=12.5,100350,(IF(I124=15,106000,(IF(I124=20,129150,(IF(I124=25,146050,(IF(I124=30,173600,(IF(I124=40,233900,(IF(I124=50,304650,IF(I124=60,350000,400000)))))))))))))*1.2)</f>
        <v>280680</v>
      </c>
      <c r="X122" s="912">
        <f>E124</f>
        <v>1000</v>
      </c>
      <c r="Y122" s="912">
        <f t="shared" ref="Y122" si="63">IF(G122&lt;=6750,450,(IF(G122&lt;=8500,500,(IF(G122&lt;=10750,560,(IF(G122&lt;=13500,630,(IF(G122&lt;=17000,710,(IF(G122&lt;=21500,800,(IF(G122&lt;=27000,900,(IF(G122&lt;=34000,1000,0)))))))))))))))</f>
        <v>1000</v>
      </c>
      <c r="Z122" s="912">
        <f t="shared" ref="Z122" si="64">IF(G122&lt;=1300,200,(IF(G122&lt;=1600,225,(IF(G122&lt;=2100,250,(IF(G122&lt;=2700,280,(IF(G122&lt;=3450,315,(IF(G122&lt;=4250,355,(IF(G122&lt;=5250,400,(IF(G122&lt;=6750,450,0)))))))))))))))</f>
        <v>0</v>
      </c>
      <c r="AA122" s="912">
        <f t="shared" ref="AA122" si="65">IF(G122&lt;=2000,5000,(IF(G122&lt;=5000,8000,(IF(G122&lt;=10000,10000,(IF(G122&lt;=18000,15000,(IF(G122&lt;=40000,20000,10000)))))))))</f>
        <v>20000</v>
      </c>
      <c r="AB122" s="912">
        <f>IF(E123=950,2,(IF(E123=1150,3,(IF(E123=1550,4,(IF(E123=1750,5,(IF(E123=2050,6,(IF(E123=2900,8,(IF(E123=3600,10,12)))))))))))))</f>
        <v>8</v>
      </c>
      <c r="AC122" s="912">
        <f>IF(G123=950,2,(IF(G123=1150,3,(IF(G123=1550,4,(IF(G123=1750,5,(IF(G123=2050,6,(IF(G123=2900,8,(IF(G123=3600,10,12)))))))))))))</f>
        <v>8</v>
      </c>
      <c r="AD122" s="912">
        <f t="shared" ref="AD122" si="66">AC122*AB122</f>
        <v>64</v>
      </c>
      <c r="AE122" s="912">
        <v>150</v>
      </c>
      <c r="AF122" s="912">
        <f t="shared" ref="AF122" si="67">CEILING((SQRT(G122/1000))*4*2*AE122*1.25*K122,100)</f>
        <v>8000</v>
      </c>
      <c r="AG122" s="912">
        <f>E130*F130*H130/(305*305)</f>
        <v>0</v>
      </c>
      <c r="AH122" s="912">
        <f>E131*F131*H131/(305*305)</f>
        <v>36</v>
      </c>
      <c r="AI122" s="912">
        <f>H132*E132*F132/(305*305)</f>
        <v>36</v>
      </c>
      <c r="AJ122" s="912">
        <f>H133*E133*F133/(305*305)</f>
        <v>36</v>
      </c>
      <c r="AK122" s="912">
        <f>H134*E134*F134/(305*305)</f>
        <v>0</v>
      </c>
      <c r="AL122" s="912"/>
      <c r="AM122" s="915">
        <f t="shared" ref="AM122" si="68">(G122*2.2/1100)</f>
        <v>56.500000000000007</v>
      </c>
      <c r="AN122" s="915">
        <f t="shared" ref="AN122" si="69">(G122*1/1100)</f>
        <v>25.681818181818183</v>
      </c>
    </row>
    <row r="123" spans="3:40" ht="14.1">
      <c r="C123" s="57"/>
      <c r="D123" s="175" t="s">
        <v>278</v>
      </c>
      <c r="E123" s="180">
        <f>'BOD-Cold &amp; Amb.'!AL111</f>
        <v>2900</v>
      </c>
      <c r="F123" s="175" t="s">
        <v>279</v>
      </c>
      <c r="G123" s="180">
        <f>'BOD-Cold &amp; Amb.'!AL113</f>
        <v>2900</v>
      </c>
      <c r="H123" s="175" t="s">
        <v>280</v>
      </c>
      <c r="I123" s="181">
        <f>'BOD-Cold &amp; Amb.'!AL115</f>
        <v>6000</v>
      </c>
      <c r="J123" s="902"/>
      <c r="K123" s="902"/>
      <c r="L123" s="902"/>
      <c r="M123" s="902"/>
      <c r="N123" s="902"/>
      <c r="O123" s="902"/>
      <c r="P123" s="902"/>
      <c r="Q123" s="913"/>
      <c r="R123" s="913"/>
      <c r="S123" s="913"/>
      <c r="T123" s="913"/>
      <c r="U123" s="912"/>
      <c r="V123" s="912"/>
      <c r="W123" s="913"/>
      <c r="X123" s="912"/>
      <c r="Y123" s="912"/>
      <c r="Z123" s="912"/>
      <c r="AA123" s="912"/>
      <c r="AB123" s="912"/>
      <c r="AC123" s="912"/>
      <c r="AD123" s="912"/>
      <c r="AE123" s="912"/>
      <c r="AF123" s="912"/>
      <c r="AG123" s="912"/>
      <c r="AH123" s="912"/>
      <c r="AI123" s="912"/>
      <c r="AJ123" s="912"/>
      <c r="AK123" s="912"/>
      <c r="AL123" s="912"/>
      <c r="AM123" s="915"/>
      <c r="AN123" s="915"/>
    </row>
    <row r="124" spans="3:40" ht="14.1">
      <c r="C124" s="57"/>
      <c r="D124" s="175" t="s">
        <v>281</v>
      </c>
      <c r="E124" s="180">
        <f>'BOD-Cold &amp; Amb.'!AN110</f>
        <v>1000</v>
      </c>
      <c r="F124" s="176" t="s">
        <v>282</v>
      </c>
      <c r="G124" s="180">
        <f>'BOD-Cold &amp; Amb.'!AM110</f>
        <v>150</v>
      </c>
      <c r="H124" s="176" t="s">
        <v>283</v>
      </c>
      <c r="I124" s="181">
        <f>'BOD-Cold &amp; Amb.'!AO110</f>
        <v>40</v>
      </c>
      <c r="J124" s="902"/>
      <c r="K124" s="902"/>
      <c r="L124" s="902"/>
      <c r="M124" s="902"/>
      <c r="N124" s="902"/>
      <c r="O124" s="902"/>
      <c r="P124" s="902"/>
      <c r="Q124" s="913"/>
      <c r="R124" s="913"/>
      <c r="S124" s="913"/>
      <c r="T124" s="913"/>
      <c r="U124" s="912"/>
      <c r="V124" s="912"/>
      <c r="W124" s="913"/>
      <c r="X124" s="912"/>
      <c r="Y124" s="912"/>
      <c r="Z124" s="912"/>
      <c r="AA124" s="912"/>
      <c r="AB124" s="912"/>
      <c r="AC124" s="912"/>
      <c r="AD124" s="912"/>
      <c r="AE124" s="912"/>
      <c r="AF124" s="912"/>
      <c r="AG124" s="912"/>
      <c r="AH124" s="912"/>
      <c r="AI124" s="912"/>
      <c r="AJ124" s="912"/>
      <c r="AK124" s="912"/>
      <c r="AL124" s="912"/>
      <c r="AM124" s="915"/>
      <c r="AN124" s="915"/>
    </row>
    <row r="125" spans="3:40" ht="21.6" customHeight="1">
      <c r="C125" s="57"/>
      <c r="D125" s="175" t="s">
        <v>284</v>
      </c>
      <c r="E125" s="180">
        <f>'BOD-Cold &amp; Amb.'!AP110</f>
        <v>6</v>
      </c>
      <c r="F125" s="832" t="s">
        <v>285</v>
      </c>
      <c r="G125" s="837" t="str">
        <f>IF(OR(I122=0, E125="Amb"), "Amb",IF('BOD-Cold &amp; Amb.'!AH85="C", "Header",IF('BOD-Cold &amp; Amb.'!AH85="D", "Distributor", "Refer")))</f>
        <v>Header</v>
      </c>
      <c r="H125" s="832" t="s">
        <v>286</v>
      </c>
      <c r="I125" s="833" t="str">
        <f>IF(OR(I122=0, E125=0), 0,ROUND(((( I122/E125)*304.8)/(E123-400))*1000,0)&amp;" h "&amp;" x " &amp; (E123-400)&amp;" w ")</f>
        <v xml:space="preserve">1991 h  x 2500 w </v>
      </c>
      <c r="J125" s="902"/>
      <c r="K125" s="902"/>
      <c r="L125" s="902"/>
      <c r="M125" s="902"/>
      <c r="N125" s="902"/>
      <c r="O125" s="902"/>
      <c r="P125" s="902"/>
      <c r="Q125" s="913"/>
      <c r="R125" s="913"/>
      <c r="S125" s="913"/>
      <c r="T125" s="913"/>
      <c r="U125" s="912"/>
      <c r="V125" s="912"/>
      <c r="W125" s="913"/>
      <c r="X125" s="912"/>
      <c r="Y125" s="912"/>
      <c r="Z125" s="912"/>
      <c r="AA125" s="912"/>
      <c r="AB125" s="912"/>
      <c r="AC125" s="912"/>
      <c r="AD125" s="912"/>
      <c r="AE125" s="912"/>
      <c r="AF125" s="912"/>
      <c r="AG125" s="912"/>
      <c r="AH125" s="912"/>
      <c r="AI125" s="912"/>
      <c r="AJ125" s="912"/>
      <c r="AK125" s="912"/>
      <c r="AL125" s="912"/>
      <c r="AM125" s="915"/>
      <c r="AN125" s="915"/>
    </row>
    <row r="126" spans="3:40" ht="21">
      <c r="C126" s="57"/>
      <c r="D126" s="175" t="s">
        <v>287</v>
      </c>
      <c r="E126" s="180">
        <f>'BOD-Cold &amp; Amb.'!AR110</f>
        <v>3</v>
      </c>
      <c r="F126" s="176" t="s">
        <v>288</v>
      </c>
      <c r="G126" s="177" t="str">
        <f>IF(E126=4,"10µ, 5µ, 1µ &amp; 0.3µ (HEPA Plenum Fitted 95% eff.)",IF(E126=3,"10µ, 5µ &amp; 1µ ",IF(E126=2,"10µ  &amp; 5µ",IF(E126=1,"10µ", "Filter Ratings"))))</f>
        <v xml:space="preserve">10µ, 5µ &amp; 1µ </v>
      </c>
      <c r="H126" s="178"/>
      <c r="I126" s="179"/>
      <c r="J126" s="902"/>
      <c r="K126" s="902"/>
      <c r="L126" s="902"/>
      <c r="M126" s="902"/>
      <c r="N126" s="902"/>
      <c r="O126" s="902"/>
      <c r="P126" s="902"/>
      <c r="Q126" s="913"/>
      <c r="R126" s="913"/>
      <c r="S126" s="913"/>
      <c r="T126" s="913"/>
      <c r="U126" s="912"/>
      <c r="V126" s="912"/>
      <c r="W126" s="913"/>
      <c r="X126" s="912"/>
      <c r="Y126" s="912"/>
      <c r="Z126" s="912"/>
      <c r="AA126" s="912"/>
      <c r="AB126" s="912"/>
      <c r="AC126" s="912"/>
      <c r="AD126" s="912"/>
      <c r="AE126" s="912"/>
      <c r="AF126" s="912"/>
      <c r="AG126" s="912"/>
      <c r="AH126" s="912"/>
      <c r="AI126" s="912"/>
      <c r="AJ126" s="912"/>
      <c r="AK126" s="912"/>
      <c r="AL126" s="912"/>
      <c r="AM126" s="915"/>
      <c r="AN126" s="915"/>
    </row>
    <row r="127" spans="3:40">
      <c r="C127" s="57"/>
      <c r="D127" s="922" t="s">
        <v>289</v>
      </c>
      <c r="E127" s="923"/>
      <c r="F127" s="923"/>
      <c r="G127" s="923"/>
      <c r="H127" s="923"/>
      <c r="I127" s="924"/>
      <c r="J127" s="902"/>
      <c r="K127" s="902"/>
      <c r="L127" s="902"/>
      <c r="M127" s="902"/>
      <c r="N127" s="902"/>
      <c r="O127" s="902"/>
      <c r="P127" s="902"/>
      <c r="Q127" s="913"/>
      <c r="R127" s="913"/>
      <c r="S127" s="913"/>
      <c r="T127" s="913"/>
      <c r="U127" s="912"/>
      <c r="V127" s="912"/>
      <c r="W127" s="913"/>
      <c r="X127" s="912"/>
      <c r="Y127" s="912"/>
      <c r="Z127" s="912"/>
      <c r="AA127" s="912"/>
      <c r="AB127" s="912"/>
      <c r="AC127" s="912"/>
      <c r="AD127" s="912"/>
      <c r="AE127" s="912"/>
      <c r="AF127" s="912"/>
      <c r="AG127" s="912"/>
      <c r="AH127" s="912"/>
      <c r="AI127" s="912"/>
      <c r="AJ127" s="912"/>
      <c r="AK127" s="912"/>
      <c r="AL127" s="912"/>
      <c r="AM127" s="915"/>
      <c r="AN127" s="915"/>
    </row>
    <row r="128" spans="3:40" ht="24.95">
      <c r="C128" s="57"/>
      <c r="D128" s="58" t="s">
        <v>290</v>
      </c>
      <c r="E128" s="58" t="s">
        <v>291</v>
      </c>
      <c r="F128" s="58" t="s">
        <v>292</v>
      </c>
      <c r="G128" s="58" t="s">
        <v>293</v>
      </c>
      <c r="H128" s="58" t="s">
        <v>294</v>
      </c>
      <c r="I128" s="179"/>
      <c r="J128" s="902"/>
      <c r="K128" s="902"/>
      <c r="L128" s="902"/>
      <c r="M128" s="902"/>
      <c r="N128" s="902"/>
      <c r="O128" s="902"/>
      <c r="P128" s="902"/>
      <c r="Q128" s="913"/>
      <c r="R128" s="913"/>
      <c r="S128" s="913"/>
      <c r="T128" s="913"/>
      <c r="U128" s="912"/>
      <c r="V128" s="912"/>
      <c r="W128" s="913"/>
      <c r="X128" s="912"/>
      <c r="Y128" s="912"/>
      <c r="Z128" s="912"/>
      <c r="AA128" s="912"/>
      <c r="AB128" s="912"/>
      <c r="AC128" s="912"/>
      <c r="AD128" s="912"/>
      <c r="AE128" s="912"/>
      <c r="AF128" s="912"/>
      <c r="AG128" s="912"/>
      <c r="AH128" s="912"/>
      <c r="AI128" s="912"/>
      <c r="AJ128" s="912"/>
      <c r="AK128" s="912"/>
      <c r="AL128" s="912"/>
      <c r="AM128" s="915"/>
      <c r="AN128" s="915"/>
    </row>
    <row r="129" spans="3:40" ht="14.1">
      <c r="C129" s="57"/>
      <c r="D129" s="58"/>
      <c r="E129" s="58">
        <f>IF(E123&lt;=950,2,(IF(E123&lt;=1150,3,(IF(E123&lt;=1550,4,(IF(E123&lt;=1750,5,(IF(E123&lt;=2050,6,(IF(E123&lt;=2900,8,(IF(E123&lt;=3600,10,IF(E123&lt;=4000,12,0))))))))))))))</f>
        <v>8</v>
      </c>
      <c r="F129" s="58">
        <f>IF(G123&lt;=950,2,(IF(G123&lt;=1150,3,(IF(G123&lt;=1550,4,(IF(G123&lt;=1750,5,(IF(G123&lt;=2050,6,(IF(G123&lt;=2900,8,(IF(G123&lt;=3600,10,IF(E123&lt;=4000,12,0))))))))))))))</f>
        <v>8</v>
      </c>
      <c r="G129" s="58"/>
      <c r="H129" s="60"/>
      <c r="I129" s="834"/>
      <c r="J129" s="902"/>
      <c r="K129" s="902"/>
      <c r="L129" s="902"/>
      <c r="M129" s="902"/>
      <c r="N129" s="902"/>
      <c r="O129" s="902"/>
      <c r="P129" s="902"/>
      <c r="Q129" s="913"/>
      <c r="R129" s="913"/>
      <c r="S129" s="913"/>
      <c r="T129" s="913"/>
      <c r="U129" s="912"/>
      <c r="V129" s="912"/>
      <c r="W129" s="913"/>
      <c r="X129" s="912"/>
      <c r="Y129" s="912"/>
      <c r="Z129" s="912"/>
      <c r="AA129" s="912"/>
      <c r="AB129" s="912"/>
      <c r="AC129" s="912"/>
      <c r="AD129" s="912"/>
      <c r="AE129" s="912"/>
      <c r="AF129" s="912"/>
      <c r="AG129" s="912"/>
      <c r="AH129" s="912"/>
      <c r="AI129" s="912"/>
      <c r="AJ129" s="912"/>
      <c r="AK129" s="912"/>
      <c r="AL129" s="912"/>
      <c r="AM129" s="915"/>
      <c r="AN129" s="915"/>
    </row>
    <row r="130" spans="3:40" ht="14.1">
      <c r="C130" s="57"/>
      <c r="D130" s="58">
        <f>IF(AND(I122=0, OR(E126=1, E126=2, E126=3, E126=4, E126=5)), "20µ", 0)</f>
        <v>0</v>
      </c>
      <c r="E130" s="58">
        <f>IF(OR(D130=0),0,IF(MOD($E$42*$F$42,2)=0,"610",IF(MOD($E$42*$F$42,2.5)=0,"760",IF(MOD($E$42*$F$42,3)=0,"915","Refer"))))</f>
        <v>0</v>
      </c>
      <c r="F130" s="58">
        <f>IF(OR(D130=0),0,IF(MOD($E$42*$F$42,6)=0,"915",IF(MOD($E$42*$F$42,5)=0,"760",IF(MOD($E$42*$F$42,4)=0,"610","Refer"))))</f>
        <v>0</v>
      </c>
      <c r="G130" s="58">
        <f>IF(D130=0,0,100)</f>
        <v>0</v>
      </c>
      <c r="H130" s="60">
        <f>IF(D130=0,0,($E$42*$F$42*305*305)/(E130*F130))</f>
        <v>0</v>
      </c>
      <c r="I130" s="834"/>
      <c r="J130" s="902"/>
      <c r="K130" s="902"/>
      <c r="L130" s="902"/>
      <c r="M130" s="902"/>
      <c r="N130" s="902"/>
      <c r="O130" s="902"/>
      <c r="P130" s="902"/>
      <c r="Q130" s="55"/>
      <c r="R130" s="55"/>
      <c r="S130" s="55"/>
      <c r="T130" s="55"/>
      <c r="U130" s="45"/>
      <c r="V130" s="45"/>
      <c r="W130" s="55"/>
      <c r="X130" s="45"/>
      <c r="Y130" s="45"/>
      <c r="Z130" s="45"/>
      <c r="AA130" s="45"/>
      <c r="AB130" s="45"/>
      <c r="AC130" s="45"/>
      <c r="AD130" s="45"/>
      <c r="AE130" s="45"/>
      <c r="AF130" s="45"/>
      <c r="AG130" s="45"/>
      <c r="AH130" s="45"/>
      <c r="AI130" s="45"/>
      <c r="AJ130" s="45"/>
      <c r="AK130" s="45"/>
      <c r="AL130" s="45"/>
      <c r="AM130" s="63"/>
      <c r="AN130" s="63"/>
    </row>
    <row r="131" spans="3:40" ht="14.1">
      <c r="C131" s="57"/>
      <c r="D131" s="58" t="str">
        <f>IF(E126=4,"10µ",IF(E126=3,"10µ",IF(E126=2,"10µ",IF(E126=1,"10µ",0))))</f>
        <v>10µ</v>
      </c>
      <c r="E131" s="58" t="str">
        <f>IF(OR(D131=0),0,IF(MOD($E$42*$F$42,2)=0,"610",IF(MOD($E$42*$F$42,2.5)=0,"760",IF(MOD($E$42*$F$42,3)=0,"915","Refer"))))</f>
        <v>610</v>
      </c>
      <c r="F131" s="58" t="str">
        <f>IF(OR(D131=0),0,IF(MOD($E$42*$F$42,6)=0,"915",IF(MOD($E$42*$F$42,5)=0,"760",IF(MOD($E$42*$F$42,4)=0,"610","Refer"))))</f>
        <v>915</v>
      </c>
      <c r="G131" s="58">
        <f>IF(D131=0,0,150)</f>
        <v>150</v>
      </c>
      <c r="H131" s="60">
        <f>IF(D131=0,0,($E$42*$F$42*305*305)/(E131*F131))</f>
        <v>6</v>
      </c>
      <c r="I131" s="834"/>
      <c r="J131" s="902"/>
      <c r="K131" s="902"/>
      <c r="L131" s="902"/>
      <c r="M131" s="902"/>
      <c r="N131" s="902"/>
      <c r="O131" s="902"/>
      <c r="P131" s="902"/>
      <c r="Q131" s="913"/>
      <c r="R131" s="913"/>
      <c r="S131" s="913"/>
      <c r="T131" s="913"/>
      <c r="U131" s="912"/>
      <c r="V131" s="912"/>
      <c r="W131" s="913"/>
      <c r="X131" s="912"/>
      <c r="Y131" s="912"/>
      <c r="Z131" s="912"/>
      <c r="AA131" s="912"/>
      <c r="AB131" s="912"/>
      <c r="AC131" s="912"/>
      <c r="AD131" s="912"/>
      <c r="AE131" s="912"/>
      <c r="AF131" s="912"/>
      <c r="AG131" s="912"/>
      <c r="AH131" s="912"/>
      <c r="AI131" s="912"/>
      <c r="AJ131" s="912"/>
      <c r="AK131" s="912"/>
      <c r="AL131" s="912"/>
      <c r="AM131" s="915"/>
      <c r="AN131" s="915"/>
    </row>
    <row r="132" spans="3:40" ht="14.1">
      <c r="C132" s="57"/>
      <c r="D132" s="58" t="str">
        <f>IF(E126=4,"5µ",IF(E126=3,"5µ",IF(E126=2,"5µ",0)))</f>
        <v>5µ</v>
      </c>
      <c r="E132" s="58" t="str">
        <f t="shared" ref="E132:E134" si="70">IF(OR(D132=0),0,IF(MOD($E$42*$F$42,2)=0,"610",IF(MOD($E$42*$F$42,2.5)=0,"760",IF(MOD($E$42*$F$42,3)=0,"915","Refer"))))</f>
        <v>610</v>
      </c>
      <c r="F132" s="58" t="str">
        <f>IF(OR(D132=0),0,IF(MOD($E$42*$F$42,6)=0,"915",IF(MOD($E$42*$F$42,5)=0,"760",IF(MOD($E$42*$F$42,4)=0,"610","Refer"))))</f>
        <v>915</v>
      </c>
      <c r="G132" s="58">
        <f>IF(D132=0,0,300)</f>
        <v>300</v>
      </c>
      <c r="H132" s="60">
        <f>IF(D132=0,0,($E$42*$F$42*305*305)/(E132*F132))</f>
        <v>6</v>
      </c>
      <c r="I132" s="834"/>
      <c r="J132" s="902"/>
      <c r="K132" s="902"/>
      <c r="L132" s="902"/>
      <c r="M132" s="902"/>
      <c r="N132" s="902"/>
      <c r="O132" s="902"/>
      <c r="P132" s="902"/>
      <c r="Q132" s="913"/>
      <c r="R132" s="913"/>
      <c r="S132" s="913"/>
      <c r="T132" s="913"/>
      <c r="U132" s="912"/>
      <c r="V132" s="912"/>
      <c r="W132" s="913"/>
      <c r="X132" s="912"/>
      <c r="Y132" s="912"/>
      <c r="Z132" s="912"/>
      <c r="AA132" s="912"/>
      <c r="AB132" s="912"/>
      <c r="AC132" s="912"/>
      <c r="AD132" s="912"/>
      <c r="AE132" s="912"/>
      <c r="AF132" s="912"/>
      <c r="AG132" s="912"/>
      <c r="AH132" s="912"/>
      <c r="AI132" s="912"/>
      <c r="AJ132" s="912"/>
      <c r="AK132" s="912"/>
      <c r="AL132" s="912"/>
      <c r="AM132" s="915"/>
      <c r="AN132" s="915"/>
    </row>
    <row r="133" spans="3:40" ht="14.1">
      <c r="C133" s="57"/>
      <c r="D133" s="58" t="str">
        <f>IF(E126=4,"1µ",IF(E126=3,"1µ",0))</f>
        <v>1µ</v>
      </c>
      <c r="E133" s="58" t="str">
        <f t="shared" si="70"/>
        <v>610</v>
      </c>
      <c r="F133" s="58" t="str">
        <f>IF(OR(D133=0),0,IF(MOD($E$42*$F$42,6)=0,"915",IF(MOD($E$42*$F$42,5)=0,"760",IF(MOD($E$42*$F$42,4)=0,"610","Refer"))))</f>
        <v>915</v>
      </c>
      <c r="G133" s="58">
        <f>IF(D133=0,0,300)</f>
        <v>300</v>
      </c>
      <c r="H133" s="60">
        <f>IF(D133=0,0,($E$42*$F$42*305*305)/(E133*F133))</f>
        <v>6</v>
      </c>
      <c r="I133" s="834"/>
      <c r="J133" s="902"/>
      <c r="K133" s="902"/>
      <c r="L133" s="902"/>
      <c r="M133" s="902"/>
      <c r="N133" s="902"/>
      <c r="O133" s="902"/>
      <c r="P133" s="902"/>
      <c r="Q133" s="913"/>
      <c r="R133" s="913"/>
      <c r="S133" s="913"/>
      <c r="T133" s="913"/>
      <c r="U133" s="912"/>
      <c r="V133" s="912"/>
      <c r="W133" s="913"/>
      <c r="X133" s="912"/>
      <c r="Y133" s="912"/>
      <c r="Z133" s="912"/>
      <c r="AA133" s="912"/>
      <c r="AB133" s="912"/>
      <c r="AC133" s="912"/>
      <c r="AD133" s="912"/>
      <c r="AE133" s="912"/>
      <c r="AF133" s="912"/>
      <c r="AG133" s="912"/>
      <c r="AH133" s="912"/>
      <c r="AI133" s="912"/>
      <c r="AJ133" s="912"/>
      <c r="AK133" s="912"/>
      <c r="AL133" s="912"/>
      <c r="AM133" s="915"/>
      <c r="AN133" s="915"/>
    </row>
    <row r="134" spans="3:40" ht="14.1">
      <c r="C134" s="57"/>
      <c r="D134" s="58">
        <f>IF(E126=4,"0.3µ 95% Eff. HEPA Filetr",0)</f>
        <v>0</v>
      </c>
      <c r="E134" s="58">
        <f t="shared" si="70"/>
        <v>0</v>
      </c>
      <c r="F134" s="58">
        <f>IF(OR(D134=0),0,IF(MOD($E$42*$F$42,6)=0,"915",IF(MOD($E$42*$F$42,5)=0,"760",IF(MOD($E$42*$F$42,4)=0,"610","Refer"))))</f>
        <v>0</v>
      </c>
      <c r="G134" s="58">
        <f>IF(D134=0,0,300)</f>
        <v>0</v>
      </c>
      <c r="H134" s="60">
        <f>IF(D134=0,0,($E$42*$F$42*305*305)/(E134*F134))</f>
        <v>0</v>
      </c>
      <c r="I134" s="836"/>
      <c r="J134" s="902"/>
      <c r="K134" s="902"/>
      <c r="L134" s="902"/>
      <c r="M134" s="902"/>
      <c r="N134" s="902"/>
      <c r="O134" s="902"/>
      <c r="P134" s="902"/>
      <c r="Q134" s="913"/>
      <c r="R134" s="913"/>
      <c r="S134" s="913"/>
      <c r="T134" s="913"/>
      <c r="U134" s="912"/>
      <c r="V134" s="912"/>
      <c r="W134" s="913"/>
      <c r="X134" s="912"/>
      <c r="Y134" s="912"/>
      <c r="Z134" s="912"/>
      <c r="AA134" s="912"/>
      <c r="AB134" s="912"/>
      <c r="AC134" s="912"/>
      <c r="AD134" s="912"/>
      <c r="AE134" s="912"/>
      <c r="AF134" s="912"/>
      <c r="AG134" s="912"/>
      <c r="AH134" s="912"/>
      <c r="AI134" s="912"/>
      <c r="AJ134" s="912"/>
      <c r="AK134" s="912"/>
      <c r="AL134" s="912"/>
      <c r="AM134" s="915"/>
      <c r="AN134" s="915"/>
    </row>
    <row r="135" spans="3:40" ht="14.1">
      <c r="C135" s="57"/>
      <c r="D135" s="826"/>
      <c r="E135" s="182"/>
      <c r="F135" s="182"/>
      <c r="G135" s="182"/>
      <c r="H135" s="182"/>
      <c r="I135" s="827"/>
      <c r="J135" s="52"/>
      <c r="K135" s="52"/>
      <c r="L135" s="52"/>
      <c r="M135" s="52"/>
      <c r="N135" s="52"/>
      <c r="O135" s="828"/>
      <c r="P135" s="828"/>
      <c r="Q135" s="55"/>
      <c r="R135" s="55"/>
      <c r="S135" s="55"/>
      <c r="T135" s="55"/>
      <c r="U135" s="45"/>
      <c r="V135" s="45"/>
      <c r="W135" s="55"/>
      <c r="X135" s="45"/>
      <c r="Y135" s="45"/>
      <c r="Z135" s="45"/>
      <c r="AA135" s="45"/>
      <c r="AB135" s="45"/>
      <c r="AC135" s="45"/>
      <c r="AD135" s="45"/>
      <c r="AE135" s="45"/>
      <c r="AF135" s="45"/>
      <c r="AG135" s="45"/>
      <c r="AH135" s="45"/>
      <c r="AI135" s="45"/>
      <c r="AJ135" s="45"/>
      <c r="AK135" s="45"/>
      <c r="AL135" s="45"/>
      <c r="AM135" s="63"/>
      <c r="AN135" s="63"/>
    </row>
    <row r="136" spans="3:40" ht="14.1" customHeight="1">
      <c r="C136" s="57"/>
      <c r="D136" s="901" t="str">
        <f>"AHU - " &amp; INT((ROW()-34)/14)+1 &amp; "  " &amp; IF(I137&gt;0,"Air-Conditioning System " &amp; IF(OR(G140="Header", G140="C"), "(Chilled Water)",IF(OR(G140="Distributor", G140="D"), "(DX)", "Ventilation System")),IF(NOT(I137&gt;0), "Ventilation System ( SUPPLY )", "Refer"))</f>
        <v>AHU - 8  Air-Conditioning System (Chilled Water)</v>
      </c>
      <c r="E136" s="901"/>
      <c r="F136" s="901"/>
      <c r="G136" s="901"/>
      <c r="H136" s="901"/>
      <c r="I136" s="901"/>
      <c r="J136" s="52"/>
      <c r="K136" s="52"/>
      <c r="L136" s="53"/>
      <c r="M136" s="53"/>
      <c r="N136" s="53"/>
      <c r="O136" s="54"/>
      <c r="P136" s="55"/>
      <c r="AM136" s="56"/>
      <c r="AN136" s="56"/>
    </row>
    <row r="137" spans="3:40" ht="14.1">
      <c r="C137" s="57"/>
      <c r="D137" s="175" t="s">
        <v>274</v>
      </c>
      <c r="E137" s="180" t="str">
        <f>'BOD-Cold &amp; Amb.'!R130</f>
        <v>ISO 6</v>
      </c>
      <c r="F137" s="175" t="s">
        <v>275</v>
      </c>
      <c r="G137" s="180">
        <f>'BOD-Cold &amp; Amb.'!AK130</f>
        <v>42500</v>
      </c>
      <c r="H137" s="175" t="s">
        <v>276</v>
      </c>
      <c r="I137" s="181">
        <f>'BOD-Cold &amp; Amb.'!AQ130</f>
        <v>108.5</v>
      </c>
      <c r="J137" s="902" t="s">
        <v>277</v>
      </c>
      <c r="K137" s="902">
        <v>1</v>
      </c>
      <c r="L137" s="917">
        <f>Q137</f>
        <v>2070750</v>
      </c>
      <c r="M137" s="902">
        <f>K137*L137</f>
        <v>2070750</v>
      </c>
      <c r="N137" s="902"/>
      <c r="O137" s="902"/>
      <c r="P137" s="902"/>
      <c r="Q137" s="913">
        <f t="shared" ref="Q137" si="71">CEILING((S137+T137+U137+V137+W137),250)</f>
        <v>2070750</v>
      </c>
      <c r="R137" s="913">
        <f>IF(I137&gt;0,625,375)</f>
        <v>625</v>
      </c>
      <c r="S137" s="913">
        <f>(E138*G138*3*10.76+E138*I138*2*10.76+G138*I138*2*10.76)*R137/(1000*1000)</f>
        <v>883396</v>
      </c>
      <c r="T137" s="913">
        <f>I137*4*1050</f>
        <v>455700</v>
      </c>
      <c r="U137" s="912">
        <f>IF(G137&lt;=2000,5000,(IF(G137&lt;=5000,8000,(IF(G137&lt;=10000,10000,(IF(G137&lt;=18000,15000,(IF(G137&lt;=40000,20000,25000)))))))))</f>
        <v>25000</v>
      </c>
      <c r="V137" s="912">
        <f t="shared" ref="V137" si="72">IF(X137=200,17150,(IF(X137=225,18150,(IF(X137=250,18900,(IF(X137=280,19150,(IF(X137=315,19650,(IF(X137=355,21900,(IF(X137=400,24400,0)))))))))))))+IF(X137=450,31000,(IF(X137=500,37450,(IF(X137=560,45650,(IF(X137=630,58900,(IF(X137=710,77950,0)))))))))+IF(X137=800,119650,(IF(X137=900,153300,(IF(X137=1000,178900,(IF(X137=1120,286500,(IF(X137=1250,394500,(IF(X137=1450,461500,0)))))))))))</f>
        <v>286500</v>
      </c>
      <c r="W137" s="913">
        <f>IF(I139=0.5,16600,(IF(I139=1,19050,(IF(I139=1.5,21750,(IF(I139=2,23600,(IF(I139=3,30000,(IF(I139=5,38000,0)))))))))))*1.2+IF(I139=7.5,52300,(IF(I139=10,59600,0)))*1.2+IF(I139=12.5,100350,(IF(I139=15,106000,(IF(I139=20,129150,(IF(I139=25,146050,(IF(I139=30,173600,(IF(I139=40,233900,(IF(I139=50,304650,IF(I139=60,350000,400000)))))))))))))*1.2)</f>
        <v>420000</v>
      </c>
      <c r="X137" s="912">
        <f>E139</f>
        <v>1120</v>
      </c>
      <c r="Y137" s="912">
        <f t="shared" ref="Y137" si="73">IF(G137&lt;=6750,450,(IF(G137&lt;=8500,500,(IF(G137&lt;=10750,560,(IF(G137&lt;=13500,630,(IF(G137&lt;=17000,710,(IF(G137&lt;=21500,800,(IF(G137&lt;=27000,900,(IF(G137&lt;=34000,1000,0)))))))))))))))</f>
        <v>0</v>
      </c>
      <c r="Z137" s="912">
        <f t="shared" ref="Z137" si="74">IF(G137&lt;=1300,200,(IF(G137&lt;=1600,225,(IF(G137&lt;=2100,250,(IF(G137&lt;=2700,280,(IF(G137&lt;=3450,315,(IF(G137&lt;=4250,355,(IF(G137&lt;=5250,400,(IF(G137&lt;=6750,450,0)))))))))))))))</f>
        <v>0</v>
      </c>
      <c r="AA137" s="912">
        <f t="shared" ref="AA137" si="75">IF(G137&lt;=2000,5000,(IF(G137&lt;=5000,8000,(IF(G137&lt;=10000,10000,(IF(G137&lt;=18000,15000,(IF(G137&lt;=40000,20000,10000)))))))))</f>
        <v>10000</v>
      </c>
      <c r="AB137" s="912">
        <f>IF(E138=950,2,(IF(E138=1150,3,(IF(E138=1550,4,(IF(E138=1750,5,(IF(E138=2050,6,(IF(E138=2900,8,(IF(E138=3600,10,12)))))))))))))</f>
        <v>12</v>
      </c>
      <c r="AC137" s="912">
        <f>IF(G138=950,2,(IF(G138=1150,3,(IF(G138=1550,4,(IF(G138=1750,5,(IF(G138=2050,6,(IF(G138=2900,8,(IF(G138=3600,10,12)))))))))))))</f>
        <v>10</v>
      </c>
      <c r="AD137" s="912">
        <f t="shared" ref="AD137" si="76">AC137*AB137</f>
        <v>120</v>
      </c>
      <c r="AE137" s="912">
        <v>150</v>
      </c>
      <c r="AF137" s="912">
        <f t="shared" ref="AF137" si="77">CEILING((SQRT(G137/1000))*4*2*AE137*1.25*K137,100)</f>
        <v>9800</v>
      </c>
      <c r="AG137" s="912">
        <f>E145*F145*H145/(305*305)</f>
        <v>0</v>
      </c>
      <c r="AH137" s="912">
        <f>E146*F146*H146/(305*305)</f>
        <v>36</v>
      </c>
      <c r="AI137" s="912">
        <f>H147*E147*F147/(305*305)</f>
        <v>36</v>
      </c>
      <c r="AJ137" s="912">
        <f>H148*E148*F148/(305*305)</f>
        <v>36</v>
      </c>
      <c r="AK137" s="912">
        <f>H149*E149*F149/(305*305)</f>
        <v>0</v>
      </c>
      <c r="AL137" s="912"/>
      <c r="AM137" s="915">
        <f t="shared" ref="AM137" si="78">(G137*2.2/1100)</f>
        <v>85.000000000000014</v>
      </c>
      <c r="AN137" s="915">
        <f t="shared" ref="AN137" si="79">(G137*1/1100)</f>
        <v>38.636363636363633</v>
      </c>
    </row>
    <row r="138" spans="3:40" ht="14.1">
      <c r="C138" s="57"/>
      <c r="D138" s="175" t="s">
        <v>278</v>
      </c>
      <c r="E138" s="180">
        <f>'BOD-Cold &amp; Amb.'!AL131</f>
        <v>4000</v>
      </c>
      <c r="F138" s="175" t="s">
        <v>279</v>
      </c>
      <c r="G138" s="180">
        <f>'BOD-Cold &amp; Amb.'!AL133</f>
        <v>3600</v>
      </c>
      <c r="H138" s="175" t="s">
        <v>280</v>
      </c>
      <c r="I138" s="181">
        <f>'BOD-Cold &amp; Amb.'!AL135</f>
        <v>5800</v>
      </c>
      <c r="J138" s="902"/>
      <c r="K138" s="902"/>
      <c r="L138" s="902"/>
      <c r="M138" s="902"/>
      <c r="N138" s="902"/>
      <c r="O138" s="902"/>
      <c r="P138" s="902"/>
      <c r="Q138" s="913"/>
      <c r="R138" s="913"/>
      <c r="S138" s="913"/>
      <c r="T138" s="913"/>
      <c r="U138" s="912"/>
      <c r="V138" s="912"/>
      <c r="W138" s="913"/>
      <c r="X138" s="912"/>
      <c r="Y138" s="912"/>
      <c r="Z138" s="912"/>
      <c r="AA138" s="912"/>
      <c r="AB138" s="912"/>
      <c r="AC138" s="912"/>
      <c r="AD138" s="912"/>
      <c r="AE138" s="912"/>
      <c r="AF138" s="912"/>
      <c r="AG138" s="912"/>
      <c r="AH138" s="912"/>
      <c r="AI138" s="912"/>
      <c r="AJ138" s="912"/>
      <c r="AK138" s="912"/>
      <c r="AL138" s="912"/>
      <c r="AM138" s="915"/>
      <c r="AN138" s="915"/>
    </row>
    <row r="139" spans="3:40" ht="14.1">
      <c r="C139" s="57"/>
      <c r="D139" s="175" t="s">
        <v>281</v>
      </c>
      <c r="E139" s="180">
        <f>'BOD-Cold &amp; Amb.'!AN130</f>
        <v>1120</v>
      </c>
      <c r="F139" s="176" t="s">
        <v>282</v>
      </c>
      <c r="G139" s="180">
        <f>'BOD-Cold &amp; Amb.'!AM130</f>
        <v>150</v>
      </c>
      <c r="H139" s="176" t="s">
        <v>283</v>
      </c>
      <c r="I139" s="181">
        <f>'BOD-Cold &amp; Amb.'!AO130</f>
        <v>60</v>
      </c>
      <c r="J139" s="902"/>
      <c r="K139" s="902"/>
      <c r="L139" s="902"/>
      <c r="M139" s="902"/>
      <c r="N139" s="902"/>
      <c r="O139" s="902"/>
      <c r="P139" s="902"/>
      <c r="Q139" s="913"/>
      <c r="R139" s="913"/>
      <c r="S139" s="913"/>
      <c r="T139" s="913"/>
      <c r="U139" s="912"/>
      <c r="V139" s="912"/>
      <c r="W139" s="913"/>
      <c r="X139" s="912"/>
      <c r="Y139" s="912"/>
      <c r="Z139" s="912"/>
      <c r="AA139" s="912"/>
      <c r="AB139" s="912"/>
      <c r="AC139" s="912"/>
      <c r="AD139" s="912"/>
      <c r="AE139" s="912"/>
      <c r="AF139" s="912"/>
      <c r="AG139" s="912"/>
      <c r="AH139" s="912"/>
      <c r="AI139" s="912"/>
      <c r="AJ139" s="912"/>
      <c r="AK139" s="912"/>
      <c r="AL139" s="912"/>
      <c r="AM139" s="915"/>
      <c r="AN139" s="915"/>
    </row>
    <row r="140" spans="3:40" ht="21.6" customHeight="1">
      <c r="C140" s="57"/>
      <c r="D140" s="175" t="s">
        <v>284</v>
      </c>
      <c r="E140" s="180">
        <f>'BOD-Cold &amp; Amb.'!AP130</f>
        <v>4</v>
      </c>
      <c r="F140" s="832" t="s">
        <v>285</v>
      </c>
      <c r="G140" s="837" t="str">
        <f>IF(OR(I137=0, E140="Amb"), "Amb",IF('BOD-Cold &amp; Amb.'!AH100="C", "Header",IF('BOD-Cold &amp; Amb.'!AH100="D", "Distributor", "Refer")))</f>
        <v>Header</v>
      </c>
      <c r="H140" s="832" t="s">
        <v>286</v>
      </c>
      <c r="I140" s="833" t="str">
        <f>IF(OR(I137=0, E140=0), 0,ROUND(((( I137/E140)*304.8)/(E138-400))*1000,0)&amp;" h "&amp;" x " &amp; (E138-400)&amp;" w ")</f>
        <v xml:space="preserve">2297 h  x 3600 w </v>
      </c>
      <c r="J140" s="902"/>
      <c r="K140" s="902"/>
      <c r="L140" s="902"/>
      <c r="M140" s="902"/>
      <c r="N140" s="902"/>
      <c r="O140" s="902"/>
      <c r="P140" s="902"/>
      <c r="Q140" s="913"/>
      <c r="R140" s="913"/>
      <c r="S140" s="913"/>
      <c r="T140" s="913"/>
      <c r="U140" s="912"/>
      <c r="V140" s="912"/>
      <c r="W140" s="913"/>
      <c r="X140" s="912"/>
      <c r="Y140" s="912"/>
      <c r="Z140" s="912"/>
      <c r="AA140" s="912"/>
      <c r="AB140" s="912"/>
      <c r="AC140" s="912"/>
      <c r="AD140" s="912"/>
      <c r="AE140" s="912"/>
      <c r="AF140" s="912"/>
      <c r="AG140" s="912"/>
      <c r="AH140" s="912"/>
      <c r="AI140" s="912"/>
      <c r="AJ140" s="912"/>
      <c r="AK140" s="912"/>
      <c r="AL140" s="912"/>
      <c r="AM140" s="915"/>
      <c r="AN140" s="915"/>
    </row>
    <row r="141" spans="3:40" ht="21">
      <c r="C141" s="57"/>
      <c r="D141" s="175" t="s">
        <v>287</v>
      </c>
      <c r="E141" s="180">
        <f>'BOD-Cold &amp; Amb.'!AR130</f>
        <v>3</v>
      </c>
      <c r="F141" s="176" t="s">
        <v>288</v>
      </c>
      <c r="G141" s="177" t="str">
        <f>IF(E141=4,"10µ, 5µ, 1µ &amp; 0.3µ (HEPA Plenum Fitted 95% eff.)",IF(E141=3,"10µ, 5µ &amp; 1µ ",IF(E141=2,"10µ  &amp; 5µ",IF(E141=1,"10µ", "Filter Ratings"))))</f>
        <v xml:space="preserve">10µ, 5µ &amp; 1µ </v>
      </c>
      <c r="H141" s="178"/>
      <c r="I141" s="179"/>
      <c r="J141" s="902"/>
      <c r="K141" s="902"/>
      <c r="L141" s="902"/>
      <c r="M141" s="902"/>
      <c r="N141" s="902"/>
      <c r="O141" s="902"/>
      <c r="P141" s="902"/>
      <c r="Q141" s="913"/>
      <c r="R141" s="913"/>
      <c r="S141" s="913"/>
      <c r="T141" s="913"/>
      <c r="U141" s="912"/>
      <c r="V141" s="912"/>
      <c r="W141" s="913"/>
      <c r="X141" s="912"/>
      <c r="Y141" s="912"/>
      <c r="Z141" s="912"/>
      <c r="AA141" s="912"/>
      <c r="AB141" s="912"/>
      <c r="AC141" s="912"/>
      <c r="AD141" s="912"/>
      <c r="AE141" s="912"/>
      <c r="AF141" s="912"/>
      <c r="AG141" s="912"/>
      <c r="AH141" s="912"/>
      <c r="AI141" s="912"/>
      <c r="AJ141" s="912"/>
      <c r="AK141" s="912"/>
      <c r="AL141" s="912"/>
      <c r="AM141" s="915"/>
      <c r="AN141" s="915"/>
    </row>
    <row r="142" spans="3:40">
      <c r="C142" s="57"/>
      <c r="D142" s="922" t="s">
        <v>289</v>
      </c>
      <c r="E142" s="923"/>
      <c r="F142" s="923"/>
      <c r="G142" s="923"/>
      <c r="H142" s="923"/>
      <c r="I142" s="924"/>
      <c r="J142" s="902"/>
      <c r="K142" s="902"/>
      <c r="L142" s="902"/>
      <c r="M142" s="902"/>
      <c r="N142" s="902"/>
      <c r="O142" s="902"/>
      <c r="P142" s="902"/>
      <c r="Q142" s="913"/>
      <c r="R142" s="913"/>
      <c r="S142" s="913"/>
      <c r="T142" s="913"/>
      <c r="U142" s="912"/>
      <c r="V142" s="912"/>
      <c r="W142" s="913"/>
      <c r="X142" s="912"/>
      <c r="Y142" s="912"/>
      <c r="Z142" s="912"/>
      <c r="AA142" s="912"/>
      <c r="AB142" s="912"/>
      <c r="AC142" s="912"/>
      <c r="AD142" s="912"/>
      <c r="AE142" s="912"/>
      <c r="AF142" s="912"/>
      <c r="AG142" s="912"/>
      <c r="AH142" s="912"/>
      <c r="AI142" s="912"/>
      <c r="AJ142" s="912"/>
      <c r="AK142" s="912"/>
      <c r="AL142" s="912"/>
      <c r="AM142" s="915"/>
      <c r="AN142" s="915"/>
    </row>
    <row r="143" spans="3:40" ht="24.95">
      <c r="C143" s="57"/>
      <c r="D143" s="58" t="s">
        <v>290</v>
      </c>
      <c r="E143" s="58" t="s">
        <v>291</v>
      </c>
      <c r="F143" s="58" t="s">
        <v>292</v>
      </c>
      <c r="G143" s="58" t="s">
        <v>293</v>
      </c>
      <c r="H143" s="58" t="s">
        <v>294</v>
      </c>
      <c r="I143" s="179"/>
      <c r="J143" s="902"/>
      <c r="K143" s="902"/>
      <c r="L143" s="902"/>
      <c r="M143" s="902"/>
      <c r="N143" s="902"/>
      <c r="O143" s="902"/>
      <c r="P143" s="902"/>
      <c r="Q143" s="913"/>
      <c r="R143" s="913"/>
      <c r="S143" s="913"/>
      <c r="T143" s="913"/>
      <c r="U143" s="912"/>
      <c r="V143" s="912"/>
      <c r="W143" s="913"/>
      <c r="X143" s="912"/>
      <c r="Y143" s="912"/>
      <c r="Z143" s="912"/>
      <c r="AA143" s="912"/>
      <c r="AB143" s="912"/>
      <c r="AC143" s="912"/>
      <c r="AD143" s="912"/>
      <c r="AE143" s="912"/>
      <c r="AF143" s="912"/>
      <c r="AG143" s="912"/>
      <c r="AH143" s="912"/>
      <c r="AI143" s="912"/>
      <c r="AJ143" s="912"/>
      <c r="AK143" s="912"/>
      <c r="AL143" s="912"/>
      <c r="AM143" s="915"/>
      <c r="AN143" s="915"/>
    </row>
    <row r="144" spans="3:40" ht="14.1">
      <c r="C144" s="57"/>
      <c r="D144" s="58"/>
      <c r="E144" s="58">
        <f>IF(E138&lt;=950,2,(IF(E138&lt;=1150,3,(IF(E138&lt;=1550,4,(IF(E138&lt;=1750,5,(IF(E138&lt;=2050,6,(IF(E138&lt;=2900,8,(IF(E138&lt;=3600,10,IF(E138&lt;=4000,12,0))))))))))))))</f>
        <v>12</v>
      </c>
      <c r="F144" s="58">
        <f>IF(G138&lt;=950,2,(IF(G138&lt;=1150,3,(IF(G138&lt;=1550,4,(IF(G138&lt;=1750,5,(IF(G138&lt;=2050,6,(IF(G138&lt;=2900,8,(IF(G138&lt;=3600,10,IF(E138&lt;=4000,12,0))))))))))))))</f>
        <v>10</v>
      </c>
      <c r="G144" s="58"/>
      <c r="H144" s="60"/>
      <c r="I144" s="834"/>
      <c r="J144" s="902"/>
      <c r="K144" s="902"/>
      <c r="L144" s="902"/>
      <c r="M144" s="902"/>
      <c r="N144" s="902"/>
      <c r="O144" s="902"/>
      <c r="P144" s="902"/>
      <c r="Q144" s="913"/>
      <c r="R144" s="913"/>
      <c r="S144" s="913"/>
      <c r="T144" s="913"/>
      <c r="U144" s="912"/>
      <c r="V144" s="912"/>
      <c r="W144" s="913"/>
      <c r="X144" s="912"/>
      <c r="Y144" s="912"/>
      <c r="Z144" s="912"/>
      <c r="AA144" s="912"/>
      <c r="AB144" s="912"/>
      <c r="AC144" s="912"/>
      <c r="AD144" s="912"/>
      <c r="AE144" s="912"/>
      <c r="AF144" s="912"/>
      <c r="AG144" s="912"/>
      <c r="AH144" s="912"/>
      <c r="AI144" s="912"/>
      <c r="AJ144" s="912"/>
      <c r="AK144" s="912"/>
      <c r="AL144" s="912"/>
      <c r="AM144" s="915"/>
      <c r="AN144" s="915"/>
    </row>
    <row r="145" spans="3:40" ht="14.1">
      <c r="C145" s="57"/>
      <c r="D145" s="58">
        <f>IF(AND(I137=0, OR(E141=1, E141=2, E141=3, E141=4, E141=5)), "20µ", 0)</f>
        <v>0</v>
      </c>
      <c r="E145" s="58">
        <f>IF(OR(D145=0),0,IF(MOD($E$42*$F$42,2)=0,"610",IF(MOD($E$42*$F$42,2.5)=0,"760",IF(MOD($E$42*$F$42,3)=0,"915","Refer"))))</f>
        <v>0</v>
      </c>
      <c r="F145" s="58">
        <f>IF(OR(D145=0),0,IF(MOD($E$42*$F$42,6)=0,"915",IF(MOD($E$42*$F$42,5)=0,"760",IF(MOD($E$42*$F$42,4)=0,"610","Refer"))))</f>
        <v>0</v>
      </c>
      <c r="G145" s="58">
        <f>IF(D145=0,0,100)</f>
        <v>0</v>
      </c>
      <c r="H145" s="60">
        <f>IF(D145=0,0,($E$42*$F$42*305*305)/(E145*F145))</f>
        <v>0</v>
      </c>
      <c r="I145" s="834"/>
      <c r="J145" s="902"/>
      <c r="K145" s="902"/>
      <c r="L145" s="902"/>
      <c r="M145" s="902"/>
      <c r="N145" s="902"/>
      <c r="O145" s="902"/>
      <c r="P145" s="902"/>
      <c r="Q145" s="55"/>
      <c r="R145" s="55"/>
      <c r="S145" s="55"/>
      <c r="T145" s="55"/>
      <c r="U145" s="45"/>
      <c r="V145" s="45"/>
      <c r="W145" s="55"/>
      <c r="X145" s="45"/>
      <c r="Y145" s="45"/>
      <c r="Z145" s="45"/>
      <c r="AA145" s="45"/>
      <c r="AB145" s="45"/>
      <c r="AC145" s="45"/>
      <c r="AD145" s="45"/>
      <c r="AE145" s="45"/>
      <c r="AF145" s="45"/>
      <c r="AG145" s="45"/>
      <c r="AH145" s="45"/>
      <c r="AI145" s="45"/>
      <c r="AJ145" s="45"/>
      <c r="AK145" s="45"/>
      <c r="AL145" s="45"/>
      <c r="AM145" s="63"/>
      <c r="AN145" s="63"/>
    </row>
    <row r="146" spans="3:40" ht="14.1">
      <c r="C146" s="57"/>
      <c r="D146" s="58" t="str">
        <f>IF(E141=4,"10µ",IF(E141=3,"10µ",IF(E141=2,"10µ",IF(E141=1,"10µ",0))))</f>
        <v>10µ</v>
      </c>
      <c r="E146" s="58" t="str">
        <f>IF(OR(D146=0),0,IF(MOD($E$42*$F$42,2)=0,"610",IF(MOD($E$42*$F$42,2.5)=0,"760",IF(MOD($E$42*$F$42,3)=0,"915","Refer"))))</f>
        <v>610</v>
      </c>
      <c r="F146" s="58" t="str">
        <f>IF(OR(D146=0),0,IF(MOD($E$42*$F$42,6)=0,"915",IF(MOD($E$42*$F$42,5)=0,"760",IF(MOD($E$42*$F$42,4)=0,"610","Refer"))))</f>
        <v>915</v>
      </c>
      <c r="G146" s="58">
        <f>IF(D146=0,0,150)</f>
        <v>150</v>
      </c>
      <c r="H146" s="60">
        <f>IF(D146=0,0,($E$42*$F$42*305*305)/(E146*F146))</f>
        <v>6</v>
      </c>
      <c r="I146" s="834"/>
      <c r="J146" s="902"/>
      <c r="K146" s="902"/>
      <c r="L146" s="902"/>
      <c r="M146" s="902"/>
      <c r="N146" s="902"/>
      <c r="O146" s="902"/>
      <c r="P146" s="902"/>
      <c r="Q146" s="913"/>
      <c r="R146" s="913"/>
      <c r="S146" s="913"/>
      <c r="T146" s="913"/>
      <c r="U146" s="912"/>
      <c r="V146" s="912"/>
      <c r="W146" s="913"/>
      <c r="X146" s="912"/>
      <c r="Y146" s="912"/>
      <c r="Z146" s="912"/>
      <c r="AA146" s="912"/>
      <c r="AB146" s="912"/>
      <c r="AC146" s="912"/>
      <c r="AD146" s="912"/>
      <c r="AE146" s="912"/>
      <c r="AF146" s="912"/>
      <c r="AG146" s="912"/>
      <c r="AH146" s="912"/>
      <c r="AI146" s="912"/>
      <c r="AJ146" s="912"/>
      <c r="AK146" s="912"/>
      <c r="AL146" s="912"/>
      <c r="AM146" s="915"/>
      <c r="AN146" s="915"/>
    </row>
    <row r="147" spans="3:40" ht="14.1">
      <c r="C147" s="57"/>
      <c r="D147" s="58" t="str">
        <f>IF(E141=4,"5µ",IF(E141=3,"5µ",IF(E141=2,"5µ",0)))</f>
        <v>5µ</v>
      </c>
      <c r="E147" s="58" t="str">
        <f t="shared" ref="E147:E149" si="80">IF(OR(D147=0),0,IF(MOD($E$42*$F$42,2)=0,"610",IF(MOD($E$42*$F$42,2.5)=0,"760",IF(MOD($E$42*$F$42,3)=0,"915","Refer"))))</f>
        <v>610</v>
      </c>
      <c r="F147" s="58" t="str">
        <f>IF(OR(D147=0),0,IF(MOD($E$42*$F$42,6)=0,"915",IF(MOD($E$42*$F$42,5)=0,"760",IF(MOD($E$42*$F$42,4)=0,"610","Refer"))))</f>
        <v>915</v>
      </c>
      <c r="G147" s="58">
        <f>IF(D147=0,0,300)</f>
        <v>300</v>
      </c>
      <c r="H147" s="60">
        <f>IF(D147=0,0,($E$42*$F$42*305*305)/(E147*F147))</f>
        <v>6</v>
      </c>
      <c r="I147" s="834"/>
      <c r="J147" s="902"/>
      <c r="K147" s="902"/>
      <c r="L147" s="902"/>
      <c r="M147" s="902"/>
      <c r="N147" s="902"/>
      <c r="O147" s="902"/>
      <c r="P147" s="902"/>
      <c r="Q147" s="913"/>
      <c r="R147" s="913"/>
      <c r="S147" s="913"/>
      <c r="T147" s="913"/>
      <c r="U147" s="912"/>
      <c r="V147" s="912"/>
      <c r="W147" s="913"/>
      <c r="X147" s="912"/>
      <c r="Y147" s="912"/>
      <c r="Z147" s="912"/>
      <c r="AA147" s="912"/>
      <c r="AB147" s="912"/>
      <c r="AC147" s="912"/>
      <c r="AD147" s="912"/>
      <c r="AE147" s="912"/>
      <c r="AF147" s="912"/>
      <c r="AG147" s="912"/>
      <c r="AH147" s="912"/>
      <c r="AI147" s="912"/>
      <c r="AJ147" s="912"/>
      <c r="AK147" s="912"/>
      <c r="AL147" s="912"/>
      <c r="AM147" s="915"/>
      <c r="AN147" s="915"/>
    </row>
    <row r="148" spans="3:40" ht="14.1">
      <c r="C148" s="57"/>
      <c r="D148" s="58" t="str">
        <f>IF(E141=4,"1µ",IF(E141=3,"1µ",0))</f>
        <v>1µ</v>
      </c>
      <c r="E148" s="58" t="str">
        <f t="shared" si="80"/>
        <v>610</v>
      </c>
      <c r="F148" s="58" t="str">
        <f>IF(OR(D148=0),0,IF(MOD($E$42*$F$42,6)=0,"915",IF(MOD($E$42*$F$42,5)=0,"760",IF(MOD($E$42*$F$42,4)=0,"610","Refer"))))</f>
        <v>915</v>
      </c>
      <c r="G148" s="58">
        <f>IF(D148=0,0,300)</f>
        <v>300</v>
      </c>
      <c r="H148" s="60">
        <f>IF(D148=0,0,($E$42*$F$42*305*305)/(E148*F148))</f>
        <v>6</v>
      </c>
      <c r="I148" s="834"/>
      <c r="J148" s="902"/>
      <c r="K148" s="902"/>
      <c r="L148" s="902"/>
      <c r="M148" s="902"/>
      <c r="N148" s="902"/>
      <c r="O148" s="902"/>
      <c r="P148" s="902"/>
      <c r="Q148" s="913"/>
      <c r="R148" s="913"/>
      <c r="S148" s="913"/>
      <c r="T148" s="913"/>
      <c r="U148" s="912"/>
      <c r="V148" s="912"/>
      <c r="W148" s="913"/>
      <c r="X148" s="912"/>
      <c r="Y148" s="912"/>
      <c r="Z148" s="912"/>
      <c r="AA148" s="912"/>
      <c r="AB148" s="912"/>
      <c r="AC148" s="912"/>
      <c r="AD148" s="912"/>
      <c r="AE148" s="912"/>
      <c r="AF148" s="912"/>
      <c r="AG148" s="912"/>
      <c r="AH148" s="912"/>
      <c r="AI148" s="912"/>
      <c r="AJ148" s="912"/>
      <c r="AK148" s="912"/>
      <c r="AL148" s="912"/>
      <c r="AM148" s="915"/>
      <c r="AN148" s="915"/>
    </row>
    <row r="149" spans="3:40" ht="14.1">
      <c r="C149" s="57"/>
      <c r="D149" s="58">
        <f>IF(E141=4,"0.3µ 95% Eff. HEPA Filetr",0)</f>
        <v>0</v>
      </c>
      <c r="E149" s="58">
        <f t="shared" si="80"/>
        <v>0</v>
      </c>
      <c r="F149" s="58">
        <f>IF(OR(D149=0),0,IF(MOD($E$42*$F$42,6)=0,"915",IF(MOD($E$42*$F$42,5)=0,"760",IF(MOD($E$42*$F$42,4)=0,"610","Refer"))))</f>
        <v>0</v>
      </c>
      <c r="G149" s="58">
        <f>IF(D149=0,0,300)</f>
        <v>0</v>
      </c>
      <c r="H149" s="60">
        <f>IF(D149=0,0,($E$42*$F$42*305*305)/(E149*F149))</f>
        <v>0</v>
      </c>
      <c r="I149" s="836"/>
      <c r="J149" s="902"/>
      <c r="K149" s="902"/>
      <c r="L149" s="902"/>
      <c r="M149" s="902"/>
      <c r="N149" s="902"/>
      <c r="O149" s="902"/>
      <c r="P149" s="902"/>
      <c r="Q149" s="913"/>
      <c r="R149" s="913"/>
      <c r="S149" s="913"/>
      <c r="T149" s="913"/>
      <c r="U149" s="912"/>
      <c r="V149" s="912"/>
      <c r="W149" s="913"/>
      <c r="X149" s="912"/>
      <c r="Y149" s="912"/>
      <c r="Z149" s="912"/>
      <c r="AA149" s="912"/>
      <c r="AB149" s="912"/>
      <c r="AC149" s="912"/>
      <c r="AD149" s="912"/>
      <c r="AE149" s="912"/>
      <c r="AF149" s="912"/>
      <c r="AG149" s="912"/>
      <c r="AH149" s="912"/>
      <c r="AI149" s="912"/>
      <c r="AJ149" s="912"/>
      <c r="AK149" s="912"/>
      <c r="AL149" s="912"/>
      <c r="AM149" s="915"/>
      <c r="AN149" s="915"/>
    </row>
    <row r="150" spans="3:40" ht="14.1">
      <c r="C150" s="57"/>
      <c r="D150" s="826"/>
      <c r="E150" s="182"/>
      <c r="F150" s="182"/>
      <c r="G150" s="182"/>
      <c r="H150" s="182"/>
      <c r="I150" s="827"/>
      <c r="J150" s="52"/>
      <c r="K150" s="52"/>
      <c r="L150" s="52"/>
      <c r="M150" s="52"/>
      <c r="N150" s="52"/>
      <c r="O150" s="828"/>
      <c r="P150" s="828"/>
      <c r="Q150" s="55"/>
      <c r="R150" s="55"/>
      <c r="S150" s="55"/>
      <c r="T150" s="55"/>
      <c r="U150" s="45"/>
      <c r="V150" s="45"/>
      <c r="W150" s="55"/>
      <c r="X150" s="45"/>
      <c r="Y150" s="45"/>
      <c r="Z150" s="45"/>
      <c r="AA150" s="45"/>
      <c r="AB150" s="45"/>
      <c r="AC150" s="45"/>
      <c r="AD150" s="45"/>
      <c r="AE150" s="45"/>
      <c r="AF150" s="45"/>
      <c r="AG150" s="45"/>
      <c r="AH150" s="45"/>
      <c r="AI150" s="45"/>
      <c r="AJ150" s="45"/>
      <c r="AK150" s="45"/>
      <c r="AL150" s="45"/>
      <c r="AM150" s="63"/>
      <c r="AN150" s="63"/>
    </row>
    <row r="151" spans="3:40" ht="14.1" customHeight="1">
      <c r="C151" s="57"/>
      <c r="D151" s="901" t="str">
        <f>"AHU - " &amp; INT((ROW()-34)/14)+1 &amp; "  " &amp; IF(I152&gt;0,"Air-Conditioning System " &amp; IF(OR(G155="Header", G155="C"), "(Chilled Water)",IF(OR(G155="Distributor", G155="D"), "(DX)", "Ventilation System")),IF(NOT(I152&gt;0), "Ventilation System ( SUPPLY )", "Refer"))</f>
        <v>AHU - 9  Air-Conditioning System (DX)</v>
      </c>
      <c r="E151" s="901"/>
      <c r="F151" s="901"/>
      <c r="G151" s="901"/>
      <c r="H151" s="901"/>
      <c r="I151" s="901"/>
      <c r="J151" s="52"/>
      <c r="K151" s="52"/>
      <c r="L151" s="53"/>
      <c r="M151" s="53"/>
      <c r="N151" s="53"/>
      <c r="O151" s="54"/>
      <c r="P151" s="55"/>
      <c r="AM151" s="56"/>
      <c r="AN151" s="56"/>
    </row>
    <row r="152" spans="3:40" ht="14.1">
      <c r="C152" s="57"/>
      <c r="D152" s="175" t="s">
        <v>274</v>
      </c>
      <c r="E152" s="180" t="str">
        <f>'BOD-Cold &amp; Amb.'!R150</f>
        <v>ISO 6</v>
      </c>
      <c r="F152" s="175" t="s">
        <v>275</v>
      </c>
      <c r="G152" s="180">
        <f>'BOD-Cold &amp; Amb.'!AK150</f>
        <v>42500</v>
      </c>
      <c r="H152" s="175" t="s">
        <v>276</v>
      </c>
      <c r="I152" s="181">
        <f>'BOD-Cold &amp; Amb.'!AQ50</f>
        <v>159</v>
      </c>
      <c r="J152" s="902" t="s">
        <v>277</v>
      </c>
      <c r="K152" s="902">
        <v>1</v>
      </c>
      <c r="L152" s="917">
        <f>Q152</f>
        <v>2282750</v>
      </c>
      <c r="M152" s="902">
        <f>K152*L152</f>
        <v>2282750</v>
      </c>
      <c r="N152" s="902"/>
      <c r="O152" s="902"/>
      <c r="P152" s="902"/>
      <c r="Q152" s="913">
        <f t="shared" ref="Q152" si="81">CEILING((S152+T152+U152+V152+W152),250)</f>
        <v>2282750</v>
      </c>
      <c r="R152" s="913">
        <f>IF(I152&gt;0,625,375)</f>
        <v>625</v>
      </c>
      <c r="S152" s="913">
        <f>(E153*G153*3*10.76+E153*I153*2*10.76+G153*I153*2*10.76)*R152/(1000*1000)</f>
        <v>883396</v>
      </c>
      <c r="T152" s="913">
        <f>I152*4*1050</f>
        <v>667800</v>
      </c>
      <c r="U152" s="912">
        <f>IF(G152&lt;=2000,5000,(IF(G152&lt;=5000,8000,(IF(G152&lt;=10000,10000,(IF(G152&lt;=18000,15000,(IF(G152&lt;=40000,20000,25000)))))))))</f>
        <v>25000</v>
      </c>
      <c r="V152" s="912">
        <f t="shared" ref="V152" si="82">IF(X152=200,17150,(IF(X152=225,18150,(IF(X152=250,18900,(IF(X152=280,19150,(IF(X152=315,19650,(IF(X152=355,21900,(IF(X152=400,24400,0)))))))))))))+IF(X152=450,31000,(IF(X152=500,37450,(IF(X152=560,45650,(IF(X152=630,58900,(IF(X152=710,77950,0)))))))))+IF(X152=800,119650,(IF(X152=900,153300,(IF(X152=1000,178900,(IF(X152=1120,286500,(IF(X152=1250,394500,(IF(X152=1450,461500,0)))))))))))</f>
        <v>286500</v>
      </c>
      <c r="W152" s="913">
        <f>IF(I154=0.5,16600,(IF(I154=1,19050,(IF(I154=1.5,21750,(IF(I154=2,23600,(IF(I154=3,30000,(IF(I154=5,38000,0)))))))))))*1.2+IF(I154=7.5,52300,(IF(I154=10,59600,0)))*1.2+IF(I154=12.5,100350,(IF(I154=15,106000,(IF(I154=20,129150,(IF(I154=25,146050,(IF(I154=30,173600,(IF(I154=40,233900,(IF(I154=50,304650,IF(I154=60,350000,400000)))))))))))))*1.2)</f>
        <v>420000</v>
      </c>
      <c r="X152" s="912">
        <f>E154</f>
        <v>1120</v>
      </c>
      <c r="Y152" s="912">
        <f t="shared" ref="Y152" si="83">IF(G152&lt;=6750,450,(IF(G152&lt;=8500,500,(IF(G152&lt;=10750,560,(IF(G152&lt;=13500,630,(IF(G152&lt;=17000,710,(IF(G152&lt;=21500,800,(IF(G152&lt;=27000,900,(IF(G152&lt;=34000,1000,0)))))))))))))))</f>
        <v>0</v>
      </c>
      <c r="Z152" s="912">
        <f t="shared" ref="Z152" si="84">IF(G152&lt;=1300,200,(IF(G152&lt;=1600,225,(IF(G152&lt;=2100,250,(IF(G152&lt;=2700,280,(IF(G152&lt;=3450,315,(IF(G152&lt;=4250,355,(IF(G152&lt;=5250,400,(IF(G152&lt;=6750,450,0)))))))))))))))</f>
        <v>0</v>
      </c>
      <c r="AA152" s="912">
        <f t="shared" ref="AA152" si="85">IF(G152&lt;=2000,5000,(IF(G152&lt;=5000,8000,(IF(G152&lt;=10000,10000,(IF(G152&lt;=18000,15000,(IF(G152&lt;=40000,20000,10000)))))))))</f>
        <v>10000</v>
      </c>
      <c r="AB152" s="912">
        <f>IF(E153=950,2,(IF(E153=1150,3,(IF(E153=1550,4,(IF(E153=1750,5,(IF(E153=2050,6,(IF(E153=2900,8,(IF(E153=3600,10,12)))))))))))))</f>
        <v>12</v>
      </c>
      <c r="AC152" s="912">
        <f>IF(G153=950,2,(IF(G153=1150,3,(IF(G153=1550,4,(IF(G153=1750,5,(IF(G153=2050,6,(IF(G153=2900,8,(IF(G153=3600,10,12)))))))))))))</f>
        <v>10</v>
      </c>
      <c r="AD152" s="912">
        <f t="shared" ref="AD152" si="86">AC152*AB152</f>
        <v>120</v>
      </c>
      <c r="AE152" s="912">
        <v>150</v>
      </c>
      <c r="AF152" s="912">
        <f t="shared" ref="AF152" si="87">CEILING((SQRT(G152/1000))*4*2*AE152*1.25*K152,100)</f>
        <v>9800</v>
      </c>
      <c r="AG152" s="912">
        <f>E160*F160*H160/(305*305)</f>
        <v>0</v>
      </c>
      <c r="AH152" s="912">
        <f>E161*F161*H161/(305*305)</f>
        <v>36</v>
      </c>
      <c r="AI152" s="912">
        <f>H162*E162*F162/(305*305)</f>
        <v>36</v>
      </c>
      <c r="AJ152" s="912">
        <f>H163*E163*F163/(305*305)</f>
        <v>36</v>
      </c>
      <c r="AK152" s="912">
        <f>H164*E164*F164/(305*305)</f>
        <v>0</v>
      </c>
      <c r="AL152" s="912"/>
      <c r="AM152" s="915">
        <f t="shared" ref="AM152" si="88">(G152*2.2/1100)</f>
        <v>85.000000000000014</v>
      </c>
      <c r="AN152" s="915">
        <f t="shared" ref="AN152" si="89">(G152*1/1100)</f>
        <v>38.636363636363633</v>
      </c>
    </row>
    <row r="153" spans="3:40" ht="14.1">
      <c r="C153" s="57"/>
      <c r="D153" s="175" t="s">
        <v>278</v>
      </c>
      <c r="E153" s="180">
        <f>'BOD-Cold &amp; Amb.'!AL151</f>
        <v>4000</v>
      </c>
      <c r="F153" s="175" t="s">
        <v>279</v>
      </c>
      <c r="G153" s="180">
        <f>'BOD-Cold &amp; Amb.'!AL153</f>
        <v>3600</v>
      </c>
      <c r="H153" s="175" t="s">
        <v>280</v>
      </c>
      <c r="I153" s="181">
        <f>'BOD-Cold &amp; Amb.'!AL155</f>
        <v>5800</v>
      </c>
      <c r="J153" s="902"/>
      <c r="K153" s="902"/>
      <c r="L153" s="902"/>
      <c r="M153" s="902"/>
      <c r="N153" s="902"/>
      <c r="O153" s="902"/>
      <c r="P153" s="902"/>
      <c r="Q153" s="913"/>
      <c r="R153" s="913"/>
      <c r="S153" s="913"/>
      <c r="T153" s="913"/>
      <c r="U153" s="912"/>
      <c r="V153" s="912"/>
      <c r="W153" s="913"/>
      <c r="X153" s="912"/>
      <c r="Y153" s="912"/>
      <c r="Z153" s="912"/>
      <c r="AA153" s="912"/>
      <c r="AB153" s="912"/>
      <c r="AC153" s="912"/>
      <c r="AD153" s="912"/>
      <c r="AE153" s="912"/>
      <c r="AF153" s="912"/>
      <c r="AG153" s="912"/>
      <c r="AH153" s="912"/>
      <c r="AI153" s="912"/>
      <c r="AJ153" s="912"/>
      <c r="AK153" s="912"/>
      <c r="AL153" s="912"/>
      <c r="AM153" s="915"/>
      <c r="AN153" s="915"/>
    </row>
    <row r="154" spans="3:40" ht="14.1">
      <c r="C154" s="57"/>
      <c r="D154" s="175" t="s">
        <v>281</v>
      </c>
      <c r="E154" s="180">
        <f>'BOD-Cold &amp; Amb.'!AN150</f>
        <v>1120</v>
      </c>
      <c r="F154" s="176" t="s">
        <v>282</v>
      </c>
      <c r="G154" s="180">
        <f>'BOD-Cold &amp; Amb.'!AM150</f>
        <v>150</v>
      </c>
      <c r="H154" s="176" t="s">
        <v>283</v>
      </c>
      <c r="I154" s="181">
        <f>'BOD-Cold &amp; Amb.'!AO150</f>
        <v>60</v>
      </c>
      <c r="J154" s="902"/>
      <c r="K154" s="902"/>
      <c r="L154" s="902"/>
      <c r="M154" s="902"/>
      <c r="N154" s="902"/>
      <c r="O154" s="902"/>
      <c r="P154" s="902"/>
      <c r="Q154" s="913"/>
      <c r="R154" s="913"/>
      <c r="S154" s="913"/>
      <c r="T154" s="913"/>
      <c r="U154" s="912"/>
      <c r="V154" s="912"/>
      <c r="W154" s="913"/>
      <c r="X154" s="912"/>
      <c r="Y154" s="912"/>
      <c r="Z154" s="912"/>
      <c r="AA154" s="912"/>
      <c r="AB154" s="912"/>
      <c r="AC154" s="912"/>
      <c r="AD154" s="912"/>
      <c r="AE154" s="912"/>
      <c r="AF154" s="912"/>
      <c r="AG154" s="912"/>
      <c r="AH154" s="912"/>
      <c r="AI154" s="912"/>
      <c r="AJ154" s="912"/>
      <c r="AK154" s="912"/>
      <c r="AL154" s="912"/>
      <c r="AM154" s="915"/>
      <c r="AN154" s="915"/>
    </row>
    <row r="155" spans="3:40" ht="21.6" customHeight="1">
      <c r="C155" s="57"/>
      <c r="D155" s="175" t="s">
        <v>284</v>
      </c>
      <c r="E155" s="180">
        <f>'BOD-Cold &amp; Amb.'!AP150</f>
        <v>4</v>
      </c>
      <c r="F155" s="832" t="s">
        <v>285</v>
      </c>
      <c r="G155" s="837" t="str">
        <f>IF(OR(I152=0, E155="Amb"), "Amb",IF('BOD-Cold &amp; Amb.'!AH115="C", "Header",IF('BOD-Cold &amp; Amb.'!AH115="D", "Distributor", "Refer")))</f>
        <v>Distributor</v>
      </c>
      <c r="H155" s="832" t="s">
        <v>286</v>
      </c>
      <c r="I155" s="833" t="str">
        <f>IF(OR(I152=0, E155=0), 0,ROUND(((( I152/E155)*304.8)/(E153-400))*1000,0)&amp;" h "&amp;" x " &amp; (E153-400)&amp;" w ")</f>
        <v xml:space="preserve">3366 h  x 3600 w </v>
      </c>
      <c r="J155" s="902"/>
      <c r="K155" s="902"/>
      <c r="L155" s="902"/>
      <c r="M155" s="902"/>
      <c r="N155" s="902"/>
      <c r="O155" s="902"/>
      <c r="P155" s="902"/>
      <c r="Q155" s="913"/>
      <c r="R155" s="913"/>
      <c r="S155" s="913"/>
      <c r="T155" s="913"/>
      <c r="U155" s="912"/>
      <c r="V155" s="912"/>
      <c r="W155" s="913"/>
      <c r="X155" s="912"/>
      <c r="Y155" s="912"/>
      <c r="Z155" s="912"/>
      <c r="AA155" s="912"/>
      <c r="AB155" s="912"/>
      <c r="AC155" s="912"/>
      <c r="AD155" s="912"/>
      <c r="AE155" s="912"/>
      <c r="AF155" s="912"/>
      <c r="AG155" s="912"/>
      <c r="AH155" s="912"/>
      <c r="AI155" s="912"/>
      <c r="AJ155" s="912"/>
      <c r="AK155" s="912"/>
      <c r="AL155" s="912"/>
      <c r="AM155" s="915"/>
      <c r="AN155" s="915"/>
    </row>
    <row r="156" spans="3:40" ht="21">
      <c r="C156" s="57"/>
      <c r="D156" s="175" t="s">
        <v>287</v>
      </c>
      <c r="E156" s="180">
        <f>'BOD-Cold &amp; Amb.'!AR150</f>
        <v>3</v>
      </c>
      <c r="F156" s="176" t="s">
        <v>288</v>
      </c>
      <c r="G156" s="177" t="str">
        <f>IF(E156=4,"10µ, 5µ, 1µ &amp; 0.3µ (HEPA Plenum Fitted 95% eff.)",IF(E156=3,"10µ, 5µ &amp; 1µ ",IF(E156=2,"10µ  &amp; 5µ",IF(E156=1,"10µ", "Filter Ratings"))))</f>
        <v xml:space="preserve">10µ, 5µ &amp; 1µ </v>
      </c>
      <c r="H156" s="178"/>
      <c r="I156" s="179"/>
      <c r="J156" s="902"/>
      <c r="K156" s="902"/>
      <c r="L156" s="902"/>
      <c r="M156" s="902"/>
      <c r="N156" s="902"/>
      <c r="O156" s="902"/>
      <c r="P156" s="902"/>
      <c r="Q156" s="913"/>
      <c r="R156" s="913"/>
      <c r="S156" s="913"/>
      <c r="T156" s="913"/>
      <c r="U156" s="912"/>
      <c r="V156" s="912"/>
      <c r="W156" s="913"/>
      <c r="X156" s="912"/>
      <c r="Y156" s="912"/>
      <c r="Z156" s="912"/>
      <c r="AA156" s="912"/>
      <c r="AB156" s="912"/>
      <c r="AC156" s="912"/>
      <c r="AD156" s="912"/>
      <c r="AE156" s="912"/>
      <c r="AF156" s="912"/>
      <c r="AG156" s="912"/>
      <c r="AH156" s="912"/>
      <c r="AI156" s="912"/>
      <c r="AJ156" s="912"/>
      <c r="AK156" s="912"/>
      <c r="AL156" s="912"/>
      <c r="AM156" s="915"/>
      <c r="AN156" s="915"/>
    </row>
    <row r="157" spans="3:40">
      <c r="C157" s="57"/>
      <c r="D157" s="922" t="s">
        <v>289</v>
      </c>
      <c r="E157" s="923"/>
      <c r="F157" s="923"/>
      <c r="G157" s="923"/>
      <c r="H157" s="923"/>
      <c r="I157" s="924"/>
      <c r="J157" s="902"/>
      <c r="K157" s="902"/>
      <c r="L157" s="902"/>
      <c r="M157" s="902"/>
      <c r="N157" s="902"/>
      <c r="O157" s="902"/>
      <c r="P157" s="902"/>
      <c r="Q157" s="913"/>
      <c r="R157" s="913"/>
      <c r="S157" s="913"/>
      <c r="T157" s="913"/>
      <c r="U157" s="912"/>
      <c r="V157" s="912"/>
      <c r="W157" s="913"/>
      <c r="X157" s="912"/>
      <c r="Y157" s="912"/>
      <c r="Z157" s="912"/>
      <c r="AA157" s="912"/>
      <c r="AB157" s="912"/>
      <c r="AC157" s="912"/>
      <c r="AD157" s="912"/>
      <c r="AE157" s="912"/>
      <c r="AF157" s="912"/>
      <c r="AG157" s="912"/>
      <c r="AH157" s="912"/>
      <c r="AI157" s="912"/>
      <c r="AJ157" s="912"/>
      <c r="AK157" s="912"/>
      <c r="AL157" s="912"/>
      <c r="AM157" s="915"/>
      <c r="AN157" s="915"/>
    </row>
    <row r="158" spans="3:40" ht="24.95">
      <c r="C158" s="57"/>
      <c r="D158" s="58" t="s">
        <v>290</v>
      </c>
      <c r="E158" s="58" t="s">
        <v>291</v>
      </c>
      <c r="F158" s="58" t="s">
        <v>292</v>
      </c>
      <c r="G158" s="58" t="s">
        <v>293</v>
      </c>
      <c r="H158" s="58" t="s">
        <v>294</v>
      </c>
      <c r="I158" s="179"/>
      <c r="J158" s="902"/>
      <c r="K158" s="902"/>
      <c r="L158" s="902"/>
      <c r="M158" s="902"/>
      <c r="N158" s="902"/>
      <c r="O158" s="902"/>
      <c r="P158" s="902"/>
      <c r="Q158" s="913"/>
      <c r="R158" s="913"/>
      <c r="S158" s="913"/>
      <c r="T158" s="913"/>
      <c r="U158" s="912"/>
      <c r="V158" s="912"/>
      <c r="W158" s="913"/>
      <c r="X158" s="912"/>
      <c r="Y158" s="912"/>
      <c r="Z158" s="912"/>
      <c r="AA158" s="912"/>
      <c r="AB158" s="912"/>
      <c r="AC158" s="912"/>
      <c r="AD158" s="912"/>
      <c r="AE158" s="912"/>
      <c r="AF158" s="912"/>
      <c r="AG158" s="912"/>
      <c r="AH158" s="912"/>
      <c r="AI158" s="912"/>
      <c r="AJ158" s="912"/>
      <c r="AK158" s="912"/>
      <c r="AL158" s="912"/>
      <c r="AM158" s="915"/>
      <c r="AN158" s="915"/>
    </row>
    <row r="159" spans="3:40" ht="14.1">
      <c r="C159" s="57"/>
      <c r="D159" s="58"/>
      <c r="E159" s="58">
        <f>IF(E153&lt;=950,2,(IF(E153&lt;=1150,3,(IF(E153&lt;=1550,4,(IF(E153&lt;=1750,5,(IF(E153&lt;=2050,6,(IF(E153&lt;=2900,8,(IF(E153&lt;=3600,10,IF(E153&lt;=4000,12,0))))))))))))))</f>
        <v>12</v>
      </c>
      <c r="F159" s="58">
        <f>IF(G153&lt;=950,2,(IF(G153&lt;=1150,3,(IF(G153&lt;=1550,4,(IF(G153&lt;=1750,5,(IF(G153&lt;=2050,6,(IF(G153&lt;=2900,8,(IF(G153&lt;=3600,10,IF(E153&lt;=4000,12,0))))))))))))))</f>
        <v>10</v>
      </c>
      <c r="G159" s="58"/>
      <c r="H159" s="60"/>
      <c r="I159" s="834"/>
      <c r="J159" s="902"/>
      <c r="K159" s="902"/>
      <c r="L159" s="902"/>
      <c r="M159" s="902"/>
      <c r="N159" s="902"/>
      <c r="O159" s="902"/>
      <c r="P159" s="902"/>
      <c r="Q159" s="913"/>
      <c r="R159" s="913"/>
      <c r="S159" s="913"/>
      <c r="T159" s="913"/>
      <c r="U159" s="912"/>
      <c r="V159" s="912"/>
      <c r="W159" s="913"/>
      <c r="X159" s="912"/>
      <c r="Y159" s="912"/>
      <c r="Z159" s="912"/>
      <c r="AA159" s="912"/>
      <c r="AB159" s="912"/>
      <c r="AC159" s="912"/>
      <c r="AD159" s="912"/>
      <c r="AE159" s="912"/>
      <c r="AF159" s="912"/>
      <c r="AG159" s="912"/>
      <c r="AH159" s="912"/>
      <c r="AI159" s="912"/>
      <c r="AJ159" s="912"/>
      <c r="AK159" s="912"/>
      <c r="AL159" s="912"/>
      <c r="AM159" s="915"/>
      <c r="AN159" s="915"/>
    </row>
    <row r="160" spans="3:40" ht="14.1">
      <c r="C160" s="57"/>
      <c r="D160" s="58">
        <f>IF(AND(I152=0, OR(E156=1, E156=2, E156=3, E156=4, E156=5)), "20µ", 0)</f>
        <v>0</v>
      </c>
      <c r="E160" s="58">
        <f>IF(OR(D160=0),0,IF(MOD($E$42*$F$42,2)=0,"610",IF(MOD($E$42*$F$42,2.5)=0,"760",IF(MOD($E$42*$F$42,3)=0,"915","Refer"))))</f>
        <v>0</v>
      </c>
      <c r="F160" s="58">
        <f>IF(OR(D160=0),0,IF(MOD($E$42*$F$42,6)=0,"915",IF(MOD($E$42*$F$42,5)=0,"760",IF(MOD($E$42*$F$42,4)=0,"610","Refer"))))</f>
        <v>0</v>
      </c>
      <c r="G160" s="58">
        <f>IF(D160=0,0,100)</f>
        <v>0</v>
      </c>
      <c r="H160" s="60">
        <f>IF(D160=0,0,($E$42*$F$42*305*305)/(E160*F160))</f>
        <v>0</v>
      </c>
      <c r="I160" s="834"/>
      <c r="J160" s="902"/>
      <c r="K160" s="902"/>
      <c r="L160" s="902"/>
      <c r="M160" s="902"/>
      <c r="N160" s="902"/>
      <c r="O160" s="902"/>
      <c r="P160" s="902"/>
      <c r="Q160" s="55"/>
      <c r="R160" s="55"/>
      <c r="S160" s="55"/>
      <c r="T160" s="55"/>
      <c r="U160" s="45"/>
      <c r="V160" s="45"/>
      <c r="W160" s="55"/>
      <c r="X160" s="45"/>
      <c r="Y160" s="45"/>
      <c r="Z160" s="45"/>
      <c r="AA160" s="45"/>
      <c r="AB160" s="45"/>
      <c r="AC160" s="45"/>
      <c r="AD160" s="45"/>
      <c r="AE160" s="45"/>
      <c r="AF160" s="45"/>
      <c r="AG160" s="45"/>
      <c r="AH160" s="45"/>
      <c r="AI160" s="45"/>
      <c r="AJ160" s="45"/>
      <c r="AK160" s="45"/>
      <c r="AL160" s="45"/>
      <c r="AM160" s="63"/>
      <c r="AN160" s="63"/>
    </row>
    <row r="161" spans="3:40" ht="14.1">
      <c r="C161" s="57"/>
      <c r="D161" s="58" t="str">
        <f>IF(E156=4,"10µ",IF(E156=3,"10µ",IF(E156=2,"10µ",IF(E156=1,"10µ",0))))</f>
        <v>10µ</v>
      </c>
      <c r="E161" s="58" t="str">
        <f>IF(OR(D161=0),0,IF(MOD($E$42*$F$42,2)=0,"610",IF(MOD($E$42*$F$42,2.5)=0,"760",IF(MOD($E$42*$F$42,3)=0,"915","Refer"))))</f>
        <v>610</v>
      </c>
      <c r="F161" s="58" t="str">
        <f>IF(OR(D161=0),0,IF(MOD($E$42*$F$42,6)=0,"915",IF(MOD($E$42*$F$42,5)=0,"760",IF(MOD($E$42*$F$42,4)=0,"610","Refer"))))</f>
        <v>915</v>
      </c>
      <c r="G161" s="58">
        <f>IF(D161=0,0,150)</f>
        <v>150</v>
      </c>
      <c r="H161" s="60">
        <f>IF(D161=0,0,($E$42*$F$42*305*305)/(E161*F161))</f>
        <v>6</v>
      </c>
      <c r="I161" s="834"/>
      <c r="J161" s="902"/>
      <c r="K161" s="902"/>
      <c r="L161" s="902"/>
      <c r="M161" s="902"/>
      <c r="N161" s="902"/>
      <c r="O161" s="902"/>
      <c r="P161" s="902"/>
      <c r="Q161" s="913"/>
      <c r="R161" s="913"/>
      <c r="S161" s="913"/>
      <c r="T161" s="913"/>
      <c r="U161" s="912"/>
      <c r="V161" s="912"/>
      <c r="W161" s="913"/>
      <c r="X161" s="912"/>
      <c r="Y161" s="912"/>
      <c r="Z161" s="912"/>
      <c r="AA161" s="912"/>
      <c r="AB161" s="912"/>
      <c r="AC161" s="912"/>
      <c r="AD161" s="912"/>
      <c r="AE161" s="912"/>
      <c r="AF161" s="912"/>
      <c r="AG161" s="912"/>
      <c r="AH161" s="912"/>
      <c r="AI161" s="912"/>
      <c r="AJ161" s="912"/>
      <c r="AK161" s="912"/>
      <c r="AL161" s="912"/>
      <c r="AM161" s="915"/>
      <c r="AN161" s="915"/>
    </row>
    <row r="162" spans="3:40" ht="14.1">
      <c r="C162" s="57"/>
      <c r="D162" s="58" t="str">
        <f>IF(E156=4,"5µ",IF(E156=3,"5µ",IF(E156=2,"5µ",0)))</f>
        <v>5µ</v>
      </c>
      <c r="E162" s="58" t="str">
        <f t="shared" ref="E162:E164" si="90">IF(OR(D162=0),0,IF(MOD($E$42*$F$42,2)=0,"610",IF(MOD($E$42*$F$42,2.5)=0,"760",IF(MOD($E$42*$F$42,3)=0,"915","Refer"))))</f>
        <v>610</v>
      </c>
      <c r="F162" s="58" t="str">
        <f>IF(OR(D162=0),0,IF(MOD($E$42*$F$42,6)=0,"915",IF(MOD($E$42*$F$42,5)=0,"760",IF(MOD($E$42*$F$42,4)=0,"610","Refer"))))</f>
        <v>915</v>
      </c>
      <c r="G162" s="58">
        <f>IF(D162=0,0,300)</f>
        <v>300</v>
      </c>
      <c r="H162" s="60">
        <f>IF(D162=0,0,($E$42*$F$42*305*305)/(E162*F162))</f>
        <v>6</v>
      </c>
      <c r="I162" s="834"/>
      <c r="J162" s="902"/>
      <c r="K162" s="902"/>
      <c r="L162" s="902"/>
      <c r="M162" s="902"/>
      <c r="N162" s="902"/>
      <c r="O162" s="902"/>
      <c r="P162" s="902"/>
      <c r="Q162" s="913"/>
      <c r="R162" s="913"/>
      <c r="S162" s="913"/>
      <c r="T162" s="913"/>
      <c r="U162" s="912"/>
      <c r="V162" s="912"/>
      <c r="W162" s="913"/>
      <c r="X162" s="912"/>
      <c r="Y162" s="912"/>
      <c r="Z162" s="912"/>
      <c r="AA162" s="912"/>
      <c r="AB162" s="912"/>
      <c r="AC162" s="912"/>
      <c r="AD162" s="912"/>
      <c r="AE162" s="912"/>
      <c r="AF162" s="912"/>
      <c r="AG162" s="912"/>
      <c r="AH162" s="912"/>
      <c r="AI162" s="912"/>
      <c r="AJ162" s="912"/>
      <c r="AK162" s="912"/>
      <c r="AL162" s="912"/>
      <c r="AM162" s="915"/>
      <c r="AN162" s="915"/>
    </row>
    <row r="163" spans="3:40" ht="14.1">
      <c r="C163" s="57"/>
      <c r="D163" s="58" t="str">
        <f>IF(E156=4,"1µ",IF(E156=3,"1µ",0))</f>
        <v>1µ</v>
      </c>
      <c r="E163" s="58" t="str">
        <f t="shared" si="90"/>
        <v>610</v>
      </c>
      <c r="F163" s="58" t="str">
        <f>IF(OR(D163=0),0,IF(MOD($E$42*$F$42,6)=0,"915",IF(MOD($E$42*$F$42,5)=0,"760",IF(MOD($E$42*$F$42,4)=0,"610","Refer"))))</f>
        <v>915</v>
      </c>
      <c r="G163" s="58">
        <f>IF(D163=0,0,300)</f>
        <v>300</v>
      </c>
      <c r="H163" s="60">
        <f>IF(D163=0,0,($E$42*$F$42*305*305)/(E163*F163))</f>
        <v>6</v>
      </c>
      <c r="I163" s="834"/>
      <c r="J163" s="902"/>
      <c r="K163" s="902"/>
      <c r="L163" s="902"/>
      <c r="M163" s="902"/>
      <c r="N163" s="902"/>
      <c r="O163" s="902"/>
      <c r="P163" s="902"/>
      <c r="Q163" s="913"/>
      <c r="R163" s="913"/>
      <c r="S163" s="913"/>
      <c r="T163" s="913"/>
      <c r="U163" s="912"/>
      <c r="V163" s="912"/>
      <c r="W163" s="913"/>
      <c r="X163" s="912"/>
      <c r="Y163" s="912"/>
      <c r="Z163" s="912"/>
      <c r="AA163" s="912"/>
      <c r="AB163" s="912"/>
      <c r="AC163" s="912"/>
      <c r="AD163" s="912"/>
      <c r="AE163" s="912"/>
      <c r="AF163" s="912"/>
      <c r="AG163" s="912"/>
      <c r="AH163" s="912"/>
      <c r="AI163" s="912"/>
      <c r="AJ163" s="912"/>
      <c r="AK163" s="912"/>
      <c r="AL163" s="912"/>
      <c r="AM163" s="915"/>
      <c r="AN163" s="915"/>
    </row>
    <row r="164" spans="3:40" ht="14.1">
      <c r="C164" s="57"/>
      <c r="D164" s="58">
        <f>IF(E156=4,"0.3µ 95% Eff. HEPA Filetr",0)</f>
        <v>0</v>
      </c>
      <c r="E164" s="58">
        <f t="shared" si="90"/>
        <v>0</v>
      </c>
      <c r="F164" s="58">
        <f>IF(OR(D164=0),0,IF(MOD($E$42*$F$42,6)=0,"915",IF(MOD($E$42*$F$42,5)=0,"760",IF(MOD($E$42*$F$42,4)=0,"610","Refer"))))</f>
        <v>0</v>
      </c>
      <c r="G164" s="58">
        <f>IF(D164=0,0,300)</f>
        <v>0</v>
      </c>
      <c r="H164" s="60">
        <f>IF(D164=0,0,($E$42*$F$42*305*305)/(E164*F164))</f>
        <v>0</v>
      </c>
      <c r="I164" s="836"/>
      <c r="J164" s="902"/>
      <c r="K164" s="902"/>
      <c r="L164" s="902"/>
      <c r="M164" s="902"/>
      <c r="N164" s="902"/>
      <c r="O164" s="902"/>
      <c r="P164" s="902"/>
      <c r="Q164" s="913"/>
      <c r="R164" s="913"/>
      <c r="S164" s="913"/>
      <c r="T164" s="913"/>
      <c r="U164" s="912"/>
      <c r="V164" s="912"/>
      <c r="W164" s="913"/>
      <c r="X164" s="912"/>
      <c r="Y164" s="912"/>
      <c r="Z164" s="912"/>
      <c r="AA164" s="912"/>
      <c r="AB164" s="912"/>
      <c r="AC164" s="912"/>
      <c r="AD164" s="912"/>
      <c r="AE164" s="912"/>
      <c r="AF164" s="912"/>
      <c r="AG164" s="912"/>
      <c r="AH164" s="912"/>
      <c r="AI164" s="912"/>
      <c r="AJ164" s="912"/>
      <c r="AK164" s="912"/>
      <c r="AL164" s="912"/>
      <c r="AM164" s="915"/>
      <c r="AN164" s="915"/>
    </row>
    <row r="165" spans="3:40" ht="14.1">
      <c r="C165" s="57"/>
      <c r="D165" s="826"/>
      <c r="E165" s="182"/>
      <c r="F165" s="182"/>
      <c r="G165" s="182"/>
      <c r="H165" s="182"/>
      <c r="I165" s="827"/>
      <c r="J165" s="52"/>
      <c r="K165" s="52"/>
      <c r="L165" s="52"/>
      <c r="M165" s="52"/>
      <c r="N165" s="52"/>
      <c r="O165" s="828"/>
      <c r="P165" s="828"/>
      <c r="Q165" s="55"/>
      <c r="R165" s="55"/>
      <c r="S165" s="55"/>
      <c r="T165" s="55"/>
      <c r="U165" s="45"/>
      <c r="V165" s="45"/>
      <c r="W165" s="55"/>
      <c r="X165" s="45"/>
      <c r="Y165" s="45"/>
      <c r="Z165" s="45"/>
      <c r="AA165" s="45"/>
      <c r="AB165" s="45"/>
      <c r="AC165" s="45"/>
      <c r="AD165" s="45"/>
      <c r="AE165" s="45"/>
      <c r="AF165" s="45"/>
      <c r="AG165" s="45"/>
      <c r="AH165" s="45"/>
      <c r="AI165" s="45"/>
      <c r="AJ165" s="45"/>
      <c r="AK165" s="45"/>
      <c r="AL165" s="45"/>
      <c r="AM165" s="63"/>
      <c r="AN165" s="63"/>
    </row>
    <row r="166" spans="3:40" ht="14.1" customHeight="1">
      <c r="C166" s="57"/>
      <c r="D166" s="901" t="str">
        <f>"AHU - " &amp; INT((ROW()-34)/14)+1 &amp; "  " &amp; IF(I167&gt;0,"Air-Conditioning System " &amp; IF(OR(G170="Header", G170="C"), "(Chilled Water)",IF(OR(G170="Distributor", G170="D"), "(DX)", "Ventilation System")),IF(NOT(I167&gt;0), "Ventilation System ( SUPPLY )", "Refer"))</f>
        <v>AHU - 10  Air-Conditioning System (Chilled Water)</v>
      </c>
      <c r="E166" s="901"/>
      <c r="F166" s="901"/>
      <c r="G166" s="901"/>
      <c r="H166" s="901"/>
      <c r="I166" s="901"/>
      <c r="J166" s="52"/>
      <c r="K166" s="52"/>
      <c r="L166" s="53"/>
      <c r="M166" s="53"/>
      <c r="N166" s="53"/>
      <c r="O166" s="54"/>
      <c r="P166" s="55"/>
      <c r="AM166" s="56"/>
      <c r="AN166" s="56"/>
    </row>
    <row r="167" spans="3:40" ht="14.1">
      <c r="C167" s="57"/>
      <c r="D167" s="175" t="s">
        <v>274</v>
      </c>
      <c r="E167" s="180" t="str">
        <f>'BOD-Cold &amp; Amb.'!R170</f>
        <v>ISO 6</v>
      </c>
      <c r="F167" s="175" t="s">
        <v>275</v>
      </c>
      <c r="G167" s="180">
        <f>'BOD-Cold &amp; Amb.'!AK170</f>
        <v>42500</v>
      </c>
      <c r="H167" s="175" t="s">
        <v>276</v>
      </c>
      <c r="I167" s="181">
        <f>'BOD-Cold &amp; Amb.'!AQ170</f>
        <v>108.5</v>
      </c>
      <c r="J167" s="902" t="s">
        <v>277</v>
      </c>
      <c r="K167" s="902">
        <v>1</v>
      </c>
      <c r="L167" s="917">
        <f>Q167</f>
        <v>2070750</v>
      </c>
      <c r="M167" s="902">
        <f>K167*L167</f>
        <v>2070750</v>
      </c>
      <c r="N167" s="902"/>
      <c r="O167" s="902"/>
      <c r="P167" s="902"/>
      <c r="Q167" s="913">
        <f t="shared" ref="Q167" si="91">CEILING((S167+T167+U167+V167+W167),250)</f>
        <v>2070750</v>
      </c>
      <c r="R167" s="913">
        <f>IF(I167&gt;0,625,375)</f>
        <v>625</v>
      </c>
      <c r="S167" s="913">
        <f>(E168*G168*3*10.76+E168*I168*2*10.76+G168*I168*2*10.76)*R167/(1000*1000)</f>
        <v>883396</v>
      </c>
      <c r="T167" s="913">
        <f>I167*4*1050</f>
        <v>455700</v>
      </c>
      <c r="U167" s="912">
        <f>IF(G167&lt;=2000,5000,(IF(G167&lt;=5000,8000,(IF(G167&lt;=10000,10000,(IF(G167&lt;=18000,15000,(IF(G167&lt;=40000,20000,25000)))))))))</f>
        <v>25000</v>
      </c>
      <c r="V167" s="912">
        <f t="shared" ref="V167" si="92">IF(X167=200,17150,(IF(X167=225,18150,(IF(X167=250,18900,(IF(X167=280,19150,(IF(X167=315,19650,(IF(X167=355,21900,(IF(X167=400,24400,0)))))))))))))+IF(X167=450,31000,(IF(X167=500,37450,(IF(X167=560,45650,(IF(X167=630,58900,(IF(X167=710,77950,0)))))))))+IF(X167=800,119650,(IF(X167=900,153300,(IF(X167=1000,178900,(IF(X167=1120,286500,(IF(X167=1250,394500,(IF(X167=1450,461500,0)))))))))))</f>
        <v>286500</v>
      </c>
      <c r="W167" s="913">
        <f>IF(I169=0.5,16600,(IF(I169=1,19050,(IF(I169=1.5,21750,(IF(I169=2,23600,(IF(I169=3,30000,(IF(I169=5,38000,0)))))))))))*1.2+IF(I169=7.5,52300,(IF(I169=10,59600,0)))*1.2+IF(I169=12.5,100350,(IF(I169=15,106000,(IF(I169=20,129150,(IF(I169=25,146050,(IF(I169=30,173600,(IF(I169=40,233900,(IF(I169=50,304650,IF(I169=60,350000,400000)))))))))))))*1.2)</f>
        <v>420000</v>
      </c>
      <c r="X167" s="912">
        <f>E169</f>
        <v>1120</v>
      </c>
      <c r="Y167" s="912">
        <f t="shared" ref="Y167" si="93">IF(G167&lt;=6750,450,(IF(G167&lt;=8500,500,(IF(G167&lt;=10750,560,(IF(G167&lt;=13500,630,(IF(G167&lt;=17000,710,(IF(G167&lt;=21500,800,(IF(G167&lt;=27000,900,(IF(G167&lt;=34000,1000,0)))))))))))))))</f>
        <v>0</v>
      </c>
      <c r="Z167" s="912">
        <f t="shared" ref="Z167" si="94">IF(G167&lt;=1300,200,(IF(G167&lt;=1600,225,(IF(G167&lt;=2100,250,(IF(G167&lt;=2700,280,(IF(G167&lt;=3450,315,(IF(G167&lt;=4250,355,(IF(G167&lt;=5250,400,(IF(G167&lt;=6750,450,0)))))))))))))))</f>
        <v>0</v>
      </c>
      <c r="AA167" s="912">
        <f t="shared" ref="AA167" si="95">IF(G167&lt;=2000,5000,(IF(G167&lt;=5000,8000,(IF(G167&lt;=10000,10000,(IF(G167&lt;=18000,15000,(IF(G167&lt;=40000,20000,10000)))))))))</f>
        <v>10000</v>
      </c>
      <c r="AB167" s="912">
        <f>IF(E168=950,2,(IF(E168=1150,3,(IF(E168=1550,4,(IF(E168=1750,5,(IF(E168=2050,6,(IF(E168=2900,8,(IF(E168=3600,10,12)))))))))))))</f>
        <v>12</v>
      </c>
      <c r="AC167" s="912">
        <f>IF(G168=950,2,(IF(G168=1150,3,(IF(G168=1550,4,(IF(G168=1750,5,(IF(G168=2050,6,(IF(G168=2900,8,(IF(G168=3600,10,12)))))))))))))</f>
        <v>10</v>
      </c>
      <c r="AD167" s="912">
        <f t="shared" ref="AD167" si="96">AC167*AB167</f>
        <v>120</v>
      </c>
      <c r="AE167" s="912">
        <v>150</v>
      </c>
      <c r="AF167" s="912">
        <f t="shared" ref="AF167" si="97">CEILING((SQRT(G167/1000))*4*2*AE167*1.25*K167,100)</f>
        <v>9800</v>
      </c>
      <c r="AG167" s="912">
        <f>E175*F175*H175/(305*305)</f>
        <v>0</v>
      </c>
      <c r="AH167" s="912">
        <f>E176*F176*H176/(305*305)</f>
        <v>36</v>
      </c>
      <c r="AI167" s="912">
        <f>H177*E177*F177/(305*305)</f>
        <v>36</v>
      </c>
      <c r="AJ167" s="912">
        <f>H178*E178*F178/(305*305)</f>
        <v>36</v>
      </c>
      <c r="AK167" s="912">
        <f>H179*E179*F179/(305*305)</f>
        <v>0</v>
      </c>
      <c r="AL167" s="912"/>
      <c r="AM167" s="915">
        <f t="shared" ref="AM167" si="98">(G167*2.2/1100)</f>
        <v>85.000000000000014</v>
      </c>
      <c r="AN167" s="915">
        <f t="shared" ref="AN167" si="99">(G167*1/1100)</f>
        <v>38.636363636363633</v>
      </c>
    </row>
    <row r="168" spans="3:40" ht="14.1">
      <c r="C168" s="57"/>
      <c r="D168" s="175" t="s">
        <v>278</v>
      </c>
      <c r="E168" s="180">
        <f>'BOD-Cold &amp; Amb.'!AL171</f>
        <v>4000</v>
      </c>
      <c r="F168" s="175" t="s">
        <v>279</v>
      </c>
      <c r="G168" s="180">
        <f>'BOD-Cold &amp; Amb.'!AL173</f>
        <v>3600</v>
      </c>
      <c r="H168" s="175" t="s">
        <v>280</v>
      </c>
      <c r="I168" s="181">
        <f>'BOD-Cold &amp; Amb.'!AL175</f>
        <v>5800</v>
      </c>
      <c r="J168" s="902"/>
      <c r="K168" s="902"/>
      <c r="L168" s="902"/>
      <c r="M168" s="902"/>
      <c r="N168" s="902"/>
      <c r="O168" s="902"/>
      <c r="P168" s="902"/>
      <c r="Q168" s="913"/>
      <c r="R168" s="913"/>
      <c r="S168" s="913"/>
      <c r="T168" s="913"/>
      <c r="U168" s="912"/>
      <c r="V168" s="912"/>
      <c r="W168" s="913"/>
      <c r="X168" s="912"/>
      <c r="Y168" s="912"/>
      <c r="Z168" s="912"/>
      <c r="AA168" s="912"/>
      <c r="AB168" s="912"/>
      <c r="AC168" s="912"/>
      <c r="AD168" s="912"/>
      <c r="AE168" s="912"/>
      <c r="AF168" s="912"/>
      <c r="AG168" s="912"/>
      <c r="AH168" s="912"/>
      <c r="AI168" s="912"/>
      <c r="AJ168" s="912"/>
      <c r="AK168" s="912"/>
      <c r="AL168" s="912"/>
      <c r="AM168" s="915"/>
      <c r="AN168" s="915"/>
    </row>
    <row r="169" spans="3:40" ht="14.1">
      <c r="C169" s="57"/>
      <c r="D169" s="175" t="s">
        <v>281</v>
      </c>
      <c r="E169" s="180">
        <f>'BOD-Cold &amp; Amb.'!AN170</f>
        <v>1120</v>
      </c>
      <c r="F169" s="176" t="s">
        <v>282</v>
      </c>
      <c r="G169" s="180">
        <f>'BOD-Cold &amp; Amb.'!AM170</f>
        <v>150</v>
      </c>
      <c r="H169" s="176" t="s">
        <v>283</v>
      </c>
      <c r="I169" s="181">
        <f>'BOD-Cold &amp; Amb.'!AO170</f>
        <v>60</v>
      </c>
      <c r="J169" s="902"/>
      <c r="K169" s="902"/>
      <c r="L169" s="902"/>
      <c r="M169" s="902"/>
      <c r="N169" s="902"/>
      <c r="O169" s="902"/>
      <c r="P169" s="902"/>
      <c r="Q169" s="913"/>
      <c r="R169" s="913"/>
      <c r="S169" s="913"/>
      <c r="T169" s="913"/>
      <c r="U169" s="912"/>
      <c r="V169" s="912"/>
      <c r="W169" s="913"/>
      <c r="X169" s="912"/>
      <c r="Y169" s="912"/>
      <c r="Z169" s="912"/>
      <c r="AA169" s="912"/>
      <c r="AB169" s="912"/>
      <c r="AC169" s="912"/>
      <c r="AD169" s="912"/>
      <c r="AE169" s="912"/>
      <c r="AF169" s="912"/>
      <c r="AG169" s="912"/>
      <c r="AH169" s="912"/>
      <c r="AI169" s="912"/>
      <c r="AJ169" s="912"/>
      <c r="AK169" s="912"/>
      <c r="AL169" s="912"/>
      <c r="AM169" s="915"/>
      <c r="AN169" s="915"/>
    </row>
    <row r="170" spans="3:40" ht="21.6" customHeight="1">
      <c r="C170" s="57"/>
      <c r="D170" s="175" t="s">
        <v>284</v>
      </c>
      <c r="E170" s="180">
        <f>'BOD-Cold &amp; Amb.'!AP170</f>
        <v>4</v>
      </c>
      <c r="F170" s="832" t="s">
        <v>285</v>
      </c>
      <c r="G170" s="837" t="str">
        <f>IF(OR(I167=0, E170="Amb"), "Amb",IF('BOD-Cold &amp; Amb.'!AH130="C", "Header",IF('BOD-Cold &amp; Amb.'!AH130="D", "Distributor", "Refer")))</f>
        <v>Header</v>
      </c>
      <c r="H170" s="832" t="s">
        <v>286</v>
      </c>
      <c r="I170" s="833" t="str">
        <f>IF(OR(I167=0, E170=0), 0,ROUND(((( I167/E170)*304.8)/(E168-400))*1000,0)&amp;" h "&amp;" x " &amp; (E168-400)&amp;" w ")</f>
        <v xml:space="preserve">2297 h  x 3600 w </v>
      </c>
      <c r="J170" s="902"/>
      <c r="K170" s="902"/>
      <c r="L170" s="902"/>
      <c r="M170" s="902"/>
      <c r="N170" s="902"/>
      <c r="O170" s="902"/>
      <c r="P170" s="902"/>
      <c r="Q170" s="913"/>
      <c r="R170" s="913"/>
      <c r="S170" s="913"/>
      <c r="T170" s="913"/>
      <c r="U170" s="912"/>
      <c r="V170" s="912"/>
      <c r="W170" s="913"/>
      <c r="X170" s="912"/>
      <c r="Y170" s="912"/>
      <c r="Z170" s="912"/>
      <c r="AA170" s="912"/>
      <c r="AB170" s="912"/>
      <c r="AC170" s="912"/>
      <c r="AD170" s="912"/>
      <c r="AE170" s="912"/>
      <c r="AF170" s="912"/>
      <c r="AG170" s="912"/>
      <c r="AH170" s="912"/>
      <c r="AI170" s="912"/>
      <c r="AJ170" s="912"/>
      <c r="AK170" s="912"/>
      <c r="AL170" s="912"/>
      <c r="AM170" s="915"/>
      <c r="AN170" s="915"/>
    </row>
    <row r="171" spans="3:40" ht="21">
      <c r="C171" s="57"/>
      <c r="D171" s="175" t="s">
        <v>287</v>
      </c>
      <c r="E171" s="180">
        <f>'BOD-Cold &amp; Amb.'!AR170</f>
        <v>3</v>
      </c>
      <c r="F171" s="176" t="s">
        <v>288</v>
      </c>
      <c r="G171" s="177" t="str">
        <f>IF(E171=4,"10µ, 5µ, 1µ &amp; 0.3µ (HEPA Plenum Fitted 95% eff.)",IF(E171=3,"10µ, 5µ &amp; 1µ ",IF(E171=2,"10µ  &amp; 5µ",IF(E171=1,"10µ", "Filter Ratings"))))</f>
        <v xml:space="preserve">10µ, 5µ &amp; 1µ </v>
      </c>
      <c r="H171" s="178"/>
      <c r="I171" s="179"/>
      <c r="J171" s="902"/>
      <c r="K171" s="902"/>
      <c r="L171" s="902"/>
      <c r="M171" s="902"/>
      <c r="N171" s="902"/>
      <c r="O171" s="902"/>
      <c r="P171" s="902"/>
      <c r="Q171" s="913"/>
      <c r="R171" s="913"/>
      <c r="S171" s="913"/>
      <c r="T171" s="913"/>
      <c r="U171" s="912"/>
      <c r="V171" s="912"/>
      <c r="W171" s="913"/>
      <c r="X171" s="912"/>
      <c r="Y171" s="912"/>
      <c r="Z171" s="912"/>
      <c r="AA171" s="912"/>
      <c r="AB171" s="912"/>
      <c r="AC171" s="912"/>
      <c r="AD171" s="912"/>
      <c r="AE171" s="912"/>
      <c r="AF171" s="912"/>
      <c r="AG171" s="912"/>
      <c r="AH171" s="912"/>
      <c r="AI171" s="912"/>
      <c r="AJ171" s="912"/>
      <c r="AK171" s="912"/>
      <c r="AL171" s="912"/>
      <c r="AM171" s="915"/>
      <c r="AN171" s="915"/>
    </row>
    <row r="172" spans="3:40">
      <c r="C172" s="57"/>
      <c r="D172" s="922" t="s">
        <v>289</v>
      </c>
      <c r="E172" s="923"/>
      <c r="F172" s="923"/>
      <c r="G172" s="923"/>
      <c r="H172" s="923"/>
      <c r="I172" s="924"/>
      <c r="J172" s="902"/>
      <c r="K172" s="902"/>
      <c r="L172" s="902"/>
      <c r="M172" s="902"/>
      <c r="N172" s="902"/>
      <c r="O172" s="902"/>
      <c r="P172" s="902"/>
      <c r="Q172" s="913"/>
      <c r="R172" s="913"/>
      <c r="S172" s="913"/>
      <c r="T172" s="913"/>
      <c r="U172" s="912"/>
      <c r="V172" s="912"/>
      <c r="W172" s="913"/>
      <c r="X172" s="912"/>
      <c r="Y172" s="912"/>
      <c r="Z172" s="912"/>
      <c r="AA172" s="912"/>
      <c r="AB172" s="912"/>
      <c r="AC172" s="912"/>
      <c r="AD172" s="912"/>
      <c r="AE172" s="912"/>
      <c r="AF172" s="912"/>
      <c r="AG172" s="912"/>
      <c r="AH172" s="912"/>
      <c r="AI172" s="912"/>
      <c r="AJ172" s="912"/>
      <c r="AK172" s="912"/>
      <c r="AL172" s="912"/>
      <c r="AM172" s="915"/>
      <c r="AN172" s="915"/>
    </row>
    <row r="173" spans="3:40" ht="24.95">
      <c r="C173" s="57"/>
      <c r="D173" s="58" t="s">
        <v>290</v>
      </c>
      <c r="E173" s="58" t="s">
        <v>291</v>
      </c>
      <c r="F173" s="58" t="s">
        <v>292</v>
      </c>
      <c r="G173" s="58" t="s">
        <v>293</v>
      </c>
      <c r="H173" s="58" t="s">
        <v>294</v>
      </c>
      <c r="I173" s="179"/>
      <c r="J173" s="902"/>
      <c r="K173" s="902"/>
      <c r="L173" s="902"/>
      <c r="M173" s="902"/>
      <c r="N173" s="902"/>
      <c r="O173" s="902"/>
      <c r="P173" s="902"/>
      <c r="Q173" s="913"/>
      <c r="R173" s="913"/>
      <c r="S173" s="913"/>
      <c r="T173" s="913"/>
      <c r="U173" s="912"/>
      <c r="V173" s="912"/>
      <c r="W173" s="913"/>
      <c r="X173" s="912"/>
      <c r="Y173" s="912"/>
      <c r="Z173" s="912"/>
      <c r="AA173" s="912"/>
      <c r="AB173" s="912"/>
      <c r="AC173" s="912"/>
      <c r="AD173" s="912"/>
      <c r="AE173" s="912"/>
      <c r="AF173" s="912"/>
      <c r="AG173" s="912"/>
      <c r="AH173" s="912"/>
      <c r="AI173" s="912"/>
      <c r="AJ173" s="912"/>
      <c r="AK173" s="912"/>
      <c r="AL173" s="912"/>
      <c r="AM173" s="915"/>
      <c r="AN173" s="915"/>
    </row>
    <row r="174" spans="3:40" ht="14.1">
      <c r="C174" s="57"/>
      <c r="D174" s="58"/>
      <c r="E174" s="58">
        <f>IF(E168=950,2,(IF(E168=1150,3,(IF(E168=1550,4,(IF(E168=1750,5,(IF(E168=2050,6,(IF(E168=2900,8,(IF(E168=3600,10,IF(E168=4000,12,0))))))))))))))</f>
        <v>12</v>
      </c>
      <c r="F174" s="58">
        <f>IF(G168=950,2,(IF(G168=1150,3,(IF(G168=1550,4,(IF(G168=1750,5,(IF(G168=2050,6,(IF(G168=2900,8,(IF(G168=3600,10,IF(E168=4000,12,0))))))))))))))</f>
        <v>10</v>
      </c>
      <c r="G174" s="58"/>
      <c r="H174" s="60"/>
      <c r="I174" s="834"/>
      <c r="J174" s="902"/>
      <c r="K174" s="902"/>
      <c r="L174" s="902"/>
      <c r="M174" s="902"/>
      <c r="N174" s="902"/>
      <c r="O174" s="902"/>
      <c r="P174" s="902"/>
      <c r="Q174" s="913"/>
      <c r="R174" s="913"/>
      <c r="S174" s="913"/>
      <c r="T174" s="913"/>
      <c r="U174" s="912"/>
      <c r="V174" s="912"/>
      <c r="W174" s="913"/>
      <c r="X174" s="912"/>
      <c r="Y174" s="912"/>
      <c r="Z174" s="912"/>
      <c r="AA174" s="912"/>
      <c r="AB174" s="912"/>
      <c r="AC174" s="912"/>
      <c r="AD174" s="912"/>
      <c r="AE174" s="912"/>
      <c r="AF174" s="912"/>
      <c r="AG174" s="912"/>
      <c r="AH174" s="912"/>
      <c r="AI174" s="912"/>
      <c r="AJ174" s="912"/>
      <c r="AK174" s="912"/>
      <c r="AL174" s="912"/>
      <c r="AM174" s="915"/>
      <c r="AN174" s="915"/>
    </row>
    <row r="175" spans="3:40" ht="14.1">
      <c r="C175" s="57"/>
      <c r="D175" s="58">
        <f>IF(AND(I167=0, OR(E171=1, E171=2, E171=3, E171=4, E171=5)), "20µ", 0)</f>
        <v>0</v>
      </c>
      <c r="E175" s="58">
        <f>IF(OR(D175=0),0,IF(MOD($E$42*$F$42,2)=0,"610",IF(MOD($E$42*$F$42,2.5)=0,"760",IF(MOD($E$42*$F$42,3)=0,"915","Refer"))))</f>
        <v>0</v>
      </c>
      <c r="F175" s="58">
        <f>IF(OR(D175=0),0,IF(MOD($E$42*$F$42,6)=0,"915",IF(MOD($E$42*$F$42,5)=0,"760",IF(MOD($E$42*$F$42,4)=0,"610","Refer"))))</f>
        <v>0</v>
      </c>
      <c r="G175" s="58">
        <f>IF(D175=0,0,100)</f>
        <v>0</v>
      </c>
      <c r="H175" s="60">
        <f>IF(D175=0,0,($E$42*$F$42*305*305)/(E175*F175))</f>
        <v>0</v>
      </c>
      <c r="I175" s="834"/>
      <c r="J175" s="902"/>
      <c r="K175" s="902"/>
      <c r="L175" s="902"/>
      <c r="M175" s="902"/>
      <c r="N175" s="902"/>
      <c r="O175" s="902"/>
      <c r="P175" s="902"/>
      <c r="Q175" s="55"/>
      <c r="R175" s="55"/>
      <c r="S175" s="55"/>
      <c r="T175" s="55"/>
      <c r="U175" s="45"/>
      <c r="V175" s="45"/>
      <c r="W175" s="55"/>
      <c r="X175" s="45"/>
      <c r="Y175" s="45"/>
      <c r="Z175" s="45"/>
      <c r="AA175" s="45"/>
      <c r="AB175" s="45"/>
      <c r="AC175" s="45"/>
      <c r="AD175" s="45"/>
      <c r="AE175" s="45"/>
      <c r="AF175" s="45"/>
      <c r="AG175" s="45"/>
      <c r="AH175" s="45"/>
      <c r="AI175" s="45"/>
      <c r="AJ175" s="45"/>
      <c r="AK175" s="45"/>
      <c r="AL175" s="45"/>
      <c r="AM175" s="63"/>
      <c r="AN175" s="63"/>
    </row>
    <row r="176" spans="3:40" ht="14.1">
      <c r="C176" s="57"/>
      <c r="D176" s="58" t="str">
        <f>IF(E171=4,"10µ",IF(E171=3,"10µ",IF(E171=2,"10µ",IF(E171=1,"10µ",0))))</f>
        <v>10µ</v>
      </c>
      <c r="E176" s="58" t="str">
        <f>IF(OR(D176=0),0,IF(MOD($E$42*$F$42,2)=0,"610",IF(MOD($E$42*$F$42,2.5)=0,"760",IF(MOD($E$42*$F$42,3)=0,"915","Refer"))))</f>
        <v>610</v>
      </c>
      <c r="F176" s="58" t="str">
        <f>IF(OR(D176=0),0,IF(MOD($E$42*$F$42,6)=0,"915",IF(MOD($E$42*$F$42,5)=0,"760",IF(MOD($E$42*$F$42,4)=0,"610","Refer"))))</f>
        <v>915</v>
      </c>
      <c r="G176" s="58">
        <f>IF(D176=0,0,150)</f>
        <v>150</v>
      </c>
      <c r="H176" s="60">
        <f>IF(D176=0,0,($E$42*$F$42*305*305)/(E176*F176))</f>
        <v>6</v>
      </c>
      <c r="I176" s="834"/>
      <c r="J176" s="902"/>
      <c r="K176" s="902"/>
      <c r="L176" s="902"/>
      <c r="M176" s="902"/>
      <c r="N176" s="902"/>
      <c r="O176" s="902"/>
      <c r="P176" s="902"/>
      <c r="Q176" s="913"/>
      <c r="R176" s="913"/>
      <c r="S176" s="913"/>
      <c r="T176" s="913"/>
      <c r="U176" s="912"/>
      <c r="V176" s="912"/>
      <c r="W176" s="913"/>
      <c r="X176" s="912"/>
      <c r="Y176" s="912"/>
      <c r="Z176" s="912"/>
      <c r="AA176" s="912"/>
      <c r="AB176" s="912"/>
      <c r="AC176" s="912"/>
      <c r="AD176" s="912"/>
      <c r="AE176" s="912"/>
      <c r="AF176" s="912"/>
      <c r="AG176" s="912"/>
      <c r="AH176" s="912"/>
      <c r="AI176" s="912"/>
      <c r="AJ176" s="912"/>
      <c r="AK176" s="912"/>
      <c r="AL176" s="912"/>
      <c r="AM176" s="915"/>
      <c r="AN176" s="915"/>
    </row>
    <row r="177" spans="3:40" ht="14.1">
      <c r="C177" s="57"/>
      <c r="D177" s="58" t="str">
        <f>IF(E171=4,"5µ",IF(E171=3,"5µ",IF(E171=2,"5µ",0)))</f>
        <v>5µ</v>
      </c>
      <c r="E177" s="58" t="str">
        <f t="shared" ref="E177:E179" si="100">IF(OR(D177=0),0,IF(MOD($E$42*$F$42,2)=0,"610",IF(MOD($E$42*$F$42,2.5)=0,"760",IF(MOD($E$42*$F$42,3)=0,"915","Refer"))))</f>
        <v>610</v>
      </c>
      <c r="F177" s="58" t="str">
        <f>IF(OR(D177=0),0,IF(MOD($E$42*$F$42,6)=0,"915",IF(MOD($E$42*$F$42,5)=0,"760",IF(MOD($E$42*$F$42,4)=0,"610","Refer"))))</f>
        <v>915</v>
      </c>
      <c r="G177" s="58">
        <f>IF(D177=0,0,300)</f>
        <v>300</v>
      </c>
      <c r="H177" s="60">
        <f>IF(D177=0,0,($E$42*$F$42*305*305)/(E177*F177))</f>
        <v>6</v>
      </c>
      <c r="I177" s="834"/>
      <c r="J177" s="902"/>
      <c r="K177" s="902"/>
      <c r="L177" s="902"/>
      <c r="M177" s="902"/>
      <c r="N177" s="902"/>
      <c r="O177" s="902"/>
      <c r="P177" s="902"/>
      <c r="Q177" s="913"/>
      <c r="R177" s="913"/>
      <c r="S177" s="913"/>
      <c r="T177" s="913"/>
      <c r="U177" s="912"/>
      <c r="V177" s="912"/>
      <c r="W177" s="913"/>
      <c r="X177" s="912"/>
      <c r="Y177" s="912"/>
      <c r="Z177" s="912"/>
      <c r="AA177" s="912"/>
      <c r="AB177" s="912"/>
      <c r="AC177" s="912"/>
      <c r="AD177" s="912"/>
      <c r="AE177" s="912"/>
      <c r="AF177" s="912"/>
      <c r="AG177" s="912"/>
      <c r="AH177" s="912"/>
      <c r="AI177" s="912"/>
      <c r="AJ177" s="912"/>
      <c r="AK177" s="912"/>
      <c r="AL177" s="912"/>
      <c r="AM177" s="915"/>
      <c r="AN177" s="915"/>
    </row>
    <row r="178" spans="3:40" ht="14.1">
      <c r="C178" s="57"/>
      <c r="D178" s="58" t="str">
        <f>IF(E171=4,"1µ",IF(E171=3,"1µ",0))</f>
        <v>1µ</v>
      </c>
      <c r="E178" s="58" t="str">
        <f t="shared" si="100"/>
        <v>610</v>
      </c>
      <c r="F178" s="58" t="str">
        <f>IF(OR(D178=0),0,IF(MOD($E$42*$F$42,6)=0,"915",IF(MOD($E$42*$F$42,5)=0,"760",IF(MOD($E$42*$F$42,4)=0,"610","Refer"))))</f>
        <v>915</v>
      </c>
      <c r="G178" s="58">
        <f>IF(D178=0,0,300)</f>
        <v>300</v>
      </c>
      <c r="H178" s="60">
        <f>IF(D178=0,0,($E$42*$F$42*305*305)/(E178*F178))</f>
        <v>6</v>
      </c>
      <c r="I178" s="834"/>
      <c r="J178" s="902"/>
      <c r="K178" s="902"/>
      <c r="L178" s="902"/>
      <c r="M178" s="902"/>
      <c r="N178" s="902"/>
      <c r="O178" s="902"/>
      <c r="P178" s="902"/>
      <c r="Q178" s="913"/>
      <c r="R178" s="913"/>
      <c r="S178" s="913"/>
      <c r="T178" s="913"/>
      <c r="U178" s="912"/>
      <c r="V178" s="912"/>
      <c r="W178" s="913"/>
      <c r="X178" s="912"/>
      <c r="Y178" s="912"/>
      <c r="Z178" s="912"/>
      <c r="AA178" s="912"/>
      <c r="AB178" s="912"/>
      <c r="AC178" s="912"/>
      <c r="AD178" s="912"/>
      <c r="AE178" s="912"/>
      <c r="AF178" s="912"/>
      <c r="AG178" s="912"/>
      <c r="AH178" s="912"/>
      <c r="AI178" s="912"/>
      <c r="AJ178" s="912"/>
      <c r="AK178" s="912"/>
      <c r="AL178" s="912"/>
      <c r="AM178" s="915"/>
      <c r="AN178" s="915"/>
    </row>
    <row r="179" spans="3:40" ht="14.1">
      <c r="C179" s="57"/>
      <c r="D179" s="58">
        <f>IF(E171=4,"0.3µ 95% Eff. HEPA Filetr",0)</f>
        <v>0</v>
      </c>
      <c r="E179" s="58">
        <f t="shared" si="100"/>
        <v>0</v>
      </c>
      <c r="F179" s="58">
        <f>IF(OR(D179=0),0,IF(MOD($E$42*$F$42,6)=0,"915",IF(MOD($E$42*$F$42,5)=0,"760",IF(MOD($E$42*$F$42,4)=0,"610","Refer"))))</f>
        <v>0</v>
      </c>
      <c r="G179" s="58">
        <f>IF(D179=0,0,300)</f>
        <v>0</v>
      </c>
      <c r="H179" s="60">
        <f>IF(D179=0,0,($E$42*$F$42*305*305)/(E179*F179))</f>
        <v>0</v>
      </c>
      <c r="I179" s="836"/>
      <c r="J179" s="902"/>
      <c r="K179" s="902"/>
      <c r="L179" s="902"/>
      <c r="M179" s="902"/>
      <c r="N179" s="902"/>
      <c r="O179" s="902"/>
      <c r="P179" s="902"/>
      <c r="Q179" s="913"/>
      <c r="R179" s="913"/>
      <c r="S179" s="913"/>
      <c r="T179" s="913"/>
      <c r="U179" s="912"/>
      <c r="V179" s="912"/>
      <c r="W179" s="913"/>
      <c r="X179" s="912"/>
      <c r="Y179" s="912"/>
      <c r="Z179" s="912"/>
      <c r="AA179" s="912"/>
      <c r="AB179" s="912"/>
      <c r="AC179" s="912"/>
      <c r="AD179" s="912"/>
      <c r="AE179" s="912"/>
      <c r="AF179" s="912"/>
      <c r="AG179" s="912"/>
      <c r="AH179" s="912"/>
      <c r="AI179" s="912"/>
      <c r="AJ179" s="912"/>
      <c r="AK179" s="912"/>
      <c r="AL179" s="912"/>
      <c r="AM179" s="915"/>
      <c r="AN179" s="915"/>
    </row>
    <row r="180" spans="3:40" ht="14.1">
      <c r="C180" s="57"/>
      <c r="D180" s="826"/>
      <c r="E180" s="182"/>
      <c r="F180" s="182"/>
      <c r="G180" s="182"/>
      <c r="H180" s="182"/>
      <c r="I180" s="827"/>
      <c r="J180" s="52"/>
      <c r="K180" s="52"/>
      <c r="L180" s="52"/>
      <c r="M180" s="52"/>
      <c r="N180" s="52"/>
      <c r="O180" s="828"/>
      <c r="P180" s="828"/>
      <c r="Q180" s="55"/>
      <c r="R180" s="55"/>
      <c r="S180" s="55"/>
      <c r="T180" s="55"/>
      <c r="U180" s="45"/>
      <c r="V180" s="45"/>
      <c r="W180" s="55"/>
      <c r="X180" s="45"/>
      <c r="Y180" s="45"/>
      <c r="Z180" s="45"/>
      <c r="AA180" s="45"/>
      <c r="AB180" s="45"/>
      <c r="AC180" s="45"/>
      <c r="AD180" s="45"/>
      <c r="AE180" s="45"/>
      <c r="AF180" s="45"/>
      <c r="AG180" s="45"/>
      <c r="AH180" s="45"/>
      <c r="AI180" s="45"/>
      <c r="AJ180" s="45"/>
      <c r="AK180" s="45"/>
      <c r="AL180" s="45"/>
      <c r="AM180" s="63"/>
      <c r="AN180" s="63"/>
    </row>
    <row r="181" spans="3:40" ht="14.1" customHeight="1">
      <c r="C181" s="57"/>
      <c r="D181" s="901" t="str">
        <f>"AHU - " &amp; INT((ROW()-34)/14)+1 &amp; "  " &amp; IF(I182&gt;0,"Air-Conditioning System " &amp; IF(OR(G185="Header", G185="C"), "(Chilled Water)",IF(OR(G185="Distributor", G185="D"), "(DX)", "Ventilation System")),IF(NOT(I182&gt;0), "Ventilation System ( SUPPLY )", "Refer"))</f>
        <v>AHU - 11  Air-Conditioning System (Chilled Water)</v>
      </c>
      <c r="E181" s="901"/>
      <c r="F181" s="901"/>
      <c r="G181" s="901"/>
      <c r="H181" s="901"/>
      <c r="I181" s="901"/>
      <c r="J181" s="52"/>
      <c r="K181" s="52"/>
      <c r="L181" s="53"/>
      <c r="M181" s="53"/>
      <c r="N181" s="53"/>
      <c r="O181" s="54"/>
      <c r="P181" s="55"/>
      <c r="AM181" s="56"/>
      <c r="AN181" s="56"/>
    </row>
    <row r="182" spans="3:40" ht="14.1">
      <c r="C182" s="57"/>
      <c r="D182" s="175" t="s">
        <v>274</v>
      </c>
      <c r="E182" s="180" t="str">
        <f>'BOD-Cold &amp; Amb.'!R190</f>
        <v>ISO 6</v>
      </c>
      <c r="F182" s="175" t="s">
        <v>275</v>
      </c>
      <c r="G182" s="180">
        <f>'BOD-Cold &amp; Amb.'!AK190</f>
        <v>42500</v>
      </c>
      <c r="H182" s="175" t="s">
        <v>276</v>
      </c>
      <c r="I182" s="181">
        <f>'BOD-Cold &amp; Amb.'!AQ190</f>
        <v>108.5</v>
      </c>
      <c r="J182" s="902" t="s">
        <v>277</v>
      </c>
      <c r="K182" s="902">
        <v>1</v>
      </c>
      <c r="L182" s="917">
        <f>Q182</f>
        <v>2070750</v>
      </c>
      <c r="M182" s="902">
        <f>K182*L182</f>
        <v>2070750</v>
      </c>
      <c r="N182" s="902"/>
      <c r="O182" s="902"/>
      <c r="P182" s="902"/>
      <c r="Q182" s="913">
        <f t="shared" ref="Q182" si="101">CEILING((S182+T182+U182+V182+W182),250)</f>
        <v>2070750</v>
      </c>
      <c r="R182" s="913">
        <f>IF(I182&gt;0,625,375)</f>
        <v>625</v>
      </c>
      <c r="S182" s="913">
        <f>(E183*G183*3*10.76+E183*I183*2*10.76+G183*I183*2*10.76)*R182/(1000*1000)</f>
        <v>883396</v>
      </c>
      <c r="T182" s="913">
        <f>I182*4*1050</f>
        <v>455700</v>
      </c>
      <c r="U182" s="912">
        <f>IF(G182&lt;=2000,5000,(IF(G182&lt;=5000,8000,(IF(G182&lt;=10000,10000,(IF(G182&lt;=18000,15000,(IF(G182&lt;=40000,20000,25000)))))))))</f>
        <v>25000</v>
      </c>
      <c r="V182" s="912">
        <f t="shared" ref="V182" si="102">IF(X182=200,17150,(IF(X182=225,18150,(IF(X182=250,18900,(IF(X182=280,19150,(IF(X182=315,19650,(IF(X182=355,21900,(IF(X182=400,24400,0)))))))))))))+IF(X182=450,31000,(IF(X182=500,37450,(IF(X182=560,45650,(IF(X182=630,58900,(IF(X182=710,77950,0)))))))))+IF(X182=800,119650,(IF(X182=900,153300,(IF(X182=1000,178900,(IF(X182=1120,286500,(IF(X182=1250,394500,(IF(X182=1450,461500,0)))))))))))</f>
        <v>286500</v>
      </c>
      <c r="W182" s="913">
        <f>IF(I184=0.5,16600,(IF(I184=1,19050,(IF(I184=1.5,21750,(IF(I184=2,23600,(IF(I184=3,30000,(IF(I184=5,38000,0)))))))))))*1.2+IF(I184=7.5,52300,(IF(I184=10,59600,0)))*1.2+IF(I184=12.5,100350,(IF(I184=15,106000,(IF(I184=20,129150,(IF(I184=25,146050,(IF(I184=30,173600,(IF(I184=40,233900,(IF(I184=50,304650,IF(I184=60,350000,400000)))))))))))))*1.2)</f>
        <v>420000</v>
      </c>
      <c r="X182" s="912">
        <f>E184</f>
        <v>1120</v>
      </c>
      <c r="Y182" s="912">
        <f t="shared" ref="Y182" si="103">IF(G182&lt;=6750,450,(IF(G182&lt;=8500,500,(IF(G182&lt;=10750,560,(IF(G182&lt;=13500,630,(IF(G182&lt;=17000,710,(IF(G182&lt;=21500,800,(IF(G182&lt;=27000,900,(IF(G182&lt;=34000,1000,0)))))))))))))))</f>
        <v>0</v>
      </c>
      <c r="Z182" s="912">
        <f t="shared" ref="Z182" si="104">IF(G182&lt;=1300,200,(IF(G182&lt;=1600,225,(IF(G182&lt;=2100,250,(IF(G182&lt;=2700,280,(IF(G182&lt;=3450,315,(IF(G182&lt;=4250,355,(IF(G182&lt;=5250,400,(IF(G182&lt;=6750,450,0)))))))))))))))</f>
        <v>0</v>
      </c>
      <c r="AA182" s="912">
        <f t="shared" ref="AA182" si="105">IF(G182&lt;=2000,5000,(IF(G182&lt;=5000,8000,(IF(G182&lt;=10000,10000,(IF(G182&lt;=18000,15000,(IF(G182&lt;=40000,20000,10000)))))))))</f>
        <v>10000</v>
      </c>
      <c r="AB182" s="912">
        <f>IF(E183=950,2,(IF(E183=1150,3,(IF(E183=1550,4,(IF(E183=1750,5,(IF(E183=2050,6,(IF(E183=2900,8,(IF(E183=3600,10,12)))))))))))))</f>
        <v>12</v>
      </c>
      <c r="AC182" s="912">
        <f>IF(G183=950,2,(IF(G183=1150,3,(IF(G183=1550,4,(IF(G183=1750,5,(IF(G183=2050,6,(IF(G183=2900,8,(IF(G183=3600,10,12)))))))))))))</f>
        <v>10</v>
      </c>
      <c r="AD182" s="912">
        <f t="shared" ref="AD182" si="106">AC182*AB182</f>
        <v>120</v>
      </c>
      <c r="AE182" s="912">
        <v>150</v>
      </c>
      <c r="AF182" s="912">
        <f t="shared" ref="AF182" si="107">CEILING((SQRT(G182/1000))*4*2*AE182*1.25*K182,100)</f>
        <v>9800</v>
      </c>
      <c r="AG182" s="912">
        <f>E190*F190*H190/(305*305)</f>
        <v>0</v>
      </c>
      <c r="AH182" s="912">
        <f>E191*F191*H191/(305*305)</f>
        <v>36</v>
      </c>
      <c r="AI182" s="912">
        <f>H192*E192*F192/(305*305)</f>
        <v>36</v>
      </c>
      <c r="AJ182" s="912">
        <f>H193*E193*F193/(305*305)</f>
        <v>36</v>
      </c>
      <c r="AK182" s="912">
        <f>H194*E194*F194/(305*305)</f>
        <v>0</v>
      </c>
      <c r="AL182" s="912"/>
      <c r="AM182" s="915">
        <f t="shared" ref="AM182" si="108">(G182*2.2/1100)</f>
        <v>85.000000000000014</v>
      </c>
      <c r="AN182" s="915">
        <f t="shared" ref="AN182" si="109">(G182*1/1100)</f>
        <v>38.636363636363633</v>
      </c>
    </row>
    <row r="183" spans="3:40" ht="14.1">
      <c r="C183" s="57"/>
      <c r="D183" s="175" t="s">
        <v>278</v>
      </c>
      <c r="E183" s="180">
        <f>'BOD-Cold &amp; Amb.'!AL191</f>
        <v>4000</v>
      </c>
      <c r="F183" s="175" t="s">
        <v>279</v>
      </c>
      <c r="G183" s="180">
        <f>'BOD-Cold &amp; Amb.'!AL193</f>
        <v>3600</v>
      </c>
      <c r="H183" s="175" t="s">
        <v>280</v>
      </c>
      <c r="I183" s="181">
        <f>'BOD-Cold &amp; Amb.'!AL195</f>
        <v>5800</v>
      </c>
      <c r="J183" s="902"/>
      <c r="K183" s="902"/>
      <c r="L183" s="902"/>
      <c r="M183" s="902"/>
      <c r="N183" s="902"/>
      <c r="O183" s="902"/>
      <c r="P183" s="902"/>
      <c r="Q183" s="913"/>
      <c r="R183" s="913"/>
      <c r="S183" s="913"/>
      <c r="T183" s="913"/>
      <c r="U183" s="912"/>
      <c r="V183" s="912"/>
      <c r="W183" s="913"/>
      <c r="X183" s="912"/>
      <c r="Y183" s="912"/>
      <c r="Z183" s="912"/>
      <c r="AA183" s="912"/>
      <c r="AB183" s="912"/>
      <c r="AC183" s="912"/>
      <c r="AD183" s="912"/>
      <c r="AE183" s="912"/>
      <c r="AF183" s="912"/>
      <c r="AG183" s="912"/>
      <c r="AH183" s="912"/>
      <c r="AI183" s="912"/>
      <c r="AJ183" s="912"/>
      <c r="AK183" s="912"/>
      <c r="AL183" s="912"/>
      <c r="AM183" s="915"/>
      <c r="AN183" s="915"/>
    </row>
    <row r="184" spans="3:40" ht="14.1">
      <c r="C184" s="57"/>
      <c r="D184" s="175" t="s">
        <v>281</v>
      </c>
      <c r="E184" s="180">
        <f>'BOD-Cold &amp; Amb.'!AN190</f>
        <v>1120</v>
      </c>
      <c r="F184" s="176" t="s">
        <v>282</v>
      </c>
      <c r="G184" s="180">
        <f>'BOD-Cold &amp; Amb.'!AM190</f>
        <v>150</v>
      </c>
      <c r="H184" s="176" t="s">
        <v>283</v>
      </c>
      <c r="I184" s="181">
        <f>'BOD-Cold &amp; Amb.'!AO190</f>
        <v>60</v>
      </c>
      <c r="J184" s="902"/>
      <c r="K184" s="902"/>
      <c r="L184" s="902"/>
      <c r="M184" s="902"/>
      <c r="N184" s="902"/>
      <c r="O184" s="902"/>
      <c r="P184" s="902"/>
      <c r="Q184" s="913"/>
      <c r="R184" s="913"/>
      <c r="S184" s="913"/>
      <c r="T184" s="913"/>
      <c r="U184" s="912"/>
      <c r="V184" s="912"/>
      <c r="W184" s="913"/>
      <c r="X184" s="912"/>
      <c r="Y184" s="912"/>
      <c r="Z184" s="912"/>
      <c r="AA184" s="912"/>
      <c r="AB184" s="912"/>
      <c r="AC184" s="912"/>
      <c r="AD184" s="912"/>
      <c r="AE184" s="912"/>
      <c r="AF184" s="912"/>
      <c r="AG184" s="912"/>
      <c r="AH184" s="912"/>
      <c r="AI184" s="912"/>
      <c r="AJ184" s="912"/>
      <c r="AK184" s="912"/>
      <c r="AL184" s="912"/>
      <c r="AM184" s="915"/>
      <c r="AN184" s="915"/>
    </row>
    <row r="185" spans="3:40" ht="21.6" customHeight="1">
      <c r="C185" s="57"/>
      <c r="D185" s="175" t="s">
        <v>284</v>
      </c>
      <c r="E185" s="180">
        <f>'BOD-Cold &amp; Amb.'!AP190</f>
        <v>4</v>
      </c>
      <c r="F185" s="832" t="s">
        <v>285</v>
      </c>
      <c r="G185" s="837" t="str">
        <f>IF(OR(I182=0, E185="Amb"), "Amb",IF('BOD-Cold &amp; Amb.'!AH145="C", "Header",IF('BOD-Cold &amp; Amb.'!AH145="D", "Distributor", "Refer")))</f>
        <v>Header</v>
      </c>
      <c r="H185" s="832" t="s">
        <v>286</v>
      </c>
      <c r="I185" s="833" t="str">
        <f>IF(OR(I182=0, E185=0), 0,ROUND(((( I182/E185)*304.8)/(E183-400))*1000,0)&amp;" h "&amp;" x " &amp; (E183-400)&amp;" w ")</f>
        <v xml:space="preserve">2297 h  x 3600 w </v>
      </c>
      <c r="J185" s="902"/>
      <c r="K185" s="902"/>
      <c r="L185" s="902"/>
      <c r="M185" s="902"/>
      <c r="N185" s="902"/>
      <c r="O185" s="902"/>
      <c r="P185" s="902"/>
      <c r="Q185" s="913"/>
      <c r="R185" s="913"/>
      <c r="S185" s="913"/>
      <c r="T185" s="913"/>
      <c r="U185" s="912"/>
      <c r="V185" s="912"/>
      <c r="W185" s="913"/>
      <c r="X185" s="912"/>
      <c r="Y185" s="912"/>
      <c r="Z185" s="912"/>
      <c r="AA185" s="912"/>
      <c r="AB185" s="912"/>
      <c r="AC185" s="912"/>
      <c r="AD185" s="912"/>
      <c r="AE185" s="912"/>
      <c r="AF185" s="912"/>
      <c r="AG185" s="912"/>
      <c r="AH185" s="912"/>
      <c r="AI185" s="912"/>
      <c r="AJ185" s="912"/>
      <c r="AK185" s="912"/>
      <c r="AL185" s="912"/>
      <c r="AM185" s="915"/>
      <c r="AN185" s="915"/>
    </row>
    <row r="186" spans="3:40" ht="21">
      <c r="C186" s="57"/>
      <c r="D186" s="175" t="s">
        <v>287</v>
      </c>
      <c r="E186" s="180">
        <f>'BOD-Cold &amp; Amb.'!AR190</f>
        <v>3</v>
      </c>
      <c r="F186" s="176" t="s">
        <v>288</v>
      </c>
      <c r="G186" s="177" t="str">
        <f>IF(E186=4,"10µ, 5µ, 1µ &amp; 0.3µ (HEPA Plenum Fitted 95% eff.)",IF(E186=3,"10µ, 5µ &amp; 1µ ",IF(E186=2,"10µ  &amp; 5µ",IF(E186=1,"10µ", "Filter Ratings"))))</f>
        <v xml:space="preserve">10µ, 5µ &amp; 1µ </v>
      </c>
      <c r="H186" s="178"/>
      <c r="I186" s="179"/>
      <c r="J186" s="902"/>
      <c r="K186" s="902"/>
      <c r="L186" s="902"/>
      <c r="M186" s="902"/>
      <c r="N186" s="902"/>
      <c r="O186" s="902"/>
      <c r="P186" s="902"/>
      <c r="Q186" s="913"/>
      <c r="R186" s="913"/>
      <c r="S186" s="913"/>
      <c r="T186" s="913"/>
      <c r="U186" s="912"/>
      <c r="V186" s="912"/>
      <c r="W186" s="913"/>
      <c r="X186" s="912"/>
      <c r="Y186" s="912"/>
      <c r="Z186" s="912"/>
      <c r="AA186" s="912"/>
      <c r="AB186" s="912"/>
      <c r="AC186" s="912"/>
      <c r="AD186" s="912"/>
      <c r="AE186" s="912"/>
      <c r="AF186" s="912"/>
      <c r="AG186" s="912"/>
      <c r="AH186" s="912"/>
      <c r="AI186" s="912"/>
      <c r="AJ186" s="912"/>
      <c r="AK186" s="912"/>
      <c r="AL186" s="912"/>
      <c r="AM186" s="915"/>
      <c r="AN186" s="915"/>
    </row>
    <row r="187" spans="3:40">
      <c r="C187" s="57"/>
      <c r="D187" s="922" t="s">
        <v>289</v>
      </c>
      <c r="E187" s="923"/>
      <c r="F187" s="923"/>
      <c r="G187" s="923"/>
      <c r="H187" s="923"/>
      <c r="I187" s="924"/>
      <c r="J187" s="902"/>
      <c r="K187" s="902"/>
      <c r="L187" s="902"/>
      <c r="M187" s="902"/>
      <c r="N187" s="902"/>
      <c r="O187" s="902"/>
      <c r="P187" s="902"/>
      <c r="Q187" s="913"/>
      <c r="R187" s="913"/>
      <c r="S187" s="913"/>
      <c r="T187" s="913"/>
      <c r="U187" s="912"/>
      <c r="V187" s="912"/>
      <c r="W187" s="913"/>
      <c r="X187" s="912"/>
      <c r="Y187" s="912"/>
      <c r="Z187" s="912"/>
      <c r="AA187" s="912"/>
      <c r="AB187" s="912"/>
      <c r="AC187" s="912"/>
      <c r="AD187" s="912"/>
      <c r="AE187" s="912"/>
      <c r="AF187" s="912"/>
      <c r="AG187" s="912"/>
      <c r="AH187" s="912"/>
      <c r="AI187" s="912"/>
      <c r="AJ187" s="912"/>
      <c r="AK187" s="912"/>
      <c r="AL187" s="912"/>
      <c r="AM187" s="915"/>
      <c r="AN187" s="915"/>
    </row>
    <row r="188" spans="3:40" ht="24.95">
      <c r="C188" s="57"/>
      <c r="D188" s="58" t="s">
        <v>290</v>
      </c>
      <c r="E188" s="58" t="s">
        <v>291</v>
      </c>
      <c r="F188" s="58" t="s">
        <v>292</v>
      </c>
      <c r="G188" s="58" t="s">
        <v>293</v>
      </c>
      <c r="H188" s="58" t="s">
        <v>294</v>
      </c>
      <c r="I188" s="179"/>
      <c r="J188" s="902"/>
      <c r="K188" s="902"/>
      <c r="L188" s="902"/>
      <c r="M188" s="902"/>
      <c r="N188" s="902"/>
      <c r="O188" s="902"/>
      <c r="P188" s="902"/>
      <c r="Q188" s="913"/>
      <c r="R188" s="913"/>
      <c r="S188" s="913"/>
      <c r="T188" s="913"/>
      <c r="U188" s="912"/>
      <c r="V188" s="912"/>
      <c r="W188" s="913"/>
      <c r="X188" s="912"/>
      <c r="Y188" s="912"/>
      <c r="Z188" s="912"/>
      <c r="AA188" s="912"/>
      <c r="AB188" s="912"/>
      <c r="AC188" s="912"/>
      <c r="AD188" s="912"/>
      <c r="AE188" s="912"/>
      <c r="AF188" s="912"/>
      <c r="AG188" s="912"/>
      <c r="AH188" s="912"/>
      <c r="AI188" s="912"/>
      <c r="AJ188" s="912"/>
      <c r="AK188" s="912"/>
      <c r="AL188" s="912"/>
      <c r="AM188" s="915"/>
      <c r="AN188" s="915"/>
    </row>
    <row r="189" spans="3:40" ht="14.1">
      <c r="C189" s="57"/>
      <c r="D189" s="58"/>
      <c r="E189" s="58">
        <f>IF(E183=950,2,(IF(E183=1150,3,(IF(E183=1550,4,(IF(E183=1750,5,(IF(E183=2050,6,(IF(E183=2900,8,(IF(E183=3600,10,IF(E183=4000,12,0))))))))))))))</f>
        <v>12</v>
      </c>
      <c r="F189" s="58">
        <f>IF(G183=950,2,(IF(G183=1150,3,(IF(G183=1550,4,(IF(G183=1750,5,(IF(G183=2050,6,(IF(G183=2900,8,(IF(G183=3600,10,IF(E183=4000,12,0))))))))))))))</f>
        <v>10</v>
      </c>
      <c r="G189" s="58"/>
      <c r="H189" s="60"/>
      <c r="I189" s="834"/>
      <c r="J189" s="902"/>
      <c r="K189" s="902"/>
      <c r="L189" s="902"/>
      <c r="M189" s="902"/>
      <c r="N189" s="902"/>
      <c r="O189" s="902"/>
      <c r="P189" s="902"/>
      <c r="Q189" s="913"/>
      <c r="R189" s="913"/>
      <c r="S189" s="913"/>
      <c r="T189" s="913"/>
      <c r="U189" s="912"/>
      <c r="V189" s="912"/>
      <c r="W189" s="913"/>
      <c r="X189" s="912"/>
      <c r="Y189" s="912"/>
      <c r="Z189" s="912"/>
      <c r="AA189" s="912"/>
      <c r="AB189" s="912"/>
      <c r="AC189" s="912"/>
      <c r="AD189" s="912"/>
      <c r="AE189" s="912"/>
      <c r="AF189" s="912"/>
      <c r="AG189" s="912"/>
      <c r="AH189" s="912"/>
      <c r="AI189" s="912"/>
      <c r="AJ189" s="912"/>
      <c r="AK189" s="912"/>
      <c r="AL189" s="912"/>
      <c r="AM189" s="915"/>
      <c r="AN189" s="915"/>
    </row>
    <row r="190" spans="3:40" ht="14.1">
      <c r="C190" s="57"/>
      <c r="D190" s="58">
        <f>IF(AND(I182=0, OR(E186=1, E186=2, E186=3, E186=4, E186=5)), "20µ", 0)</f>
        <v>0</v>
      </c>
      <c r="E190" s="58">
        <f>IF(OR(D190=0),0,IF(MOD($E$42*$F$42,2)=0,"610",IF(MOD($E$42*$F$42,2.5)=0,"760",IF(MOD($E$42*$F$42,3)=0,"915","Refer"))))</f>
        <v>0</v>
      </c>
      <c r="F190" s="58">
        <f>IF(OR(D190=0),0,IF(MOD($E$42*$F$42,6)=0,"915",IF(MOD($E$42*$F$42,5)=0,"760",IF(MOD($E$42*$F$42,4)=0,"610","Refer"))))</f>
        <v>0</v>
      </c>
      <c r="G190" s="58">
        <f>IF(D190=0,0,100)</f>
        <v>0</v>
      </c>
      <c r="H190" s="60">
        <f>IF(D190=0,0,($E$42*$F$42*305*305)/(E190*F190))</f>
        <v>0</v>
      </c>
      <c r="I190" s="834"/>
      <c r="J190" s="902"/>
      <c r="K190" s="902"/>
      <c r="L190" s="902"/>
      <c r="M190" s="902"/>
      <c r="N190" s="902"/>
      <c r="O190" s="902"/>
      <c r="P190" s="902"/>
      <c r="Q190" s="55"/>
      <c r="R190" s="55"/>
      <c r="S190" s="55"/>
      <c r="T190" s="55"/>
      <c r="U190" s="45"/>
      <c r="V190" s="45"/>
      <c r="W190" s="55"/>
      <c r="X190" s="45"/>
      <c r="Y190" s="45"/>
      <c r="Z190" s="45"/>
      <c r="AA190" s="45"/>
      <c r="AB190" s="45"/>
      <c r="AC190" s="45"/>
      <c r="AD190" s="45"/>
      <c r="AE190" s="45"/>
      <c r="AF190" s="45"/>
      <c r="AG190" s="45"/>
      <c r="AH190" s="45"/>
      <c r="AI190" s="45"/>
      <c r="AJ190" s="45"/>
      <c r="AK190" s="45"/>
      <c r="AL190" s="45"/>
      <c r="AM190" s="63"/>
      <c r="AN190" s="63"/>
    </row>
    <row r="191" spans="3:40" ht="14.1">
      <c r="C191" s="57"/>
      <c r="D191" s="58" t="str">
        <f>IF(E186=4,"10µ",IF(E186=3,"10µ",IF(E186=2,"10µ",IF(E186=1,"10µ",0))))</f>
        <v>10µ</v>
      </c>
      <c r="E191" s="58" t="str">
        <f>IF(OR(D191=0),0,IF(MOD($E$42*$F$42,2)=0,"610",IF(MOD($E$42*$F$42,2.5)=0,"760",IF(MOD($E$42*$F$42,3)=0,"915","Refer"))))</f>
        <v>610</v>
      </c>
      <c r="F191" s="58" t="str">
        <f>IF(OR(D191=0),0,IF(MOD($E$42*$F$42,6)=0,"915",IF(MOD($E$42*$F$42,5)=0,"760",IF(MOD($E$42*$F$42,4)=0,"610","Refer"))))</f>
        <v>915</v>
      </c>
      <c r="G191" s="58">
        <f>IF(D191=0,0,150)</f>
        <v>150</v>
      </c>
      <c r="H191" s="60">
        <f>IF(D191=0,0,($E$42*$F$42*305*305)/(E191*F191))</f>
        <v>6</v>
      </c>
      <c r="I191" s="834"/>
      <c r="J191" s="902"/>
      <c r="K191" s="902"/>
      <c r="L191" s="902"/>
      <c r="M191" s="902"/>
      <c r="N191" s="902"/>
      <c r="O191" s="902"/>
      <c r="P191" s="902"/>
      <c r="Q191" s="913"/>
      <c r="R191" s="913"/>
      <c r="S191" s="913"/>
      <c r="T191" s="913"/>
      <c r="U191" s="912"/>
      <c r="V191" s="912"/>
      <c r="W191" s="913"/>
      <c r="X191" s="912"/>
      <c r="Y191" s="912"/>
      <c r="Z191" s="912"/>
      <c r="AA191" s="912"/>
      <c r="AB191" s="912"/>
      <c r="AC191" s="912"/>
      <c r="AD191" s="912"/>
      <c r="AE191" s="912"/>
      <c r="AF191" s="912"/>
      <c r="AG191" s="912"/>
      <c r="AH191" s="912"/>
      <c r="AI191" s="912"/>
      <c r="AJ191" s="912"/>
      <c r="AK191" s="912"/>
      <c r="AL191" s="912"/>
      <c r="AM191" s="915"/>
      <c r="AN191" s="915"/>
    </row>
    <row r="192" spans="3:40" ht="14.1">
      <c r="C192" s="57"/>
      <c r="D192" s="58" t="str">
        <f>IF(E186=4,"5µ",IF(E186=3,"5µ",IF(E186=2,"5µ",0)))</f>
        <v>5µ</v>
      </c>
      <c r="E192" s="58" t="str">
        <f t="shared" ref="E192:E194" si="110">IF(OR(D192=0),0,IF(MOD($E$42*$F$42,2)=0,"610",IF(MOD($E$42*$F$42,2.5)=0,"760",IF(MOD($E$42*$F$42,3)=0,"915","Refer"))))</f>
        <v>610</v>
      </c>
      <c r="F192" s="58" t="str">
        <f>IF(OR(D192=0),0,IF(MOD($E$42*$F$42,6)=0,"915",IF(MOD($E$42*$F$42,5)=0,"760",IF(MOD($E$42*$F$42,4)=0,"610","Refer"))))</f>
        <v>915</v>
      </c>
      <c r="G192" s="58">
        <f>IF(D192=0,0,300)</f>
        <v>300</v>
      </c>
      <c r="H192" s="60">
        <f>IF(D192=0,0,($E$42*$F$42*305*305)/(E192*F192))</f>
        <v>6</v>
      </c>
      <c r="I192" s="834"/>
      <c r="J192" s="902"/>
      <c r="K192" s="902"/>
      <c r="L192" s="902"/>
      <c r="M192" s="902"/>
      <c r="N192" s="902"/>
      <c r="O192" s="902"/>
      <c r="P192" s="902"/>
      <c r="Q192" s="913"/>
      <c r="R192" s="913"/>
      <c r="S192" s="913"/>
      <c r="T192" s="913"/>
      <c r="U192" s="912"/>
      <c r="V192" s="912"/>
      <c r="W192" s="913"/>
      <c r="X192" s="912"/>
      <c r="Y192" s="912"/>
      <c r="Z192" s="912"/>
      <c r="AA192" s="912"/>
      <c r="AB192" s="912"/>
      <c r="AC192" s="912"/>
      <c r="AD192" s="912"/>
      <c r="AE192" s="912"/>
      <c r="AF192" s="912"/>
      <c r="AG192" s="912"/>
      <c r="AH192" s="912"/>
      <c r="AI192" s="912"/>
      <c r="AJ192" s="912"/>
      <c r="AK192" s="912"/>
      <c r="AL192" s="912"/>
      <c r="AM192" s="915"/>
      <c r="AN192" s="915"/>
    </row>
    <row r="193" spans="3:40" ht="14.1">
      <c r="C193" s="57"/>
      <c r="D193" s="58" t="str">
        <f>IF(E186=4,"1µ",IF(E186=3,"1µ",0))</f>
        <v>1µ</v>
      </c>
      <c r="E193" s="58" t="str">
        <f t="shared" si="110"/>
        <v>610</v>
      </c>
      <c r="F193" s="58" t="str">
        <f>IF(OR(D193=0),0,IF(MOD($E$42*$F$42,6)=0,"915",IF(MOD($E$42*$F$42,5)=0,"760",IF(MOD($E$42*$F$42,4)=0,"610","Refer"))))</f>
        <v>915</v>
      </c>
      <c r="G193" s="58">
        <f>IF(D193=0,0,300)</f>
        <v>300</v>
      </c>
      <c r="H193" s="60">
        <f>IF(D193=0,0,($E$42*$F$42*305*305)/(E193*F193))</f>
        <v>6</v>
      </c>
      <c r="I193" s="834"/>
      <c r="J193" s="902"/>
      <c r="K193" s="902"/>
      <c r="L193" s="902"/>
      <c r="M193" s="902"/>
      <c r="N193" s="902"/>
      <c r="O193" s="902"/>
      <c r="P193" s="902"/>
      <c r="Q193" s="913"/>
      <c r="R193" s="913"/>
      <c r="S193" s="913"/>
      <c r="T193" s="913"/>
      <c r="U193" s="912"/>
      <c r="V193" s="912"/>
      <c r="W193" s="913"/>
      <c r="X193" s="912"/>
      <c r="Y193" s="912"/>
      <c r="Z193" s="912"/>
      <c r="AA193" s="912"/>
      <c r="AB193" s="912"/>
      <c r="AC193" s="912"/>
      <c r="AD193" s="912"/>
      <c r="AE193" s="912"/>
      <c r="AF193" s="912"/>
      <c r="AG193" s="912"/>
      <c r="AH193" s="912"/>
      <c r="AI193" s="912"/>
      <c r="AJ193" s="912"/>
      <c r="AK193" s="912"/>
      <c r="AL193" s="912"/>
      <c r="AM193" s="915"/>
      <c r="AN193" s="915"/>
    </row>
    <row r="194" spans="3:40" ht="14.1">
      <c r="C194" s="57"/>
      <c r="D194" s="58">
        <f>IF(E186=4,"0.3µ 95% Eff. HEPA Filetr",0)</f>
        <v>0</v>
      </c>
      <c r="E194" s="58">
        <f t="shared" si="110"/>
        <v>0</v>
      </c>
      <c r="F194" s="58">
        <f>IF(OR(D194=0),0,IF(MOD($E$42*$F$42,6)=0,"915",IF(MOD($E$42*$F$42,5)=0,"760",IF(MOD($E$42*$F$42,4)=0,"610","Refer"))))</f>
        <v>0</v>
      </c>
      <c r="G194" s="58">
        <f>IF(D194=0,0,300)</f>
        <v>0</v>
      </c>
      <c r="H194" s="60">
        <f>IF(D194=0,0,($E$42*$F$42*305*305)/(E194*F194))</f>
        <v>0</v>
      </c>
      <c r="I194" s="836"/>
      <c r="J194" s="902"/>
      <c r="K194" s="902"/>
      <c r="L194" s="902"/>
      <c r="M194" s="902"/>
      <c r="N194" s="902"/>
      <c r="O194" s="902"/>
      <c r="P194" s="902"/>
      <c r="Q194" s="913"/>
      <c r="R194" s="913"/>
      <c r="S194" s="913"/>
      <c r="T194" s="913"/>
      <c r="U194" s="912"/>
      <c r="V194" s="912"/>
      <c r="W194" s="913"/>
      <c r="X194" s="912"/>
      <c r="Y194" s="912"/>
      <c r="Z194" s="912"/>
      <c r="AA194" s="912"/>
      <c r="AB194" s="912"/>
      <c r="AC194" s="912"/>
      <c r="AD194" s="912"/>
      <c r="AE194" s="912"/>
      <c r="AF194" s="912"/>
      <c r="AG194" s="912"/>
      <c r="AH194" s="912"/>
      <c r="AI194" s="912"/>
      <c r="AJ194" s="912"/>
      <c r="AK194" s="912"/>
      <c r="AL194" s="912"/>
      <c r="AM194" s="915"/>
      <c r="AN194" s="915"/>
    </row>
    <row r="195" spans="3:40" ht="14.1">
      <c r="C195" s="57"/>
      <c r="D195" s="826"/>
      <c r="E195" s="182"/>
      <c r="F195" s="182"/>
      <c r="G195" s="182"/>
      <c r="H195" s="182"/>
      <c r="I195" s="827"/>
      <c r="J195" s="52"/>
      <c r="K195" s="52"/>
      <c r="L195" s="52"/>
      <c r="M195" s="52"/>
      <c r="N195" s="52"/>
      <c r="O195" s="828"/>
      <c r="P195" s="828"/>
      <c r="Q195" s="55"/>
      <c r="R195" s="55"/>
      <c r="S195" s="55"/>
      <c r="T195" s="55"/>
      <c r="U195" s="45"/>
      <c r="V195" s="45"/>
      <c r="W195" s="55"/>
      <c r="X195" s="45"/>
      <c r="Y195" s="45"/>
      <c r="Z195" s="45"/>
      <c r="AA195" s="45"/>
      <c r="AB195" s="45"/>
      <c r="AC195" s="45"/>
      <c r="AD195" s="45"/>
      <c r="AE195" s="45"/>
      <c r="AF195" s="45"/>
      <c r="AG195" s="45"/>
      <c r="AH195" s="45"/>
      <c r="AI195" s="45"/>
      <c r="AJ195" s="45"/>
      <c r="AK195" s="45"/>
      <c r="AL195" s="45"/>
      <c r="AM195" s="63"/>
      <c r="AN195" s="63"/>
    </row>
    <row r="196" spans="3:40" ht="14.1" customHeight="1">
      <c r="C196" s="57"/>
      <c r="D196" s="901" t="str">
        <f>"AHU - " &amp; INT((ROW()-34)/14)+1 &amp; "  " &amp; IF(I197&gt;0,"Air-Conditioning System " &amp; IF(OR(G200="Header", G200="C"), "(Chilled Water)",IF(OR(G200="Distributor", G200="D"), "(DX)", "Ventilation System")),IF(NOT(I197&gt;0), "Ventilation System ( SUPPLY )", "Refer"))</f>
        <v>AHU - 12  Air-Conditioning System (Chilled Water)</v>
      </c>
      <c r="E196" s="901"/>
      <c r="F196" s="901"/>
      <c r="G196" s="901"/>
      <c r="H196" s="901"/>
      <c r="I196" s="901"/>
      <c r="J196" s="52"/>
      <c r="K196" s="52"/>
      <c r="L196" s="53"/>
      <c r="M196" s="53"/>
      <c r="N196" s="53"/>
      <c r="O196" s="54"/>
      <c r="P196" s="55"/>
      <c r="AM196" s="56"/>
      <c r="AN196" s="56"/>
    </row>
    <row r="197" spans="3:40" ht="14.1">
      <c r="C197" s="57"/>
      <c r="D197" s="175" t="s">
        <v>274</v>
      </c>
      <c r="E197" s="180" t="str">
        <f>'BOD-Cold &amp; Amb.'!R210</f>
        <v>ISO 6</v>
      </c>
      <c r="F197" s="175" t="s">
        <v>275</v>
      </c>
      <c r="G197" s="180">
        <f>'BOD-Cold &amp; Amb.'!AK210</f>
        <v>42500</v>
      </c>
      <c r="H197" s="175" t="s">
        <v>276</v>
      </c>
      <c r="I197" s="181">
        <f>'BOD-Cold &amp; Amb.'!AQ210</f>
        <v>108.5</v>
      </c>
      <c r="J197" s="902" t="s">
        <v>277</v>
      </c>
      <c r="K197" s="902">
        <v>1</v>
      </c>
      <c r="L197" s="917">
        <f>Q197</f>
        <v>2070750</v>
      </c>
      <c r="M197" s="902">
        <f>K197*L197</f>
        <v>2070750</v>
      </c>
      <c r="N197" s="902"/>
      <c r="O197" s="902"/>
      <c r="P197" s="902"/>
      <c r="Q197" s="913">
        <f t="shared" ref="Q197" si="111">CEILING((S197+T197+U197+V197+W197),250)</f>
        <v>2070750</v>
      </c>
      <c r="R197" s="913">
        <f>IF(I197&gt;0,625,375)</f>
        <v>625</v>
      </c>
      <c r="S197" s="913">
        <f>(E198*G198*3*10.76+E198*I198*2*10.76+G198*I198*2*10.76)*R197/(1000*1000)</f>
        <v>883396</v>
      </c>
      <c r="T197" s="913">
        <f>I197*4*1050</f>
        <v>455700</v>
      </c>
      <c r="U197" s="912">
        <f>IF(G197&lt;=2000,5000,(IF(G197&lt;=5000,8000,(IF(G197&lt;=10000,10000,(IF(G197&lt;=18000,15000,(IF(G197&lt;=40000,20000,25000)))))))))</f>
        <v>25000</v>
      </c>
      <c r="V197" s="912">
        <f t="shared" ref="V197" si="112">IF(X197=200,17150,(IF(X197=225,18150,(IF(X197=250,18900,(IF(X197=280,19150,(IF(X197=315,19650,(IF(X197=355,21900,(IF(X197=400,24400,0)))))))))))))+IF(X197=450,31000,(IF(X197=500,37450,(IF(X197=560,45650,(IF(X197=630,58900,(IF(X197=710,77950,0)))))))))+IF(X197=800,119650,(IF(X197=900,153300,(IF(X197=1000,178900,(IF(X197=1120,286500,(IF(X197=1250,394500,(IF(X197=1450,461500,0)))))))))))</f>
        <v>286500</v>
      </c>
      <c r="W197" s="913">
        <f>IF(I199=0.5,16600,(IF(I199=1,19050,(IF(I199=1.5,21750,(IF(I199=2,23600,(IF(I199=3,30000,(IF(I199=5,38000,0)))))))))))*1.2+IF(I199=7.5,52300,(IF(I199=10,59600,0)))*1.2+IF(I199=12.5,100350,(IF(I199=15,106000,(IF(I199=20,129150,(IF(I199=25,146050,(IF(I199=30,173600,(IF(I199=40,233900,(IF(I199=50,304650,IF(I199=60,350000,400000)))))))))))))*1.2)</f>
        <v>420000</v>
      </c>
      <c r="X197" s="912">
        <f>E199</f>
        <v>1120</v>
      </c>
      <c r="Y197" s="912">
        <f t="shared" ref="Y197" si="113">IF(G197&lt;=6750,450,(IF(G197&lt;=8500,500,(IF(G197&lt;=10750,560,(IF(G197&lt;=13500,630,(IF(G197&lt;=17000,710,(IF(G197&lt;=21500,800,(IF(G197&lt;=27000,900,(IF(G197&lt;=34000,1000,0)))))))))))))))</f>
        <v>0</v>
      </c>
      <c r="Z197" s="912">
        <f t="shared" ref="Z197" si="114">IF(G197&lt;=1300,200,(IF(G197&lt;=1600,225,(IF(G197&lt;=2100,250,(IF(G197&lt;=2700,280,(IF(G197&lt;=3450,315,(IF(G197&lt;=4250,355,(IF(G197&lt;=5250,400,(IF(G197&lt;=6750,450,0)))))))))))))))</f>
        <v>0</v>
      </c>
      <c r="AA197" s="912">
        <f t="shared" ref="AA197" si="115">IF(G197&lt;=2000,5000,(IF(G197&lt;=5000,8000,(IF(G197&lt;=10000,10000,(IF(G197&lt;=18000,15000,(IF(G197&lt;=40000,20000,10000)))))))))</f>
        <v>10000</v>
      </c>
      <c r="AB197" s="912">
        <f>IF(E198=950,2,(IF(E198=1150,3,(IF(E198=1550,4,(IF(E198=1750,5,(IF(E198=2050,6,(IF(E198=2900,8,(IF(E198=3600,10,12)))))))))))))</f>
        <v>12</v>
      </c>
      <c r="AC197" s="912">
        <f>IF(G198=950,2,(IF(G198=1150,3,(IF(G198=1550,4,(IF(G198=1750,5,(IF(G198=2050,6,(IF(G198=2900,8,(IF(G198=3600,10,12)))))))))))))</f>
        <v>10</v>
      </c>
      <c r="AD197" s="912">
        <f t="shared" ref="AD197" si="116">AC197*AB197</f>
        <v>120</v>
      </c>
      <c r="AE197" s="912">
        <v>150</v>
      </c>
      <c r="AF197" s="912">
        <f t="shared" ref="AF197" si="117">CEILING((SQRT(G197/1000))*4*2*AE197*1.25*K197,100)</f>
        <v>9800</v>
      </c>
      <c r="AG197" s="912">
        <f>E205*F205*H205/(305*305)</f>
        <v>0</v>
      </c>
      <c r="AH197" s="912">
        <f>E206*F206*H206/(305*305)</f>
        <v>36</v>
      </c>
      <c r="AI197" s="912">
        <f>H207*E207*F207/(305*305)</f>
        <v>36</v>
      </c>
      <c r="AJ197" s="912">
        <f>H208*E208*F208/(305*305)</f>
        <v>36</v>
      </c>
      <c r="AK197" s="912">
        <f>H209*E209*F209/(305*305)</f>
        <v>0</v>
      </c>
      <c r="AL197" s="912"/>
      <c r="AM197" s="915">
        <f t="shared" ref="AM197" si="118">(G197*2.2/1100)</f>
        <v>85.000000000000014</v>
      </c>
      <c r="AN197" s="915">
        <f t="shared" ref="AN197" si="119">(G197*1/1100)</f>
        <v>38.636363636363633</v>
      </c>
    </row>
    <row r="198" spans="3:40" ht="14.1">
      <c r="C198" s="57"/>
      <c r="D198" s="175" t="s">
        <v>278</v>
      </c>
      <c r="E198" s="180">
        <f>'BOD-Cold &amp; Amb.'!AL211</f>
        <v>4000</v>
      </c>
      <c r="F198" s="175" t="s">
        <v>279</v>
      </c>
      <c r="G198" s="180">
        <f>'BOD-Cold &amp; Amb.'!AL213</f>
        <v>3600</v>
      </c>
      <c r="H198" s="175" t="s">
        <v>280</v>
      </c>
      <c r="I198" s="181">
        <f>'BOD-Cold &amp; Amb.'!AL215</f>
        <v>5800</v>
      </c>
      <c r="J198" s="902"/>
      <c r="K198" s="902"/>
      <c r="L198" s="902"/>
      <c r="M198" s="902"/>
      <c r="N198" s="902"/>
      <c r="O198" s="902"/>
      <c r="P198" s="902"/>
      <c r="Q198" s="913"/>
      <c r="R198" s="913"/>
      <c r="S198" s="913"/>
      <c r="T198" s="913"/>
      <c r="U198" s="912"/>
      <c r="V198" s="912"/>
      <c r="W198" s="913"/>
      <c r="X198" s="912"/>
      <c r="Y198" s="912"/>
      <c r="Z198" s="912"/>
      <c r="AA198" s="912"/>
      <c r="AB198" s="912"/>
      <c r="AC198" s="912"/>
      <c r="AD198" s="912"/>
      <c r="AE198" s="912"/>
      <c r="AF198" s="912"/>
      <c r="AG198" s="912"/>
      <c r="AH198" s="912"/>
      <c r="AI198" s="912"/>
      <c r="AJ198" s="912"/>
      <c r="AK198" s="912"/>
      <c r="AL198" s="912"/>
      <c r="AM198" s="915"/>
      <c r="AN198" s="915"/>
    </row>
    <row r="199" spans="3:40" ht="14.1">
      <c r="C199" s="57"/>
      <c r="D199" s="175" t="s">
        <v>281</v>
      </c>
      <c r="E199" s="180">
        <f>'BOD-Cold &amp; Amb.'!AN210</f>
        <v>1120</v>
      </c>
      <c r="F199" s="176" t="s">
        <v>282</v>
      </c>
      <c r="G199" s="180">
        <f>'BOD-Cold &amp; Amb.'!AM210</f>
        <v>150</v>
      </c>
      <c r="H199" s="176" t="s">
        <v>283</v>
      </c>
      <c r="I199" s="181">
        <f>'BOD-Cold &amp; Amb.'!AO210</f>
        <v>60</v>
      </c>
      <c r="J199" s="902"/>
      <c r="K199" s="902"/>
      <c r="L199" s="902"/>
      <c r="M199" s="902"/>
      <c r="N199" s="902"/>
      <c r="O199" s="902"/>
      <c r="P199" s="902"/>
      <c r="Q199" s="913"/>
      <c r="R199" s="913"/>
      <c r="S199" s="913"/>
      <c r="T199" s="913"/>
      <c r="U199" s="912"/>
      <c r="V199" s="912"/>
      <c r="W199" s="913"/>
      <c r="X199" s="912"/>
      <c r="Y199" s="912"/>
      <c r="Z199" s="912"/>
      <c r="AA199" s="912"/>
      <c r="AB199" s="912"/>
      <c r="AC199" s="912"/>
      <c r="AD199" s="912"/>
      <c r="AE199" s="912"/>
      <c r="AF199" s="912"/>
      <c r="AG199" s="912"/>
      <c r="AH199" s="912"/>
      <c r="AI199" s="912"/>
      <c r="AJ199" s="912"/>
      <c r="AK199" s="912"/>
      <c r="AL199" s="912"/>
      <c r="AM199" s="915"/>
      <c r="AN199" s="915"/>
    </row>
    <row r="200" spans="3:40" ht="21.6" customHeight="1">
      <c r="C200" s="57"/>
      <c r="D200" s="175" t="s">
        <v>284</v>
      </c>
      <c r="E200" s="180">
        <f>'BOD-Cold &amp; Amb.'!AP210</f>
        <v>4</v>
      </c>
      <c r="F200" s="832" t="s">
        <v>285</v>
      </c>
      <c r="G200" s="837" t="str">
        <f>IF(OR(I197=0, E200="Amb"), "Amb",IF('BOD-Cold &amp; Amb.'!AH160="C", "Header",IF('BOD-Cold &amp; Amb.'!AH160="D", "Distributor", "Refer")))</f>
        <v>Header</v>
      </c>
      <c r="H200" s="832" t="s">
        <v>286</v>
      </c>
      <c r="I200" s="833" t="str">
        <f>IF(OR(I197=0, E200=0), 0,ROUND(((( I197/E200)*304.8)/(E198-400))*1000,0)&amp;" h "&amp;" x " &amp; (E198-400)&amp;" w ")</f>
        <v xml:space="preserve">2297 h  x 3600 w </v>
      </c>
      <c r="J200" s="902"/>
      <c r="K200" s="902"/>
      <c r="L200" s="902"/>
      <c r="M200" s="902"/>
      <c r="N200" s="902"/>
      <c r="O200" s="902"/>
      <c r="P200" s="902"/>
      <c r="Q200" s="913"/>
      <c r="R200" s="913"/>
      <c r="S200" s="913"/>
      <c r="T200" s="913"/>
      <c r="U200" s="912"/>
      <c r="V200" s="912"/>
      <c r="W200" s="913"/>
      <c r="X200" s="912"/>
      <c r="Y200" s="912"/>
      <c r="Z200" s="912"/>
      <c r="AA200" s="912"/>
      <c r="AB200" s="912"/>
      <c r="AC200" s="912"/>
      <c r="AD200" s="912"/>
      <c r="AE200" s="912"/>
      <c r="AF200" s="912"/>
      <c r="AG200" s="912"/>
      <c r="AH200" s="912"/>
      <c r="AI200" s="912"/>
      <c r="AJ200" s="912"/>
      <c r="AK200" s="912"/>
      <c r="AL200" s="912"/>
      <c r="AM200" s="915"/>
      <c r="AN200" s="915"/>
    </row>
    <row r="201" spans="3:40" ht="21">
      <c r="C201" s="57"/>
      <c r="D201" s="175" t="s">
        <v>287</v>
      </c>
      <c r="E201" s="180">
        <f>'BOD-Cold &amp; Amb.'!AR210</f>
        <v>3</v>
      </c>
      <c r="F201" s="176" t="s">
        <v>288</v>
      </c>
      <c r="G201" s="177" t="str">
        <f>IF(E201=4,"10µ, 5µ, 1µ &amp; 0.3µ (HEPA Plenum Fitted 95% eff.)",IF(E201=3,"10µ, 5µ &amp; 1µ ",IF(E201=2,"10µ  &amp; 5µ",IF(E201=1,"10µ", "Filter Ratings"))))</f>
        <v xml:space="preserve">10µ, 5µ &amp; 1µ </v>
      </c>
      <c r="H201" s="178"/>
      <c r="I201" s="179"/>
      <c r="J201" s="902"/>
      <c r="K201" s="902"/>
      <c r="L201" s="902"/>
      <c r="M201" s="902"/>
      <c r="N201" s="902"/>
      <c r="O201" s="902"/>
      <c r="P201" s="902"/>
      <c r="Q201" s="913"/>
      <c r="R201" s="913"/>
      <c r="S201" s="913"/>
      <c r="T201" s="913"/>
      <c r="U201" s="912"/>
      <c r="V201" s="912"/>
      <c r="W201" s="913"/>
      <c r="X201" s="912"/>
      <c r="Y201" s="912"/>
      <c r="Z201" s="912"/>
      <c r="AA201" s="912"/>
      <c r="AB201" s="912"/>
      <c r="AC201" s="912"/>
      <c r="AD201" s="912"/>
      <c r="AE201" s="912"/>
      <c r="AF201" s="912"/>
      <c r="AG201" s="912"/>
      <c r="AH201" s="912"/>
      <c r="AI201" s="912"/>
      <c r="AJ201" s="912"/>
      <c r="AK201" s="912"/>
      <c r="AL201" s="912"/>
      <c r="AM201" s="915"/>
      <c r="AN201" s="915"/>
    </row>
    <row r="202" spans="3:40">
      <c r="C202" s="57"/>
      <c r="D202" s="922" t="s">
        <v>289</v>
      </c>
      <c r="E202" s="923"/>
      <c r="F202" s="923"/>
      <c r="G202" s="923"/>
      <c r="H202" s="923"/>
      <c r="I202" s="924"/>
      <c r="J202" s="902"/>
      <c r="K202" s="902"/>
      <c r="L202" s="902"/>
      <c r="M202" s="902"/>
      <c r="N202" s="902"/>
      <c r="O202" s="902"/>
      <c r="P202" s="902"/>
      <c r="Q202" s="913"/>
      <c r="R202" s="913"/>
      <c r="S202" s="913"/>
      <c r="T202" s="913"/>
      <c r="U202" s="912"/>
      <c r="V202" s="912"/>
      <c r="W202" s="913"/>
      <c r="X202" s="912"/>
      <c r="Y202" s="912"/>
      <c r="Z202" s="912"/>
      <c r="AA202" s="912"/>
      <c r="AB202" s="912"/>
      <c r="AC202" s="912"/>
      <c r="AD202" s="912"/>
      <c r="AE202" s="912"/>
      <c r="AF202" s="912"/>
      <c r="AG202" s="912"/>
      <c r="AH202" s="912"/>
      <c r="AI202" s="912"/>
      <c r="AJ202" s="912"/>
      <c r="AK202" s="912"/>
      <c r="AL202" s="912"/>
      <c r="AM202" s="915"/>
      <c r="AN202" s="915"/>
    </row>
    <row r="203" spans="3:40" ht="24.95">
      <c r="C203" s="57"/>
      <c r="D203" s="58" t="s">
        <v>290</v>
      </c>
      <c r="E203" s="58" t="s">
        <v>291</v>
      </c>
      <c r="F203" s="58" t="s">
        <v>292</v>
      </c>
      <c r="G203" s="58" t="s">
        <v>293</v>
      </c>
      <c r="H203" s="58" t="s">
        <v>294</v>
      </c>
      <c r="I203" s="179"/>
      <c r="J203" s="902"/>
      <c r="K203" s="902"/>
      <c r="L203" s="902"/>
      <c r="M203" s="902"/>
      <c r="N203" s="902"/>
      <c r="O203" s="902"/>
      <c r="P203" s="902"/>
      <c r="Q203" s="913"/>
      <c r="R203" s="913"/>
      <c r="S203" s="913"/>
      <c r="T203" s="913"/>
      <c r="U203" s="912"/>
      <c r="V203" s="912"/>
      <c r="W203" s="913"/>
      <c r="X203" s="912"/>
      <c r="Y203" s="912"/>
      <c r="Z203" s="912"/>
      <c r="AA203" s="912"/>
      <c r="AB203" s="912"/>
      <c r="AC203" s="912"/>
      <c r="AD203" s="912"/>
      <c r="AE203" s="912"/>
      <c r="AF203" s="912"/>
      <c r="AG203" s="912"/>
      <c r="AH203" s="912"/>
      <c r="AI203" s="912"/>
      <c r="AJ203" s="912"/>
      <c r="AK203" s="912"/>
      <c r="AL203" s="912"/>
      <c r="AM203" s="915"/>
      <c r="AN203" s="915"/>
    </row>
    <row r="204" spans="3:40" ht="14.1">
      <c r="C204" s="57"/>
      <c r="D204" s="58"/>
      <c r="E204" s="58">
        <f>IF(E198=950,2,(IF(E198=1150,3,(IF(E198=1550,4,(IF(E198=1750,5,(IF(E198=2050,6,(IF(E198=2900,8,(IF(E198=3600,10,IF(E198=4000,12,0))))))))))))))</f>
        <v>12</v>
      </c>
      <c r="F204" s="58">
        <f>IF(G198=950,2,(IF(G198=1150,3,(IF(G198=1550,4,(IF(G198=1750,5,(IF(G198=2050,6,(IF(G198=2900,8,(IF(G198=3600,10,IF(E198=4000,12,0))))))))))))))</f>
        <v>10</v>
      </c>
      <c r="G204" s="58"/>
      <c r="H204" s="60"/>
      <c r="I204" s="834"/>
      <c r="J204" s="902"/>
      <c r="K204" s="902"/>
      <c r="L204" s="902"/>
      <c r="M204" s="902"/>
      <c r="N204" s="902"/>
      <c r="O204" s="902"/>
      <c r="P204" s="902"/>
      <c r="Q204" s="913"/>
      <c r="R204" s="913"/>
      <c r="S204" s="913"/>
      <c r="T204" s="913"/>
      <c r="U204" s="912"/>
      <c r="V204" s="912"/>
      <c r="W204" s="913"/>
      <c r="X204" s="912"/>
      <c r="Y204" s="912"/>
      <c r="Z204" s="912"/>
      <c r="AA204" s="912"/>
      <c r="AB204" s="912"/>
      <c r="AC204" s="912"/>
      <c r="AD204" s="912"/>
      <c r="AE204" s="912"/>
      <c r="AF204" s="912"/>
      <c r="AG204" s="912"/>
      <c r="AH204" s="912"/>
      <c r="AI204" s="912"/>
      <c r="AJ204" s="912"/>
      <c r="AK204" s="912"/>
      <c r="AL204" s="912"/>
      <c r="AM204" s="915"/>
      <c r="AN204" s="915"/>
    </row>
    <row r="205" spans="3:40" ht="14.1">
      <c r="C205" s="57"/>
      <c r="D205" s="58">
        <f>IF(AND(I197=0, OR(E201=1, E201=2, E201=3, E201=4, E201=5)), "20µ", 0)</f>
        <v>0</v>
      </c>
      <c r="E205" s="58">
        <f>IF(OR(D205=0),0,IF(MOD($E$42*$F$42,2)=0,"610",IF(MOD($E$42*$F$42,2.5)=0,"760",IF(MOD($E$42*$F$42,3)=0,"915","Refer"))))</f>
        <v>0</v>
      </c>
      <c r="F205" s="58">
        <f>IF(OR(D205=0),0,IF(MOD($E$42*$F$42,6)=0,"915",IF(MOD($E$42*$F$42,5)=0,"760",IF(MOD($E$42*$F$42,4)=0,"610","Refer"))))</f>
        <v>0</v>
      </c>
      <c r="G205" s="58">
        <f>IF(D205=0,0,100)</f>
        <v>0</v>
      </c>
      <c r="H205" s="60">
        <f>IF(D205=0,0,($E$42*$F$42*305*305)/(E205*F205))</f>
        <v>0</v>
      </c>
      <c r="I205" s="834"/>
      <c r="J205" s="902"/>
      <c r="K205" s="902"/>
      <c r="L205" s="902"/>
      <c r="M205" s="902"/>
      <c r="N205" s="902"/>
      <c r="O205" s="902"/>
      <c r="P205" s="902"/>
      <c r="Q205" s="55"/>
      <c r="R205" s="55"/>
      <c r="S205" s="55"/>
      <c r="T205" s="55"/>
      <c r="U205" s="45"/>
      <c r="V205" s="45"/>
      <c r="W205" s="55"/>
      <c r="X205" s="45"/>
      <c r="Y205" s="45"/>
      <c r="Z205" s="45"/>
      <c r="AA205" s="45"/>
      <c r="AB205" s="45"/>
      <c r="AC205" s="45"/>
      <c r="AD205" s="45"/>
      <c r="AE205" s="45"/>
      <c r="AF205" s="45"/>
      <c r="AG205" s="45"/>
      <c r="AH205" s="45"/>
      <c r="AI205" s="45"/>
      <c r="AJ205" s="45"/>
      <c r="AK205" s="45"/>
      <c r="AL205" s="45"/>
      <c r="AM205" s="63"/>
      <c r="AN205" s="63"/>
    </row>
    <row r="206" spans="3:40" ht="14.1">
      <c r="C206" s="57"/>
      <c r="D206" s="58" t="str">
        <f>IF(E201=4,"10µ",IF(E201=3,"10µ",IF(E201=2,"10µ",IF(E201=1,"10µ",0))))</f>
        <v>10µ</v>
      </c>
      <c r="E206" s="58" t="str">
        <f>IF(OR(D206=0),0,IF(MOD($E$42*$F$42,2)=0,"610",IF(MOD($E$42*$F$42,2.5)=0,"760",IF(MOD($E$42*$F$42,3)=0,"915","Refer"))))</f>
        <v>610</v>
      </c>
      <c r="F206" s="58" t="str">
        <f>IF(OR(D206=0),0,IF(MOD($E$42*$F$42,6)=0,"915",IF(MOD($E$42*$F$42,5)=0,"760",IF(MOD($E$42*$F$42,4)=0,"610","Refer"))))</f>
        <v>915</v>
      </c>
      <c r="G206" s="58">
        <f>IF(D206=0,0,150)</f>
        <v>150</v>
      </c>
      <c r="H206" s="60">
        <f>IF(D206=0,0,($E$42*$F$42*305*305)/(E206*F206))</f>
        <v>6</v>
      </c>
      <c r="I206" s="834"/>
      <c r="J206" s="902"/>
      <c r="K206" s="902"/>
      <c r="L206" s="902"/>
      <c r="M206" s="902"/>
      <c r="N206" s="902"/>
      <c r="O206" s="902"/>
      <c r="P206" s="902"/>
      <c r="Q206" s="913"/>
      <c r="R206" s="913"/>
      <c r="S206" s="913"/>
      <c r="T206" s="913"/>
      <c r="U206" s="912"/>
      <c r="V206" s="912"/>
      <c r="W206" s="913"/>
      <c r="X206" s="912"/>
      <c r="Y206" s="912"/>
      <c r="Z206" s="912"/>
      <c r="AA206" s="912"/>
      <c r="AB206" s="912"/>
      <c r="AC206" s="912"/>
      <c r="AD206" s="912"/>
      <c r="AE206" s="912"/>
      <c r="AF206" s="912"/>
      <c r="AG206" s="912"/>
      <c r="AH206" s="912"/>
      <c r="AI206" s="912"/>
      <c r="AJ206" s="912"/>
      <c r="AK206" s="912"/>
      <c r="AL206" s="912"/>
      <c r="AM206" s="915"/>
      <c r="AN206" s="915"/>
    </row>
    <row r="207" spans="3:40" ht="14.1">
      <c r="C207" s="57"/>
      <c r="D207" s="58" t="str">
        <f>IF(E201=4,"5µ",IF(E201=3,"5µ",IF(E201=2,"5µ",0)))</f>
        <v>5µ</v>
      </c>
      <c r="E207" s="58" t="str">
        <f t="shared" ref="E207:E209" si="120">IF(OR(D207=0),0,IF(MOD($E$42*$F$42,2)=0,"610",IF(MOD($E$42*$F$42,2.5)=0,"760",IF(MOD($E$42*$F$42,3)=0,"915","Refer"))))</f>
        <v>610</v>
      </c>
      <c r="F207" s="58" t="str">
        <f>IF(OR(D207=0),0,IF(MOD($E$42*$F$42,6)=0,"915",IF(MOD($E$42*$F$42,5)=0,"760",IF(MOD($E$42*$F$42,4)=0,"610","Refer"))))</f>
        <v>915</v>
      </c>
      <c r="G207" s="58">
        <f>IF(D207=0,0,300)</f>
        <v>300</v>
      </c>
      <c r="H207" s="60">
        <f>IF(D207=0,0,($E$42*$F$42*305*305)/(E207*F207))</f>
        <v>6</v>
      </c>
      <c r="I207" s="834"/>
      <c r="J207" s="902"/>
      <c r="K207" s="902"/>
      <c r="L207" s="902"/>
      <c r="M207" s="902"/>
      <c r="N207" s="902"/>
      <c r="O207" s="902"/>
      <c r="P207" s="902"/>
      <c r="Q207" s="913"/>
      <c r="R207" s="913"/>
      <c r="S207" s="913"/>
      <c r="T207" s="913"/>
      <c r="U207" s="912"/>
      <c r="V207" s="912"/>
      <c r="W207" s="913"/>
      <c r="X207" s="912"/>
      <c r="Y207" s="912"/>
      <c r="Z207" s="912"/>
      <c r="AA207" s="912"/>
      <c r="AB207" s="912"/>
      <c r="AC207" s="912"/>
      <c r="AD207" s="912"/>
      <c r="AE207" s="912"/>
      <c r="AF207" s="912"/>
      <c r="AG207" s="912"/>
      <c r="AH207" s="912"/>
      <c r="AI207" s="912"/>
      <c r="AJ207" s="912"/>
      <c r="AK207" s="912"/>
      <c r="AL207" s="912"/>
      <c r="AM207" s="915"/>
      <c r="AN207" s="915"/>
    </row>
    <row r="208" spans="3:40" ht="14.1">
      <c r="C208" s="57"/>
      <c r="D208" s="58" t="str">
        <f>IF(E201=4,"1µ",IF(E201=3,"1µ",0))</f>
        <v>1µ</v>
      </c>
      <c r="E208" s="58" t="str">
        <f t="shared" si="120"/>
        <v>610</v>
      </c>
      <c r="F208" s="58" t="str">
        <f>IF(OR(D208=0),0,IF(MOD($E$42*$F$42,6)=0,"915",IF(MOD($E$42*$F$42,5)=0,"760",IF(MOD($E$42*$F$42,4)=0,"610","Refer"))))</f>
        <v>915</v>
      </c>
      <c r="G208" s="58">
        <f>IF(D208=0,0,300)</f>
        <v>300</v>
      </c>
      <c r="H208" s="60">
        <f>IF(D208=0,0,($E$42*$F$42*305*305)/(E208*F208))</f>
        <v>6</v>
      </c>
      <c r="I208" s="834"/>
      <c r="J208" s="902"/>
      <c r="K208" s="902"/>
      <c r="L208" s="902"/>
      <c r="M208" s="902"/>
      <c r="N208" s="902"/>
      <c r="O208" s="902"/>
      <c r="P208" s="902"/>
      <c r="Q208" s="913"/>
      <c r="R208" s="913"/>
      <c r="S208" s="913"/>
      <c r="T208" s="913"/>
      <c r="U208" s="912"/>
      <c r="V208" s="912"/>
      <c r="W208" s="913"/>
      <c r="X208" s="912"/>
      <c r="Y208" s="912"/>
      <c r="Z208" s="912"/>
      <c r="AA208" s="912"/>
      <c r="AB208" s="912"/>
      <c r="AC208" s="912"/>
      <c r="AD208" s="912"/>
      <c r="AE208" s="912"/>
      <c r="AF208" s="912"/>
      <c r="AG208" s="912"/>
      <c r="AH208" s="912"/>
      <c r="AI208" s="912"/>
      <c r="AJ208" s="912"/>
      <c r="AK208" s="912"/>
      <c r="AL208" s="912"/>
      <c r="AM208" s="915"/>
      <c r="AN208" s="915"/>
    </row>
    <row r="209" spans="3:40" ht="14.1">
      <c r="C209" s="57"/>
      <c r="D209" s="58">
        <f>IF(E201=4,"0.3µ 95% Eff. HEPA Filetr",0)</f>
        <v>0</v>
      </c>
      <c r="E209" s="58">
        <f t="shared" si="120"/>
        <v>0</v>
      </c>
      <c r="F209" s="58">
        <f>IF(OR(D209=0),0,IF(MOD($E$42*$F$42,6)=0,"915",IF(MOD($E$42*$F$42,5)=0,"760",IF(MOD($E$42*$F$42,4)=0,"610","Refer"))))</f>
        <v>0</v>
      </c>
      <c r="G209" s="58">
        <f>IF(D209=0,0,300)</f>
        <v>0</v>
      </c>
      <c r="H209" s="60">
        <f>IF(D209=0,0,($E$42*$F$42*305*305)/(E209*F209))</f>
        <v>0</v>
      </c>
      <c r="I209" s="836"/>
      <c r="J209" s="902"/>
      <c r="K209" s="902"/>
      <c r="L209" s="902"/>
      <c r="M209" s="902"/>
      <c r="N209" s="902"/>
      <c r="O209" s="902"/>
      <c r="P209" s="902"/>
      <c r="Q209" s="913"/>
      <c r="R209" s="913"/>
      <c r="S209" s="913"/>
      <c r="T209" s="913"/>
      <c r="U209" s="912"/>
      <c r="V209" s="912"/>
      <c r="W209" s="913"/>
      <c r="X209" s="912"/>
      <c r="Y209" s="912"/>
      <c r="Z209" s="912"/>
      <c r="AA209" s="912"/>
      <c r="AB209" s="912"/>
      <c r="AC209" s="912"/>
      <c r="AD209" s="912"/>
      <c r="AE209" s="912"/>
      <c r="AF209" s="912"/>
      <c r="AG209" s="912"/>
      <c r="AH209" s="912"/>
      <c r="AI209" s="912"/>
      <c r="AJ209" s="912"/>
      <c r="AK209" s="912"/>
      <c r="AL209" s="912"/>
      <c r="AM209" s="915"/>
      <c r="AN209" s="915"/>
    </row>
    <row r="210" spans="3:40" ht="14.1">
      <c r="C210" s="57"/>
      <c r="D210" s="826"/>
      <c r="E210" s="182"/>
      <c r="F210" s="182"/>
      <c r="G210" s="182"/>
      <c r="H210" s="182"/>
      <c r="I210" s="827"/>
      <c r="J210" s="52"/>
      <c r="K210" s="52"/>
      <c r="L210" s="52"/>
      <c r="M210" s="52"/>
      <c r="N210" s="52"/>
      <c r="O210" s="828"/>
      <c r="P210" s="828"/>
      <c r="Q210" s="55"/>
      <c r="R210" s="55"/>
      <c r="S210" s="55"/>
      <c r="T210" s="55"/>
      <c r="U210" s="45"/>
      <c r="V210" s="45"/>
      <c r="W210" s="55"/>
      <c r="X210" s="45"/>
      <c r="Y210" s="45"/>
      <c r="Z210" s="45"/>
      <c r="AA210" s="45"/>
      <c r="AB210" s="45"/>
      <c r="AC210" s="45"/>
      <c r="AD210" s="45"/>
      <c r="AE210" s="45"/>
      <c r="AF210" s="45"/>
      <c r="AG210" s="45"/>
      <c r="AH210" s="45"/>
      <c r="AI210" s="45"/>
      <c r="AJ210" s="45"/>
      <c r="AK210" s="45"/>
      <c r="AL210" s="45"/>
      <c r="AM210" s="63"/>
      <c r="AN210" s="63"/>
    </row>
    <row r="211" spans="3:40" ht="14.1" customHeight="1">
      <c r="C211" s="57"/>
      <c r="D211" s="901" t="str">
        <f>"AHU - " &amp; INT((ROW()-34)/14)+1 &amp; "  " &amp; IF(I212&gt;0,"Air-Conditioning System " &amp; IF(OR(G215="Header", G215="C"), "(Chilled Water)",IF(OR(G215="Distributor", G215="D"), "(DX)", "Ventilation System")),IF(NOT(I212&gt;0), "Ventilation System ( SUPPLY )", "Refer"))</f>
        <v>AHU - 13  Air-Conditioning System (Chilled Water)</v>
      </c>
      <c r="E211" s="901"/>
      <c r="F211" s="901"/>
      <c r="G211" s="901"/>
      <c r="H211" s="901"/>
      <c r="I211" s="901"/>
      <c r="J211" s="52"/>
      <c r="K211" s="52"/>
      <c r="L211" s="53"/>
      <c r="M211" s="53"/>
      <c r="N211" s="53"/>
      <c r="O211" s="54"/>
      <c r="P211" s="55"/>
      <c r="AM211" s="56"/>
      <c r="AN211" s="56"/>
    </row>
    <row r="212" spans="3:40" ht="14.1">
      <c r="C212" s="57"/>
      <c r="D212" s="175" t="s">
        <v>274</v>
      </c>
      <c r="E212" s="180" t="str">
        <f>'BOD-Cold &amp; Amb.'!R230</f>
        <v>ISO 6</v>
      </c>
      <c r="F212" s="175" t="s">
        <v>275</v>
      </c>
      <c r="G212" s="180">
        <f>'BOD-Cold &amp; Amb.'!AK230</f>
        <v>42500</v>
      </c>
      <c r="H212" s="175" t="s">
        <v>276</v>
      </c>
      <c r="I212" s="181">
        <f>'BOD-Cold &amp; Amb.'!AQ230</f>
        <v>108.5</v>
      </c>
      <c r="J212" s="902" t="s">
        <v>277</v>
      </c>
      <c r="K212" s="902">
        <v>1</v>
      </c>
      <c r="L212" s="917">
        <f>Q212</f>
        <v>2070750</v>
      </c>
      <c r="M212" s="902">
        <f>K212*L212</f>
        <v>2070750</v>
      </c>
      <c r="N212" s="902"/>
      <c r="O212" s="902"/>
      <c r="P212" s="902"/>
      <c r="Q212" s="913">
        <f t="shared" ref="Q212" si="121">CEILING((S212+T212+U212+V212+W212),250)</f>
        <v>2070750</v>
      </c>
      <c r="R212" s="913">
        <f>IF(I212&gt;0,625,375)</f>
        <v>625</v>
      </c>
      <c r="S212" s="913">
        <f>(E213*G213*3*10.76+E213*I213*2*10.76+G213*I213*2*10.76)*R212/(1000*1000)</f>
        <v>883396</v>
      </c>
      <c r="T212" s="913">
        <f>I212*4*1050</f>
        <v>455700</v>
      </c>
      <c r="U212" s="912">
        <f>IF(G212&lt;=2000,5000,(IF(G212&lt;=5000,8000,(IF(G212&lt;=10000,10000,(IF(G212&lt;=18000,15000,(IF(G212&lt;=40000,20000,25000)))))))))</f>
        <v>25000</v>
      </c>
      <c r="V212" s="912">
        <f t="shared" ref="V212" si="122">IF(X212=200,17150,(IF(X212=225,18150,(IF(X212=250,18900,(IF(X212=280,19150,(IF(X212=315,19650,(IF(X212=355,21900,(IF(X212=400,24400,0)))))))))))))+IF(X212=450,31000,(IF(X212=500,37450,(IF(X212=560,45650,(IF(X212=630,58900,(IF(X212=710,77950,0)))))))))+IF(X212=800,119650,(IF(X212=900,153300,(IF(X212=1000,178900,(IF(X212=1120,286500,(IF(X212=1250,394500,(IF(X212=1450,461500,0)))))))))))</f>
        <v>286500</v>
      </c>
      <c r="W212" s="913">
        <f>IF(I214=0.5,16600,(IF(I214=1,19050,(IF(I214=1.5,21750,(IF(I214=2,23600,(IF(I214=3,30000,(IF(I214=5,38000,0)))))))))))*1.2+IF(I214=7.5,52300,(IF(I214=10,59600,0)))*1.2+IF(I214=12.5,100350,(IF(I214=15,106000,(IF(I214=20,129150,(IF(I214=25,146050,(IF(I214=30,173600,(IF(I214=40,233900,(IF(I214=50,304650,IF(I214=60,350000,400000)))))))))))))*1.2)</f>
        <v>420000</v>
      </c>
      <c r="X212" s="912">
        <f>E214</f>
        <v>1120</v>
      </c>
      <c r="Y212" s="912">
        <f t="shared" ref="Y212" si="123">IF(G212&lt;=6750,450,(IF(G212&lt;=8500,500,(IF(G212&lt;=10750,560,(IF(G212&lt;=13500,630,(IF(G212&lt;=17000,710,(IF(G212&lt;=21500,800,(IF(G212&lt;=27000,900,(IF(G212&lt;=34000,1000,0)))))))))))))))</f>
        <v>0</v>
      </c>
      <c r="Z212" s="912">
        <f t="shared" ref="Z212" si="124">IF(G212&lt;=1300,200,(IF(G212&lt;=1600,225,(IF(G212&lt;=2100,250,(IF(G212&lt;=2700,280,(IF(G212&lt;=3450,315,(IF(G212&lt;=4250,355,(IF(G212&lt;=5250,400,(IF(G212&lt;=6750,450,0)))))))))))))))</f>
        <v>0</v>
      </c>
      <c r="AA212" s="912">
        <f t="shared" ref="AA212" si="125">IF(G212&lt;=2000,5000,(IF(G212&lt;=5000,8000,(IF(G212&lt;=10000,10000,(IF(G212&lt;=18000,15000,(IF(G212&lt;=40000,20000,10000)))))))))</f>
        <v>10000</v>
      </c>
      <c r="AB212" s="912">
        <f>IF(E213=950,2,(IF(E213=1150,3,(IF(E213=1550,4,(IF(E213=1750,5,(IF(E213=2050,6,(IF(E213=2900,8,(IF(E213=3600,10,12)))))))))))))</f>
        <v>12</v>
      </c>
      <c r="AC212" s="912">
        <f>IF(G213=950,2,(IF(G213=1150,3,(IF(G213=1550,4,(IF(G213=1750,5,(IF(G213=2050,6,(IF(G213=2900,8,(IF(G213=3600,10,12)))))))))))))</f>
        <v>10</v>
      </c>
      <c r="AD212" s="912">
        <f t="shared" ref="AD212" si="126">AC212*AB212</f>
        <v>120</v>
      </c>
      <c r="AE212" s="912">
        <v>150</v>
      </c>
      <c r="AF212" s="912">
        <f t="shared" ref="AF212" si="127">CEILING((SQRT(G212/1000))*4*2*AE212*1.25*K212,100)</f>
        <v>9800</v>
      </c>
      <c r="AG212" s="912">
        <f>E220*F220*H220/(305*305)</f>
        <v>0</v>
      </c>
      <c r="AH212" s="912">
        <f>E221*F221*H221/(305*305)</f>
        <v>36</v>
      </c>
      <c r="AI212" s="912">
        <f>H222*E222*F222/(305*305)</f>
        <v>36</v>
      </c>
      <c r="AJ212" s="912">
        <f>H223*E223*F223/(305*305)</f>
        <v>36</v>
      </c>
      <c r="AK212" s="912">
        <f>H224*E224*F224/(305*305)</f>
        <v>0</v>
      </c>
      <c r="AL212" s="912"/>
      <c r="AM212" s="915">
        <f t="shared" ref="AM212" si="128">(G212*2.2/1100)</f>
        <v>85.000000000000014</v>
      </c>
      <c r="AN212" s="915">
        <f t="shared" ref="AN212" si="129">(G212*1/1100)</f>
        <v>38.636363636363633</v>
      </c>
    </row>
    <row r="213" spans="3:40" ht="14.1">
      <c r="C213" s="57"/>
      <c r="D213" s="175" t="s">
        <v>278</v>
      </c>
      <c r="E213" s="180">
        <f>'BOD-Cold &amp; Amb.'!AL231</f>
        <v>4000</v>
      </c>
      <c r="F213" s="175" t="s">
        <v>279</v>
      </c>
      <c r="G213" s="180">
        <f>'BOD-Cold &amp; Amb.'!AL233</f>
        <v>3600</v>
      </c>
      <c r="H213" s="175" t="s">
        <v>280</v>
      </c>
      <c r="I213" s="181">
        <f>'BOD-Cold &amp; Amb.'!AL235</f>
        <v>5800</v>
      </c>
      <c r="J213" s="902"/>
      <c r="K213" s="902"/>
      <c r="L213" s="902"/>
      <c r="M213" s="902"/>
      <c r="N213" s="902"/>
      <c r="O213" s="902"/>
      <c r="P213" s="902"/>
      <c r="Q213" s="913"/>
      <c r="R213" s="913"/>
      <c r="S213" s="913"/>
      <c r="T213" s="913"/>
      <c r="U213" s="912"/>
      <c r="V213" s="912"/>
      <c r="W213" s="913"/>
      <c r="X213" s="912"/>
      <c r="Y213" s="912"/>
      <c r="Z213" s="912"/>
      <c r="AA213" s="912"/>
      <c r="AB213" s="912"/>
      <c r="AC213" s="912"/>
      <c r="AD213" s="912"/>
      <c r="AE213" s="912"/>
      <c r="AF213" s="912"/>
      <c r="AG213" s="912"/>
      <c r="AH213" s="912"/>
      <c r="AI213" s="912"/>
      <c r="AJ213" s="912"/>
      <c r="AK213" s="912"/>
      <c r="AL213" s="912"/>
      <c r="AM213" s="915"/>
      <c r="AN213" s="915"/>
    </row>
    <row r="214" spans="3:40" ht="14.1">
      <c r="C214" s="57"/>
      <c r="D214" s="175" t="s">
        <v>281</v>
      </c>
      <c r="E214" s="180">
        <f>'BOD-Cold &amp; Amb.'!AN230</f>
        <v>1120</v>
      </c>
      <c r="F214" s="176" t="s">
        <v>282</v>
      </c>
      <c r="G214" s="180">
        <f>'BOD-Cold &amp; Amb.'!AM230</f>
        <v>150</v>
      </c>
      <c r="H214" s="176" t="s">
        <v>283</v>
      </c>
      <c r="I214" s="181">
        <f>'BOD-Cold &amp; Amb.'!AO230</f>
        <v>60</v>
      </c>
      <c r="J214" s="902"/>
      <c r="K214" s="902"/>
      <c r="L214" s="902"/>
      <c r="M214" s="902"/>
      <c r="N214" s="902"/>
      <c r="O214" s="902"/>
      <c r="P214" s="902"/>
      <c r="Q214" s="913"/>
      <c r="R214" s="913"/>
      <c r="S214" s="913"/>
      <c r="T214" s="913"/>
      <c r="U214" s="912"/>
      <c r="V214" s="912"/>
      <c r="W214" s="913"/>
      <c r="X214" s="912"/>
      <c r="Y214" s="912"/>
      <c r="Z214" s="912"/>
      <c r="AA214" s="912"/>
      <c r="AB214" s="912"/>
      <c r="AC214" s="912"/>
      <c r="AD214" s="912"/>
      <c r="AE214" s="912"/>
      <c r="AF214" s="912"/>
      <c r="AG214" s="912"/>
      <c r="AH214" s="912"/>
      <c r="AI214" s="912"/>
      <c r="AJ214" s="912"/>
      <c r="AK214" s="912"/>
      <c r="AL214" s="912"/>
      <c r="AM214" s="915"/>
      <c r="AN214" s="915"/>
    </row>
    <row r="215" spans="3:40" ht="21.6" customHeight="1">
      <c r="C215" s="57"/>
      <c r="D215" s="175" t="s">
        <v>284</v>
      </c>
      <c r="E215" s="180">
        <f>'BOD-Cold &amp; Amb.'!AP230</f>
        <v>4</v>
      </c>
      <c r="F215" s="832" t="s">
        <v>285</v>
      </c>
      <c r="G215" s="837" t="str">
        <f>IF(OR(I212=0, E215="Amb"), "Amb",IF('BOD-Cold &amp; Amb.'!AH175="C", "Header",IF('BOD-Cold &amp; Amb.'!AH175="D", "Distributor", "Refer")))</f>
        <v>Header</v>
      </c>
      <c r="H215" s="832" t="s">
        <v>286</v>
      </c>
      <c r="I215" s="833" t="str">
        <f>IF(OR(I212=0, E215=0), 0,ROUND(((( I212/E215)*304.8)/(E213-400))*1000,0)&amp;" h "&amp;" x " &amp; (E213-400)&amp;" w ")</f>
        <v xml:space="preserve">2297 h  x 3600 w </v>
      </c>
      <c r="J215" s="902"/>
      <c r="K215" s="902"/>
      <c r="L215" s="902"/>
      <c r="M215" s="902"/>
      <c r="N215" s="902"/>
      <c r="O215" s="902"/>
      <c r="P215" s="902"/>
      <c r="Q215" s="913"/>
      <c r="R215" s="913"/>
      <c r="S215" s="913"/>
      <c r="T215" s="913"/>
      <c r="U215" s="912"/>
      <c r="V215" s="912"/>
      <c r="W215" s="913"/>
      <c r="X215" s="912"/>
      <c r="Y215" s="912"/>
      <c r="Z215" s="912"/>
      <c r="AA215" s="912"/>
      <c r="AB215" s="912"/>
      <c r="AC215" s="912"/>
      <c r="AD215" s="912"/>
      <c r="AE215" s="912"/>
      <c r="AF215" s="912"/>
      <c r="AG215" s="912"/>
      <c r="AH215" s="912"/>
      <c r="AI215" s="912"/>
      <c r="AJ215" s="912"/>
      <c r="AK215" s="912"/>
      <c r="AL215" s="912"/>
      <c r="AM215" s="915"/>
      <c r="AN215" s="915"/>
    </row>
    <row r="216" spans="3:40" ht="21" customHeight="1">
      <c r="C216" s="57"/>
      <c r="D216" s="175" t="s">
        <v>287</v>
      </c>
      <c r="E216" s="180">
        <f>'BOD-Cold &amp; Amb.'!AR230</f>
        <v>3</v>
      </c>
      <c r="F216" s="176" t="s">
        <v>288</v>
      </c>
      <c r="G216" s="925" t="str">
        <f>IF(E216=4,"10µ, 5µ, 1µ &amp; 0.3µ (HEPA Plenum Fitted 95% eff.)",IF(E216=3,"10µ, 5µ &amp; 1µ ",IF(E216=2,"10µ  &amp; 5µ",IF(E216=1,"10µ", "Filter Ratings"))))</f>
        <v xml:space="preserve">10µ, 5µ &amp; 1µ </v>
      </c>
      <c r="H216" s="925"/>
      <c r="I216" s="926"/>
      <c r="J216" s="902"/>
      <c r="K216" s="902"/>
      <c r="L216" s="902"/>
      <c r="M216" s="902"/>
      <c r="N216" s="902"/>
      <c r="O216" s="902"/>
      <c r="P216" s="902"/>
      <c r="Q216" s="913"/>
      <c r="R216" s="913"/>
      <c r="S216" s="913"/>
      <c r="T216" s="913"/>
      <c r="U216" s="912"/>
      <c r="V216" s="912"/>
      <c r="W216" s="913"/>
      <c r="X216" s="912"/>
      <c r="Y216" s="912"/>
      <c r="Z216" s="912"/>
      <c r="AA216" s="912"/>
      <c r="AB216" s="912"/>
      <c r="AC216" s="912"/>
      <c r="AD216" s="912"/>
      <c r="AE216" s="912"/>
      <c r="AF216" s="912"/>
      <c r="AG216" s="912"/>
      <c r="AH216" s="912"/>
      <c r="AI216" s="912"/>
      <c r="AJ216" s="912"/>
      <c r="AK216" s="912"/>
      <c r="AL216" s="912"/>
      <c r="AM216" s="915"/>
      <c r="AN216" s="915"/>
    </row>
    <row r="217" spans="3:40" ht="12.6" customHeight="1">
      <c r="C217" s="57"/>
      <c r="D217" s="922" t="s">
        <v>289</v>
      </c>
      <c r="E217" s="923"/>
      <c r="F217" s="923"/>
      <c r="G217" s="923"/>
      <c r="H217" s="923"/>
      <c r="I217" s="924"/>
      <c r="J217" s="902"/>
      <c r="K217" s="902"/>
      <c r="L217" s="902"/>
      <c r="M217" s="902"/>
      <c r="N217" s="902"/>
      <c r="O217" s="902"/>
      <c r="P217" s="902"/>
      <c r="Q217" s="913"/>
      <c r="R217" s="913"/>
      <c r="S217" s="913"/>
      <c r="T217" s="913"/>
      <c r="U217" s="912"/>
      <c r="V217" s="912"/>
      <c r="W217" s="913"/>
      <c r="X217" s="912"/>
      <c r="Y217" s="912"/>
      <c r="Z217" s="912"/>
      <c r="AA217" s="912"/>
      <c r="AB217" s="912"/>
      <c r="AC217" s="912"/>
      <c r="AD217" s="912"/>
      <c r="AE217" s="912"/>
      <c r="AF217" s="912"/>
      <c r="AG217" s="912"/>
      <c r="AH217" s="912"/>
      <c r="AI217" s="912"/>
      <c r="AJ217" s="912"/>
      <c r="AK217" s="912"/>
      <c r="AL217" s="912"/>
      <c r="AM217" s="915"/>
      <c r="AN217" s="915"/>
    </row>
    <row r="218" spans="3:40" ht="24.95">
      <c r="C218" s="57"/>
      <c r="D218" s="58" t="s">
        <v>290</v>
      </c>
      <c r="E218" s="58" t="s">
        <v>291</v>
      </c>
      <c r="F218" s="58" t="s">
        <v>292</v>
      </c>
      <c r="G218" s="58" t="s">
        <v>293</v>
      </c>
      <c r="H218" s="58" t="s">
        <v>294</v>
      </c>
      <c r="I218" s="181"/>
      <c r="J218" s="902"/>
      <c r="K218" s="902"/>
      <c r="L218" s="902"/>
      <c r="M218" s="902"/>
      <c r="N218" s="902"/>
      <c r="O218" s="902"/>
      <c r="P218" s="902"/>
      <c r="Q218" s="913"/>
      <c r="R218" s="913"/>
      <c r="S218" s="913"/>
      <c r="T218" s="913"/>
      <c r="U218" s="912"/>
      <c r="V218" s="912"/>
      <c r="W218" s="913"/>
      <c r="X218" s="912"/>
      <c r="Y218" s="912"/>
      <c r="Z218" s="912"/>
      <c r="AA218" s="912"/>
      <c r="AB218" s="912"/>
      <c r="AC218" s="912"/>
      <c r="AD218" s="912"/>
      <c r="AE218" s="912"/>
      <c r="AF218" s="912"/>
      <c r="AG218" s="912"/>
      <c r="AH218" s="912"/>
      <c r="AI218" s="912"/>
      <c r="AJ218" s="912"/>
      <c r="AK218" s="912"/>
      <c r="AL218" s="912"/>
      <c r="AM218" s="915"/>
      <c r="AN218" s="915"/>
    </row>
    <row r="219" spans="3:40" ht="14.1">
      <c r="C219" s="57"/>
      <c r="D219" s="58"/>
      <c r="E219" s="58">
        <f>IF(E213=950,2,(IF(E213=1150,3,(IF(E213=1550,4,(IF(E213=1750,5,(IF(E213=2050,6,(IF(E213=2900,8,(IF(E213=3600,10,IF(E213=4000,12,0))))))))))))))</f>
        <v>12</v>
      </c>
      <c r="F219" s="58">
        <f>IF(G213=950,2,(IF(G213=1150,3,(IF(G213=1550,4,(IF(G213=1750,5,(IF(G213=2050,6,(IF(G213=2900,8,(IF(G213=3600,10,IF(E213=4000,12,0))))))))))))))</f>
        <v>10</v>
      </c>
      <c r="G219" s="58"/>
      <c r="H219" s="60"/>
      <c r="I219" s="834"/>
      <c r="J219" s="902"/>
      <c r="K219" s="902"/>
      <c r="L219" s="902"/>
      <c r="M219" s="902"/>
      <c r="N219" s="902"/>
      <c r="O219" s="902"/>
      <c r="P219" s="902"/>
      <c r="Q219" s="913"/>
      <c r="R219" s="913"/>
      <c r="S219" s="913"/>
      <c r="T219" s="913"/>
      <c r="U219" s="912"/>
      <c r="V219" s="912"/>
      <c r="W219" s="913"/>
      <c r="X219" s="912"/>
      <c r="Y219" s="912"/>
      <c r="Z219" s="912"/>
      <c r="AA219" s="912"/>
      <c r="AB219" s="912"/>
      <c r="AC219" s="912"/>
      <c r="AD219" s="912"/>
      <c r="AE219" s="912"/>
      <c r="AF219" s="912"/>
      <c r="AG219" s="912"/>
      <c r="AH219" s="912"/>
      <c r="AI219" s="912"/>
      <c r="AJ219" s="912"/>
      <c r="AK219" s="912"/>
      <c r="AL219" s="912"/>
      <c r="AM219" s="915"/>
      <c r="AN219" s="915"/>
    </row>
    <row r="220" spans="3:40" ht="14.1">
      <c r="C220" s="57"/>
      <c r="D220" s="58">
        <f>IF(AND(I212=0, OR(E216=1, E216=2, E216=3, E216=4, E216=5)), "20µ", 0)</f>
        <v>0</v>
      </c>
      <c r="E220" s="58">
        <f>IF(OR(D220=0),0,IF(MOD($E$42*$F$42,2)=0,"610",IF(MOD($E$42*$F$42,2.5)=0,"760",IF(MOD($E$42*$F$42,3)=0,"915","Refer"))))</f>
        <v>0</v>
      </c>
      <c r="F220" s="58">
        <f>IF(OR(D220=0),0,IF(MOD($E$42*$F$42,6)=0,"915",IF(MOD($E$42*$F$42,5)=0,"760",IF(MOD($E$42*$F$42,4)=0,"610","Refer"))))</f>
        <v>0</v>
      </c>
      <c r="G220" s="58">
        <f>IF(D220=0,0,100)</f>
        <v>0</v>
      </c>
      <c r="H220" s="60">
        <f>IF(D220=0,0,($E$42*$F$42*305*305)/(E220*F220))</f>
        <v>0</v>
      </c>
      <c r="I220" s="834"/>
      <c r="J220" s="902"/>
      <c r="K220" s="902"/>
      <c r="L220" s="902"/>
      <c r="M220" s="902"/>
      <c r="N220" s="902"/>
      <c r="O220" s="902"/>
      <c r="P220" s="902"/>
      <c r="Q220" s="55"/>
      <c r="R220" s="55"/>
      <c r="S220" s="55"/>
      <c r="T220" s="55"/>
      <c r="U220" s="45"/>
      <c r="V220" s="45"/>
      <c r="W220" s="55"/>
      <c r="X220" s="45"/>
      <c r="Y220" s="45"/>
      <c r="Z220" s="45"/>
      <c r="AA220" s="45"/>
      <c r="AB220" s="45"/>
      <c r="AC220" s="45"/>
      <c r="AD220" s="45"/>
      <c r="AE220" s="45"/>
      <c r="AF220" s="45"/>
      <c r="AG220" s="45"/>
      <c r="AH220" s="45"/>
      <c r="AI220" s="45"/>
      <c r="AJ220" s="45"/>
      <c r="AK220" s="45"/>
      <c r="AL220" s="45"/>
      <c r="AM220" s="63"/>
      <c r="AN220" s="63"/>
    </row>
    <row r="221" spans="3:40" ht="14.1">
      <c r="C221" s="57"/>
      <c r="D221" s="58" t="str">
        <f>IF(E216=4,"10µ",IF(E216=3,"10µ",IF(E216=2,"10µ",IF(E216=1,"10µ",0))))</f>
        <v>10µ</v>
      </c>
      <c r="E221" s="58" t="str">
        <f>IF(OR(D221=0),0,IF(MOD($E$42*$F$42,2)=0,"610",IF(MOD($E$42*$F$42,2.5)=0,"760",IF(MOD($E$42*$F$42,3)=0,"915","Refer"))))</f>
        <v>610</v>
      </c>
      <c r="F221" s="58" t="str">
        <f>IF(OR(D221=0),0,IF(MOD($E$42*$F$42,6)=0,"915",IF(MOD($E$42*$F$42,5)=0,"760",IF(MOD($E$42*$F$42,4)=0,"610","Refer"))))</f>
        <v>915</v>
      </c>
      <c r="G221" s="58">
        <f>IF(D221=0,0,150)</f>
        <v>150</v>
      </c>
      <c r="H221" s="60">
        <f>IF(D221=0,0,($E$42*$F$42*305*305)/(E221*F221))</f>
        <v>6</v>
      </c>
      <c r="I221" s="834"/>
      <c r="J221" s="902"/>
      <c r="K221" s="902"/>
      <c r="L221" s="902"/>
      <c r="M221" s="902"/>
      <c r="N221" s="902"/>
      <c r="O221" s="902"/>
      <c r="P221" s="902"/>
      <c r="Q221" s="913"/>
      <c r="R221" s="913"/>
      <c r="S221" s="913"/>
      <c r="T221" s="913"/>
      <c r="U221" s="912"/>
      <c r="V221" s="912"/>
      <c r="W221" s="913"/>
      <c r="X221" s="912"/>
      <c r="Y221" s="912"/>
      <c r="Z221" s="912"/>
      <c r="AA221" s="912"/>
      <c r="AB221" s="912"/>
      <c r="AC221" s="912"/>
      <c r="AD221" s="912"/>
      <c r="AE221" s="912"/>
      <c r="AF221" s="912"/>
      <c r="AG221" s="912"/>
      <c r="AH221" s="912"/>
      <c r="AI221" s="912"/>
      <c r="AJ221" s="912"/>
      <c r="AK221" s="912"/>
      <c r="AL221" s="912"/>
      <c r="AM221" s="915"/>
      <c r="AN221" s="915"/>
    </row>
    <row r="222" spans="3:40" ht="14.1">
      <c r="C222" s="57"/>
      <c r="D222" s="58" t="str">
        <f>IF(E216=4,"5µ",IF(E216=3,"5µ",IF(E216=2,"5µ",0)))</f>
        <v>5µ</v>
      </c>
      <c r="E222" s="58" t="str">
        <f t="shared" ref="E222:E224" si="130">IF(OR(D222=0),0,IF(MOD($E$42*$F$42,2)=0,"610",IF(MOD($E$42*$F$42,2.5)=0,"760",IF(MOD($E$42*$F$42,3)=0,"915","Refer"))))</f>
        <v>610</v>
      </c>
      <c r="F222" s="58" t="str">
        <f>IF(OR(D222=0),0,IF(MOD($E$42*$F$42,6)=0,"915",IF(MOD($E$42*$F$42,5)=0,"760",IF(MOD($E$42*$F$42,4)=0,"610","Refer"))))</f>
        <v>915</v>
      </c>
      <c r="G222" s="58">
        <f>IF(D222=0,0,300)</f>
        <v>300</v>
      </c>
      <c r="H222" s="60">
        <f>IF(D222=0,0,($E$42*$F$42*305*305)/(E222*F222))</f>
        <v>6</v>
      </c>
      <c r="I222" s="834"/>
      <c r="J222" s="902"/>
      <c r="K222" s="902"/>
      <c r="L222" s="902"/>
      <c r="M222" s="902"/>
      <c r="N222" s="902"/>
      <c r="O222" s="902"/>
      <c r="P222" s="902"/>
      <c r="Q222" s="913"/>
      <c r="R222" s="913"/>
      <c r="S222" s="913"/>
      <c r="T222" s="913"/>
      <c r="U222" s="912"/>
      <c r="V222" s="912"/>
      <c r="W222" s="913"/>
      <c r="X222" s="912"/>
      <c r="Y222" s="912"/>
      <c r="Z222" s="912"/>
      <c r="AA222" s="912"/>
      <c r="AB222" s="912"/>
      <c r="AC222" s="912"/>
      <c r="AD222" s="912"/>
      <c r="AE222" s="912"/>
      <c r="AF222" s="912"/>
      <c r="AG222" s="912"/>
      <c r="AH222" s="912"/>
      <c r="AI222" s="912"/>
      <c r="AJ222" s="912"/>
      <c r="AK222" s="912"/>
      <c r="AL222" s="912"/>
      <c r="AM222" s="915"/>
      <c r="AN222" s="915"/>
    </row>
    <row r="223" spans="3:40" ht="14.1">
      <c r="C223" s="57"/>
      <c r="D223" s="58" t="str">
        <f>IF(E216=4,"1µ",IF(E216=3,"1µ",0))</f>
        <v>1µ</v>
      </c>
      <c r="E223" s="58" t="str">
        <f t="shared" si="130"/>
        <v>610</v>
      </c>
      <c r="F223" s="58" t="str">
        <f>IF(OR(D223=0),0,IF(MOD($E$42*$F$42,6)=0,"915",IF(MOD($E$42*$F$42,5)=0,"760",IF(MOD($E$42*$F$42,4)=0,"610","Refer"))))</f>
        <v>915</v>
      </c>
      <c r="G223" s="58">
        <f>IF(D223=0,0,300)</f>
        <v>300</v>
      </c>
      <c r="H223" s="60">
        <f>IF(D223=0,0,($E$42*$F$42*305*305)/(E223*F223))</f>
        <v>6</v>
      </c>
      <c r="I223" s="834"/>
      <c r="J223" s="902"/>
      <c r="K223" s="902"/>
      <c r="L223" s="902"/>
      <c r="M223" s="902"/>
      <c r="N223" s="902"/>
      <c r="O223" s="902"/>
      <c r="P223" s="902"/>
      <c r="Q223" s="913"/>
      <c r="R223" s="913"/>
      <c r="S223" s="913"/>
      <c r="T223" s="913"/>
      <c r="U223" s="912"/>
      <c r="V223" s="912"/>
      <c r="W223" s="913"/>
      <c r="X223" s="912"/>
      <c r="Y223" s="912"/>
      <c r="Z223" s="912"/>
      <c r="AA223" s="912"/>
      <c r="AB223" s="912"/>
      <c r="AC223" s="912"/>
      <c r="AD223" s="912"/>
      <c r="AE223" s="912"/>
      <c r="AF223" s="912"/>
      <c r="AG223" s="912"/>
      <c r="AH223" s="912"/>
      <c r="AI223" s="912"/>
      <c r="AJ223" s="912"/>
      <c r="AK223" s="912"/>
      <c r="AL223" s="912"/>
      <c r="AM223" s="915"/>
      <c r="AN223" s="915"/>
    </row>
    <row r="224" spans="3:40" ht="14.1">
      <c r="C224" s="57"/>
      <c r="D224" s="58">
        <f>IF(E216=4,"0.3µ 95% Eff. HEPA Filetr",0)</f>
        <v>0</v>
      </c>
      <c r="E224" s="58">
        <f t="shared" si="130"/>
        <v>0</v>
      </c>
      <c r="F224" s="58">
        <f>IF(OR(D224=0),0,IF(MOD($E$42*$F$42,6)=0,"915",IF(MOD($E$42*$F$42,5)=0,"760",IF(MOD($E$42*$F$42,4)=0,"610","Refer"))))</f>
        <v>0</v>
      </c>
      <c r="G224" s="58">
        <f>IF(D224=0,0,300)</f>
        <v>0</v>
      </c>
      <c r="H224" s="60">
        <f>IF(D224=0,0,($E$42*$F$42*305*305)/(E224*F224))</f>
        <v>0</v>
      </c>
      <c r="I224" s="836"/>
      <c r="J224" s="902"/>
      <c r="K224" s="902"/>
      <c r="L224" s="902"/>
      <c r="M224" s="902"/>
      <c r="N224" s="902"/>
      <c r="O224" s="902"/>
      <c r="P224" s="902"/>
      <c r="Q224" s="913"/>
      <c r="R224" s="913"/>
      <c r="S224" s="913"/>
      <c r="T224" s="913"/>
      <c r="U224" s="912"/>
      <c r="V224" s="912"/>
      <c r="W224" s="913"/>
      <c r="X224" s="912"/>
      <c r="Y224" s="912"/>
      <c r="Z224" s="912"/>
      <c r="AA224" s="912"/>
      <c r="AB224" s="912"/>
      <c r="AC224" s="912"/>
      <c r="AD224" s="912"/>
      <c r="AE224" s="912"/>
      <c r="AF224" s="912"/>
      <c r="AG224" s="912"/>
      <c r="AH224" s="912"/>
      <c r="AI224" s="912"/>
      <c r="AJ224" s="912"/>
      <c r="AK224" s="912"/>
      <c r="AL224" s="912"/>
      <c r="AM224" s="915"/>
      <c r="AN224" s="915"/>
    </row>
    <row r="225" spans="3:40" ht="14.1">
      <c r="C225" s="57"/>
      <c r="D225" s="826"/>
      <c r="E225" s="182"/>
      <c r="F225" s="182"/>
      <c r="G225" s="182"/>
      <c r="H225" s="182"/>
      <c r="I225" s="827"/>
      <c r="J225" s="52"/>
      <c r="K225" s="52"/>
      <c r="L225" s="52"/>
      <c r="M225" s="52"/>
      <c r="N225" s="52"/>
      <c r="O225" s="828"/>
      <c r="P225" s="828"/>
      <c r="Q225" s="55"/>
      <c r="R225" s="55"/>
      <c r="S225" s="55"/>
      <c r="T225" s="55"/>
      <c r="U225" s="45"/>
      <c r="V225" s="45"/>
      <c r="W225" s="55"/>
      <c r="X225" s="45"/>
      <c r="Y225" s="45"/>
      <c r="Z225" s="45"/>
      <c r="AA225" s="45"/>
      <c r="AB225" s="45"/>
      <c r="AC225" s="45"/>
      <c r="AD225" s="45"/>
      <c r="AE225" s="45"/>
      <c r="AF225" s="45"/>
      <c r="AG225" s="45"/>
      <c r="AH225" s="45"/>
      <c r="AI225" s="45"/>
      <c r="AJ225" s="45"/>
      <c r="AK225" s="45"/>
      <c r="AL225" s="45"/>
      <c r="AM225" s="63"/>
      <c r="AN225" s="63"/>
    </row>
    <row r="226" spans="3:40" ht="14.1" customHeight="1">
      <c r="C226" s="57"/>
      <c r="D226" s="901" t="str">
        <f>"AHU - " &amp; INT((ROW()-34)/14)+1 &amp; "  " &amp; IF(I227&gt;0,"Air-Conditioning System " &amp; IF(OR(G230="Header", G230="C"), "(Chilled Water)",IF(OR(G230="Distributor", G230="D"), "(DX)", "Ventilation System")),IF(NOT(I227&gt;0), "Ventilation System ( SUPPLY )", "Refer"))</f>
        <v>AHU - 14  Air-Conditioning System (Chilled Water)</v>
      </c>
      <c r="E226" s="901"/>
      <c r="F226" s="901"/>
      <c r="G226" s="901"/>
      <c r="H226" s="901"/>
      <c r="I226" s="901"/>
      <c r="J226" s="52"/>
      <c r="K226" s="52"/>
      <c r="L226" s="53"/>
      <c r="M226" s="53"/>
      <c r="N226" s="53"/>
      <c r="O226" s="54"/>
      <c r="P226" s="55"/>
      <c r="AM226" s="56"/>
      <c r="AN226" s="56"/>
    </row>
    <row r="227" spans="3:40" ht="14.1">
      <c r="C227" s="57"/>
      <c r="D227" s="175" t="s">
        <v>274</v>
      </c>
      <c r="E227" s="180" t="str">
        <f>'BOD-Cold &amp; Amb.'!R250</f>
        <v>ISO 6</v>
      </c>
      <c r="F227" s="175" t="s">
        <v>275</v>
      </c>
      <c r="G227" s="180">
        <f>'BOD-Cold &amp; Amb.'!AK250</f>
        <v>42500</v>
      </c>
      <c r="H227" s="175" t="s">
        <v>276</v>
      </c>
      <c r="I227" s="181">
        <f>'BOD-Cold &amp; Amb.'!AQ250</f>
        <v>108.5</v>
      </c>
      <c r="J227" s="902" t="s">
        <v>277</v>
      </c>
      <c r="K227" s="902">
        <v>1</v>
      </c>
      <c r="L227" s="917">
        <f>Q227</f>
        <v>2070750</v>
      </c>
      <c r="M227" s="902">
        <f>K227*L227</f>
        <v>2070750</v>
      </c>
      <c r="N227" s="902"/>
      <c r="O227" s="902"/>
      <c r="P227" s="902"/>
      <c r="Q227" s="913">
        <f t="shared" ref="Q227" si="131">CEILING((S227+T227+U227+V227+W227),250)</f>
        <v>2070750</v>
      </c>
      <c r="R227" s="913">
        <f>IF(I227&gt;0,625,375)</f>
        <v>625</v>
      </c>
      <c r="S227" s="913">
        <f>(E228*G228*3*10.76+E228*I228*2*10.76+G228*I228*2*10.76)*R227/(1000*1000)</f>
        <v>883396</v>
      </c>
      <c r="T227" s="913">
        <f>I227*4*1050</f>
        <v>455700</v>
      </c>
      <c r="U227" s="912">
        <f>IF(G227&lt;=2000,5000,(IF(G227&lt;=5000,8000,(IF(G227&lt;=10000,10000,(IF(G227&lt;=18000,15000,(IF(G227&lt;=40000,20000,25000)))))))))</f>
        <v>25000</v>
      </c>
      <c r="V227" s="912">
        <f t="shared" ref="V227" si="132">IF(X227=200,17150,(IF(X227=225,18150,(IF(X227=250,18900,(IF(X227=280,19150,(IF(X227=315,19650,(IF(X227=355,21900,(IF(X227=400,24400,0)))))))))))))+IF(X227=450,31000,(IF(X227=500,37450,(IF(X227=560,45650,(IF(X227=630,58900,(IF(X227=710,77950,0)))))))))+IF(X227=800,119650,(IF(X227=900,153300,(IF(X227=1000,178900,(IF(X227=1120,286500,(IF(X227=1250,394500,(IF(X227=1450,461500,0)))))))))))</f>
        <v>286500</v>
      </c>
      <c r="W227" s="913">
        <f>IF(I229=0.5,16600,(IF(I229=1,19050,(IF(I229=1.5,21750,(IF(I229=2,23600,(IF(I229=3,30000,(IF(I229=5,38000,0)))))))))))*1.2+IF(I229=7.5,52300,(IF(I229=10,59600,0)))*1.2+IF(I229=12.5,100350,(IF(I229=15,106000,(IF(I229=20,129150,(IF(I229=25,146050,(IF(I229=30,173600,(IF(I229=40,233900,(IF(I229=50,304650,IF(I229=60,350000,400000)))))))))))))*1.2)</f>
        <v>420000</v>
      </c>
      <c r="X227" s="912">
        <f>E229</f>
        <v>1120</v>
      </c>
      <c r="Y227" s="912">
        <f t="shared" ref="Y227" si="133">IF(G227&lt;=6750,450,(IF(G227&lt;=8500,500,(IF(G227&lt;=10750,560,(IF(G227&lt;=13500,630,(IF(G227&lt;=17000,710,(IF(G227&lt;=21500,800,(IF(G227&lt;=27000,900,(IF(G227&lt;=34000,1000,0)))))))))))))))</f>
        <v>0</v>
      </c>
      <c r="Z227" s="912">
        <f t="shared" ref="Z227" si="134">IF(G227&lt;=1300,200,(IF(G227&lt;=1600,225,(IF(G227&lt;=2100,250,(IF(G227&lt;=2700,280,(IF(G227&lt;=3450,315,(IF(G227&lt;=4250,355,(IF(G227&lt;=5250,400,(IF(G227&lt;=6750,450,0)))))))))))))))</f>
        <v>0</v>
      </c>
      <c r="AA227" s="912">
        <f t="shared" ref="AA227" si="135">IF(G227&lt;=2000,5000,(IF(G227&lt;=5000,8000,(IF(G227&lt;=10000,10000,(IF(G227&lt;=18000,15000,(IF(G227&lt;=40000,20000,10000)))))))))</f>
        <v>10000</v>
      </c>
      <c r="AB227" s="912">
        <f>IF(E228=950,2,(IF(E228=1150,3,(IF(E228=1550,4,(IF(E228=1750,5,(IF(E228=2050,6,(IF(E228=2900,8,(IF(E228=3600,10,12)))))))))))))</f>
        <v>12</v>
      </c>
      <c r="AC227" s="912">
        <f>IF(G228=950,2,(IF(G228=1150,3,(IF(G228=1550,4,(IF(G228=1750,5,(IF(G228=2050,6,(IF(G228=2900,8,(IF(G228=3600,10,12)))))))))))))</f>
        <v>10</v>
      </c>
      <c r="AD227" s="912">
        <f t="shared" ref="AD227" si="136">AC227*AB227</f>
        <v>120</v>
      </c>
      <c r="AE227" s="912">
        <v>150</v>
      </c>
      <c r="AF227" s="912">
        <f t="shared" ref="AF227" si="137">CEILING((SQRT(G227/1000))*4*2*AE227*1.25*K227,100)</f>
        <v>9800</v>
      </c>
      <c r="AG227" s="912">
        <f>E235*F235*H235/(305*305)</f>
        <v>0</v>
      </c>
      <c r="AH227" s="912">
        <f>E236*F236*H236/(305*305)</f>
        <v>36</v>
      </c>
      <c r="AI227" s="912">
        <f>H237*E237*F237/(305*305)</f>
        <v>36</v>
      </c>
      <c r="AJ227" s="912">
        <f>H238*E238*F238/(305*305)</f>
        <v>36</v>
      </c>
      <c r="AK227" s="912">
        <f>H239*E239*F239/(305*305)</f>
        <v>0</v>
      </c>
      <c r="AL227" s="912"/>
      <c r="AM227" s="915">
        <f t="shared" ref="AM227" si="138">(G227*2.2/1100)</f>
        <v>85.000000000000014</v>
      </c>
      <c r="AN227" s="915">
        <f t="shared" ref="AN227" si="139">(G227*1/1100)</f>
        <v>38.636363636363633</v>
      </c>
    </row>
    <row r="228" spans="3:40" ht="14.1">
      <c r="C228" s="57"/>
      <c r="D228" s="175" t="s">
        <v>278</v>
      </c>
      <c r="E228" s="180">
        <f>'BOD-Cold &amp; Amb.'!AL251</f>
        <v>4000</v>
      </c>
      <c r="F228" s="175" t="s">
        <v>279</v>
      </c>
      <c r="G228" s="180">
        <f>'BOD-Cold &amp; Amb.'!AL253</f>
        <v>3600</v>
      </c>
      <c r="H228" s="175" t="s">
        <v>280</v>
      </c>
      <c r="I228" s="181">
        <f>'BOD-Cold &amp; Amb.'!AL255</f>
        <v>5800</v>
      </c>
      <c r="J228" s="902"/>
      <c r="K228" s="902"/>
      <c r="L228" s="902"/>
      <c r="M228" s="902"/>
      <c r="N228" s="902"/>
      <c r="O228" s="902"/>
      <c r="P228" s="902"/>
      <c r="Q228" s="913"/>
      <c r="R228" s="913"/>
      <c r="S228" s="913"/>
      <c r="T228" s="913"/>
      <c r="U228" s="912"/>
      <c r="V228" s="912"/>
      <c r="W228" s="913"/>
      <c r="X228" s="912"/>
      <c r="Y228" s="912"/>
      <c r="Z228" s="912"/>
      <c r="AA228" s="912"/>
      <c r="AB228" s="912"/>
      <c r="AC228" s="912"/>
      <c r="AD228" s="912"/>
      <c r="AE228" s="912"/>
      <c r="AF228" s="912"/>
      <c r="AG228" s="912"/>
      <c r="AH228" s="912"/>
      <c r="AI228" s="912"/>
      <c r="AJ228" s="912"/>
      <c r="AK228" s="912"/>
      <c r="AL228" s="912"/>
      <c r="AM228" s="915"/>
      <c r="AN228" s="915"/>
    </row>
    <row r="229" spans="3:40" ht="14.1">
      <c r="C229" s="57"/>
      <c r="D229" s="175" t="s">
        <v>281</v>
      </c>
      <c r="E229" s="180">
        <f>'BOD-Cold &amp; Amb.'!AN250</f>
        <v>1120</v>
      </c>
      <c r="F229" s="176" t="s">
        <v>282</v>
      </c>
      <c r="G229" s="180">
        <f>'BOD-Cold &amp; Amb.'!AM250</f>
        <v>150</v>
      </c>
      <c r="H229" s="176" t="s">
        <v>283</v>
      </c>
      <c r="I229" s="181">
        <f>'BOD-Cold &amp; Amb.'!AO250</f>
        <v>60</v>
      </c>
      <c r="J229" s="902"/>
      <c r="K229" s="902"/>
      <c r="L229" s="902"/>
      <c r="M229" s="902"/>
      <c r="N229" s="902"/>
      <c r="O229" s="902"/>
      <c r="P229" s="902"/>
      <c r="Q229" s="913"/>
      <c r="R229" s="913"/>
      <c r="S229" s="913"/>
      <c r="T229" s="913"/>
      <c r="U229" s="912"/>
      <c r="V229" s="912"/>
      <c r="W229" s="913"/>
      <c r="X229" s="912"/>
      <c r="Y229" s="912"/>
      <c r="Z229" s="912"/>
      <c r="AA229" s="912"/>
      <c r="AB229" s="912"/>
      <c r="AC229" s="912"/>
      <c r="AD229" s="912"/>
      <c r="AE229" s="912"/>
      <c r="AF229" s="912"/>
      <c r="AG229" s="912"/>
      <c r="AH229" s="912"/>
      <c r="AI229" s="912"/>
      <c r="AJ229" s="912"/>
      <c r="AK229" s="912"/>
      <c r="AL229" s="912"/>
      <c r="AM229" s="915"/>
      <c r="AN229" s="915"/>
    </row>
    <row r="230" spans="3:40" ht="21.6" customHeight="1">
      <c r="C230" s="57"/>
      <c r="D230" s="175" t="s">
        <v>284</v>
      </c>
      <c r="E230" s="180">
        <f>'BOD-Cold &amp; Amb.'!AP250</f>
        <v>4</v>
      </c>
      <c r="F230" s="832" t="s">
        <v>285</v>
      </c>
      <c r="G230" s="837" t="str">
        <f>IF(OR(I227=0, E230="Amb"), "Amb",IF('BOD-Cold &amp; Amb.'!AH190="C", "Header",IF('BOD-Cold &amp; Amb.'!AH190="D", "Distributor", "Refer")))</f>
        <v>Header</v>
      </c>
      <c r="H230" s="832" t="s">
        <v>286</v>
      </c>
      <c r="I230" s="833" t="str">
        <f>IF(OR(I227=0, E230=0), 0,ROUND(((( I227/E230)*304.8)/(E228-400))*1000,0)&amp;" h "&amp;" x " &amp; (E228-400)&amp;" w ")</f>
        <v xml:space="preserve">2297 h  x 3600 w </v>
      </c>
      <c r="J230" s="902"/>
      <c r="K230" s="902"/>
      <c r="L230" s="902"/>
      <c r="M230" s="902"/>
      <c r="N230" s="902"/>
      <c r="O230" s="902"/>
      <c r="P230" s="902"/>
      <c r="Q230" s="913"/>
      <c r="R230" s="913"/>
      <c r="S230" s="913"/>
      <c r="T230" s="913"/>
      <c r="U230" s="912"/>
      <c r="V230" s="912"/>
      <c r="W230" s="913"/>
      <c r="X230" s="912"/>
      <c r="Y230" s="912"/>
      <c r="Z230" s="912"/>
      <c r="AA230" s="912"/>
      <c r="AB230" s="912"/>
      <c r="AC230" s="912"/>
      <c r="AD230" s="912"/>
      <c r="AE230" s="912"/>
      <c r="AF230" s="912"/>
      <c r="AG230" s="912"/>
      <c r="AH230" s="912"/>
      <c r="AI230" s="912"/>
      <c r="AJ230" s="912"/>
      <c r="AK230" s="912"/>
      <c r="AL230" s="912"/>
      <c r="AM230" s="915"/>
      <c r="AN230" s="915"/>
    </row>
    <row r="231" spans="3:40" ht="21">
      <c r="C231" s="57"/>
      <c r="D231" s="175" t="s">
        <v>287</v>
      </c>
      <c r="E231" s="180">
        <f>'BOD-Cold &amp; Amb.'!AR250</f>
        <v>3</v>
      </c>
      <c r="F231" s="176" t="s">
        <v>288</v>
      </c>
      <c r="G231" s="177" t="str">
        <f>IF(E231=4,"10µ, 5µ, 1µ &amp; 0.3µ (HEPA Plenum Fitted 95% eff.)",IF(E231=3,"10µ, 5µ &amp; 1µ ",IF(E231=2,"10µ  &amp; 5µ",IF(E231=1,"10µ", "Filter Ratings"))))</f>
        <v xml:space="preserve">10µ, 5µ &amp; 1µ </v>
      </c>
      <c r="H231" s="178"/>
      <c r="I231" s="179"/>
      <c r="J231" s="902"/>
      <c r="K231" s="902"/>
      <c r="L231" s="902"/>
      <c r="M231" s="902"/>
      <c r="N231" s="902"/>
      <c r="O231" s="902"/>
      <c r="P231" s="902"/>
      <c r="Q231" s="913"/>
      <c r="R231" s="913"/>
      <c r="S231" s="913"/>
      <c r="T231" s="913"/>
      <c r="U231" s="912"/>
      <c r="V231" s="912"/>
      <c r="W231" s="913"/>
      <c r="X231" s="912"/>
      <c r="Y231" s="912"/>
      <c r="Z231" s="912"/>
      <c r="AA231" s="912"/>
      <c r="AB231" s="912"/>
      <c r="AC231" s="912"/>
      <c r="AD231" s="912"/>
      <c r="AE231" s="912"/>
      <c r="AF231" s="912"/>
      <c r="AG231" s="912"/>
      <c r="AH231" s="912"/>
      <c r="AI231" s="912"/>
      <c r="AJ231" s="912"/>
      <c r="AK231" s="912"/>
      <c r="AL231" s="912"/>
      <c r="AM231" s="915"/>
      <c r="AN231" s="915"/>
    </row>
    <row r="232" spans="3:40">
      <c r="C232" s="57"/>
      <c r="D232" s="922" t="s">
        <v>289</v>
      </c>
      <c r="E232" s="923"/>
      <c r="F232" s="923"/>
      <c r="G232" s="923"/>
      <c r="H232" s="923"/>
      <c r="I232" s="924"/>
      <c r="J232" s="902"/>
      <c r="K232" s="902"/>
      <c r="L232" s="902"/>
      <c r="M232" s="902"/>
      <c r="N232" s="902"/>
      <c r="O232" s="902"/>
      <c r="P232" s="902"/>
      <c r="Q232" s="913"/>
      <c r="R232" s="913"/>
      <c r="S232" s="913"/>
      <c r="T232" s="913"/>
      <c r="U232" s="912"/>
      <c r="V232" s="912"/>
      <c r="W232" s="913"/>
      <c r="X232" s="912"/>
      <c r="Y232" s="912"/>
      <c r="Z232" s="912"/>
      <c r="AA232" s="912"/>
      <c r="AB232" s="912"/>
      <c r="AC232" s="912"/>
      <c r="AD232" s="912"/>
      <c r="AE232" s="912"/>
      <c r="AF232" s="912"/>
      <c r="AG232" s="912"/>
      <c r="AH232" s="912"/>
      <c r="AI232" s="912"/>
      <c r="AJ232" s="912"/>
      <c r="AK232" s="912"/>
      <c r="AL232" s="912"/>
      <c r="AM232" s="915"/>
      <c r="AN232" s="915"/>
    </row>
    <row r="233" spans="3:40" ht="24.95">
      <c r="C233" s="57"/>
      <c r="D233" s="58" t="s">
        <v>290</v>
      </c>
      <c r="E233" s="58" t="s">
        <v>291</v>
      </c>
      <c r="F233" s="58" t="s">
        <v>292</v>
      </c>
      <c r="G233" s="58" t="s">
        <v>293</v>
      </c>
      <c r="H233" s="58" t="s">
        <v>294</v>
      </c>
      <c r="I233" s="179"/>
      <c r="J233" s="902"/>
      <c r="K233" s="902"/>
      <c r="L233" s="902"/>
      <c r="M233" s="902"/>
      <c r="N233" s="902"/>
      <c r="O233" s="902"/>
      <c r="P233" s="902"/>
      <c r="Q233" s="913"/>
      <c r="R233" s="913"/>
      <c r="S233" s="913"/>
      <c r="T233" s="913"/>
      <c r="U233" s="912"/>
      <c r="V233" s="912"/>
      <c r="W233" s="913"/>
      <c r="X233" s="912"/>
      <c r="Y233" s="912"/>
      <c r="Z233" s="912"/>
      <c r="AA233" s="912"/>
      <c r="AB233" s="912"/>
      <c r="AC233" s="912"/>
      <c r="AD233" s="912"/>
      <c r="AE233" s="912"/>
      <c r="AF233" s="912"/>
      <c r="AG233" s="912"/>
      <c r="AH233" s="912"/>
      <c r="AI233" s="912"/>
      <c r="AJ233" s="912"/>
      <c r="AK233" s="912"/>
      <c r="AL233" s="912"/>
      <c r="AM233" s="915"/>
      <c r="AN233" s="915"/>
    </row>
    <row r="234" spans="3:40" ht="14.1">
      <c r="C234" s="57"/>
      <c r="D234" s="58"/>
      <c r="E234" s="58">
        <f>IF(E228=950,2,(IF(E228=1150,3,(IF(E228=1550,4,(IF(E228=1750,5,(IF(E228=2050,6,(IF(E228=2900,8,(IF(E228=3600,10,IF(E228=4000,12,0))))))))))))))</f>
        <v>12</v>
      </c>
      <c r="F234" s="58">
        <f>IF(G228=950,2,(IF(G228=1150,3,(IF(G228=1550,4,(IF(G228=1750,5,(IF(G228=2050,6,(IF(G228=2900,8,(IF(G228=3600,10,IF(E228=4000,12,0))))))))))))))</f>
        <v>10</v>
      </c>
      <c r="G234" s="58"/>
      <c r="H234" s="60"/>
      <c r="I234" s="834"/>
      <c r="J234" s="902"/>
      <c r="K234" s="902"/>
      <c r="L234" s="902"/>
      <c r="M234" s="902"/>
      <c r="N234" s="902"/>
      <c r="O234" s="902"/>
      <c r="P234" s="902"/>
      <c r="Q234" s="913"/>
      <c r="R234" s="913"/>
      <c r="S234" s="913"/>
      <c r="T234" s="913"/>
      <c r="U234" s="912"/>
      <c r="V234" s="912"/>
      <c r="W234" s="913"/>
      <c r="X234" s="912"/>
      <c r="Y234" s="912"/>
      <c r="Z234" s="912"/>
      <c r="AA234" s="912"/>
      <c r="AB234" s="912"/>
      <c r="AC234" s="912"/>
      <c r="AD234" s="912"/>
      <c r="AE234" s="912"/>
      <c r="AF234" s="912"/>
      <c r="AG234" s="912"/>
      <c r="AH234" s="912"/>
      <c r="AI234" s="912"/>
      <c r="AJ234" s="912"/>
      <c r="AK234" s="912"/>
      <c r="AL234" s="912"/>
      <c r="AM234" s="915"/>
      <c r="AN234" s="915"/>
    </row>
    <row r="235" spans="3:40" ht="14.1">
      <c r="C235" s="57"/>
      <c r="D235" s="58">
        <f>IF(AND(I227=0, OR(E231=1, E231=2, E231=3, E231=4, E231=5)), "20µ", 0)</f>
        <v>0</v>
      </c>
      <c r="E235" s="58">
        <f>IF(OR(D235=0),0,IF(MOD($E$42*$F$42,2)=0,"610",IF(MOD($E$42*$F$42,2.5)=0,"760",IF(MOD($E$42*$F$42,3)=0,"915","Refer"))))</f>
        <v>0</v>
      </c>
      <c r="F235" s="58">
        <f>IF(OR(D235=0),0,IF(MOD($E$42*$F$42,6)=0,"915",IF(MOD($E$42*$F$42,5)=0,"760",IF(MOD($E$42*$F$42,4)=0,"610","Refer"))))</f>
        <v>0</v>
      </c>
      <c r="G235" s="58">
        <f>IF(D235=0,0,100)</f>
        <v>0</v>
      </c>
      <c r="H235" s="60">
        <f>IF(D235=0,0,($E$42*$F$42*305*305)/(E235*F235))</f>
        <v>0</v>
      </c>
      <c r="I235" s="834"/>
      <c r="J235" s="902"/>
      <c r="K235" s="902"/>
      <c r="L235" s="902"/>
      <c r="M235" s="902"/>
      <c r="N235" s="902"/>
      <c r="O235" s="902"/>
      <c r="P235" s="902"/>
      <c r="Q235" s="55"/>
      <c r="R235" s="55"/>
      <c r="S235" s="55"/>
      <c r="T235" s="55"/>
      <c r="U235" s="45"/>
      <c r="V235" s="45"/>
      <c r="W235" s="55"/>
      <c r="X235" s="45"/>
      <c r="Y235" s="45"/>
      <c r="Z235" s="45"/>
      <c r="AA235" s="45"/>
      <c r="AB235" s="45"/>
      <c r="AC235" s="45"/>
      <c r="AD235" s="45"/>
      <c r="AE235" s="45"/>
      <c r="AF235" s="45"/>
      <c r="AG235" s="45"/>
      <c r="AH235" s="45"/>
      <c r="AI235" s="45"/>
      <c r="AJ235" s="45"/>
      <c r="AK235" s="45"/>
      <c r="AL235" s="45"/>
      <c r="AM235" s="63"/>
      <c r="AN235" s="63"/>
    </row>
    <row r="236" spans="3:40" ht="14.1">
      <c r="C236" s="57"/>
      <c r="D236" s="58" t="str">
        <f>IF(E231=4,"10µ",IF(E231=3,"10µ",IF(E231=2,"10µ",IF(E231=1,"10µ",0))))</f>
        <v>10µ</v>
      </c>
      <c r="E236" s="58" t="str">
        <f>IF(OR(D236=0),0,IF(MOD($E$42*$F$42,2)=0,"610",IF(MOD($E$42*$F$42,2.5)=0,"760",IF(MOD($E$42*$F$42,3)=0,"915","Refer"))))</f>
        <v>610</v>
      </c>
      <c r="F236" s="58" t="str">
        <f>IF(OR(D236=0),0,IF(MOD($E$42*$F$42,6)=0,"915",IF(MOD($E$42*$F$42,5)=0,"760",IF(MOD($E$42*$F$42,4)=0,"610","Refer"))))</f>
        <v>915</v>
      </c>
      <c r="G236" s="58">
        <f>IF(D236=0,0,150)</f>
        <v>150</v>
      </c>
      <c r="H236" s="60">
        <f>IF(D236=0,0,($E$42*$F$42*305*305)/(E236*F236))</f>
        <v>6</v>
      </c>
      <c r="I236" s="834"/>
      <c r="J236" s="902"/>
      <c r="K236" s="902"/>
      <c r="L236" s="902"/>
      <c r="M236" s="902"/>
      <c r="N236" s="902"/>
      <c r="O236" s="902"/>
      <c r="P236" s="902"/>
      <c r="Q236" s="913"/>
      <c r="R236" s="913"/>
      <c r="S236" s="913"/>
      <c r="T236" s="913"/>
      <c r="U236" s="912"/>
      <c r="V236" s="912"/>
      <c r="W236" s="913"/>
      <c r="X236" s="912"/>
      <c r="Y236" s="912"/>
      <c r="Z236" s="912"/>
      <c r="AA236" s="912"/>
      <c r="AB236" s="912"/>
      <c r="AC236" s="912"/>
      <c r="AD236" s="912"/>
      <c r="AE236" s="912"/>
      <c r="AF236" s="912"/>
      <c r="AG236" s="912"/>
      <c r="AH236" s="912"/>
      <c r="AI236" s="912"/>
      <c r="AJ236" s="912"/>
      <c r="AK236" s="912"/>
      <c r="AL236" s="912"/>
      <c r="AM236" s="915"/>
      <c r="AN236" s="915"/>
    </row>
    <row r="237" spans="3:40" ht="14.1">
      <c r="C237" s="57"/>
      <c r="D237" s="58" t="str">
        <f>IF(E231=4,"5µ",IF(E231=3,"5µ",IF(E231=2,"5µ",0)))</f>
        <v>5µ</v>
      </c>
      <c r="E237" s="58" t="str">
        <f t="shared" ref="E237:E239" si="140">IF(OR(D237=0),0,IF(MOD($E$42*$F$42,2)=0,"610",IF(MOD($E$42*$F$42,2.5)=0,"760",IF(MOD($E$42*$F$42,3)=0,"915","Refer"))))</f>
        <v>610</v>
      </c>
      <c r="F237" s="58" t="str">
        <f>IF(OR(D237=0),0,IF(MOD($E$42*$F$42,6)=0,"915",IF(MOD($E$42*$F$42,5)=0,"760",IF(MOD($E$42*$F$42,4)=0,"610","Refer"))))</f>
        <v>915</v>
      </c>
      <c r="G237" s="58">
        <f>IF(D237=0,0,300)</f>
        <v>300</v>
      </c>
      <c r="H237" s="60">
        <f>IF(D237=0,0,($E$42*$F$42*305*305)/(E237*F237))</f>
        <v>6</v>
      </c>
      <c r="I237" s="834"/>
      <c r="J237" s="902"/>
      <c r="K237" s="902"/>
      <c r="L237" s="902"/>
      <c r="M237" s="902"/>
      <c r="N237" s="902"/>
      <c r="O237" s="902"/>
      <c r="P237" s="902"/>
      <c r="Q237" s="913"/>
      <c r="R237" s="913"/>
      <c r="S237" s="913"/>
      <c r="T237" s="913"/>
      <c r="U237" s="912"/>
      <c r="V237" s="912"/>
      <c r="W237" s="913"/>
      <c r="X237" s="912"/>
      <c r="Y237" s="912"/>
      <c r="Z237" s="912"/>
      <c r="AA237" s="912"/>
      <c r="AB237" s="912"/>
      <c r="AC237" s="912"/>
      <c r="AD237" s="912"/>
      <c r="AE237" s="912"/>
      <c r="AF237" s="912"/>
      <c r="AG237" s="912"/>
      <c r="AH237" s="912"/>
      <c r="AI237" s="912"/>
      <c r="AJ237" s="912"/>
      <c r="AK237" s="912"/>
      <c r="AL237" s="912"/>
      <c r="AM237" s="915"/>
      <c r="AN237" s="915"/>
    </row>
    <row r="238" spans="3:40" ht="14.1">
      <c r="C238" s="57"/>
      <c r="D238" s="58" t="str">
        <f>IF(E231=4,"1µ",IF(E231=3,"1µ",0))</f>
        <v>1µ</v>
      </c>
      <c r="E238" s="58" t="str">
        <f t="shared" si="140"/>
        <v>610</v>
      </c>
      <c r="F238" s="58" t="str">
        <f>IF(OR(D238=0),0,IF(MOD($E$42*$F$42,6)=0,"915",IF(MOD($E$42*$F$42,5)=0,"760",IF(MOD($E$42*$F$42,4)=0,"610","Refer"))))</f>
        <v>915</v>
      </c>
      <c r="G238" s="58">
        <f>IF(D238=0,0,300)</f>
        <v>300</v>
      </c>
      <c r="H238" s="60">
        <f>IF(D238=0,0,($E$42*$F$42*305*305)/(E238*F238))</f>
        <v>6</v>
      </c>
      <c r="I238" s="834"/>
      <c r="J238" s="902"/>
      <c r="K238" s="902"/>
      <c r="L238" s="902"/>
      <c r="M238" s="902"/>
      <c r="N238" s="902"/>
      <c r="O238" s="902"/>
      <c r="P238" s="902"/>
      <c r="Q238" s="913"/>
      <c r="R238" s="913"/>
      <c r="S238" s="913"/>
      <c r="T238" s="913"/>
      <c r="U238" s="912"/>
      <c r="V238" s="912"/>
      <c r="W238" s="913"/>
      <c r="X238" s="912"/>
      <c r="Y238" s="912"/>
      <c r="Z238" s="912"/>
      <c r="AA238" s="912"/>
      <c r="AB238" s="912"/>
      <c r="AC238" s="912"/>
      <c r="AD238" s="912"/>
      <c r="AE238" s="912"/>
      <c r="AF238" s="912"/>
      <c r="AG238" s="912"/>
      <c r="AH238" s="912"/>
      <c r="AI238" s="912"/>
      <c r="AJ238" s="912"/>
      <c r="AK238" s="912"/>
      <c r="AL238" s="912"/>
      <c r="AM238" s="915"/>
      <c r="AN238" s="915"/>
    </row>
    <row r="239" spans="3:40" ht="14.1">
      <c r="C239" s="57"/>
      <c r="D239" s="58">
        <f>IF(E231=4,"0.3µ 95% Eff. HEPA Filetr",0)</f>
        <v>0</v>
      </c>
      <c r="E239" s="58">
        <f t="shared" si="140"/>
        <v>0</v>
      </c>
      <c r="F239" s="58">
        <f>IF(OR(D239=0),0,IF(MOD($E$42*$F$42,6)=0,"915",IF(MOD($E$42*$F$42,5)=0,"760",IF(MOD($E$42*$F$42,4)=0,"610","Refer"))))</f>
        <v>0</v>
      </c>
      <c r="G239" s="58">
        <f>IF(D239=0,0,300)</f>
        <v>0</v>
      </c>
      <c r="H239" s="60">
        <f>IF(D239=0,0,($E$42*$F$42*305*305)/(E239*F239))</f>
        <v>0</v>
      </c>
      <c r="I239" s="836"/>
      <c r="J239" s="902"/>
      <c r="K239" s="902"/>
      <c r="L239" s="902"/>
      <c r="M239" s="902"/>
      <c r="N239" s="902"/>
      <c r="O239" s="902"/>
      <c r="P239" s="902"/>
      <c r="Q239" s="913"/>
      <c r="R239" s="913"/>
      <c r="S239" s="913"/>
      <c r="T239" s="913"/>
      <c r="U239" s="912"/>
      <c r="V239" s="912"/>
      <c r="W239" s="913"/>
      <c r="X239" s="912"/>
      <c r="Y239" s="912"/>
      <c r="Z239" s="912"/>
      <c r="AA239" s="912"/>
      <c r="AB239" s="912"/>
      <c r="AC239" s="912"/>
      <c r="AD239" s="912"/>
      <c r="AE239" s="912"/>
      <c r="AF239" s="912"/>
      <c r="AG239" s="912"/>
      <c r="AH239" s="912"/>
      <c r="AI239" s="912"/>
      <c r="AJ239" s="912"/>
      <c r="AK239" s="912"/>
      <c r="AL239" s="912"/>
      <c r="AM239" s="915"/>
      <c r="AN239" s="915"/>
    </row>
    <row r="240" spans="3:40" ht="14.1">
      <c r="C240" s="57"/>
      <c r="D240" s="826"/>
      <c r="E240" s="182"/>
      <c r="F240" s="182"/>
      <c r="G240" s="182"/>
      <c r="H240" s="182"/>
      <c r="I240" s="827"/>
      <c r="J240" s="52"/>
      <c r="K240" s="52"/>
      <c r="L240" s="52"/>
      <c r="M240" s="52"/>
      <c r="N240" s="52"/>
      <c r="O240" s="828"/>
      <c r="P240" s="828"/>
      <c r="Q240" s="55"/>
      <c r="R240" s="55"/>
      <c r="S240" s="55"/>
      <c r="T240" s="55"/>
      <c r="U240" s="45"/>
      <c r="V240" s="45"/>
      <c r="W240" s="55"/>
      <c r="X240" s="45"/>
      <c r="Y240" s="45"/>
      <c r="Z240" s="45"/>
      <c r="AA240" s="45"/>
      <c r="AB240" s="45"/>
      <c r="AC240" s="45"/>
      <c r="AD240" s="45"/>
      <c r="AE240" s="45"/>
      <c r="AF240" s="45"/>
      <c r="AG240" s="45"/>
      <c r="AH240" s="45"/>
      <c r="AI240" s="45"/>
      <c r="AJ240" s="45"/>
      <c r="AK240" s="45"/>
      <c r="AL240" s="45"/>
      <c r="AM240" s="63"/>
      <c r="AN240" s="63"/>
    </row>
    <row r="241" spans="3:40" ht="14.1" customHeight="1">
      <c r="C241" s="57"/>
      <c r="D241" s="901" t="str">
        <f>"AHU - " &amp; INT((ROW()-34)/14)+1 &amp; "  " &amp; IF(I242&gt;0,"Air-Conditioning System " &amp; IF(OR(G245="Header", G245="C"), "(Chilled Water)",IF(OR(G245="Distributor", G245="D"), "(DX)", "Ventilation System")),IF(NOT(I242&gt;0), "Ventilation System ( SUPPLY )", "Refer"))</f>
        <v>AHU - 15  Air-Conditioning System (Chilled Water)</v>
      </c>
      <c r="E241" s="901"/>
      <c r="F241" s="901"/>
      <c r="G241" s="901"/>
      <c r="H241" s="901"/>
      <c r="I241" s="901"/>
      <c r="J241" s="52"/>
      <c r="K241" s="52"/>
      <c r="L241" s="53"/>
      <c r="M241" s="53"/>
      <c r="N241" s="53"/>
      <c r="O241" s="54"/>
      <c r="P241" s="55"/>
      <c r="AM241" s="56"/>
      <c r="AN241" s="56"/>
    </row>
    <row r="242" spans="3:40" ht="14.1">
      <c r="C242" s="57"/>
      <c r="D242" s="175" t="s">
        <v>274</v>
      </c>
      <c r="E242" s="180" t="str">
        <f>'BOD-Cold &amp; Amb.'!R270</f>
        <v>ISO 6</v>
      </c>
      <c r="F242" s="175" t="s">
        <v>275</v>
      </c>
      <c r="G242" s="180">
        <f>'BOD-Cold &amp; Amb.'!AK270</f>
        <v>42500</v>
      </c>
      <c r="H242" s="175" t="s">
        <v>276</v>
      </c>
      <c r="I242" s="181">
        <f>'BOD-Cold &amp; Amb.'!AQ270</f>
        <v>108.5</v>
      </c>
      <c r="J242" s="902" t="s">
        <v>277</v>
      </c>
      <c r="K242" s="902">
        <v>1</v>
      </c>
      <c r="L242" s="917">
        <f>Q242</f>
        <v>2070750</v>
      </c>
      <c r="M242" s="902">
        <f>K242*L242</f>
        <v>2070750</v>
      </c>
      <c r="N242" s="902"/>
      <c r="O242" s="902"/>
      <c r="P242" s="902"/>
      <c r="Q242" s="913">
        <f t="shared" ref="Q242" si="141">CEILING((S242+T242+U242+V242+W242),250)</f>
        <v>2070750</v>
      </c>
      <c r="R242" s="913">
        <f>IF(I242&gt;0,625,375)</f>
        <v>625</v>
      </c>
      <c r="S242" s="913">
        <f>(E243*G243*3*10.76+E243*I243*2*10.76+G243*I243*2*10.76)*R242/(1000*1000)</f>
        <v>883396</v>
      </c>
      <c r="T242" s="913">
        <f>I242*4*1050</f>
        <v>455700</v>
      </c>
      <c r="U242" s="912">
        <f>IF(G242&lt;=2000,5000,(IF(G242&lt;=5000,8000,(IF(G242&lt;=10000,10000,(IF(G242&lt;=18000,15000,(IF(G242&lt;=40000,20000,25000)))))))))</f>
        <v>25000</v>
      </c>
      <c r="V242" s="912">
        <f t="shared" ref="V242" si="142">IF(X242=200,17150,(IF(X242=225,18150,(IF(X242=250,18900,(IF(X242=280,19150,(IF(X242=315,19650,(IF(X242=355,21900,(IF(X242=400,24400,0)))))))))))))+IF(X242=450,31000,(IF(X242=500,37450,(IF(X242=560,45650,(IF(X242=630,58900,(IF(X242=710,77950,0)))))))))+IF(X242=800,119650,(IF(X242=900,153300,(IF(X242=1000,178900,(IF(X242=1120,286500,(IF(X242=1250,394500,(IF(X242=1450,461500,0)))))))))))</f>
        <v>286500</v>
      </c>
      <c r="W242" s="913">
        <f>IF(I244=0.5,16600,(IF(I244=1,19050,(IF(I244=1.5,21750,(IF(I244=2,23600,(IF(I244=3,30000,(IF(I244=5,38000,0)))))))))))*1.2+IF(I244=7.5,52300,(IF(I244=10,59600,0)))*1.2+IF(I244=12.5,100350,(IF(I244=15,106000,(IF(I244=20,129150,(IF(I244=25,146050,(IF(I244=30,173600,(IF(I244=40,233900,(IF(I244=50,304650,IF(I244=60,350000,400000)))))))))))))*1.2)</f>
        <v>420000</v>
      </c>
      <c r="X242" s="912">
        <f>E244</f>
        <v>1120</v>
      </c>
      <c r="Y242" s="912">
        <f t="shared" ref="Y242" si="143">IF(G242&lt;=6750,450,(IF(G242&lt;=8500,500,(IF(G242&lt;=10750,560,(IF(G242&lt;=13500,630,(IF(G242&lt;=17000,710,(IF(G242&lt;=21500,800,(IF(G242&lt;=27000,900,(IF(G242&lt;=34000,1000,0)))))))))))))))</f>
        <v>0</v>
      </c>
      <c r="Z242" s="912">
        <f t="shared" ref="Z242" si="144">IF(G242&lt;=1300,200,(IF(G242&lt;=1600,225,(IF(G242&lt;=2100,250,(IF(G242&lt;=2700,280,(IF(G242&lt;=3450,315,(IF(G242&lt;=4250,355,(IF(G242&lt;=5250,400,(IF(G242&lt;=6750,450,0)))))))))))))))</f>
        <v>0</v>
      </c>
      <c r="AA242" s="912">
        <f t="shared" ref="AA242" si="145">IF(G242&lt;=2000,5000,(IF(G242&lt;=5000,8000,(IF(G242&lt;=10000,10000,(IF(G242&lt;=18000,15000,(IF(G242&lt;=40000,20000,10000)))))))))</f>
        <v>10000</v>
      </c>
      <c r="AB242" s="912">
        <f>IF(E243=950,2,(IF(E243=1150,3,(IF(E243=1550,4,(IF(E243=1750,5,(IF(E243=2050,6,(IF(E243=2900,8,(IF(E243=3600,10,12)))))))))))))</f>
        <v>12</v>
      </c>
      <c r="AC242" s="912">
        <f>IF(G243=950,2,(IF(G243=1150,3,(IF(G243=1550,4,(IF(G243=1750,5,(IF(G243=2050,6,(IF(G243=2900,8,(IF(G243=3600,10,12)))))))))))))</f>
        <v>10</v>
      </c>
      <c r="AD242" s="912">
        <f t="shared" ref="AD242" si="146">AC242*AB242</f>
        <v>120</v>
      </c>
      <c r="AE242" s="912">
        <v>150</v>
      </c>
      <c r="AF242" s="912">
        <f t="shared" ref="AF242" si="147">CEILING((SQRT(G242/1000))*4*2*AE242*1.25*K242,100)</f>
        <v>9800</v>
      </c>
      <c r="AG242" s="912">
        <f>E250*F250*H250/(305*305)</f>
        <v>0</v>
      </c>
      <c r="AH242" s="912">
        <f>E251*F251*H251/(305*305)</f>
        <v>36</v>
      </c>
      <c r="AI242" s="912">
        <f>H252*E252*F252/(305*305)</f>
        <v>36</v>
      </c>
      <c r="AJ242" s="912">
        <f>H253*E253*F253/(305*305)</f>
        <v>36</v>
      </c>
      <c r="AK242" s="912">
        <f>H254*E254*F254/(305*305)</f>
        <v>0</v>
      </c>
      <c r="AL242" s="912"/>
      <c r="AM242" s="915">
        <f t="shared" ref="AM242" si="148">(G242*2.2/1100)</f>
        <v>85.000000000000014</v>
      </c>
      <c r="AN242" s="915">
        <f t="shared" ref="AN242" si="149">(G242*1/1100)</f>
        <v>38.636363636363633</v>
      </c>
    </row>
    <row r="243" spans="3:40" ht="14.1">
      <c r="C243" s="57"/>
      <c r="D243" s="175" t="s">
        <v>278</v>
      </c>
      <c r="E243" s="180">
        <f>'BOD-Cold &amp; Amb.'!AL271</f>
        <v>4000</v>
      </c>
      <c r="F243" s="175" t="s">
        <v>279</v>
      </c>
      <c r="G243" s="180">
        <f>'BOD-Cold &amp; Amb.'!AL273</f>
        <v>3600</v>
      </c>
      <c r="H243" s="175" t="s">
        <v>280</v>
      </c>
      <c r="I243" s="181">
        <f>'BOD-Cold &amp; Amb.'!AL275</f>
        <v>5800</v>
      </c>
      <c r="J243" s="902"/>
      <c r="K243" s="902"/>
      <c r="L243" s="902"/>
      <c r="M243" s="902"/>
      <c r="N243" s="902"/>
      <c r="O243" s="902"/>
      <c r="P243" s="902"/>
      <c r="Q243" s="913"/>
      <c r="R243" s="913"/>
      <c r="S243" s="913"/>
      <c r="T243" s="913"/>
      <c r="U243" s="912"/>
      <c r="V243" s="912"/>
      <c r="W243" s="913"/>
      <c r="X243" s="912"/>
      <c r="Y243" s="912"/>
      <c r="Z243" s="912"/>
      <c r="AA243" s="912"/>
      <c r="AB243" s="912"/>
      <c r="AC243" s="912"/>
      <c r="AD243" s="912"/>
      <c r="AE243" s="912"/>
      <c r="AF243" s="912"/>
      <c r="AG243" s="912"/>
      <c r="AH243" s="912"/>
      <c r="AI243" s="912"/>
      <c r="AJ243" s="912"/>
      <c r="AK243" s="912"/>
      <c r="AL243" s="912"/>
      <c r="AM243" s="915"/>
      <c r="AN243" s="915"/>
    </row>
    <row r="244" spans="3:40" ht="14.1">
      <c r="C244" s="57"/>
      <c r="D244" s="175" t="s">
        <v>281</v>
      </c>
      <c r="E244" s="180">
        <f>'BOD-Cold &amp; Amb.'!AN270</f>
        <v>1120</v>
      </c>
      <c r="F244" s="176" t="s">
        <v>282</v>
      </c>
      <c r="G244" s="180">
        <f>'BOD-Cold &amp; Amb.'!AM270</f>
        <v>150</v>
      </c>
      <c r="H244" s="176" t="s">
        <v>283</v>
      </c>
      <c r="I244" s="181">
        <f>'BOD-Cold &amp; Amb.'!AO270</f>
        <v>60</v>
      </c>
      <c r="J244" s="902"/>
      <c r="K244" s="902"/>
      <c r="L244" s="902"/>
      <c r="M244" s="902"/>
      <c r="N244" s="902"/>
      <c r="O244" s="902"/>
      <c r="P244" s="902"/>
      <c r="Q244" s="913"/>
      <c r="R244" s="913"/>
      <c r="S244" s="913"/>
      <c r="T244" s="913"/>
      <c r="U244" s="912"/>
      <c r="V244" s="912"/>
      <c r="W244" s="913"/>
      <c r="X244" s="912"/>
      <c r="Y244" s="912"/>
      <c r="Z244" s="912"/>
      <c r="AA244" s="912"/>
      <c r="AB244" s="912"/>
      <c r="AC244" s="912"/>
      <c r="AD244" s="912"/>
      <c r="AE244" s="912"/>
      <c r="AF244" s="912"/>
      <c r="AG244" s="912"/>
      <c r="AH244" s="912"/>
      <c r="AI244" s="912"/>
      <c r="AJ244" s="912"/>
      <c r="AK244" s="912"/>
      <c r="AL244" s="912"/>
      <c r="AM244" s="915"/>
      <c r="AN244" s="915"/>
    </row>
    <row r="245" spans="3:40" ht="21.6" customHeight="1">
      <c r="C245" s="57"/>
      <c r="D245" s="175" t="s">
        <v>284</v>
      </c>
      <c r="E245" s="180">
        <f>'BOD-Cold &amp; Amb.'!AP270</f>
        <v>4</v>
      </c>
      <c r="F245" s="832" t="s">
        <v>285</v>
      </c>
      <c r="G245" s="837" t="str">
        <f>IF(OR(I242=0, E245="Amb"), "Amb",IF('BOD-Cold &amp; Amb.'!AH205="C", "Header",IF('BOD-Cold &amp; Amb.'!AH205="D", "Distributor", "Refer")))</f>
        <v>Header</v>
      </c>
      <c r="H245" s="832" t="s">
        <v>286</v>
      </c>
      <c r="I245" s="833" t="str">
        <f>IF(OR(I242=0, E245=0), 0,ROUND(((( I242/E245)*304.8)/(E243-400))*1000,0)&amp;" h "&amp;" x " &amp; (E243-400)&amp;" w ")</f>
        <v xml:space="preserve">2297 h  x 3600 w </v>
      </c>
      <c r="J245" s="902"/>
      <c r="K245" s="902"/>
      <c r="L245" s="902"/>
      <c r="M245" s="902"/>
      <c r="N245" s="902"/>
      <c r="O245" s="902"/>
      <c r="P245" s="902"/>
      <c r="Q245" s="913"/>
      <c r="R245" s="913"/>
      <c r="S245" s="913"/>
      <c r="T245" s="913"/>
      <c r="U245" s="912"/>
      <c r="V245" s="912"/>
      <c r="W245" s="913"/>
      <c r="X245" s="912"/>
      <c r="Y245" s="912"/>
      <c r="Z245" s="912"/>
      <c r="AA245" s="912"/>
      <c r="AB245" s="912"/>
      <c r="AC245" s="912"/>
      <c r="AD245" s="912"/>
      <c r="AE245" s="912"/>
      <c r="AF245" s="912"/>
      <c r="AG245" s="912"/>
      <c r="AH245" s="912"/>
      <c r="AI245" s="912"/>
      <c r="AJ245" s="912"/>
      <c r="AK245" s="912"/>
      <c r="AL245" s="912"/>
      <c r="AM245" s="915"/>
      <c r="AN245" s="915"/>
    </row>
    <row r="246" spans="3:40" ht="21">
      <c r="C246" s="57"/>
      <c r="D246" s="175" t="s">
        <v>287</v>
      </c>
      <c r="E246" s="180">
        <f>'BOD-Cold &amp; Amb.'!AR270</f>
        <v>3</v>
      </c>
      <c r="F246" s="176" t="s">
        <v>288</v>
      </c>
      <c r="G246" s="177" t="str">
        <f>IF(E246=4,"10µ, 5µ, 1µ &amp; 0.3µ (HEPA Plenum Fitted 95% eff.)",IF(E246=3,"10µ, 5µ &amp; 1µ ",IF(E246=2,"10µ  &amp; 5µ",IF(E246=1,"10µ", "Filter Ratings"))))</f>
        <v xml:space="preserve">10µ, 5µ &amp; 1µ </v>
      </c>
      <c r="H246" s="178"/>
      <c r="I246" s="179"/>
      <c r="J246" s="902"/>
      <c r="K246" s="902"/>
      <c r="L246" s="902"/>
      <c r="M246" s="902"/>
      <c r="N246" s="902"/>
      <c r="O246" s="902"/>
      <c r="P246" s="902"/>
      <c r="Q246" s="913"/>
      <c r="R246" s="913"/>
      <c r="S246" s="913"/>
      <c r="T246" s="913"/>
      <c r="U246" s="912"/>
      <c r="V246" s="912"/>
      <c r="W246" s="913"/>
      <c r="X246" s="912"/>
      <c r="Y246" s="912"/>
      <c r="Z246" s="912"/>
      <c r="AA246" s="912"/>
      <c r="AB246" s="912"/>
      <c r="AC246" s="912"/>
      <c r="AD246" s="912"/>
      <c r="AE246" s="912"/>
      <c r="AF246" s="912"/>
      <c r="AG246" s="912"/>
      <c r="AH246" s="912"/>
      <c r="AI246" s="912"/>
      <c r="AJ246" s="912"/>
      <c r="AK246" s="912"/>
      <c r="AL246" s="912"/>
      <c r="AM246" s="915"/>
      <c r="AN246" s="915"/>
    </row>
    <row r="247" spans="3:40">
      <c r="C247" s="57"/>
      <c r="D247" s="922" t="s">
        <v>289</v>
      </c>
      <c r="E247" s="923"/>
      <c r="F247" s="923"/>
      <c r="G247" s="923"/>
      <c r="H247" s="923"/>
      <c r="I247" s="924"/>
      <c r="J247" s="902"/>
      <c r="K247" s="902"/>
      <c r="L247" s="902"/>
      <c r="M247" s="902"/>
      <c r="N247" s="902"/>
      <c r="O247" s="902"/>
      <c r="P247" s="902"/>
      <c r="Q247" s="913"/>
      <c r="R247" s="913"/>
      <c r="S247" s="913"/>
      <c r="T247" s="913"/>
      <c r="U247" s="912"/>
      <c r="V247" s="912"/>
      <c r="W247" s="913"/>
      <c r="X247" s="912"/>
      <c r="Y247" s="912"/>
      <c r="Z247" s="912"/>
      <c r="AA247" s="912"/>
      <c r="AB247" s="912"/>
      <c r="AC247" s="912"/>
      <c r="AD247" s="912"/>
      <c r="AE247" s="912"/>
      <c r="AF247" s="912"/>
      <c r="AG247" s="912"/>
      <c r="AH247" s="912"/>
      <c r="AI247" s="912"/>
      <c r="AJ247" s="912"/>
      <c r="AK247" s="912"/>
      <c r="AL247" s="912"/>
      <c r="AM247" s="915"/>
      <c r="AN247" s="915"/>
    </row>
    <row r="248" spans="3:40" ht="24.95">
      <c r="C248" s="57"/>
      <c r="D248" s="58" t="s">
        <v>290</v>
      </c>
      <c r="E248" s="58" t="s">
        <v>291</v>
      </c>
      <c r="F248" s="58" t="s">
        <v>292</v>
      </c>
      <c r="G248" s="58" t="s">
        <v>293</v>
      </c>
      <c r="H248" s="58" t="s">
        <v>294</v>
      </c>
      <c r="I248" s="179"/>
      <c r="J248" s="902"/>
      <c r="K248" s="902"/>
      <c r="L248" s="902"/>
      <c r="M248" s="902"/>
      <c r="N248" s="902"/>
      <c r="O248" s="902"/>
      <c r="P248" s="902"/>
      <c r="Q248" s="913"/>
      <c r="R248" s="913"/>
      <c r="S248" s="913"/>
      <c r="T248" s="913"/>
      <c r="U248" s="912"/>
      <c r="V248" s="912"/>
      <c r="W248" s="913"/>
      <c r="X248" s="912"/>
      <c r="Y248" s="912"/>
      <c r="Z248" s="912"/>
      <c r="AA248" s="912"/>
      <c r="AB248" s="912"/>
      <c r="AC248" s="912"/>
      <c r="AD248" s="912"/>
      <c r="AE248" s="912"/>
      <c r="AF248" s="912"/>
      <c r="AG248" s="912"/>
      <c r="AH248" s="912"/>
      <c r="AI248" s="912"/>
      <c r="AJ248" s="912"/>
      <c r="AK248" s="912"/>
      <c r="AL248" s="912"/>
      <c r="AM248" s="915"/>
      <c r="AN248" s="915"/>
    </row>
    <row r="249" spans="3:40" ht="14.1">
      <c r="C249" s="57"/>
      <c r="D249" s="58"/>
      <c r="E249" s="58">
        <f>IF(E243=950,2,(IF(E243=1150,3,(IF(E243=1550,4,(IF(E243=1750,5,(IF(E243=2050,6,(IF(E243=2900,8,(IF(E243=3600,10,IF(E243=4000,12,0))))))))))))))</f>
        <v>12</v>
      </c>
      <c r="F249" s="58">
        <f>IF(G243=950,2,(IF(G243=1150,3,(IF(G243=1550,4,(IF(G243=1750,5,(IF(G243=2050,6,(IF(G243=2900,8,(IF(G243=3600,10,IF(E243=4000,12,0))))))))))))))</f>
        <v>10</v>
      </c>
      <c r="G249" s="58"/>
      <c r="H249" s="60"/>
      <c r="I249" s="834"/>
      <c r="J249" s="902"/>
      <c r="K249" s="902"/>
      <c r="L249" s="902"/>
      <c r="M249" s="902"/>
      <c r="N249" s="902"/>
      <c r="O249" s="902"/>
      <c r="P249" s="902"/>
      <c r="Q249" s="913"/>
      <c r="R249" s="913"/>
      <c r="S249" s="913"/>
      <c r="T249" s="913"/>
      <c r="U249" s="912"/>
      <c r="V249" s="912"/>
      <c r="W249" s="913"/>
      <c r="X249" s="912"/>
      <c r="Y249" s="912"/>
      <c r="Z249" s="912"/>
      <c r="AA249" s="912"/>
      <c r="AB249" s="912"/>
      <c r="AC249" s="912"/>
      <c r="AD249" s="912"/>
      <c r="AE249" s="912"/>
      <c r="AF249" s="912"/>
      <c r="AG249" s="912"/>
      <c r="AH249" s="912"/>
      <c r="AI249" s="912"/>
      <c r="AJ249" s="912"/>
      <c r="AK249" s="912"/>
      <c r="AL249" s="912"/>
      <c r="AM249" s="915"/>
      <c r="AN249" s="915"/>
    </row>
    <row r="250" spans="3:40" ht="14.1">
      <c r="C250" s="57"/>
      <c r="D250" s="58">
        <f>IF(AND(I242=0, OR(E246=1, E246=2, E246=3, E246=4, E246=5)), "20µ", 0)</f>
        <v>0</v>
      </c>
      <c r="E250" s="58">
        <f>IF(OR(D250=0),0,IF(MOD($E$42*$F$42,2)=0,"610",IF(MOD($E$42*$F$42,2.5)=0,"760",IF(MOD($E$42*$F$42,3)=0,"915","Refer"))))</f>
        <v>0</v>
      </c>
      <c r="F250" s="58">
        <f>IF(OR(D250=0),0,IF(MOD($E$42*$F$42,6)=0,"915",IF(MOD($E$42*$F$42,5)=0,"760",IF(MOD($E$42*$F$42,4)=0,"610","Refer"))))</f>
        <v>0</v>
      </c>
      <c r="G250" s="58">
        <f>IF(D250=0,0,100)</f>
        <v>0</v>
      </c>
      <c r="H250" s="60">
        <f>IF(D250=0,0,($E$42*$F$42*305*305)/(E250*F250))</f>
        <v>0</v>
      </c>
      <c r="I250" s="834"/>
      <c r="J250" s="902"/>
      <c r="K250" s="902"/>
      <c r="L250" s="902"/>
      <c r="M250" s="902"/>
      <c r="N250" s="902"/>
      <c r="O250" s="902"/>
      <c r="P250" s="902"/>
      <c r="Q250" s="55"/>
      <c r="R250" s="55"/>
      <c r="S250" s="55"/>
      <c r="T250" s="55"/>
      <c r="U250" s="45"/>
      <c r="V250" s="45"/>
      <c r="W250" s="55"/>
      <c r="X250" s="45"/>
      <c r="Y250" s="45"/>
      <c r="Z250" s="45"/>
      <c r="AA250" s="45"/>
      <c r="AB250" s="45"/>
      <c r="AC250" s="45"/>
      <c r="AD250" s="45"/>
      <c r="AE250" s="45"/>
      <c r="AF250" s="45"/>
      <c r="AG250" s="45"/>
      <c r="AH250" s="45"/>
      <c r="AI250" s="45"/>
      <c r="AJ250" s="45"/>
      <c r="AK250" s="45"/>
      <c r="AL250" s="45"/>
      <c r="AM250" s="63"/>
      <c r="AN250" s="63"/>
    </row>
    <row r="251" spans="3:40" ht="14.1">
      <c r="C251" s="57"/>
      <c r="D251" s="58" t="str">
        <f>IF(E246=4,"10µ",IF(E246=3,"10µ",IF(E246=2,"10µ",IF(E246=1,"10µ",0))))</f>
        <v>10µ</v>
      </c>
      <c r="E251" s="58" t="str">
        <f>IF(OR(D251=0),0,IF(MOD($E$42*$F$42,2)=0,"610",IF(MOD($E$42*$F$42,2.5)=0,"760",IF(MOD($E$42*$F$42,3)=0,"915","Refer"))))</f>
        <v>610</v>
      </c>
      <c r="F251" s="58" t="str">
        <f>IF(OR(D251=0),0,IF(MOD($E$42*$F$42,6)=0,"915",IF(MOD($E$42*$F$42,5)=0,"760",IF(MOD($E$42*$F$42,4)=0,"610","Refer"))))</f>
        <v>915</v>
      </c>
      <c r="G251" s="58">
        <f>IF(D251=0,0,150)</f>
        <v>150</v>
      </c>
      <c r="H251" s="60">
        <f>IF(D251=0,0,($E$42*$F$42*305*305)/(E251*F251))</f>
        <v>6</v>
      </c>
      <c r="I251" s="834"/>
      <c r="J251" s="902"/>
      <c r="K251" s="902"/>
      <c r="L251" s="902"/>
      <c r="M251" s="902"/>
      <c r="N251" s="902"/>
      <c r="O251" s="902"/>
      <c r="P251" s="902"/>
      <c r="Q251" s="913"/>
      <c r="R251" s="913"/>
      <c r="S251" s="913"/>
      <c r="T251" s="913"/>
      <c r="U251" s="912"/>
      <c r="V251" s="912"/>
      <c r="W251" s="913"/>
      <c r="X251" s="912"/>
      <c r="Y251" s="912"/>
      <c r="Z251" s="912"/>
      <c r="AA251" s="912"/>
      <c r="AB251" s="912"/>
      <c r="AC251" s="912"/>
      <c r="AD251" s="912"/>
      <c r="AE251" s="912"/>
      <c r="AF251" s="912"/>
      <c r="AG251" s="912"/>
      <c r="AH251" s="912"/>
      <c r="AI251" s="912"/>
      <c r="AJ251" s="912"/>
      <c r="AK251" s="912"/>
      <c r="AL251" s="912"/>
      <c r="AM251" s="915"/>
      <c r="AN251" s="915"/>
    </row>
    <row r="252" spans="3:40" ht="14.1">
      <c r="C252" s="57"/>
      <c r="D252" s="58" t="str">
        <f>IF(E246=4,"5µ",IF(E246=3,"5µ",IF(E246=2,"5µ",0)))</f>
        <v>5µ</v>
      </c>
      <c r="E252" s="58" t="str">
        <f t="shared" ref="E252:E254" si="150">IF(OR(D252=0),0,IF(MOD($E$42*$F$42,2)=0,"610",IF(MOD($E$42*$F$42,2.5)=0,"760",IF(MOD($E$42*$F$42,3)=0,"915","Refer"))))</f>
        <v>610</v>
      </c>
      <c r="F252" s="58" t="str">
        <f>IF(OR(D252=0),0,IF(MOD($E$42*$F$42,6)=0,"915",IF(MOD($E$42*$F$42,5)=0,"760",IF(MOD($E$42*$F$42,4)=0,"610","Refer"))))</f>
        <v>915</v>
      </c>
      <c r="G252" s="58">
        <f>IF(D252=0,0,300)</f>
        <v>300</v>
      </c>
      <c r="H252" s="60">
        <f>IF(D252=0,0,($E$42*$F$42*305*305)/(E252*F252))</f>
        <v>6</v>
      </c>
      <c r="I252" s="834"/>
      <c r="J252" s="902"/>
      <c r="K252" s="902"/>
      <c r="L252" s="902"/>
      <c r="M252" s="902"/>
      <c r="N252" s="902"/>
      <c r="O252" s="902"/>
      <c r="P252" s="902"/>
      <c r="Q252" s="913"/>
      <c r="R252" s="913"/>
      <c r="S252" s="913"/>
      <c r="T252" s="913"/>
      <c r="U252" s="912"/>
      <c r="V252" s="912"/>
      <c r="W252" s="913"/>
      <c r="X252" s="912"/>
      <c r="Y252" s="912"/>
      <c r="Z252" s="912"/>
      <c r="AA252" s="912"/>
      <c r="AB252" s="912"/>
      <c r="AC252" s="912"/>
      <c r="AD252" s="912"/>
      <c r="AE252" s="912"/>
      <c r="AF252" s="912"/>
      <c r="AG252" s="912"/>
      <c r="AH252" s="912"/>
      <c r="AI252" s="912"/>
      <c r="AJ252" s="912"/>
      <c r="AK252" s="912"/>
      <c r="AL252" s="912"/>
      <c r="AM252" s="915"/>
      <c r="AN252" s="915"/>
    </row>
    <row r="253" spans="3:40" ht="14.1">
      <c r="C253" s="57"/>
      <c r="D253" s="58" t="str">
        <f>IF(E246=4,"1µ",IF(E246=3,"1µ",0))</f>
        <v>1µ</v>
      </c>
      <c r="E253" s="58" t="str">
        <f t="shared" si="150"/>
        <v>610</v>
      </c>
      <c r="F253" s="58" t="str">
        <f>IF(OR(D253=0),0,IF(MOD($E$42*$F$42,6)=0,"915",IF(MOD($E$42*$F$42,5)=0,"760",IF(MOD($E$42*$F$42,4)=0,"610","Refer"))))</f>
        <v>915</v>
      </c>
      <c r="G253" s="58">
        <f>IF(D253=0,0,300)</f>
        <v>300</v>
      </c>
      <c r="H253" s="60">
        <f>IF(D253=0,0,($E$42*$F$42*305*305)/(E253*F253))</f>
        <v>6</v>
      </c>
      <c r="I253" s="834"/>
      <c r="J253" s="902"/>
      <c r="K253" s="902"/>
      <c r="L253" s="902"/>
      <c r="M253" s="902"/>
      <c r="N253" s="902"/>
      <c r="O253" s="902"/>
      <c r="P253" s="902"/>
      <c r="Q253" s="913"/>
      <c r="R253" s="913"/>
      <c r="S253" s="913"/>
      <c r="T253" s="913"/>
      <c r="U253" s="912"/>
      <c r="V253" s="912"/>
      <c r="W253" s="913"/>
      <c r="X253" s="912"/>
      <c r="Y253" s="912"/>
      <c r="Z253" s="912"/>
      <c r="AA253" s="912"/>
      <c r="AB253" s="912"/>
      <c r="AC253" s="912"/>
      <c r="AD253" s="912"/>
      <c r="AE253" s="912"/>
      <c r="AF253" s="912"/>
      <c r="AG253" s="912"/>
      <c r="AH253" s="912"/>
      <c r="AI253" s="912"/>
      <c r="AJ253" s="912"/>
      <c r="AK253" s="912"/>
      <c r="AL253" s="912"/>
      <c r="AM253" s="915"/>
      <c r="AN253" s="915"/>
    </row>
    <row r="254" spans="3:40" ht="14.1">
      <c r="C254" s="57"/>
      <c r="D254" s="58">
        <f>IF(E246=4,"0.3µ 95% Eff. HEPA Filetr",0)</f>
        <v>0</v>
      </c>
      <c r="E254" s="58">
        <f t="shared" si="150"/>
        <v>0</v>
      </c>
      <c r="F254" s="58">
        <f>IF(OR(D254=0),0,IF(MOD($E$42*$F$42,6)=0,"915",IF(MOD($E$42*$F$42,5)=0,"760",IF(MOD($E$42*$F$42,4)=0,"610","Refer"))))</f>
        <v>0</v>
      </c>
      <c r="G254" s="58">
        <f>IF(D254=0,0,300)</f>
        <v>0</v>
      </c>
      <c r="H254" s="60">
        <f>IF(D254=0,0,($E$42*$F$42*305*305)/(E254*F254))</f>
        <v>0</v>
      </c>
      <c r="I254" s="836"/>
      <c r="J254" s="902"/>
      <c r="K254" s="902"/>
      <c r="L254" s="902"/>
      <c r="M254" s="902"/>
      <c r="N254" s="902"/>
      <c r="O254" s="902"/>
      <c r="P254" s="902"/>
      <c r="Q254" s="913"/>
      <c r="R254" s="913"/>
      <c r="S254" s="913"/>
      <c r="T254" s="913"/>
      <c r="U254" s="912"/>
      <c r="V254" s="912"/>
      <c r="W254" s="913"/>
      <c r="X254" s="912"/>
      <c r="Y254" s="912"/>
      <c r="Z254" s="912"/>
      <c r="AA254" s="912"/>
      <c r="AB254" s="912"/>
      <c r="AC254" s="912"/>
      <c r="AD254" s="912"/>
      <c r="AE254" s="912"/>
      <c r="AF254" s="912"/>
      <c r="AG254" s="912"/>
      <c r="AH254" s="912"/>
      <c r="AI254" s="912"/>
      <c r="AJ254" s="912"/>
      <c r="AK254" s="912"/>
      <c r="AL254" s="912"/>
      <c r="AM254" s="915"/>
      <c r="AN254" s="915"/>
    </row>
    <row r="255" spans="3:40" ht="14.1">
      <c r="C255" s="57"/>
      <c r="D255" s="826"/>
      <c r="E255" s="182"/>
      <c r="F255" s="182"/>
      <c r="G255" s="182"/>
      <c r="H255" s="182"/>
      <c r="I255" s="827"/>
      <c r="J255" s="52"/>
      <c r="K255" s="52"/>
      <c r="L255" s="52"/>
      <c r="M255" s="52"/>
      <c r="N255" s="52"/>
      <c r="O255" s="828"/>
      <c r="P255" s="828"/>
      <c r="Q255" s="55"/>
      <c r="R255" s="55"/>
      <c r="S255" s="55"/>
      <c r="T255" s="55"/>
      <c r="U255" s="45"/>
      <c r="V255" s="45"/>
      <c r="W255" s="55"/>
      <c r="X255" s="45"/>
      <c r="Y255" s="45"/>
      <c r="Z255" s="45"/>
      <c r="AA255" s="45"/>
      <c r="AB255" s="45"/>
      <c r="AC255" s="45"/>
      <c r="AD255" s="45"/>
      <c r="AE255" s="45"/>
      <c r="AF255" s="45"/>
      <c r="AG255" s="45"/>
      <c r="AH255" s="45"/>
      <c r="AI255" s="45"/>
      <c r="AJ255" s="45"/>
      <c r="AK255" s="45"/>
      <c r="AL255" s="45"/>
      <c r="AM255" s="63"/>
      <c r="AN255" s="63"/>
    </row>
    <row r="256" spans="3:40" ht="14.1" customHeight="1">
      <c r="C256" s="57"/>
      <c r="D256" s="901" t="str">
        <f>"AHU - " &amp; INT((ROW()-34)/15)+1 &amp; "  " &amp; IF(I257&gt;0,"Air-Conditioning System " &amp; IF(OR(G260="Header", G260="C"), "(Chilled Water)",IF(OR(G260="Distributor", G260="D"), "(DX)", "Ventilation System")),IF(NOT(I257&gt;0), "Ventilation System ( SUPPLY )", "Refer"))</f>
        <v>AHU - 15  Air-Conditioning System (Chilled Water)</v>
      </c>
      <c r="E256" s="901"/>
      <c r="F256" s="901"/>
      <c r="G256" s="901"/>
      <c r="H256" s="901"/>
      <c r="I256" s="901"/>
      <c r="J256" s="52"/>
      <c r="K256" s="52"/>
      <c r="L256" s="53"/>
      <c r="M256" s="53"/>
      <c r="N256" s="53"/>
      <c r="O256" s="54"/>
      <c r="P256" s="55"/>
      <c r="AM256" s="56"/>
      <c r="AN256" s="56"/>
    </row>
    <row r="257" spans="3:40" ht="14.1">
      <c r="C257" s="57"/>
      <c r="D257" s="175" t="s">
        <v>274</v>
      </c>
      <c r="E257" s="180" t="str">
        <f>'BOD-Cold &amp; Amb.'!R290</f>
        <v>ISO 6</v>
      </c>
      <c r="F257" s="175" t="s">
        <v>275</v>
      </c>
      <c r="G257" s="180">
        <f>'BOD-Cold &amp; Amb.'!AK290</f>
        <v>42500</v>
      </c>
      <c r="H257" s="175" t="s">
        <v>276</v>
      </c>
      <c r="I257" s="181">
        <f>'BOD-Cold &amp; Amb.'!AQ290</f>
        <v>108.5</v>
      </c>
      <c r="J257" s="902" t="s">
        <v>277</v>
      </c>
      <c r="K257" s="902">
        <v>1</v>
      </c>
      <c r="L257" s="917">
        <f>Q257</f>
        <v>2070750</v>
      </c>
      <c r="M257" s="902">
        <f>K257*L257</f>
        <v>2070750</v>
      </c>
      <c r="N257" s="902"/>
      <c r="O257" s="902"/>
      <c r="P257" s="902"/>
      <c r="Q257" s="913">
        <f t="shared" ref="Q257" si="151">CEILING((S257+T257+U257+V257+W257),250)</f>
        <v>2070750</v>
      </c>
      <c r="R257" s="913">
        <f>IF(I257&gt;0,625,375)</f>
        <v>625</v>
      </c>
      <c r="S257" s="913">
        <f>(E258*G258*3*10.76+E258*I258*2*10.76+G258*I258*2*10.76)*R257/(1000*1000)</f>
        <v>883396</v>
      </c>
      <c r="T257" s="913">
        <f>I257*4*1050</f>
        <v>455700</v>
      </c>
      <c r="U257" s="912">
        <f>IF(G257&lt;=2000,5000,(IF(G257&lt;=5000,8000,(IF(G257&lt;=10000,10000,(IF(G257&lt;=18000,15000,(IF(G257&lt;=40000,20000,25000)))))))))</f>
        <v>25000</v>
      </c>
      <c r="V257" s="912">
        <f t="shared" ref="V257" si="152">IF(X257=200,17150,(IF(X257=225,18150,(IF(X257=250,18900,(IF(X257=280,19150,(IF(X257=315,19650,(IF(X257=355,21900,(IF(X257=400,24400,0)))))))))))))+IF(X257=450,31000,(IF(X257=500,37450,(IF(X257=560,45650,(IF(X257=630,58900,(IF(X257=710,77950,0)))))))))+IF(X257=800,119650,(IF(X257=900,153300,(IF(X257=1000,178900,(IF(X257=1120,286500,(IF(X257=1250,394500,(IF(X257=1450,461500,0)))))))))))</f>
        <v>286500</v>
      </c>
      <c r="W257" s="913">
        <f>IF(I259=0.5,16600,(IF(I259=1,19050,(IF(I259=1.5,21750,(IF(I259=2,23600,(IF(I259=3,30000,(IF(I259=5,38000,0)))))))))))*1.2+IF(I259=7.5,52300,(IF(I259=10,59600,0)))*1.2+IF(I259=12.5,100350,(IF(I259=15,106000,(IF(I259=20,129150,(IF(I259=25,146050,(IF(I259=30,173600,(IF(I259=40,233900,(IF(I259=50,304650,IF(I259=60,350000,400000)))))))))))))*1.2)</f>
        <v>420000</v>
      </c>
      <c r="X257" s="912">
        <f>E259</f>
        <v>1120</v>
      </c>
      <c r="Y257" s="912">
        <f t="shared" ref="Y257" si="153">IF(G257&lt;=6750,450,(IF(G257&lt;=8500,500,(IF(G257&lt;=10750,560,(IF(G257&lt;=13500,630,(IF(G257&lt;=17000,710,(IF(G257&lt;=21500,800,(IF(G257&lt;=27000,900,(IF(G257&lt;=34000,1000,0)))))))))))))))</f>
        <v>0</v>
      </c>
      <c r="Z257" s="912">
        <f t="shared" ref="Z257" si="154">IF(G257&lt;=1300,200,(IF(G257&lt;=1600,225,(IF(G257&lt;=2100,250,(IF(G257&lt;=2700,280,(IF(G257&lt;=3450,315,(IF(G257&lt;=4250,355,(IF(G257&lt;=5250,400,(IF(G257&lt;=6750,450,0)))))))))))))))</f>
        <v>0</v>
      </c>
      <c r="AA257" s="912">
        <f t="shared" ref="AA257" si="155">IF(G257&lt;=2000,5000,(IF(G257&lt;=5000,8000,(IF(G257&lt;=10000,10000,(IF(G257&lt;=18000,15000,(IF(G257&lt;=40000,20000,10000)))))))))</f>
        <v>10000</v>
      </c>
      <c r="AB257" s="912">
        <f>IF(E258=950,2,(IF(E258=1150,3,(IF(E258=1550,4,(IF(E258=1750,5,(IF(E258=2050,6,(IF(E258=2900,8,(IF(E258=3600,10,12)))))))))))))</f>
        <v>12</v>
      </c>
      <c r="AC257" s="912">
        <f>IF(G258=950,2,(IF(G258=1150,3,(IF(G258=1550,4,(IF(G258=1750,5,(IF(G258=2050,6,(IF(G258=2900,8,(IF(G258=3600,10,12)))))))))))))</f>
        <v>10</v>
      </c>
      <c r="AD257" s="912">
        <f t="shared" ref="AD257" si="156">AC257*AB257</f>
        <v>120</v>
      </c>
      <c r="AE257" s="912">
        <v>150</v>
      </c>
      <c r="AF257" s="912">
        <f t="shared" ref="AF257" si="157">CEILING((SQRT(G257/1000))*4*2*AE257*1.25*K257,100)</f>
        <v>9800</v>
      </c>
      <c r="AG257" s="912">
        <f>E265*F265*H265/(305*305)</f>
        <v>0</v>
      </c>
      <c r="AH257" s="912">
        <f>E266*F266*H266/(305*305)</f>
        <v>36</v>
      </c>
      <c r="AI257" s="912">
        <f>H267*E267*F267/(305*305)</f>
        <v>36</v>
      </c>
      <c r="AJ257" s="912">
        <f>H268*E268*F268/(305*305)</f>
        <v>36</v>
      </c>
      <c r="AK257" s="912">
        <f>H269*E269*F269/(305*305)</f>
        <v>0</v>
      </c>
      <c r="AL257" s="912"/>
      <c r="AM257" s="915">
        <f t="shared" ref="AM257" si="158">(G257*2.2/1100)</f>
        <v>85.000000000000014</v>
      </c>
      <c r="AN257" s="915">
        <f t="shared" ref="AN257" si="159">(G257*1/1100)</f>
        <v>38.636363636363633</v>
      </c>
    </row>
    <row r="258" spans="3:40" ht="14.1">
      <c r="C258" s="57"/>
      <c r="D258" s="175" t="s">
        <v>278</v>
      </c>
      <c r="E258" s="180">
        <f>'BOD-Cold &amp; Amb.'!AL291</f>
        <v>4000</v>
      </c>
      <c r="F258" s="175" t="s">
        <v>279</v>
      </c>
      <c r="G258" s="180">
        <f>'BOD-Cold &amp; Amb.'!AL293</f>
        <v>3600</v>
      </c>
      <c r="H258" s="175" t="s">
        <v>280</v>
      </c>
      <c r="I258" s="181">
        <f>'BOD-Cold &amp; Amb.'!AL295</f>
        <v>5800</v>
      </c>
      <c r="J258" s="902"/>
      <c r="K258" s="902"/>
      <c r="L258" s="902"/>
      <c r="M258" s="902"/>
      <c r="N258" s="902"/>
      <c r="O258" s="902"/>
      <c r="P258" s="902"/>
      <c r="Q258" s="913"/>
      <c r="R258" s="913"/>
      <c r="S258" s="913"/>
      <c r="T258" s="913"/>
      <c r="U258" s="912"/>
      <c r="V258" s="912"/>
      <c r="W258" s="913"/>
      <c r="X258" s="912"/>
      <c r="Y258" s="912"/>
      <c r="Z258" s="912"/>
      <c r="AA258" s="912"/>
      <c r="AB258" s="912"/>
      <c r="AC258" s="912"/>
      <c r="AD258" s="912"/>
      <c r="AE258" s="912"/>
      <c r="AF258" s="912"/>
      <c r="AG258" s="912"/>
      <c r="AH258" s="912"/>
      <c r="AI258" s="912"/>
      <c r="AJ258" s="912"/>
      <c r="AK258" s="912"/>
      <c r="AL258" s="912"/>
      <c r="AM258" s="915"/>
      <c r="AN258" s="915"/>
    </row>
    <row r="259" spans="3:40" ht="14.1">
      <c r="C259" s="57"/>
      <c r="D259" s="175" t="s">
        <v>281</v>
      </c>
      <c r="E259" s="180">
        <f>'BOD-Cold &amp; Amb.'!AN290</f>
        <v>1120</v>
      </c>
      <c r="F259" s="176" t="s">
        <v>282</v>
      </c>
      <c r="G259" s="180">
        <f>'BOD-Cold &amp; Amb.'!AM290</f>
        <v>150</v>
      </c>
      <c r="H259" s="176" t="s">
        <v>283</v>
      </c>
      <c r="I259" s="181">
        <f>'BOD-Cold &amp; Amb.'!AO290</f>
        <v>60</v>
      </c>
      <c r="J259" s="902"/>
      <c r="K259" s="902"/>
      <c r="L259" s="902"/>
      <c r="M259" s="902"/>
      <c r="N259" s="902"/>
      <c r="O259" s="902"/>
      <c r="P259" s="902"/>
      <c r="Q259" s="913"/>
      <c r="R259" s="913"/>
      <c r="S259" s="913"/>
      <c r="T259" s="913"/>
      <c r="U259" s="912"/>
      <c r="V259" s="912"/>
      <c r="W259" s="913"/>
      <c r="X259" s="912"/>
      <c r="Y259" s="912"/>
      <c r="Z259" s="912"/>
      <c r="AA259" s="912"/>
      <c r="AB259" s="912"/>
      <c r="AC259" s="912"/>
      <c r="AD259" s="912"/>
      <c r="AE259" s="912"/>
      <c r="AF259" s="912"/>
      <c r="AG259" s="912"/>
      <c r="AH259" s="912"/>
      <c r="AI259" s="912"/>
      <c r="AJ259" s="912"/>
      <c r="AK259" s="912"/>
      <c r="AL259" s="912"/>
      <c r="AM259" s="915"/>
      <c r="AN259" s="915"/>
    </row>
    <row r="260" spans="3:40" ht="21.6" customHeight="1">
      <c r="C260" s="57"/>
      <c r="D260" s="175" t="s">
        <v>284</v>
      </c>
      <c r="E260" s="180">
        <f>'BOD-Cold &amp; Amb.'!AP290</f>
        <v>4</v>
      </c>
      <c r="F260" s="832" t="s">
        <v>285</v>
      </c>
      <c r="G260" s="837" t="str">
        <f>IF(OR(I257=0, E260="Amb"), "Amb",IF('BOD-Cold &amp; Amb.'!AH220="C", "Header",IF('BOD-Cold &amp; Amb.'!AH220="D", "Distributor", "Refer")))</f>
        <v>Header</v>
      </c>
      <c r="H260" s="832" t="s">
        <v>286</v>
      </c>
      <c r="I260" s="833" t="str">
        <f>IF(OR(I257=0, E260=0), 0,ROUND(((( I257/E260)*304.8)/(E258-400))*1000,0)&amp;" h "&amp;" x " &amp; (E258-400)&amp;" w ")</f>
        <v xml:space="preserve">2297 h  x 3600 w </v>
      </c>
      <c r="J260" s="902"/>
      <c r="K260" s="902"/>
      <c r="L260" s="902"/>
      <c r="M260" s="902"/>
      <c r="N260" s="902"/>
      <c r="O260" s="902"/>
      <c r="P260" s="902"/>
      <c r="Q260" s="913"/>
      <c r="R260" s="913"/>
      <c r="S260" s="913"/>
      <c r="T260" s="913"/>
      <c r="U260" s="912"/>
      <c r="V260" s="912"/>
      <c r="W260" s="913"/>
      <c r="X260" s="912"/>
      <c r="Y260" s="912"/>
      <c r="Z260" s="912"/>
      <c r="AA260" s="912"/>
      <c r="AB260" s="912"/>
      <c r="AC260" s="912"/>
      <c r="AD260" s="912"/>
      <c r="AE260" s="912"/>
      <c r="AF260" s="912"/>
      <c r="AG260" s="912"/>
      <c r="AH260" s="912"/>
      <c r="AI260" s="912"/>
      <c r="AJ260" s="912"/>
      <c r="AK260" s="912"/>
      <c r="AL260" s="912"/>
      <c r="AM260" s="915"/>
      <c r="AN260" s="915"/>
    </row>
    <row r="261" spans="3:40" ht="21">
      <c r="C261" s="57"/>
      <c r="D261" s="175" t="s">
        <v>287</v>
      </c>
      <c r="E261" s="180">
        <f>'BOD-Cold &amp; Amb.'!AR290</f>
        <v>3</v>
      </c>
      <c r="F261" s="176" t="s">
        <v>288</v>
      </c>
      <c r="G261" s="177" t="str">
        <f>IF(E261=4,"10µ, 5µ, 1µ &amp; 0.3µ (HEPA Plenum Fitted 95% eff.)",IF(E261=3,"10µ, 5µ &amp; 1µ ",IF(E261=2,"10µ  &amp; 5µ",IF(E261=1,"10µ", "Filter Ratings"))))</f>
        <v xml:space="preserve">10µ, 5µ &amp; 1µ </v>
      </c>
      <c r="H261" s="178"/>
      <c r="I261" s="179"/>
      <c r="J261" s="902"/>
      <c r="K261" s="902"/>
      <c r="L261" s="902"/>
      <c r="M261" s="902"/>
      <c r="N261" s="902"/>
      <c r="O261" s="902"/>
      <c r="P261" s="902"/>
      <c r="Q261" s="913"/>
      <c r="R261" s="913"/>
      <c r="S261" s="913"/>
      <c r="T261" s="913"/>
      <c r="U261" s="912"/>
      <c r="V261" s="912"/>
      <c r="W261" s="913"/>
      <c r="X261" s="912"/>
      <c r="Y261" s="912"/>
      <c r="Z261" s="912"/>
      <c r="AA261" s="912"/>
      <c r="AB261" s="912"/>
      <c r="AC261" s="912"/>
      <c r="AD261" s="912"/>
      <c r="AE261" s="912"/>
      <c r="AF261" s="912"/>
      <c r="AG261" s="912"/>
      <c r="AH261" s="912"/>
      <c r="AI261" s="912"/>
      <c r="AJ261" s="912"/>
      <c r="AK261" s="912"/>
      <c r="AL261" s="912"/>
      <c r="AM261" s="915"/>
      <c r="AN261" s="915"/>
    </row>
    <row r="262" spans="3:40">
      <c r="C262" s="57"/>
      <c r="D262" s="922" t="s">
        <v>289</v>
      </c>
      <c r="E262" s="923"/>
      <c r="F262" s="923"/>
      <c r="G262" s="923"/>
      <c r="H262" s="923"/>
      <c r="I262" s="924"/>
      <c r="J262" s="902"/>
      <c r="K262" s="902"/>
      <c r="L262" s="902"/>
      <c r="M262" s="902"/>
      <c r="N262" s="902"/>
      <c r="O262" s="902"/>
      <c r="P262" s="902"/>
      <c r="Q262" s="913"/>
      <c r="R262" s="913"/>
      <c r="S262" s="913"/>
      <c r="T262" s="913"/>
      <c r="U262" s="912"/>
      <c r="V262" s="912"/>
      <c r="W262" s="913"/>
      <c r="X262" s="912"/>
      <c r="Y262" s="912"/>
      <c r="Z262" s="912"/>
      <c r="AA262" s="912"/>
      <c r="AB262" s="912"/>
      <c r="AC262" s="912"/>
      <c r="AD262" s="912"/>
      <c r="AE262" s="912"/>
      <c r="AF262" s="912"/>
      <c r="AG262" s="912"/>
      <c r="AH262" s="912"/>
      <c r="AI262" s="912"/>
      <c r="AJ262" s="912"/>
      <c r="AK262" s="912"/>
      <c r="AL262" s="912"/>
      <c r="AM262" s="915"/>
      <c r="AN262" s="915"/>
    </row>
    <row r="263" spans="3:40" ht="24.95">
      <c r="C263" s="57"/>
      <c r="D263" s="58" t="s">
        <v>290</v>
      </c>
      <c r="E263" s="58" t="s">
        <v>291</v>
      </c>
      <c r="F263" s="58" t="s">
        <v>292</v>
      </c>
      <c r="G263" s="58" t="s">
        <v>293</v>
      </c>
      <c r="H263" s="58" t="s">
        <v>294</v>
      </c>
      <c r="I263" s="179"/>
      <c r="J263" s="902"/>
      <c r="K263" s="902"/>
      <c r="L263" s="902"/>
      <c r="M263" s="902"/>
      <c r="N263" s="902"/>
      <c r="O263" s="902"/>
      <c r="P263" s="902"/>
      <c r="Q263" s="913"/>
      <c r="R263" s="913"/>
      <c r="S263" s="913"/>
      <c r="T263" s="913"/>
      <c r="U263" s="912"/>
      <c r="V263" s="912"/>
      <c r="W263" s="913"/>
      <c r="X263" s="912"/>
      <c r="Y263" s="912"/>
      <c r="Z263" s="912"/>
      <c r="AA263" s="912"/>
      <c r="AB263" s="912"/>
      <c r="AC263" s="912"/>
      <c r="AD263" s="912"/>
      <c r="AE263" s="912"/>
      <c r="AF263" s="912"/>
      <c r="AG263" s="912"/>
      <c r="AH263" s="912"/>
      <c r="AI263" s="912"/>
      <c r="AJ263" s="912"/>
      <c r="AK263" s="912"/>
      <c r="AL263" s="912"/>
      <c r="AM263" s="915"/>
      <c r="AN263" s="915"/>
    </row>
    <row r="264" spans="3:40" ht="14.1">
      <c r="C264" s="57"/>
      <c r="D264" s="58"/>
      <c r="E264" s="58">
        <f>IF(E258=950,2,(IF(E258=1150,3,(IF(E258=1550,4,(IF(E258=1750,5,(IF(E258=2050,6,(IF(E258=2900,8,(IF(E258=3600,10,IF(E258=4000,12,0))))))))))))))</f>
        <v>12</v>
      </c>
      <c r="F264" s="58">
        <f>IF(G258=950,2,(IF(G258=1150,3,(IF(G258=1550,4,(IF(G258=1750,5,(IF(G258=2050,6,(IF(G258=2900,8,(IF(G258=3600,10,IF(E258=4000,12,0))))))))))))))</f>
        <v>10</v>
      </c>
      <c r="G264" s="58"/>
      <c r="H264" s="60"/>
      <c r="I264" s="834"/>
      <c r="J264" s="902"/>
      <c r="K264" s="902"/>
      <c r="L264" s="902"/>
      <c r="M264" s="902"/>
      <c r="N264" s="902"/>
      <c r="O264" s="902"/>
      <c r="P264" s="902"/>
      <c r="Q264" s="913"/>
      <c r="R264" s="913"/>
      <c r="S264" s="913"/>
      <c r="T264" s="913"/>
      <c r="U264" s="912"/>
      <c r="V264" s="912"/>
      <c r="W264" s="913"/>
      <c r="X264" s="912"/>
      <c r="Y264" s="912"/>
      <c r="Z264" s="912"/>
      <c r="AA264" s="912"/>
      <c r="AB264" s="912"/>
      <c r="AC264" s="912"/>
      <c r="AD264" s="912"/>
      <c r="AE264" s="912"/>
      <c r="AF264" s="912"/>
      <c r="AG264" s="912"/>
      <c r="AH264" s="912"/>
      <c r="AI264" s="912"/>
      <c r="AJ264" s="912"/>
      <c r="AK264" s="912"/>
      <c r="AL264" s="912"/>
      <c r="AM264" s="915"/>
      <c r="AN264" s="915"/>
    </row>
    <row r="265" spans="3:40" ht="14.1">
      <c r="C265" s="57"/>
      <c r="D265" s="58">
        <f>IF(AND(I257=0, OR(E261=1, E261=2, E261=3, E261=4, E261=5)), "20µ", 0)</f>
        <v>0</v>
      </c>
      <c r="E265" s="58">
        <f>IF(OR(D265=0),0,IF(MOD($E$42*$F$42,2)=0,"610",IF(MOD($E$42*$F$42,2.5)=0,"760",IF(MOD($E$42*$F$42,3)=0,"915","Refer"))))</f>
        <v>0</v>
      </c>
      <c r="F265" s="58">
        <f>IF(OR(D265=0),0,IF(MOD($E$42*$F$42,6)=0,"915",IF(MOD($E$42*$F$42,5)=0,"760",IF(MOD($E$42*$F$42,4)=0,"610","Refer"))))</f>
        <v>0</v>
      </c>
      <c r="G265" s="58">
        <f>IF(D265=0,0,100)</f>
        <v>0</v>
      </c>
      <c r="H265" s="60">
        <f>IF(D265=0,0,($E$42*$F$42*305*305)/(E265*F265))</f>
        <v>0</v>
      </c>
      <c r="I265" s="834"/>
      <c r="J265" s="902"/>
      <c r="K265" s="902"/>
      <c r="L265" s="902"/>
      <c r="M265" s="902"/>
      <c r="N265" s="902"/>
      <c r="O265" s="902"/>
      <c r="P265" s="902"/>
      <c r="Q265" s="55"/>
      <c r="R265" s="55"/>
      <c r="S265" s="55"/>
      <c r="T265" s="55"/>
      <c r="U265" s="45"/>
      <c r="V265" s="45"/>
      <c r="W265" s="55"/>
      <c r="X265" s="45"/>
      <c r="Y265" s="45"/>
      <c r="Z265" s="45"/>
      <c r="AA265" s="45"/>
      <c r="AB265" s="45"/>
      <c r="AC265" s="45"/>
      <c r="AD265" s="45"/>
      <c r="AE265" s="45"/>
      <c r="AF265" s="45"/>
      <c r="AG265" s="45"/>
      <c r="AH265" s="45"/>
      <c r="AI265" s="45"/>
      <c r="AJ265" s="45"/>
      <c r="AK265" s="45"/>
      <c r="AL265" s="45"/>
      <c r="AM265" s="63"/>
      <c r="AN265" s="63"/>
    </row>
    <row r="266" spans="3:40" ht="14.1">
      <c r="C266" s="57"/>
      <c r="D266" s="58" t="str">
        <f>IF(E261=4,"10µ",IF(E261=3,"10µ",IF(E261=2,"10µ",IF(E261=1,"10µ",0))))</f>
        <v>10µ</v>
      </c>
      <c r="E266" s="58" t="str">
        <f>IF(OR(D266=0),0,IF(MOD($E$42*$F$42,2)=0,"610",IF(MOD($E$42*$F$42,2.5)=0,"760",IF(MOD($E$42*$F$42,3)=0,"915","Refer"))))</f>
        <v>610</v>
      </c>
      <c r="F266" s="58" t="str">
        <f>IF(OR(D266=0),0,IF(MOD($E$42*$F$42,6)=0,"915",IF(MOD($E$42*$F$42,5)=0,"760",IF(MOD($E$42*$F$42,4)=0,"610","Refer"))))</f>
        <v>915</v>
      </c>
      <c r="G266" s="58">
        <f>IF(D266=0,0,150)</f>
        <v>150</v>
      </c>
      <c r="H266" s="60">
        <f>IF(D266=0,0,($E$42*$F$42*305*305)/(E266*F266))</f>
        <v>6</v>
      </c>
      <c r="I266" s="834"/>
      <c r="J266" s="902"/>
      <c r="K266" s="902"/>
      <c r="L266" s="902"/>
      <c r="M266" s="902"/>
      <c r="N266" s="902"/>
      <c r="O266" s="902"/>
      <c r="P266" s="902"/>
      <c r="Q266" s="913"/>
      <c r="R266" s="913"/>
      <c r="S266" s="913"/>
      <c r="T266" s="913"/>
      <c r="U266" s="912"/>
      <c r="V266" s="912"/>
      <c r="W266" s="913"/>
      <c r="X266" s="912"/>
      <c r="Y266" s="912"/>
      <c r="Z266" s="912"/>
      <c r="AA266" s="912"/>
      <c r="AB266" s="912"/>
      <c r="AC266" s="912"/>
      <c r="AD266" s="912"/>
      <c r="AE266" s="912"/>
      <c r="AF266" s="912"/>
      <c r="AG266" s="912"/>
      <c r="AH266" s="912"/>
      <c r="AI266" s="912"/>
      <c r="AJ266" s="912"/>
      <c r="AK266" s="912"/>
      <c r="AL266" s="912"/>
      <c r="AM266" s="915"/>
      <c r="AN266" s="915"/>
    </row>
    <row r="267" spans="3:40" ht="14.1">
      <c r="C267" s="57"/>
      <c r="D267" s="58" t="str">
        <f>IF(E261=4,"5µ",IF(E261=3,"5µ",IF(E261=2,"5µ",0)))</f>
        <v>5µ</v>
      </c>
      <c r="E267" s="58" t="str">
        <f t="shared" ref="E267:E269" si="160">IF(OR(D267=0),0,IF(MOD($E$42*$F$42,2)=0,"610",IF(MOD($E$42*$F$42,2.5)=0,"760",IF(MOD($E$42*$F$42,3)=0,"915","Refer"))))</f>
        <v>610</v>
      </c>
      <c r="F267" s="58" t="str">
        <f>IF(OR(D267=0),0,IF(MOD($E$42*$F$42,6)=0,"915",IF(MOD($E$42*$F$42,5)=0,"760",IF(MOD($E$42*$F$42,4)=0,"610","Refer"))))</f>
        <v>915</v>
      </c>
      <c r="G267" s="58">
        <f>IF(D267=0,0,300)</f>
        <v>300</v>
      </c>
      <c r="H267" s="60">
        <f>IF(D267=0,0,($E$42*$F$42*305*305)/(E267*F267))</f>
        <v>6</v>
      </c>
      <c r="I267" s="834"/>
      <c r="J267" s="902"/>
      <c r="K267" s="902"/>
      <c r="L267" s="902"/>
      <c r="M267" s="902"/>
      <c r="N267" s="902"/>
      <c r="O267" s="902"/>
      <c r="P267" s="902"/>
      <c r="Q267" s="913"/>
      <c r="R267" s="913"/>
      <c r="S267" s="913"/>
      <c r="T267" s="913"/>
      <c r="U267" s="912"/>
      <c r="V267" s="912"/>
      <c r="W267" s="913"/>
      <c r="X267" s="912"/>
      <c r="Y267" s="912"/>
      <c r="Z267" s="912"/>
      <c r="AA267" s="912"/>
      <c r="AB267" s="912"/>
      <c r="AC267" s="912"/>
      <c r="AD267" s="912"/>
      <c r="AE267" s="912"/>
      <c r="AF267" s="912"/>
      <c r="AG267" s="912"/>
      <c r="AH267" s="912"/>
      <c r="AI267" s="912"/>
      <c r="AJ267" s="912"/>
      <c r="AK267" s="912"/>
      <c r="AL267" s="912"/>
      <c r="AM267" s="915"/>
      <c r="AN267" s="915"/>
    </row>
    <row r="268" spans="3:40" ht="14.1">
      <c r="C268" s="57"/>
      <c r="D268" s="58" t="str">
        <f>IF(E261=4,"1µ",IF(E261=3,"1µ",0))</f>
        <v>1µ</v>
      </c>
      <c r="E268" s="58" t="str">
        <f t="shared" si="160"/>
        <v>610</v>
      </c>
      <c r="F268" s="58" t="str">
        <f>IF(OR(D268=0),0,IF(MOD($E$42*$F$42,6)=0,"915",IF(MOD($E$42*$F$42,5)=0,"760",IF(MOD($E$42*$F$42,4)=0,"610","Refer"))))</f>
        <v>915</v>
      </c>
      <c r="G268" s="58">
        <f>IF(D268=0,0,300)</f>
        <v>300</v>
      </c>
      <c r="H268" s="60">
        <f>IF(D268=0,0,($E$42*$F$42*305*305)/(E268*F268))</f>
        <v>6</v>
      </c>
      <c r="I268" s="834"/>
      <c r="J268" s="902"/>
      <c r="K268" s="902"/>
      <c r="L268" s="902"/>
      <c r="M268" s="902"/>
      <c r="N268" s="902"/>
      <c r="O268" s="902"/>
      <c r="P268" s="902"/>
      <c r="Q268" s="913"/>
      <c r="R268" s="913"/>
      <c r="S268" s="913"/>
      <c r="T268" s="913"/>
      <c r="U268" s="912"/>
      <c r="V268" s="912"/>
      <c r="W268" s="913"/>
      <c r="X268" s="912"/>
      <c r="Y268" s="912"/>
      <c r="Z268" s="912"/>
      <c r="AA268" s="912"/>
      <c r="AB268" s="912"/>
      <c r="AC268" s="912"/>
      <c r="AD268" s="912"/>
      <c r="AE268" s="912"/>
      <c r="AF268" s="912"/>
      <c r="AG268" s="912"/>
      <c r="AH268" s="912"/>
      <c r="AI268" s="912"/>
      <c r="AJ268" s="912"/>
      <c r="AK268" s="912"/>
      <c r="AL268" s="912"/>
      <c r="AM268" s="915"/>
      <c r="AN268" s="915"/>
    </row>
    <row r="269" spans="3:40" ht="14.1">
      <c r="C269" s="57"/>
      <c r="D269" s="58">
        <f>IF(E261=4,"0.3µ 95% Eff. HEPA Filetr",0)</f>
        <v>0</v>
      </c>
      <c r="E269" s="58">
        <f t="shared" si="160"/>
        <v>0</v>
      </c>
      <c r="F269" s="58">
        <f>IF(OR(D269=0),0,IF(MOD($E$42*$F$42,6)=0,"915",IF(MOD($E$42*$F$42,5)=0,"760",IF(MOD($E$42*$F$42,4)=0,"610","Refer"))))</f>
        <v>0</v>
      </c>
      <c r="G269" s="58">
        <f>IF(D269=0,0,300)</f>
        <v>0</v>
      </c>
      <c r="H269" s="60">
        <f>IF(D269=0,0,($E$42*$F$42*305*305)/(E269*F269))</f>
        <v>0</v>
      </c>
      <c r="I269" s="836"/>
      <c r="J269" s="902"/>
      <c r="K269" s="902"/>
      <c r="L269" s="902"/>
      <c r="M269" s="902"/>
      <c r="N269" s="902"/>
      <c r="O269" s="902"/>
      <c r="P269" s="902"/>
      <c r="Q269" s="913"/>
      <c r="R269" s="913"/>
      <c r="S269" s="913"/>
      <c r="T269" s="913"/>
      <c r="U269" s="912"/>
      <c r="V269" s="912"/>
      <c r="W269" s="913"/>
      <c r="X269" s="912"/>
      <c r="Y269" s="912"/>
      <c r="Z269" s="912"/>
      <c r="AA269" s="912"/>
      <c r="AB269" s="912"/>
      <c r="AC269" s="912"/>
      <c r="AD269" s="912"/>
      <c r="AE269" s="912"/>
      <c r="AF269" s="912"/>
      <c r="AG269" s="912"/>
      <c r="AH269" s="912"/>
      <c r="AI269" s="912"/>
      <c r="AJ269" s="912"/>
      <c r="AK269" s="912"/>
      <c r="AL269" s="912"/>
      <c r="AM269" s="915"/>
      <c r="AN269" s="915"/>
    </row>
    <row r="270" spans="3:40" ht="14.1">
      <c r="C270" s="57"/>
      <c r="D270" s="826"/>
      <c r="E270" s="182"/>
      <c r="F270" s="182"/>
      <c r="G270" s="182"/>
      <c r="H270" s="182"/>
      <c r="I270" s="827"/>
      <c r="J270" s="52"/>
      <c r="K270" s="52"/>
      <c r="L270" s="52"/>
      <c r="M270" s="52"/>
      <c r="N270" s="52"/>
      <c r="O270" s="828"/>
      <c r="P270" s="828"/>
      <c r="Q270" s="55"/>
      <c r="R270" s="55"/>
      <c r="S270" s="55"/>
      <c r="T270" s="55"/>
      <c r="U270" s="45"/>
      <c r="V270" s="45"/>
      <c r="W270" s="55"/>
      <c r="X270" s="45"/>
      <c r="Y270" s="45"/>
      <c r="Z270" s="45"/>
      <c r="AA270" s="45"/>
      <c r="AB270" s="45"/>
      <c r="AC270" s="45"/>
      <c r="AD270" s="45"/>
      <c r="AE270" s="45"/>
      <c r="AF270" s="45"/>
      <c r="AG270" s="45"/>
      <c r="AH270" s="45"/>
      <c r="AI270" s="45"/>
      <c r="AJ270" s="45"/>
      <c r="AK270" s="45"/>
      <c r="AL270" s="45"/>
      <c r="AM270" s="63"/>
      <c r="AN270" s="63"/>
    </row>
    <row r="271" spans="3:40" ht="14.1" customHeight="1">
      <c r="C271" s="57"/>
      <c r="D271" s="901" t="str">
        <f>"AHU - " &amp; INT((ROW()-34)/15)+1 &amp; "  " &amp; IF(I272&gt;0,"Air-Conditioning System " &amp; IF(OR(G275="Header", G275="C"), "(Chilled Water)",IF(OR(G275="Distributor", G275="D"), "(DX)", "Ventilation System")),IF(NOT(I272&gt;0), "Ventilation System ( SUPPLY )", "Refer"))</f>
        <v>AHU - 16  Ventilation System ( SUPPLY )</v>
      </c>
      <c r="E271" s="901"/>
      <c r="F271" s="901"/>
      <c r="G271" s="901"/>
      <c r="H271" s="901"/>
      <c r="I271" s="901"/>
      <c r="J271" s="52"/>
      <c r="K271" s="52"/>
      <c r="L271" s="53"/>
      <c r="M271" s="53"/>
      <c r="N271" s="53"/>
      <c r="O271" s="54"/>
      <c r="P271" s="55"/>
      <c r="AM271" s="56"/>
      <c r="AN271" s="56"/>
    </row>
    <row r="272" spans="3:40" ht="14.1">
      <c r="C272" s="57"/>
      <c r="D272" s="175" t="s">
        <v>274</v>
      </c>
      <c r="E272" s="180" t="str">
        <f>'BOD-Cold &amp; Amb.'!R310</f>
        <v>ISO 6</v>
      </c>
      <c r="F272" s="175" t="s">
        <v>275</v>
      </c>
      <c r="G272" s="180">
        <f>'BOD-Cold &amp; Amb.'!AK310</f>
        <v>20000</v>
      </c>
      <c r="H272" s="175" t="s">
        <v>276</v>
      </c>
      <c r="I272" s="181">
        <f>'BOD-Cold &amp; Amb.'!AQ310</f>
        <v>0</v>
      </c>
      <c r="J272" s="902" t="s">
        <v>277</v>
      </c>
      <c r="K272" s="902">
        <v>1</v>
      </c>
      <c r="L272" s="917">
        <f>Q272</f>
        <v>749500</v>
      </c>
      <c r="M272" s="902">
        <f>K272*L272</f>
        <v>749500</v>
      </c>
      <c r="N272" s="902"/>
      <c r="O272" s="902"/>
      <c r="P272" s="902"/>
      <c r="Q272" s="913">
        <f t="shared" ref="Q272" si="161">CEILING((S272+T272+U272+V272+W272),250)</f>
        <v>749500</v>
      </c>
      <c r="R272" s="913">
        <f>IF(I272&gt;0,625,375)</f>
        <v>375</v>
      </c>
      <c r="S272" s="913">
        <f>(E273*G273*3*10.76+E273*I273*2*10.76+G273*I273*2*10.76)*R272/(1000*1000)</f>
        <v>401361.45</v>
      </c>
      <c r="T272" s="913">
        <f>I272*4*1050</f>
        <v>0</v>
      </c>
      <c r="U272" s="912">
        <f>IF(G272&lt;=2000,5000,(IF(G272&lt;=5000,8000,(IF(G272&lt;=10000,10000,(IF(G272&lt;=18000,15000,(IF(G272&lt;=40000,20000,25000)))))))))</f>
        <v>20000</v>
      </c>
      <c r="V272" s="912">
        <f t="shared" ref="V272" si="162">IF(X272=200,17150,(IF(X272=225,18150,(IF(X272=250,18900,(IF(X272=280,19150,(IF(X272=315,19650,(IF(X272=355,21900,(IF(X272=400,24400,0)))))))))))))+IF(X272=450,31000,(IF(X272=500,37450,(IF(X272=560,45650,(IF(X272=630,58900,(IF(X272=710,77950,0)))))))))+IF(X272=800,119650,(IF(X272=900,153300,(IF(X272=1000,178900,(IF(X272=1120,286500,(IF(X272=1250,394500,(IF(X272=1450,461500,0)))))))))))</f>
        <v>119650</v>
      </c>
      <c r="W272" s="913">
        <f>IF(I274=0.5,16600,(IF(I274=1,19050,(IF(I274=1.5,21750,(IF(I274=2,23600,(IF(I274=3,30000,(IF(I274=5,38000,0)))))))))))*1.2+IF(I274=7.5,52300,(IF(I274=10,59600,0)))*1.2+IF(I274=12.5,100350,(IF(I274=15,106000,(IF(I274=20,129150,(IF(I274=25,146050,(IF(I274=30,173600,(IF(I274=40,233900,(IF(I274=50,304650,IF(I274=60,350000,400000)))))))))))))*1.2)</f>
        <v>208320</v>
      </c>
      <c r="X272" s="912">
        <f>E274</f>
        <v>800</v>
      </c>
      <c r="Y272" s="912">
        <f t="shared" ref="Y272" si="163">IF(G272&lt;=6750,450,(IF(G272&lt;=8500,500,(IF(G272&lt;=10750,560,(IF(G272&lt;=13500,630,(IF(G272&lt;=17000,710,(IF(G272&lt;=21500,800,(IF(G272&lt;=27000,900,(IF(G272&lt;=34000,1000,0)))))))))))))))</f>
        <v>800</v>
      </c>
      <c r="Z272" s="912">
        <f t="shared" ref="Z272" si="164">IF(G272&lt;=1300,200,(IF(G272&lt;=1600,225,(IF(G272&lt;=2100,250,(IF(G272&lt;=2700,280,(IF(G272&lt;=3450,315,(IF(G272&lt;=4250,355,(IF(G272&lt;=5250,400,(IF(G272&lt;=6750,450,0)))))))))))))))</f>
        <v>0</v>
      </c>
      <c r="AA272" s="912">
        <f t="shared" ref="AA272" si="165">IF(G272&lt;=2000,5000,(IF(G272&lt;=5000,8000,(IF(G272&lt;=10000,10000,(IF(G272&lt;=18000,15000,(IF(G272&lt;=40000,20000,10000)))))))))</f>
        <v>20000</v>
      </c>
      <c r="AB272" s="912">
        <f>IF(E273=950,2,(IF(E273=1150,3,(IF(E273=1550,4,(IF(E273=1750,5,(IF(E273=2050,6,(IF(E273=2900,8,(IF(E273=3600,10,12)))))))))))))</f>
        <v>8</v>
      </c>
      <c r="AC272" s="912">
        <f>IF(G273=950,2,(IF(G273=1150,3,(IF(G273=1550,4,(IF(G273=1750,5,(IF(G273=2050,6,(IF(G273=2900,8,(IF(G273=3600,10,12)))))))))))))</f>
        <v>8</v>
      </c>
      <c r="AD272" s="912">
        <f t="shared" ref="AD272" si="166">AC272*AB272</f>
        <v>64</v>
      </c>
      <c r="AE272" s="912">
        <v>150</v>
      </c>
      <c r="AF272" s="912">
        <f t="shared" ref="AF272" si="167">CEILING((SQRT(G272/1000))*4*2*AE272*1.25*K272,100)</f>
        <v>6800</v>
      </c>
      <c r="AG272" s="912">
        <f>E280*F280*H280/(305*305)</f>
        <v>36</v>
      </c>
      <c r="AH272" s="912">
        <f>E281*F281*H281/(305*305)</f>
        <v>36</v>
      </c>
      <c r="AI272" s="912">
        <f>H282*E282*F282/(305*305)</f>
        <v>36</v>
      </c>
      <c r="AJ272" s="912">
        <f>H283*E283*F283/(305*305)</f>
        <v>36</v>
      </c>
      <c r="AK272" s="912">
        <f>H284*E284*F284/(305*305)</f>
        <v>0</v>
      </c>
      <c r="AL272" s="912"/>
      <c r="AM272" s="915">
        <f t="shared" ref="AM272" si="168">(G272*2.2/1100)</f>
        <v>40</v>
      </c>
      <c r="AN272" s="915">
        <f t="shared" ref="AN272" si="169">(G272*1/1100)</f>
        <v>18.181818181818183</v>
      </c>
    </row>
    <row r="273" spans="3:40" ht="14.1">
      <c r="C273" s="57"/>
      <c r="D273" s="175" t="s">
        <v>278</v>
      </c>
      <c r="E273" s="180">
        <f>'BOD-Cold &amp; Amb.'!AL311</f>
        <v>2900</v>
      </c>
      <c r="F273" s="175" t="s">
        <v>279</v>
      </c>
      <c r="G273" s="180">
        <f>'BOD-Cold &amp; Amb.'!AL311</f>
        <v>2900</v>
      </c>
      <c r="H273" s="175" t="s">
        <v>280</v>
      </c>
      <c r="I273" s="181">
        <f>'BOD-Cold &amp; Amb.'!AL315</f>
        <v>6400</v>
      </c>
      <c r="J273" s="902"/>
      <c r="K273" s="902"/>
      <c r="L273" s="902"/>
      <c r="M273" s="902"/>
      <c r="N273" s="902"/>
      <c r="O273" s="902"/>
      <c r="P273" s="902"/>
      <c r="Q273" s="913"/>
      <c r="R273" s="913"/>
      <c r="S273" s="913"/>
      <c r="T273" s="913"/>
      <c r="U273" s="912"/>
      <c r="V273" s="912"/>
      <c r="W273" s="913"/>
      <c r="X273" s="912"/>
      <c r="Y273" s="912"/>
      <c r="Z273" s="912"/>
      <c r="AA273" s="912"/>
      <c r="AB273" s="912"/>
      <c r="AC273" s="912"/>
      <c r="AD273" s="912"/>
      <c r="AE273" s="912"/>
      <c r="AF273" s="912"/>
      <c r="AG273" s="912"/>
      <c r="AH273" s="912"/>
      <c r="AI273" s="912"/>
      <c r="AJ273" s="912"/>
      <c r="AK273" s="912"/>
      <c r="AL273" s="912"/>
      <c r="AM273" s="915"/>
      <c r="AN273" s="915"/>
    </row>
    <row r="274" spans="3:40" ht="14.1">
      <c r="C274" s="57"/>
      <c r="D274" s="175" t="s">
        <v>281</v>
      </c>
      <c r="E274" s="180">
        <f>'BOD-Cold &amp; Amb.'!AN310</f>
        <v>800</v>
      </c>
      <c r="F274" s="176" t="s">
        <v>282</v>
      </c>
      <c r="G274" s="180">
        <f>'BOD-Cold &amp; Amb.'!AM310</f>
        <v>150</v>
      </c>
      <c r="H274" s="176" t="s">
        <v>283</v>
      </c>
      <c r="I274" s="181">
        <f>'BOD-Cold &amp; Amb.'!AO310</f>
        <v>30</v>
      </c>
      <c r="J274" s="902"/>
      <c r="K274" s="902"/>
      <c r="L274" s="902"/>
      <c r="M274" s="902"/>
      <c r="N274" s="902"/>
      <c r="O274" s="902"/>
      <c r="P274" s="902"/>
      <c r="Q274" s="913"/>
      <c r="R274" s="913"/>
      <c r="S274" s="913"/>
      <c r="T274" s="913"/>
      <c r="U274" s="912"/>
      <c r="V274" s="912"/>
      <c r="W274" s="913"/>
      <c r="X274" s="912"/>
      <c r="Y274" s="912"/>
      <c r="Z274" s="912"/>
      <c r="AA274" s="912"/>
      <c r="AB274" s="912"/>
      <c r="AC274" s="912"/>
      <c r="AD274" s="912"/>
      <c r="AE274" s="912"/>
      <c r="AF274" s="912"/>
      <c r="AG274" s="912"/>
      <c r="AH274" s="912"/>
      <c r="AI274" s="912"/>
      <c r="AJ274" s="912"/>
      <c r="AK274" s="912"/>
      <c r="AL274" s="912"/>
      <c r="AM274" s="915"/>
      <c r="AN274" s="915"/>
    </row>
    <row r="275" spans="3:40" ht="21.6" customHeight="1">
      <c r="C275" s="57"/>
      <c r="D275" s="175" t="s">
        <v>284</v>
      </c>
      <c r="E275" s="180" t="str">
        <f>'BOD-Cold &amp; Amb.'!AP310</f>
        <v>Amb</v>
      </c>
      <c r="F275" s="832" t="s">
        <v>285</v>
      </c>
      <c r="G275" s="837" t="str">
        <f>IF(OR(I272=0, E275="Amb"), "Amb",IF('BOD-Cold &amp; Amb.'!AH235="C", "Header",IF('BOD-Cold &amp; Amb.'!AH235="D", "Distributor", "Refer")))</f>
        <v>Amb</v>
      </c>
      <c r="H275" s="832" t="s">
        <v>286</v>
      </c>
      <c r="I275" s="833">
        <f>IF(OR(I272=0, E275=0), 0,ROUND(((( I272/E275)*304.8)/(E273-400))*1000,0)&amp;" h "&amp;" x " &amp; (E273-400)&amp;" w ")</f>
        <v>0</v>
      </c>
      <c r="J275" s="902"/>
      <c r="K275" s="902"/>
      <c r="L275" s="902"/>
      <c r="M275" s="902"/>
      <c r="N275" s="902"/>
      <c r="O275" s="902"/>
      <c r="P275" s="902"/>
      <c r="Q275" s="913"/>
      <c r="R275" s="913"/>
      <c r="S275" s="913"/>
      <c r="T275" s="913"/>
      <c r="U275" s="912"/>
      <c r="V275" s="912"/>
      <c r="W275" s="913"/>
      <c r="X275" s="912"/>
      <c r="Y275" s="912"/>
      <c r="Z275" s="912"/>
      <c r="AA275" s="912"/>
      <c r="AB275" s="912"/>
      <c r="AC275" s="912"/>
      <c r="AD275" s="912"/>
      <c r="AE275" s="912"/>
      <c r="AF275" s="912"/>
      <c r="AG275" s="912"/>
      <c r="AH275" s="912"/>
      <c r="AI275" s="912"/>
      <c r="AJ275" s="912"/>
      <c r="AK275" s="912"/>
      <c r="AL275" s="912"/>
      <c r="AM275" s="915"/>
      <c r="AN275" s="915"/>
    </row>
    <row r="276" spans="3:40" ht="21">
      <c r="C276" s="57"/>
      <c r="D276" s="175" t="s">
        <v>287</v>
      </c>
      <c r="E276" s="180">
        <f>'BOD-Cold &amp; Amb.'!AR310</f>
        <v>3</v>
      </c>
      <c r="F276" s="176" t="s">
        <v>288</v>
      </c>
      <c r="G276" s="177" t="str">
        <f>IF(E276=4,"10µ, 5µ, 1µ &amp; 0.3µ (HEPA Plenum Fitted 95% eff.)",IF(E276=3,"10µ, 5µ &amp; 1µ ",IF(E276=2,"10µ  &amp; 5µ",IF(E276=1,"10µ", "Filter Ratings"))))</f>
        <v xml:space="preserve">10µ, 5µ &amp; 1µ </v>
      </c>
      <c r="H276" s="178"/>
      <c r="I276" s="179"/>
      <c r="J276" s="902"/>
      <c r="K276" s="902"/>
      <c r="L276" s="902"/>
      <c r="M276" s="902"/>
      <c r="N276" s="902"/>
      <c r="O276" s="902"/>
      <c r="P276" s="902"/>
      <c r="Q276" s="913"/>
      <c r="R276" s="913"/>
      <c r="S276" s="913"/>
      <c r="T276" s="913"/>
      <c r="U276" s="912"/>
      <c r="V276" s="912"/>
      <c r="W276" s="913"/>
      <c r="X276" s="912"/>
      <c r="Y276" s="912"/>
      <c r="Z276" s="912"/>
      <c r="AA276" s="912"/>
      <c r="AB276" s="912"/>
      <c r="AC276" s="912"/>
      <c r="AD276" s="912"/>
      <c r="AE276" s="912"/>
      <c r="AF276" s="912"/>
      <c r="AG276" s="912"/>
      <c r="AH276" s="912"/>
      <c r="AI276" s="912"/>
      <c r="AJ276" s="912"/>
      <c r="AK276" s="912"/>
      <c r="AL276" s="912"/>
      <c r="AM276" s="915"/>
      <c r="AN276" s="915"/>
    </row>
    <row r="277" spans="3:40">
      <c r="C277" s="57"/>
      <c r="D277" s="922" t="s">
        <v>289</v>
      </c>
      <c r="E277" s="923"/>
      <c r="F277" s="923"/>
      <c r="G277" s="923"/>
      <c r="H277" s="923"/>
      <c r="I277" s="924"/>
      <c r="J277" s="902"/>
      <c r="K277" s="902"/>
      <c r="L277" s="902"/>
      <c r="M277" s="902"/>
      <c r="N277" s="902"/>
      <c r="O277" s="902"/>
      <c r="P277" s="902"/>
      <c r="Q277" s="913"/>
      <c r="R277" s="913"/>
      <c r="S277" s="913"/>
      <c r="T277" s="913"/>
      <c r="U277" s="912"/>
      <c r="V277" s="912"/>
      <c r="W277" s="913"/>
      <c r="X277" s="912"/>
      <c r="Y277" s="912"/>
      <c r="Z277" s="912"/>
      <c r="AA277" s="912"/>
      <c r="AB277" s="912"/>
      <c r="AC277" s="912"/>
      <c r="AD277" s="912"/>
      <c r="AE277" s="912"/>
      <c r="AF277" s="912"/>
      <c r="AG277" s="912"/>
      <c r="AH277" s="912"/>
      <c r="AI277" s="912"/>
      <c r="AJ277" s="912"/>
      <c r="AK277" s="912"/>
      <c r="AL277" s="912"/>
      <c r="AM277" s="915"/>
      <c r="AN277" s="915"/>
    </row>
    <row r="278" spans="3:40" ht="24.95">
      <c r="C278" s="57"/>
      <c r="D278" s="58" t="s">
        <v>290</v>
      </c>
      <c r="E278" s="58" t="s">
        <v>291</v>
      </c>
      <c r="F278" s="58" t="s">
        <v>292</v>
      </c>
      <c r="G278" s="58" t="s">
        <v>293</v>
      </c>
      <c r="H278" s="58" t="s">
        <v>294</v>
      </c>
      <c r="I278" s="179"/>
      <c r="J278" s="902"/>
      <c r="K278" s="902"/>
      <c r="L278" s="902"/>
      <c r="M278" s="902"/>
      <c r="N278" s="902"/>
      <c r="O278" s="902"/>
      <c r="P278" s="902"/>
      <c r="Q278" s="913"/>
      <c r="R278" s="913"/>
      <c r="S278" s="913"/>
      <c r="T278" s="913"/>
      <c r="U278" s="912"/>
      <c r="V278" s="912"/>
      <c r="W278" s="913"/>
      <c r="X278" s="912"/>
      <c r="Y278" s="912"/>
      <c r="Z278" s="912"/>
      <c r="AA278" s="912"/>
      <c r="AB278" s="912"/>
      <c r="AC278" s="912"/>
      <c r="AD278" s="912"/>
      <c r="AE278" s="912"/>
      <c r="AF278" s="912"/>
      <c r="AG278" s="912"/>
      <c r="AH278" s="912"/>
      <c r="AI278" s="912"/>
      <c r="AJ278" s="912"/>
      <c r="AK278" s="912"/>
      <c r="AL278" s="912"/>
      <c r="AM278" s="915"/>
      <c r="AN278" s="915"/>
    </row>
    <row r="279" spans="3:40" ht="14.1">
      <c r="C279" s="57"/>
      <c r="D279" s="58"/>
      <c r="E279" s="58">
        <f>IF(E273=950,2,(IF(E273=1150,3,(IF(E273=1550,4,(IF(E273=1750,5,(IF(E273=2050,6,(IF(E273=2900,8,(IF(E273=3600,10,IF(E273=4000,12,0))))))))))))))</f>
        <v>8</v>
      </c>
      <c r="F279" s="58">
        <f>IF(G273=950,2,(IF(G273=1150,3,(IF(G273=1550,4,(IF(G273=1750,5,(IF(G273=2050,6,(IF(G273=2900,8,(IF(G273=3600,10,IF(E273=4000,12,0))))))))))))))</f>
        <v>8</v>
      </c>
      <c r="G279" s="58"/>
      <c r="H279" s="60"/>
      <c r="I279" s="834"/>
      <c r="J279" s="902"/>
      <c r="K279" s="902"/>
      <c r="L279" s="902"/>
      <c r="M279" s="902"/>
      <c r="N279" s="902"/>
      <c r="O279" s="902"/>
      <c r="P279" s="902"/>
      <c r="Q279" s="913"/>
      <c r="R279" s="913"/>
      <c r="S279" s="913"/>
      <c r="T279" s="913"/>
      <c r="U279" s="912"/>
      <c r="V279" s="912"/>
      <c r="W279" s="913"/>
      <c r="X279" s="912"/>
      <c r="Y279" s="912"/>
      <c r="Z279" s="912"/>
      <c r="AA279" s="912"/>
      <c r="AB279" s="912"/>
      <c r="AC279" s="912"/>
      <c r="AD279" s="912"/>
      <c r="AE279" s="912"/>
      <c r="AF279" s="912"/>
      <c r="AG279" s="912"/>
      <c r="AH279" s="912"/>
      <c r="AI279" s="912"/>
      <c r="AJ279" s="912"/>
      <c r="AK279" s="912"/>
      <c r="AL279" s="912"/>
      <c r="AM279" s="915"/>
      <c r="AN279" s="915"/>
    </row>
    <row r="280" spans="3:40" ht="14.1">
      <c r="C280" s="57"/>
      <c r="D280" s="58" t="str">
        <f>IF(AND(I272=0, OR(E276=1, E276=2, E276=3, E276=4, E276=5)), "20µ", 0)</f>
        <v>20µ</v>
      </c>
      <c r="E280" s="58" t="str">
        <f>IF(OR(D280=0),0,IF(MOD($E$42*$F$42,2)=0,"610",IF(MOD($E$42*$F$42,2.5)=0,"760",IF(MOD($E$42*$F$42,3)=0,"915","Refer"))))</f>
        <v>610</v>
      </c>
      <c r="F280" s="58" t="str">
        <f>IF(OR(D280=0),0,IF(MOD($E$42*$F$42,6)=0,"915",IF(MOD($E$42*$F$42,5)=0,"760",IF(MOD($E$42*$F$42,4)=0,"610","Refer"))))</f>
        <v>915</v>
      </c>
      <c r="G280" s="58">
        <f>IF(D280=0,0,100)</f>
        <v>100</v>
      </c>
      <c r="H280" s="60">
        <f>IF(D280=0,0,($E$42*$F$42*305*305)/(E280*F280))</f>
        <v>6</v>
      </c>
      <c r="I280" s="834"/>
      <c r="J280" s="902"/>
      <c r="K280" s="902"/>
      <c r="L280" s="902"/>
      <c r="M280" s="902"/>
      <c r="N280" s="902"/>
      <c r="O280" s="902"/>
      <c r="P280" s="902"/>
      <c r="Q280" s="55"/>
      <c r="R280" s="55"/>
      <c r="S280" s="55"/>
      <c r="T280" s="55"/>
      <c r="U280" s="45"/>
      <c r="V280" s="45"/>
      <c r="W280" s="55"/>
      <c r="X280" s="45"/>
      <c r="Y280" s="45"/>
      <c r="Z280" s="45"/>
      <c r="AA280" s="45"/>
      <c r="AB280" s="45"/>
      <c r="AC280" s="45"/>
      <c r="AD280" s="45"/>
      <c r="AE280" s="45"/>
      <c r="AF280" s="45"/>
      <c r="AG280" s="45"/>
      <c r="AH280" s="45"/>
      <c r="AI280" s="45"/>
      <c r="AJ280" s="45"/>
      <c r="AK280" s="45"/>
      <c r="AL280" s="45"/>
      <c r="AM280" s="63"/>
      <c r="AN280" s="63"/>
    </row>
    <row r="281" spans="3:40" ht="14.1">
      <c r="C281" s="57"/>
      <c r="D281" s="58" t="str">
        <f>IF(E276=4,"10µ",IF(E276=3,"10µ",IF(E276=2,"10µ",IF(E276=1,"10µ",0))))</f>
        <v>10µ</v>
      </c>
      <c r="E281" s="58" t="str">
        <f>IF(OR(D281=0),0,IF(MOD($E$42*$F$42,2)=0,"610",IF(MOD($E$42*$F$42,2.5)=0,"760",IF(MOD($E$42*$F$42,3)=0,"915","Refer"))))</f>
        <v>610</v>
      </c>
      <c r="F281" s="58" t="str">
        <f>IF(OR(D281=0),0,IF(MOD($E$42*$F$42,6)=0,"915",IF(MOD($E$42*$F$42,5)=0,"760",IF(MOD($E$42*$F$42,4)=0,"610","Refer"))))</f>
        <v>915</v>
      </c>
      <c r="G281" s="58">
        <f>IF(D281=0,0,150)</f>
        <v>150</v>
      </c>
      <c r="H281" s="60">
        <f>IF(D281=0,0,($E$42*$F$42*305*305)/(E281*F281))</f>
        <v>6</v>
      </c>
      <c r="I281" s="834"/>
      <c r="J281" s="902"/>
      <c r="K281" s="902"/>
      <c r="L281" s="902"/>
      <c r="M281" s="902"/>
      <c r="N281" s="902"/>
      <c r="O281" s="902"/>
      <c r="P281" s="902"/>
      <c r="Q281" s="913"/>
      <c r="R281" s="913"/>
      <c r="S281" s="913"/>
      <c r="T281" s="913"/>
      <c r="U281" s="912"/>
      <c r="V281" s="912"/>
      <c r="W281" s="913"/>
      <c r="X281" s="912"/>
      <c r="Y281" s="912"/>
      <c r="Z281" s="912"/>
      <c r="AA281" s="912"/>
      <c r="AB281" s="912"/>
      <c r="AC281" s="912"/>
      <c r="AD281" s="912"/>
      <c r="AE281" s="912"/>
      <c r="AF281" s="912"/>
      <c r="AG281" s="912"/>
      <c r="AH281" s="912"/>
      <c r="AI281" s="912"/>
      <c r="AJ281" s="912"/>
      <c r="AK281" s="912"/>
      <c r="AL281" s="912"/>
      <c r="AM281" s="915"/>
      <c r="AN281" s="915"/>
    </row>
    <row r="282" spans="3:40" ht="14.1">
      <c r="C282" s="57"/>
      <c r="D282" s="58" t="str">
        <f>IF(E276=4,"5µ",IF(E276=3,"5µ",IF(E276=2,"5µ",0)))</f>
        <v>5µ</v>
      </c>
      <c r="E282" s="58" t="str">
        <f t="shared" ref="E282:E284" si="170">IF(OR(D282=0),0,IF(MOD($E$42*$F$42,2)=0,"610",IF(MOD($E$42*$F$42,2.5)=0,"760",IF(MOD($E$42*$F$42,3)=0,"915","Refer"))))</f>
        <v>610</v>
      </c>
      <c r="F282" s="58" t="str">
        <f>IF(OR(D282=0),0,IF(MOD($E$42*$F$42,6)=0,"915",IF(MOD($E$42*$F$42,5)=0,"760",IF(MOD($E$42*$F$42,4)=0,"610","Refer"))))</f>
        <v>915</v>
      </c>
      <c r="G282" s="58">
        <f>IF(D282=0,0,300)</f>
        <v>300</v>
      </c>
      <c r="H282" s="60">
        <f>IF(D282=0,0,($E$42*$F$42*305*305)/(E282*F282))</f>
        <v>6</v>
      </c>
      <c r="I282" s="834"/>
      <c r="J282" s="902"/>
      <c r="K282" s="902"/>
      <c r="L282" s="902"/>
      <c r="M282" s="902"/>
      <c r="N282" s="902"/>
      <c r="O282" s="902"/>
      <c r="P282" s="902"/>
      <c r="Q282" s="913"/>
      <c r="R282" s="913"/>
      <c r="S282" s="913"/>
      <c r="T282" s="913"/>
      <c r="U282" s="912"/>
      <c r="V282" s="912"/>
      <c r="W282" s="913"/>
      <c r="X282" s="912"/>
      <c r="Y282" s="912"/>
      <c r="Z282" s="912"/>
      <c r="AA282" s="912"/>
      <c r="AB282" s="912"/>
      <c r="AC282" s="912"/>
      <c r="AD282" s="912"/>
      <c r="AE282" s="912"/>
      <c r="AF282" s="912"/>
      <c r="AG282" s="912"/>
      <c r="AH282" s="912"/>
      <c r="AI282" s="912"/>
      <c r="AJ282" s="912"/>
      <c r="AK282" s="912"/>
      <c r="AL282" s="912"/>
      <c r="AM282" s="915"/>
      <c r="AN282" s="915"/>
    </row>
    <row r="283" spans="3:40" ht="14.1">
      <c r="C283" s="57"/>
      <c r="D283" s="58" t="str">
        <f>IF(E276=4,"1µ",IF(E276=3,"1µ",0))</f>
        <v>1µ</v>
      </c>
      <c r="E283" s="58" t="str">
        <f t="shared" si="170"/>
        <v>610</v>
      </c>
      <c r="F283" s="58" t="str">
        <f>IF(OR(D283=0),0,IF(MOD($E$42*$F$42,6)=0,"915",IF(MOD($E$42*$F$42,5)=0,"760",IF(MOD($E$42*$F$42,4)=0,"610","Refer"))))</f>
        <v>915</v>
      </c>
      <c r="G283" s="58">
        <f>IF(D283=0,0,300)</f>
        <v>300</v>
      </c>
      <c r="H283" s="60">
        <f>IF(D283=0,0,($E$42*$F$42*305*305)/(E283*F283))</f>
        <v>6</v>
      </c>
      <c r="I283" s="834"/>
      <c r="J283" s="902"/>
      <c r="K283" s="902"/>
      <c r="L283" s="902"/>
      <c r="M283" s="902"/>
      <c r="N283" s="902"/>
      <c r="O283" s="902"/>
      <c r="P283" s="902"/>
      <c r="Q283" s="913"/>
      <c r="R283" s="913"/>
      <c r="S283" s="913"/>
      <c r="T283" s="913"/>
      <c r="U283" s="912"/>
      <c r="V283" s="912"/>
      <c r="W283" s="913"/>
      <c r="X283" s="912"/>
      <c r="Y283" s="912"/>
      <c r="Z283" s="912"/>
      <c r="AA283" s="912"/>
      <c r="AB283" s="912"/>
      <c r="AC283" s="912"/>
      <c r="AD283" s="912"/>
      <c r="AE283" s="912"/>
      <c r="AF283" s="912"/>
      <c r="AG283" s="912"/>
      <c r="AH283" s="912"/>
      <c r="AI283" s="912"/>
      <c r="AJ283" s="912"/>
      <c r="AK283" s="912"/>
      <c r="AL283" s="912"/>
      <c r="AM283" s="915"/>
      <c r="AN283" s="915"/>
    </row>
    <row r="284" spans="3:40" ht="14.1">
      <c r="C284" s="57"/>
      <c r="D284" s="58">
        <f>IF(E276=4,"0.3µ 95% Eff. HEPA Filetr",0)</f>
        <v>0</v>
      </c>
      <c r="E284" s="58">
        <f t="shared" si="170"/>
        <v>0</v>
      </c>
      <c r="F284" s="58">
        <f>IF(OR(D284=0),0,IF(MOD($E$42*$F$42,6)=0,"915",IF(MOD($E$42*$F$42,5)=0,"760",IF(MOD($E$42*$F$42,4)=0,"610","Refer"))))</f>
        <v>0</v>
      </c>
      <c r="G284" s="58">
        <f>IF(D284=0,0,300)</f>
        <v>0</v>
      </c>
      <c r="H284" s="60">
        <f>IF(D284=0,0,($E$42*$F$42*305*305)/(E284*F284))</f>
        <v>0</v>
      </c>
      <c r="I284" s="836"/>
      <c r="J284" s="902"/>
      <c r="K284" s="902"/>
      <c r="L284" s="902"/>
      <c r="M284" s="902"/>
      <c r="N284" s="902"/>
      <c r="O284" s="902"/>
      <c r="P284" s="902"/>
      <c r="Q284" s="913"/>
      <c r="R284" s="913"/>
      <c r="S284" s="913"/>
      <c r="T284" s="913"/>
      <c r="U284" s="912"/>
      <c r="V284" s="912"/>
      <c r="W284" s="913"/>
      <c r="X284" s="912"/>
      <c r="Y284" s="912"/>
      <c r="Z284" s="912"/>
      <c r="AA284" s="912"/>
      <c r="AB284" s="912"/>
      <c r="AC284" s="912"/>
      <c r="AD284" s="912"/>
      <c r="AE284" s="912"/>
      <c r="AF284" s="912"/>
      <c r="AG284" s="912"/>
      <c r="AH284" s="912"/>
      <c r="AI284" s="912"/>
      <c r="AJ284" s="912"/>
      <c r="AK284" s="912"/>
      <c r="AL284" s="912"/>
      <c r="AM284" s="915"/>
      <c r="AN284" s="915"/>
    </row>
    <row r="285" spans="3:40" ht="14.1">
      <c r="C285" s="57"/>
      <c r="D285" s="826"/>
      <c r="E285" s="182"/>
      <c r="F285" s="182"/>
      <c r="G285" s="182"/>
      <c r="H285" s="182"/>
      <c r="I285" s="827"/>
      <c r="J285" s="52"/>
      <c r="K285" s="52"/>
      <c r="L285" s="52"/>
      <c r="M285" s="52"/>
      <c r="N285" s="52"/>
      <c r="O285" s="828"/>
      <c r="P285" s="828"/>
      <c r="Q285" s="55"/>
      <c r="R285" s="55"/>
      <c r="S285" s="55"/>
      <c r="T285" s="55"/>
      <c r="U285" s="45"/>
      <c r="V285" s="45"/>
      <c r="W285" s="55"/>
      <c r="X285" s="45"/>
      <c r="Y285" s="45"/>
      <c r="Z285" s="45"/>
      <c r="AA285" s="45"/>
      <c r="AB285" s="45"/>
      <c r="AC285" s="45"/>
      <c r="AD285" s="45"/>
      <c r="AE285" s="45"/>
      <c r="AF285" s="45"/>
      <c r="AG285" s="45"/>
      <c r="AH285" s="45"/>
      <c r="AI285" s="45"/>
      <c r="AJ285" s="45"/>
      <c r="AK285" s="45"/>
      <c r="AL285" s="45"/>
      <c r="AM285" s="63"/>
      <c r="AN285" s="63"/>
    </row>
    <row r="286" spans="3:40" ht="14.1" customHeight="1">
      <c r="C286" s="57"/>
      <c r="D286" s="901" t="str">
        <f>"AHU - " &amp; INT((ROW()-34)/14)+1 &amp; "  " &amp; IF(I287&gt;0,"Air-Conditioning System " &amp; IF(OR(G290="Header", G290="C"), "(Chilled Water)",IF(OR(G290="Distributor", G290="D"), "(DX)", "Ventilation System")),IF(NOT(I287&gt;0), "Ventilation System ( SUPPLY )", "Refer"))</f>
        <v>AHU - 19  Air-Conditioning System (Chilled Water)</v>
      </c>
      <c r="E286" s="901"/>
      <c r="F286" s="901"/>
      <c r="G286" s="901"/>
      <c r="H286" s="901"/>
      <c r="I286" s="901"/>
      <c r="J286" s="52"/>
      <c r="K286" s="52"/>
      <c r="L286" s="53"/>
      <c r="M286" s="53"/>
      <c r="N286" s="53"/>
      <c r="O286" s="54"/>
      <c r="P286" s="55"/>
      <c r="AM286" s="56"/>
      <c r="AN286" s="56"/>
    </row>
    <row r="287" spans="3:40" ht="14.1">
      <c r="C287" s="57"/>
      <c r="D287" s="175" t="s">
        <v>274</v>
      </c>
      <c r="E287" s="180" t="str">
        <f>'BOD-Cold &amp; Amb.'!R330</f>
        <v>ISO 6</v>
      </c>
      <c r="F287" s="175" t="s">
        <v>275</v>
      </c>
      <c r="G287" s="180">
        <f>'BOD-Cold &amp; Amb.'!AK330</f>
        <v>42500</v>
      </c>
      <c r="H287" s="175" t="s">
        <v>276</v>
      </c>
      <c r="I287" s="181">
        <f>'BOD-Cold &amp; Amb.'!AQ330</f>
        <v>108.5</v>
      </c>
      <c r="J287" s="902" t="s">
        <v>277</v>
      </c>
      <c r="K287" s="902">
        <v>1</v>
      </c>
      <c r="L287" s="917">
        <f>Q287</f>
        <v>2070750</v>
      </c>
      <c r="M287" s="902">
        <f>K287*L287</f>
        <v>2070750</v>
      </c>
      <c r="N287" s="902"/>
      <c r="O287" s="902"/>
      <c r="P287" s="902"/>
      <c r="Q287" s="913">
        <f t="shared" ref="Q287" si="171">CEILING((S287+T287+U287+V287+W287),250)</f>
        <v>2070750</v>
      </c>
      <c r="R287" s="913">
        <f>IF(I287&gt;0,625,375)</f>
        <v>625</v>
      </c>
      <c r="S287" s="913">
        <f>(E288*G288*3*10.76+E288*I288*2*10.76+G288*I288*2*10.76)*R287/(1000*1000)</f>
        <v>883396</v>
      </c>
      <c r="T287" s="913">
        <f>I287*4*1050</f>
        <v>455700</v>
      </c>
      <c r="U287" s="912">
        <f>IF(G287&lt;=2000,5000,(IF(G287&lt;=5000,8000,(IF(G287&lt;=10000,10000,(IF(G287&lt;=18000,15000,(IF(G287&lt;=40000,20000,25000)))))))))</f>
        <v>25000</v>
      </c>
      <c r="V287" s="912">
        <f t="shared" ref="V287" si="172">IF(X287=200,17150,(IF(X287=225,18150,(IF(X287=250,18900,(IF(X287=280,19150,(IF(X287=315,19650,(IF(X287=355,21900,(IF(X287=400,24400,0)))))))))))))+IF(X287=450,31000,(IF(X287=500,37450,(IF(X287=560,45650,(IF(X287=630,58900,(IF(X287=710,77950,0)))))))))+IF(X287=800,119650,(IF(X287=900,153300,(IF(X287=1000,178900,(IF(X287=1120,286500,(IF(X287=1250,394500,(IF(X287=1450,461500,0)))))))))))</f>
        <v>286500</v>
      </c>
      <c r="W287" s="913">
        <f>IF(I289=0.5,16600,(IF(I289=1,19050,(IF(I289=1.5,21750,(IF(I289=2,23600,(IF(I289=3,30000,(IF(I289=5,38000,0)))))))))))*1.2+IF(I289=7.5,52300,(IF(I289=10,59600,0)))*1.2+IF(I289=12.5,100350,(IF(I289=15,106000,(IF(I289=20,129150,(IF(I289=25,146050,(IF(I289=30,173600,(IF(I289=40,233900,(IF(I289=50,304650,IF(I289=60,350000,400000)))))))))))))*1.2)</f>
        <v>420000</v>
      </c>
      <c r="X287" s="912">
        <f>E289</f>
        <v>1120</v>
      </c>
      <c r="Y287" s="912">
        <f t="shared" ref="Y287" si="173">IF(G287&lt;=6750,450,(IF(G287&lt;=8500,500,(IF(G287&lt;=10750,560,(IF(G287&lt;=13500,630,(IF(G287&lt;=17000,710,(IF(G287&lt;=21500,800,(IF(G287&lt;=27000,900,(IF(G287&lt;=34000,1000,0)))))))))))))))</f>
        <v>0</v>
      </c>
      <c r="Z287" s="912">
        <f t="shared" ref="Z287" si="174">IF(G287&lt;=1300,200,(IF(G287&lt;=1600,225,(IF(G287&lt;=2100,250,(IF(G287&lt;=2700,280,(IF(G287&lt;=3450,315,(IF(G287&lt;=4250,355,(IF(G287&lt;=5250,400,(IF(G287&lt;=6750,450,0)))))))))))))))</f>
        <v>0</v>
      </c>
      <c r="AA287" s="912">
        <f t="shared" ref="AA287" si="175">IF(G287&lt;=2000,5000,(IF(G287&lt;=5000,8000,(IF(G287&lt;=10000,10000,(IF(G287&lt;=18000,15000,(IF(G287&lt;=40000,20000,10000)))))))))</f>
        <v>10000</v>
      </c>
      <c r="AB287" s="912">
        <f>IF(E288=950,2,(IF(E288=1150,3,(IF(E288=1550,4,(IF(E288=1750,5,(IF(E288=2050,6,(IF(E288=2900,8,(IF(E288=3600,10,12)))))))))))))</f>
        <v>12</v>
      </c>
      <c r="AC287" s="912">
        <f>IF(G288=950,2,(IF(G288=1150,3,(IF(G288=1550,4,(IF(G288=1750,5,(IF(G288=2050,6,(IF(G288=2900,8,(IF(G288=3600,10,12)))))))))))))</f>
        <v>10</v>
      </c>
      <c r="AD287" s="912">
        <f t="shared" ref="AD287" si="176">AC287*AB287</f>
        <v>120</v>
      </c>
      <c r="AE287" s="912">
        <v>150</v>
      </c>
      <c r="AF287" s="912">
        <f t="shared" ref="AF287" si="177">CEILING((SQRT(G287/1000))*4*2*AE287*1.25*K287,100)</f>
        <v>9800</v>
      </c>
      <c r="AG287" s="912">
        <f>E295*F295*H295/(305*305)</f>
        <v>0</v>
      </c>
      <c r="AH287" s="912">
        <f>E296*F296*H296/(305*305)</f>
        <v>36</v>
      </c>
      <c r="AI287" s="912">
        <f>H297*E297*F297/(305*305)</f>
        <v>36</v>
      </c>
      <c r="AJ287" s="912">
        <f>H298*E298*F298/(305*305)</f>
        <v>36</v>
      </c>
      <c r="AK287" s="912">
        <f>H299*E299*F299/(305*305)</f>
        <v>0</v>
      </c>
      <c r="AL287" s="912"/>
      <c r="AM287" s="915">
        <f t="shared" ref="AM287" si="178">(G287*2.2/1100)</f>
        <v>85.000000000000014</v>
      </c>
      <c r="AN287" s="915">
        <f t="shared" ref="AN287" si="179">(G287*1/1100)</f>
        <v>38.636363636363633</v>
      </c>
    </row>
    <row r="288" spans="3:40" ht="14.1">
      <c r="C288" s="57"/>
      <c r="D288" s="175" t="s">
        <v>278</v>
      </c>
      <c r="E288" s="180">
        <f>'BOD-Cold &amp; Amb.'!AL331</f>
        <v>4000</v>
      </c>
      <c r="F288" s="175" t="s">
        <v>279</v>
      </c>
      <c r="G288" s="180">
        <f>'BOD-Cold &amp; Amb.'!AL333</f>
        <v>3600</v>
      </c>
      <c r="H288" s="175" t="s">
        <v>280</v>
      </c>
      <c r="I288" s="181">
        <f>'BOD-Cold &amp; Amb.'!AL335</f>
        <v>5800</v>
      </c>
      <c r="J288" s="902"/>
      <c r="K288" s="902"/>
      <c r="L288" s="902"/>
      <c r="M288" s="902"/>
      <c r="N288" s="902"/>
      <c r="O288" s="902"/>
      <c r="P288" s="902"/>
      <c r="Q288" s="913"/>
      <c r="R288" s="913"/>
      <c r="S288" s="913"/>
      <c r="T288" s="913"/>
      <c r="U288" s="912"/>
      <c r="V288" s="912"/>
      <c r="W288" s="913"/>
      <c r="X288" s="912"/>
      <c r="Y288" s="912"/>
      <c r="Z288" s="912"/>
      <c r="AA288" s="912"/>
      <c r="AB288" s="912"/>
      <c r="AC288" s="912"/>
      <c r="AD288" s="912"/>
      <c r="AE288" s="912"/>
      <c r="AF288" s="912"/>
      <c r="AG288" s="912"/>
      <c r="AH288" s="912"/>
      <c r="AI288" s="912"/>
      <c r="AJ288" s="912"/>
      <c r="AK288" s="912"/>
      <c r="AL288" s="912"/>
      <c r="AM288" s="915"/>
      <c r="AN288" s="915"/>
    </row>
    <row r="289" spans="3:40" ht="14.1">
      <c r="C289" s="57"/>
      <c r="D289" s="175" t="s">
        <v>281</v>
      </c>
      <c r="E289" s="180">
        <f>'BOD-Cold &amp; Amb.'!AN330</f>
        <v>1120</v>
      </c>
      <c r="F289" s="176" t="s">
        <v>282</v>
      </c>
      <c r="G289" s="180">
        <f>'BOD-Cold &amp; Amb.'!AM330</f>
        <v>150</v>
      </c>
      <c r="H289" s="176" t="s">
        <v>283</v>
      </c>
      <c r="I289" s="181">
        <f>'BOD-Cold &amp; Amb.'!AO330</f>
        <v>60</v>
      </c>
      <c r="J289" s="902"/>
      <c r="K289" s="902"/>
      <c r="L289" s="902"/>
      <c r="M289" s="902"/>
      <c r="N289" s="902"/>
      <c r="O289" s="902"/>
      <c r="P289" s="902"/>
      <c r="Q289" s="913"/>
      <c r="R289" s="913"/>
      <c r="S289" s="913"/>
      <c r="T289" s="913"/>
      <c r="U289" s="912"/>
      <c r="V289" s="912"/>
      <c r="W289" s="913"/>
      <c r="X289" s="912"/>
      <c r="Y289" s="912"/>
      <c r="Z289" s="912"/>
      <c r="AA289" s="912"/>
      <c r="AB289" s="912"/>
      <c r="AC289" s="912"/>
      <c r="AD289" s="912"/>
      <c r="AE289" s="912"/>
      <c r="AF289" s="912"/>
      <c r="AG289" s="912"/>
      <c r="AH289" s="912"/>
      <c r="AI289" s="912"/>
      <c r="AJ289" s="912"/>
      <c r="AK289" s="912"/>
      <c r="AL289" s="912"/>
      <c r="AM289" s="915"/>
      <c r="AN289" s="915"/>
    </row>
    <row r="290" spans="3:40" ht="21.6" customHeight="1">
      <c r="C290" s="57"/>
      <c r="D290" s="175" t="s">
        <v>284</v>
      </c>
      <c r="E290" s="180">
        <f>'BOD-Cold &amp; Amb.'!AP330</f>
        <v>4</v>
      </c>
      <c r="F290" s="832" t="s">
        <v>285</v>
      </c>
      <c r="G290" s="837" t="str">
        <f>IF(OR(I287=0, E290="Amb"), "Amb",IF('BOD-Cold &amp; Amb.'!AH250="C", "Header",IF('BOD-Cold &amp; Amb.'!AH250="D", "Distributor", "Refer")))</f>
        <v>Header</v>
      </c>
      <c r="H290" s="832" t="s">
        <v>286</v>
      </c>
      <c r="I290" s="833" t="str">
        <f>IF(OR(I287=0, E290=0), 0,ROUND(((( I287/E290)*304.8)/(E288-400))*1000,0)&amp;" h "&amp;" x " &amp; (E288-400)&amp;" w ")</f>
        <v xml:space="preserve">2297 h  x 3600 w </v>
      </c>
      <c r="J290" s="902"/>
      <c r="K290" s="902"/>
      <c r="L290" s="902"/>
      <c r="M290" s="902"/>
      <c r="N290" s="902"/>
      <c r="O290" s="902"/>
      <c r="P290" s="902"/>
      <c r="Q290" s="913"/>
      <c r="R290" s="913"/>
      <c r="S290" s="913"/>
      <c r="T290" s="913"/>
      <c r="U290" s="912"/>
      <c r="V290" s="912"/>
      <c r="W290" s="913"/>
      <c r="X290" s="912"/>
      <c r="Y290" s="912"/>
      <c r="Z290" s="912"/>
      <c r="AA290" s="912"/>
      <c r="AB290" s="912"/>
      <c r="AC290" s="912"/>
      <c r="AD290" s="912"/>
      <c r="AE290" s="912"/>
      <c r="AF290" s="912"/>
      <c r="AG290" s="912"/>
      <c r="AH290" s="912"/>
      <c r="AI290" s="912"/>
      <c r="AJ290" s="912"/>
      <c r="AK290" s="912"/>
      <c r="AL290" s="912"/>
      <c r="AM290" s="915"/>
      <c r="AN290" s="915"/>
    </row>
    <row r="291" spans="3:40" ht="21">
      <c r="C291" s="57"/>
      <c r="D291" s="175" t="s">
        <v>287</v>
      </c>
      <c r="E291" s="180">
        <f>'BOD-Cold &amp; Amb.'!AR330</f>
        <v>3</v>
      </c>
      <c r="F291" s="176" t="s">
        <v>288</v>
      </c>
      <c r="G291" s="177" t="str">
        <f>IF(E291=4,"10µ, 5µ, 1µ &amp; 0.3µ (HEPA Plenum Fitted 95% eff.)",IF(E291=3,"10µ, 5µ &amp; 1µ ",IF(E291=2,"10µ  &amp; 5µ",IF(E291=1,"10µ", "Filter Ratings"))))</f>
        <v xml:space="preserve">10µ, 5µ &amp; 1µ </v>
      </c>
      <c r="H291" s="178"/>
      <c r="I291" s="179"/>
      <c r="J291" s="902"/>
      <c r="K291" s="902"/>
      <c r="L291" s="902"/>
      <c r="M291" s="902"/>
      <c r="N291" s="902"/>
      <c r="O291" s="902"/>
      <c r="P291" s="902"/>
      <c r="Q291" s="913"/>
      <c r="R291" s="913"/>
      <c r="S291" s="913"/>
      <c r="T291" s="913"/>
      <c r="U291" s="912"/>
      <c r="V291" s="912"/>
      <c r="W291" s="913"/>
      <c r="X291" s="912"/>
      <c r="Y291" s="912"/>
      <c r="Z291" s="912"/>
      <c r="AA291" s="912"/>
      <c r="AB291" s="912"/>
      <c r="AC291" s="912"/>
      <c r="AD291" s="912"/>
      <c r="AE291" s="912"/>
      <c r="AF291" s="912"/>
      <c r="AG291" s="912"/>
      <c r="AH291" s="912"/>
      <c r="AI291" s="912"/>
      <c r="AJ291" s="912"/>
      <c r="AK291" s="912"/>
      <c r="AL291" s="912"/>
      <c r="AM291" s="915"/>
      <c r="AN291" s="915"/>
    </row>
    <row r="292" spans="3:40">
      <c r="C292" s="57"/>
      <c r="D292" s="922" t="s">
        <v>289</v>
      </c>
      <c r="E292" s="923"/>
      <c r="F292" s="923"/>
      <c r="G292" s="923"/>
      <c r="H292" s="923"/>
      <c r="I292" s="924"/>
      <c r="J292" s="902"/>
      <c r="K292" s="902"/>
      <c r="L292" s="902"/>
      <c r="M292" s="902"/>
      <c r="N292" s="902"/>
      <c r="O292" s="902"/>
      <c r="P292" s="902"/>
      <c r="Q292" s="913"/>
      <c r="R292" s="913"/>
      <c r="S292" s="913"/>
      <c r="T292" s="913"/>
      <c r="U292" s="912"/>
      <c r="V292" s="912"/>
      <c r="W292" s="913"/>
      <c r="X292" s="912"/>
      <c r="Y292" s="912"/>
      <c r="Z292" s="912"/>
      <c r="AA292" s="912"/>
      <c r="AB292" s="912"/>
      <c r="AC292" s="912"/>
      <c r="AD292" s="912"/>
      <c r="AE292" s="912"/>
      <c r="AF292" s="912"/>
      <c r="AG292" s="912"/>
      <c r="AH292" s="912"/>
      <c r="AI292" s="912"/>
      <c r="AJ292" s="912"/>
      <c r="AK292" s="912"/>
      <c r="AL292" s="912"/>
      <c r="AM292" s="915"/>
      <c r="AN292" s="915"/>
    </row>
    <row r="293" spans="3:40" ht="24.95">
      <c r="C293" s="57"/>
      <c r="D293" s="58" t="s">
        <v>290</v>
      </c>
      <c r="E293" s="58" t="s">
        <v>291</v>
      </c>
      <c r="F293" s="58" t="s">
        <v>292</v>
      </c>
      <c r="G293" s="58" t="s">
        <v>293</v>
      </c>
      <c r="H293" s="58" t="s">
        <v>294</v>
      </c>
      <c r="I293" s="179"/>
      <c r="J293" s="902"/>
      <c r="K293" s="902"/>
      <c r="L293" s="902"/>
      <c r="M293" s="902"/>
      <c r="N293" s="902"/>
      <c r="O293" s="902"/>
      <c r="P293" s="902"/>
      <c r="Q293" s="913"/>
      <c r="R293" s="913"/>
      <c r="S293" s="913"/>
      <c r="T293" s="913"/>
      <c r="U293" s="912"/>
      <c r="V293" s="912"/>
      <c r="W293" s="913"/>
      <c r="X293" s="912"/>
      <c r="Y293" s="912"/>
      <c r="Z293" s="912"/>
      <c r="AA293" s="912"/>
      <c r="AB293" s="912"/>
      <c r="AC293" s="912"/>
      <c r="AD293" s="912"/>
      <c r="AE293" s="912"/>
      <c r="AF293" s="912"/>
      <c r="AG293" s="912"/>
      <c r="AH293" s="912"/>
      <c r="AI293" s="912"/>
      <c r="AJ293" s="912"/>
      <c r="AK293" s="912"/>
      <c r="AL293" s="912"/>
      <c r="AM293" s="915"/>
      <c r="AN293" s="915"/>
    </row>
    <row r="294" spans="3:40" ht="14.1">
      <c r="C294" s="57"/>
      <c r="D294" s="58"/>
      <c r="E294" s="58">
        <f>IF(E288=950,2,(IF(E288=1150,3,(IF(E288=1550,4,(IF(E288=1750,5,(IF(E288=2050,6,(IF(E288=2900,8,(IF(E288=3600,10,IF(E288=4000,12,0))))))))))))))</f>
        <v>12</v>
      </c>
      <c r="F294" s="58">
        <f>IF(G288=950,2,(IF(G288=1150,3,(IF(G288=1550,4,(IF(G288=1750,5,(IF(G288=2050,6,(IF(G288=2900,8,(IF(G288=3600,10,IF(E288=4000,12,0))))))))))))))</f>
        <v>10</v>
      </c>
      <c r="G294" s="58"/>
      <c r="H294" s="60"/>
      <c r="I294" s="834"/>
      <c r="J294" s="902"/>
      <c r="K294" s="902"/>
      <c r="L294" s="902"/>
      <c r="M294" s="902"/>
      <c r="N294" s="902"/>
      <c r="O294" s="902"/>
      <c r="P294" s="902"/>
      <c r="Q294" s="913"/>
      <c r="R294" s="913"/>
      <c r="S294" s="913"/>
      <c r="T294" s="913"/>
      <c r="U294" s="912"/>
      <c r="V294" s="912"/>
      <c r="W294" s="913"/>
      <c r="X294" s="912"/>
      <c r="Y294" s="912"/>
      <c r="Z294" s="912"/>
      <c r="AA294" s="912"/>
      <c r="AB294" s="912"/>
      <c r="AC294" s="912"/>
      <c r="AD294" s="912"/>
      <c r="AE294" s="912"/>
      <c r="AF294" s="912"/>
      <c r="AG294" s="912"/>
      <c r="AH294" s="912"/>
      <c r="AI294" s="912"/>
      <c r="AJ294" s="912"/>
      <c r="AK294" s="912"/>
      <c r="AL294" s="912"/>
      <c r="AM294" s="915"/>
      <c r="AN294" s="915"/>
    </row>
    <row r="295" spans="3:40" ht="14.1">
      <c r="C295" s="57"/>
      <c r="D295" s="58">
        <f>IF(AND(I287=0, OR(E291=1, E291=2, E291=3, E291=4, E291=5)), "20µ", 0)</f>
        <v>0</v>
      </c>
      <c r="E295" s="58">
        <f>IF(OR(D295=0),0,IF(MOD($E$42*$F$42,2)=0,"610",IF(MOD($E$42*$F$42,2.5)=0,"760",IF(MOD($E$42*$F$42,3)=0,"915","Refer"))))</f>
        <v>0</v>
      </c>
      <c r="F295" s="58">
        <f>IF(OR(D295=0),0,IF(MOD($E$42*$F$42,6)=0,"915",IF(MOD($E$42*$F$42,5)=0,"760",IF(MOD($E$42*$F$42,4)=0,"610","Refer"))))</f>
        <v>0</v>
      </c>
      <c r="G295" s="58">
        <f>IF(D295=0,0,100)</f>
        <v>0</v>
      </c>
      <c r="H295" s="60">
        <f>IF(D295=0,0,($E$42*$F$42*305*305)/(E295*F295))</f>
        <v>0</v>
      </c>
      <c r="I295" s="834"/>
      <c r="J295" s="902"/>
      <c r="K295" s="902"/>
      <c r="L295" s="902"/>
      <c r="M295" s="902"/>
      <c r="N295" s="902"/>
      <c r="O295" s="902"/>
      <c r="P295" s="902"/>
      <c r="Q295" s="55"/>
      <c r="R295" s="55"/>
      <c r="S295" s="55"/>
      <c r="T295" s="55"/>
      <c r="U295" s="45"/>
      <c r="V295" s="45"/>
      <c r="W295" s="55"/>
      <c r="X295" s="45"/>
      <c r="Y295" s="45"/>
      <c r="Z295" s="45"/>
      <c r="AA295" s="45"/>
      <c r="AB295" s="45"/>
      <c r="AC295" s="45"/>
      <c r="AD295" s="45"/>
      <c r="AE295" s="45"/>
      <c r="AF295" s="45"/>
      <c r="AG295" s="45"/>
      <c r="AH295" s="45"/>
      <c r="AI295" s="45"/>
      <c r="AJ295" s="45"/>
      <c r="AK295" s="45"/>
      <c r="AL295" s="45"/>
      <c r="AM295" s="63"/>
      <c r="AN295" s="63"/>
    </row>
    <row r="296" spans="3:40" ht="14.1">
      <c r="C296" s="57"/>
      <c r="D296" s="58" t="str">
        <f>IF(E291=4,"10µ",IF(E291=3,"10µ",IF(E291=2,"10µ",IF(E291=1,"10µ",0))))</f>
        <v>10µ</v>
      </c>
      <c r="E296" s="58" t="str">
        <f>IF(OR(D296=0),0,IF(MOD($E$42*$F$42,2)=0,"610",IF(MOD($E$42*$F$42,2.5)=0,"760",IF(MOD($E$42*$F$42,3)=0,"915","Refer"))))</f>
        <v>610</v>
      </c>
      <c r="F296" s="58" t="str">
        <f>IF(OR(D296=0),0,IF(MOD($E$42*$F$42,6)=0,"915",IF(MOD($E$42*$F$42,5)=0,"760",IF(MOD($E$42*$F$42,4)=0,"610","Refer"))))</f>
        <v>915</v>
      </c>
      <c r="G296" s="58">
        <f>IF(D296=0,0,150)</f>
        <v>150</v>
      </c>
      <c r="H296" s="60">
        <f>IF(D296=0,0,($E$42*$F$42*305*305)/(E296*F296))</f>
        <v>6</v>
      </c>
      <c r="I296" s="834"/>
      <c r="J296" s="902"/>
      <c r="K296" s="902"/>
      <c r="L296" s="902"/>
      <c r="M296" s="902"/>
      <c r="N296" s="902"/>
      <c r="O296" s="902"/>
      <c r="P296" s="902"/>
      <c r="Q296" s="913"/>
      <c r="R296" s="913"/>
      <c r="S296" s="913"/>
      <c r="T296" s="913"/>
      <c r="U296" s="912"/>
      <c r="V296" s="912"/>
      <c r="W296" s="913"/>
      <c r="X296" s="912"/>
      <c r="Y296" s="912"/>
      <c r="Z296" s="912"/>
      <c r="AA296" s="912"/>
      <c r="AB296" s="912"/>
      <c r="AC296" s="912"/>
      <c r="AD296" s="912"/>
      <c r="AE296" s="912"/>
      <c r="AF296" s="912"/>
      <c r="AG296" s="912"/>
      <c r="AH296" s="912"/>
      <c r="AI296" s="912"/>
      <c r="AJ296" s="912"/>
      <c r="AK296" s="912"/>
      <c r="AL296" s="912"/>
      <c r="AM296" s="915"/>
      <c r="AN296" s="915"/>
    </row>
    <row r="297" spans="3:40" ht="14.1">
      <c r="C297" s="57"/>
      <c r="D297" s="58" t="str">
        <f>IF(E291=4,"5µ",IF(E291=3,"5µ",IF(E291=2,"5µ",0)))</f>
        <v>5µ</v>
      </c>
      <c r="E297" s="58" t="str">
        <f t="shared" ref="E297:E299" si="180">IF(OR(D297=0),0,IF(MOD($E$42*$F$42,2)=0,"610",IF(MOD($E$42*$F$42,2.5)=0,"760",IF(MOD($E$42*$F$42,3)=0,"915","Refer"))))</f>
        <v>610</v>
      </c>
      <c r="F297" s="58" t="str">
        <f>IF(OR(D297=0),0,IF(MOD($E$42*$F$42,6)=0,"915",IF(MOD($E$42*$F$42,5)=0,"760",IF(MOD($E$42*$F$42,4)=0,"610","Refer"))))</f>
        <v>915</v>
      </c>
      <c r="G297" s="58">
        <f>IF(D297=0,0,300)</f>
        <v>300</v>
      </c>
      <c r="H297" s="60">
        <f>IF(D297=0,0,($E$42*$F$42*305*305)/(E297*F297))</f>
        <v>6</v>
      </c>
      <c r="I297" s="834"/>
      <c r="J297" s="902"/>
      <c r="K297" s="902"/>
      <c r="L297" s="902"/>
      <c r="M297" s="902"/>
      <c r="N297" s="902"/>
      <c r="O297" s="902"/>
      <c r="P297" s="902"/>
      <c r="Q297" s="913"/>
      <c r="R297" s="913"/>
      <c r="S297" s="913"/>
      <c r="T297" s="913"/>
      <c r="U297" s="912"/>
      <c r="V297" s="912"/>
      <c r="W297" s="913"/>
      <c r="X297" s="912"/>
      <c r="Y297" s="912"/>
      <c r="Z297" s="912"/>
      <c r="AA297" s="912"/>
      <c r="AB297" s="912"/>
      <c r="AC297" s="912"/>
      <c r="AD297" s="912"/>
      <c r="AE297" s="912"/>
      <c r="AF297" s="912"/>
      <c r="AG297" s="912"/>
      <c r="AH297" s="912"/>
      <c r="AI297" s="912"/>
      <c r="AJ297" s="912"/>
      <c r="AK297" s="912"/>
      <c r="AL297" s="912"/>
      <c r="AM297" s="915"/>
      <c r="AN297" s="915"/>
    </row>
    <row r="298" spans="3:40" ht="14.1">
      <c r="C298" s="57"/>
      <c r="D298" s="58" t="str">
        <f>IF(E291=4,"1µ",IF(E291=3,"1µ",0))</f>
        <v>1µ</v>
      </c>
      <c r="E298" s="58" t="str">
        <f t="shared" si="180"/>
        <v>610</v>
      </c>
      <c r="F298" s="58" t="str">
        <f>IF(OR(D298=0),0,IF(MOD($E$42*$F$42,6)=0,"915",IF(MOD($E$42*$F$42,5)=0,"760",IF(MOD($E$42*$F$42,4)=0,"610","Refer"))))</f>
        <v>915</v>
      </c>
      <c r="G298" s="58">
        <f>IF(D298=0,0,300)</f>
        <v>300</v>
      </c>
      <c r="H298" s="60">
        <f>IF(D298=0,0,($E$42*$F$42*305*305)/(E298*F298))</f>
        <v>6</v>
      </c>
      <c r="I298" s="834"/>
      <c r="J298" s="902"/>
      <c r="K298" s="902"/>
      <c r="L298" s="902"/>
      <c r="M298" s="902"/>
      <c r="N298" s="902"/>
      <c r="O298" s="902"/>
      <c r="P298" s="902"/>
      <c r="Q298" s="913"/>
      <c r="R298" s="913"/>
      <c r="S298" s="913"/>
      <c r="T298" s="913"/>
      <c r="U298" s="912"/>
      <c r="V298" s="912"/>
      <c r="W298" s="913"/>
      <c r="X298" s="912"/>
      <c r="Y298" s="912"/>
      <c r="Z298" s="912"/>
      <c r="AA298" s="912"/>
      <c r="AB298" s="912"/>
      <c r="AC298" s="912"/>
      <c r="AD298" s="912"/>
      <c r="AE298" s="912"/>
      <c r="AF298" s="912"/>
      <c r="AG298" s="912"/>
      <c r="AH298" s="912"/>
      <c r="AI298" s="912"/>
      <c r="AJ298" s="912"/>
      <c r="AK298" s="912"/>
      <c r="AL298" s="912"/>
      <c r="AM298" s="915"/>
      <c r="AN298" s="915"/>
    </row>
    <row r="299" spans="3:40" ht="14.1">
      <c r="C299" s="57"/>
      <c r="D299" s="58">
        <f>IF(E291=4,"0.3µ 95% Eff. HEPA Filetr",0)</f>
        <v>0</v>
      </c>
      <c r="E299" s="58">
        <f t="shared" si="180"/>
        <v>0</v>
      </c>
      <c r="F299" s="58">
        <f>IF(OR(D299=0),0,IF(MOD($E$42*$F$42,6)=0,"915",IF(MOD($E$42*$F$42,5)=0,"760",IF(MOD($E$42*$F$42,4)=0,"610","Refer"))))</f>
        <v>0</v>
      </c>
      <c r="G299" s="58">
        <f>IF(D299=0,0,300)</f>
        <v>0</v>
      </c>
      <c r="H299" s="60">
        <f>IF(D299=0,0,($E$42*$F$42*305*305)/(E299*F299))</f>
        <v>0</v>
      </c>
      <c r="I299" s="836"/>
      <c r="J299" s="902"/>
      <c r="K299" s="902"/>
      <c r="L299" s="902"/>
      <c r="M299" s="902"/>
      <c r="N299" s="902"/>
      <c r="O299" s="902"/>
      <c r="P299" s="902"/>
      <c r="Q299" s="913"/>
      <c r="R299" s="913"/>
      <c r="S299" s="913"/>
      <c r="T299" s="913"/>
      <c r="U299" s="912"/>
      <c r="V299" s="912"/>
      <c r="W299" s="913"/>
      <c r="X299" s="912"/>
      <c r="Y299" s="912"/>
      <c r="Z299" s="912"/>
      <c r="AA299" s="912"/>
      <c r="AB299" s="912"/>
      <c r="AC299" s="912"/>
      <c r="AD299" s="912"/>
      <c r="AE299" s="912"/>
      <c r="AF299" s="912"/>
      <c r="AG299" s="912"/>
      <c r="AH299" s="912"/>
      <c r="AI299" s="912"/>
      <c r="AJ299" s="912"/>
      <c r="AK299" s="912"/>
      <c r="AL299" s="912"/>
      <c r="AM299" s="915"/>
      <c r="AN299" s="915"/>
    </row>
    <row r="300" spans="3:40" ht="14.1">
      <c r="C300" s="57"/>
      <c r="D300" s="826"/>
      <c r="E300" s="182"/>
      <c r="F300" s="182"/>
      <c r="G300" s="182"/>
      <c r="H300" s="182"/>
      <c r="I300" s="827"/>
      <c r="J300" s="52"/>
      <c r="K300" s="52"/>
      <c r="L300" s="52"/>
      <c r="M300" s="52"/>
      <c r="N300" s="52"/>
      <c r="O300" s="828"/>
      <c r="P300" s="828"/>
      <c r="Q300" s="55"/>
      <c r="R300" s="55"/>
      <c r="S300" s="55"/>
      <c r="T300" s="55"/>
      <c r="U300" s="45"/>
      <c r="V300" s="45"/>
      <c r="W300" s="55"/>
      <c r="X300" s="45"/>
      <c r="Y300" s="45"/>
      <c r="Z300" s="45"/>
      <c r="AA300" s="45"/>
      <c r="AB300" s="45"/>
      <c r="AC300" s="45"/>
      <c r="AD300" s="45"/>
      <c r="AE300" s="45"/>
      <c r="AF300" s="45"/>
      <c r="AG300" s="45"/>
      <c r="AH300" s="45"/>
      <c r="AI300" s="45"/>
      <c r="AJ300" s="45"/>
      <c r="AK300" s="45"/>
      <c r="AL300" s="45"/>
      <c r="AM300" s="63"/>
      <c r="AN300" s="63"/>
    </row>
    <row r="301" spans="3:40" ht="14.1" customHeight="1">
      <c r="C301" s="57"/>
      <c r="D301" s="901" t="str">
        <f>"AHU - " &amp; INT((ROW()-34)/14)+1 &amp; "  " &amp; IF(I302&gt;0,"Air-Conditioning System " &amp; IF(OR(G305="Header", G305="C"), "(Chilled Water)",IF(OR(G305="Distributor", G305="D"), "(DX)", "Ventilation System")),IF(NOT(I302&gt;0), "Ventilation System ( SUPPLY )", "Refer"))</f>
        <v>AHU - 20  Air-Conditioning System (Chilled Water)</v>
      </c>
      <c r="E301" s="901"/>
      <c r="F301" s="901"/>
      <c r="G301" s="901"/>
      <c r="H301" s="901"/>
      <c r="I301" s="901"/>
      <c r="J301" s="52"/>
      <c r="K301" s="52"/>
      <c r="L301" s="53"/>
      <c r="M301" s="53"/>
      <c r="N301" s="53"/>
      <c r="O301" s="54"/>
      <c r="P301" s="55"/>
      <c r="AM301" s="56"/>
      <c r="AN301" s="56"/>
    </row>
    <row r="302" spans="3:40" ht="14.1">
      <c r="C302" s="57"/>
      <c r="D302" s="175" t="s">
        <v>274</v>
      </c>
      <c r="E302" s="180" t="str">
        <f>'BOD-Cold &amp; Amb.'!R350</f>
        <v>ISO 5</v>
      </c>
      <c r="F302" s="175" t="s">
        <v>275</v>
      </c>
      <c r="G302" s="180">
        <f>'BOD-Cold &amp; Amb.'!AK350</f>
        <v>42500</v>
      </c>
      <c r="H302" s="175" t="s">
        <v>276</v>
      </c>
      <c r="I302" s="181">
        <f>'BOD-Cold &amp; Amb.'!AQ350</f>
        <v>108.5</v>
      </c>
      <c r="J302" s="902" t="s">
        <v>277</v>
      </c>
      <c r="K302" s="902">
        <v>1</v>
      </c>
      <c r="L302" s="917">
        <f>Q302</f>
        <v>2173000</v>
      </c>
      <c r="M302" s="902">
        <f>K302*L302</f>
        <v>2173000</v>
      </c>
      <c r="N302" s="902"/>
      <c r="O302" s="902"/>
      <c r="P302" s="902"/>
      <c r="Q302" s="913">
        <f t="shared" ref="Q302" si="181">CEILING((S302+T302+U302+V302+W302),250)</f>
        <v>2173000</v>
      </c>
      <c r="R302" s="913">
        <f>IF(I302&gt;0,625,375)</f>
        <v>625</v>
      </c>
      <c r="S302" s="913">
        <f>(E303*G303*3*10.76+E303*I303*2*10.76+G303*I303*2*10.76)*R302/(1000*1000)</f>
        <v>985616</v>
      </c>
      <c r="T302" s="913">
        <f>I302*4*1050</f>
        <v>455700</v>
      </c>
      <c r="U302" s="912">
        <f>IF(G302&lt;=2000,5000,(IF(G302&lt;=5000,8000,(IF(G302&lt;=10000,10000,(IF(G302&lt;=18000,15000,(IF(G302&lt;=40000,20000,25000)))))))))</f>
        <v>25000</v>
      </c>
      <c r="V302" s="912">
        <f t="shared" ref="V302" si="182">IF(X302=200,17150,(IF(X302=225,18150,(IF(X302=250,18900,(IF(X302=280,19150,(IF(X302=315,19650,(IF(X302=355,21900,(IF(X302=400,24400,0)))))))))))))+IF(X302=450,31000,(IF(X302=500,37450,(IF(X302=560,45650,(IF(X302=630,58900,(IF(X302=710,77950,0)))))))))+IF(X302=800,119650,(IF(X302=900,153300,(IF(X302=1000,178900,(IF(X302=1120,286500,(IF(X302=1250,394500,(IF(X302=1450,461500,0)))))))))))</f>
        <v>286500</v>
      </c>
      <c r="W302" s="913">
        <f>IF(I304=0.5,16600,(IF(I304=1,19050,(IF(I304=1.5,21750,(IF(I304=2,23600,(IF(I304=3,30000,(IF(I304=5,38000,0)))))))))))*1.2+IF(I304=7.5,52300,(IF(I304=10,59600,0)))*1.2+IF(I304=12.5,100350,(IF(I304=15,106000,(IF(I304=20,129150,(IF(I304=25,146050,(IF(I304=30,173600,(IF(I304=40,233900,(IF(I304=50,304650,IF(I304=60,350000,400000)))))))))))))*1.2)</f>
        <v>420000</v>
      </c>
      <c r="X302" s="912">
        <f>E304</f>
        <v>1120</v>
      </c>
      <c r="Y302" s="912">
        <f t="shared" ref="Y302" si="183">IF(G302&lt;=6750,450,(IF(G302&lt;=8500,500,(IF(G302&lt;=10750,560,(IF(G302&lt;=13500,630,(IF(G302&lt;=17000,710,(IF(G302&lt;=21500,800,(IF(G302&lt;=27000,900,(IF(G302&lt;=34000,1000,0)))))))))))))))</f>
        <v>0</v>
      </c>
      <c r="Z302" s="912">
        <f t="shared" ref="Z302" si="184">IF(G302&lt;=1300,200,(IF(G302&lt;=1600,225,(IF(G302&lt;=2100,250,(IF(G302&lt;=2700,280,(IF(G302&lt;=3450,315,(IF(G302&lt;=4250,355,(IF(G302&lt;=5250,400,(IF(G302&lt;=6750,450,0)))))))))))))))</f>
        <v>0</v>
      </c>
      <c r="AA302" s="912">
        <f t="shared" ref="AA302" si="185">IF(G302&lt;=2000,5000,(IF(G302&lt;=5000,8000,(IF(G302&lt;=10000,10000,(IF(G302&lt;=18000,15000,(IF(G302&lt;=40000,20000,10000)))))))))</f>
        <v>10000</v>
      </c>
      <c r="AB302" s="912">
        <f>IF(E303=950,2,(IF(E303=1150,3,(IF(E303=1550,4,(IF(E303=1750,5,(IF(E303=2050,6,(IF(E303=2900,8,(IF(E303=3600,10,12)))))))))))))</f>
        <v>12</v>
      </c>
      <c r="AC302" s="912">
        <f>IF(G303=950,2,(IF(G303=1150,3,(IF(G303=1550,4,(IF(G303=1750,5,(IF(G303=2050,6,(IF(G303=2900,8,(IF(G303=3600,10,12)))))))))))))</f>
        <v>10</v>
      </c>
      <c r="AD302" s="912">
        <f t="shared" ref="AD302" si="186">AC302*AB302</f>
        <v>120</v>
      </c>
      <c r="AE302" s="912">
        <v>150</v>
      </c>
      <c r="AF302" s="912">
        <f t="shared" ref="AF302" si="187">CEILING((SQRT(G302/1000))*4*2*AE302*1.25*K302,100)</f>
        <v>9800</v>
      </c>
      <c r="AG302" s="912">
        <f>E310*F310*H310/(305*305)</f>
        <v>0</v>
      </c>
      <c r="AH302" s="912">
        <f>E311*F311*H311/(305*305)</f>
        <v>36</v>
      </c>
      <c r="AI302" s="912">
        <f>H312*E312*F312/(305*305)</f>
        <v>36</v>
      </c>
      <c r="AJ302" s="912">
        <f>H313*E313*F313/(305*305)</f>
        <v>36</v>
      </c>
      <c r="AK302" s="912">
        <f>H314*E314*F314/(305*305)</f>
        <v>36</v>
      </c>
      <c r="AL302" s="912"/>
      <c r="AM302" s="915">
        <f t="shared" ref="AM302" si="188">(G302*2.2/1100)</f>
        <v>85.000000000000014</v>
      </c>
      <c r="AN302" s="915">
        <f t="shared" ref="AN302" si="189">(G302*1/1100)</f>
        <v>38.636363636363633</v>
      </c>
    </row>
    <row r="303" spans="3:40" ht="14.1">
      <c r="C303" s="57"/>
      <c r="D303" s="175" t="s">
        <v>278</v>
      </c>
      <c r="E303" s="180">
        <f>'BOD-Cold &amp; Amb.'!AL351</f>
        <v>4000</v>
      </c>
      <c r="F303" s="175" t="s">
        <v>279</v>
      </c>
      <c r="G303" s="180">
        <f>'BOD-Cold &amp; Amb.'!AL353</f>
        <v>3600</v>
      </c>
      <c r="H303" s="175" t="s">
        <v>280</v>
      </c>
      <c r="I303" s="181">
        <f>'BOD-Cold &amp; Amb.'!AL355</f>
        <v>6800</v>
      </c>
      <c r="J303" s="902"/>
      <c r="K303" s="902"/>
      <c r="L303" s="902"/>
      <c r="M303" s="902"/>
      <c r="N303" s="902"/>
      <c r="O303" s="902"/>
      <c r="P303" s="902"/>
      <c r="Q303" s="913"/>
      <c r="R303" s="913"/>
      <c r="S303" s="913"/>
      <c r="T303" s="913"/>
      <c r="U303" s="912"/>
      <c r="V303" s="912"/>
      <c r="W303" s="913"/>
      <c r="X303" s="912"/>
      <c r="Y303" s="912"/>
      <c r="Z303" s="912"/>
      <c r="AA303" s="912"/>
      <c r="AB303" s="912"/>
      <c r="AC303" s="912"/>
      <c r="AD303" s="912"/>
      <c r="AE303" s="912"/>
      <c r="AF303" s="912"/>
      <c r="AG303" s="912"/>
      <c r="AH303" s="912"/>
      <c r="AI303" s="912"/>
      <c r="AJ303" s="912"/>
      <c r="AK303" s="912"/>
      <c r="AL303" s="912"/>
      <c r="AM303" s="915"/>
      <c r="AN303" s="915"/>
    </row>
    <row r="304" spans="3:40" ht="14.1">
      <c r="C304" s="57"/>
      <c r="D304" s="175" t="s">
        <v>281</v>
      </c>
      <c r="E304" s="180">
        <f>'BOD-Cold &amp; Amb.'!AN350</f>
        <v>1120</v>
      </c>
      <c r="F304" s="176" t="s">
        <v>282</v>
      </c>
      <c r="G304" s="180">
        <f>'BOD-Cold &amp; Amb.'!AM350</f>
        <v>150</v>
      </c>
      <c r="H304" s="176" t="s">
        <v>283</v>
      </c>
      <c r="I304" s="181">
        <f>'BOD-Cold &amp; Amb.'!AO350</f>
        <v>60</v>
      </c>
      <c r="J304" s="902"/>
      <c r="K304" s="902"/>
      <c r="L304" s="902"/>
      <c r="M304" s="902"/>
      <c r="N304" s="902"/>
      <c r="O304" s="902"/>
      <c r="P304" s="902"/>
      <c r="Q304" s="913"/>
      <c r="R304" s="913"/>
      <c r="S304" s="913"/>
      <c r="T304" s="913"/>
      <c r="U304" s="912"/>
      <c r="V304" s="912"/>
      <c r="W304" s="913"/>
      <c r="X304" s="912"/>
      <c r="Y304" s="912"/>
      <c r="Z304" s="912"/>
      <c r="AA304" s="912"/>
      <c r="AB304" s="912"/>
      <c r="AC304" s="912"/>
      <c r="AD304" s="912"/>
      <c r="AE304" s="912"/>
      <c r="AF304" s="912"/>
      <c r="AG304" s="912"/>
      <c r="AH304" s="912"/>
      <c r="AI304" s="912"/>
      <c r="AJ304" s="912"/>
      <c r="AK304" s="912"/>
      <c r="AL304" s="912"/>
      <c r="AM304" s="915"/>
      <c r="AN304" s="915"/>
    </row>
    <row r="305" spans="3:40" ht="21.6" customHeight="1">
      <c r="C305" s="57"/>
      <c r="D305" s="175" t="s">
        <v>284</v>
      </c>
      <c r="E305" s="180">
        <f>'BOD-Cold &amp; Amb.'!AP350</f>
        <v>4</v>
      </c>
      <c r="F305" s="832" t="s">
        <v>285</v>
      </c>
      <c r="G305" s="837" t="str">
        <f>IF(OR(I302=0, E305="Amb"), "Amb",IF('BOD-Cold &amp; Amb.'!AH265="C", "Header",IF('BOD-Cold &amp; Amb.'!AH265="D", "Distributor", "Refer")))</f>
        <v>Header</v>
      </c>
      <c r="H305" s="832" t="s">
        <v>286</v>
      </c>
      <c r="I305" s="833" t="str">
        <f>IF(OR(I302=0, E305=0), 0,ROUND(((( I302/E305)*304.8)/(E303-400))*1000,0)&amp;" h "&amp;" x " &amp; (E303-400)&amp;" w ")</f>
        <v xml:space="preserve">2297 h  x 3600 w </v>
      </c>
      <c r="J305" s="902"/>
      <c r="K305" s="902"/>
      <c r="L305" s="902"/>
      <c r="M305" s="902"/>
      <c r="N305" s="902"/>
      <c r="O305" s="902"/>
      <c r="P305" s="902"/>
      <c r="Q305" s="913"/>
      <c r="R305" s="913"/>
      <c r="S305" s="913"/>
      <c r="T305" s="913"/>
      <c r="U305" s="912"/>
      <c r="V305" s="912"/>
      <c r="W305" s="913"/>
      <c r="X305" s="912"/>
      <c r="Y305" s="912"/>
      <c r="Z305" s="912"/>
      <c r="AA305" s="912"/>
      <c r="AB305" s="912"/>
      <c r="AC305" s="912"/>
      <c r="AD305" s="912"/>
      <c r="AE305" s="912"/>
      <c r="AF305" s="912"/>
      <c r="AG305" s="912"/>
      <c r="AH305" s="912"/>
      <c r="AI305" s="912"/>
      <c r="AJ305" s="912"/>
      <c r="AK305" s="912"/>
      <c r="AL305" s="912"/>
      <c r="AM305" s="915"/>
      <c r="AN305" s="915"/>
    </row>
    <row r="306" spans="3:40" ht="27.95">
      <c r="C306" s="57"/>
      <c r="D306" s="175" t="s">
        <v>287</v>
      </c>
      <c r="E306" s="180">
        <f>'BOD-Cold &amp; Amb.'!AR350</f>
        <v>4</v>
      </c>
      <c r="F306" s="176" t="s">
        <v>288</v>
      </c>
      <c r="G306" s="177" t="str">
        <f>IF(E306=4,"10µ, 5µ, 1µ &amp; 0.3µ (HEPA Plenum Fitted 95% eff.)",IF(E306=3,"10µ, 5µ &amp; 1µ ",IF(E306=2,"10µ  &amp; 5µ",IF(E306=1,"10µ", "Filter Ratings"))))</f>
        <v>10µ, 5µ, 1µ &amp; 0.3µ (HEPA Plenum Fitted 95% eff.)</v>
      </c>
      <c r="H306" s="178"/>
      <c r="I306" s="179"/>
      <c r="J306" s="902"/>
      <c r="K306" s="902"/>
      <c r="L306" s="902"/>
      <c r="M306" s="902"/>
      <c r="N306" s="902"/>
      <c r="O306" s="902"/>
      <c r="P306" s="902"/>
      <c r="Q306" s="913"/>
      <c r="R306" s="913"/>
      <c r="S306" s="913"/>
      <c r="T306" s="913"/>
      <c r="U306" s="912"/>
      <c r="V306" s="912"/>
      <c r="W306" s="913"/>
      <c r="X306" s="912"/>
      <c r="Y306" s="912"/>
      <c r="Z306" s="912"/>
      <c r="AA306" s="912"/>
      <c r="AB306" s="912"/>
      <c r="AC306" s="912"/>
      <c r="AD306" s="912"/>
      <c r="AE306" s="912"/>
      <c r="AF306" s="912"/>
      <c r="AG306" s="912"/>
      <c r="AH306" s="912"/>
      <c r="AI306" s="912"/>
      <c r="AJ306" s="912"/>
      <c r="AK306" s="912"/>
      <c r="AL306" s="912"/>
      <c r="AM306" s="915"/>
      <c r="AN306" s="915"/>
    </row>
    <row r="307" spans="3:40">
      <c r="C307" s="57"/>
      <c r="D307" s="922" t="s">
        <v>289</v>
      </c>
      <c r="E307" s="923"/>
      <c r="F307" s="923"/>
      <c r="G307" s="923"/>
      <c r="H307" s="923"/>
      <c r="I307" s="924"/>
      <c r="J307" s="902"/>
      <c r="K307" s="902"/>
      <c r="L307" s="902"/>
      <c r="M307" s="902"/>
      <c r="N307" s="902"/>
      <c r="O307" s="902"/>
      <c r="P307" s="902"/>
      <c r="Q307" s="913"/>
      <c r="R307" s="913"/>
      <c r="S307" s="913"/>
      <c r="T307" s="913"/>
      <c r="U307" s="912"/>
      <c r="V307" s="912"/>
      <c r="W307" s="913"/>
      <c r="X307" s="912"/>
      <c r="Y307" s="912"/>
      <c r="Z307" s="912"/>
      <c r="AA307" s="912"/>
      <c r="AB307" s="912"/>
      <c r="AC307" s="912"/>
      <c r="AD307" s="912"/>
      <c r="AE307" s="912"/>
      <c r="AF307" s="912"/>
      <c r="AG307" s="912"/>
      <c r="AH307" s="912"/>
      <c r="AI307" s="912"/>
      <c r="AJ307" s="912"/>
      <c r="AK307" s="912"/>
      <c r="AL307" s="912"/>
      <c r="AM307" s="915"/>
      <c r="AN307" s="915"/>
    </row>
    <row r="308" spans="3:40" ht="24.95">
      <c r="C308" s="57"/>
      <c r="D308" s="58" t="s">
        <v>290</v>
      </c>
      <c r="E308" s="58" t="s">
        <v>291</v>
      </c>
      <c r="F308" s="58" t="s">
        <v>292</v>
      </c>
      <c r="G308" s="58" t="s">
        <v>293</v>
      </c>
      <c r="H308" s="58" t="s">
        <v>294</v>
      </c>
      <c r="I308" s="179"/>
      <c r="J308" s="902"/>
      <c r="K308" s="902"/>
      <c r="L308" s="902"/>
      <c r="M308" s="902"/>
      <c r="N308" s="902"/>
      <c r="O308" s="902"/>
      <c r="P308" s="902"/>
      <c r="Q308" s="913"/>
      <c r="R308" s="913"/>
      <c r="S308" s="913"/>
      <c r="T308" s="913"/>
      <c r="U308" s="912"/>
      <c r="V308" s="912"/>
      <c r="W308" s="913"/>
      <c r="X308" s="912"/>
      <c r="Y308" s="912"/>
      <c r="Z308" s="912"/>
      <c r="AA308" s="912"/>
      <c r="AB308" s="912"/>
      <c r="AC308" s="912"/>
      <c r="AD308" s="912"/>
      <c r="AE308" s="912"/>
      <c r="AF308" s="912"/>
      <c r="AG308" s="912"/>
      <c r="AH308" s="912"/>
      <c r="AI308" s="912"/>
      <c r="AJ308" s="912"/>
      <c r="AK308" s="912"/>
      <c r="AL308" s="912"/>
      <c r="AM308" s="915"/>
      <c r="AN308" s="915"/>
    </row>
    <row r="309" spans="3:40" ht="14.1">
      <c r="C309" s="57"/>
      <c r="D309" s="58"/>
      <c r="E309" s="58">
        <f>IF(E303=950,2,(IF(E303=1150,3,(IF(E303=1550,4,(IF(E303=1750,5,(IF(E303=2050,6,(IF(E303=2900,8,(IF(E303=3600,10,IF(E303=4000,12,0))))))))))))))</f>
        <v>12</v>
      </c>
      <c r="F309" s="58">
        <f>IF(G303=950,2,(IF(G303=1150,3,(IF(G303=1550,4,(IF(G303=1750,5,(IF(G303=2050,6,(IF(G303=2900,8,(IF(G303=3600,10,IF(E303=4000,12,0))))))))))))))</f>
        <v>10</v>
      </c>
      <c r="G309" s="58"/>
      <c r="H309" s="60"/>
      <c r="I309" s="834"/>
      <c r="J309" s="902"/>
      <c r="K309" s="902"/>
      <c r="L309" s="902"/>
      <c r="M309" s="902"/>
      <c r="N309" s="902"/>
      <c r="O309" s="902"/>
      <c r="P309" s="902"/>
      <c r="Q309" s="913"/>
      <c r="R309" s="913"/>
      <c r="S309" s="913"/>
      <c r="T309" s="913"/>
      <c r="U309" s="912"/>
      <c r="V309" s="912"/>
      <c r="W309" s="913"/>
      <c r="X309" s="912"/>
      <c r="Y309" s="912"/>
      <c r="Z309" s="912"/>
      <c r="AA309" s="912"/>
      <c r="AB309" s="912"/>
      <c r="AC309" s="912"/>
      <c r="AD309" s="912"/>
      <c r="AE309" s="912"/>
      <c r="AF309" s="912"/>
      <c r="AG309" s="912"/>
      <c r="AH309" s="912"/>
      <c r="AI309" s="912"/>
      <c r="AJ309" s="912"/>
      <c r="AK309" s="912"/>
      <c r="AL309" s="912"/>
      <c r="AM309" s="915"/>
      <c r="AN309" s="915"/>
    </row>
    <row r="310" spans="3:40" ht="14.1">
      <c r="C310" s="57"/>
      <c r="D310" s="58">
        <f>IF(AND(I302=0, OR(E306=1, E306=2, E306=3, E306=4, E306=5)), "20µ", 0)</f>
        <v>0</v>
      </c>
      <c r="E310" s="58">
        <f>IF(OR(D310=0),0,IF(MOD($E$42*$F$42,2)=0,"610",IF(MOD($E$42*$F$42,2.5)=0,"760",IF(MOD($E$42*$F$42,3)=0,"915","Refer"))))</f>
        <v>0</v>
      </c>
      <c r="F310" s="58">
        <f>IF(OR(D310=0),0,IF(MOD($E$42*$F$42,6)=0,"915",IF(MOD($E$42*$F$42,5)=0,"760",IF(MOD($E$42*$F$42,4)=0,"610","Refer"))))</f>
        <v>0</v>
      </c>
      <c r="G310" s="58">
        <f>IF(D310=0,0,100)</f>
        <v>0</v>
      </c>
      <c r="H310" s="60">
        <f>IF(D310=0,0,($E$42*$F$42*305*305)/(E310*F310))</f>
        <v>0</v>
      </c>
      <c r="I310" s="834"/>
      <c r="J310" s="902"/>
      <c r="K310" s="902"/>
      <c r="L310" s="902"/>
      <c r="M310" s="902"/>
      <c r="N310" s="902"/>
      <c r="O310" s="902"/>
      <c r="P310" s="902"/>
      <c r="Q310" s="55"/>
      <c r="R310" s="55"/>
      <c r="S310" s="55"/>
      <c r="T310" s="55"/>
      <c r="U310" s="45"/>
      <c r="V310" s="45"/>
      <c r="W310" s="55"/>
      <c r="X310" s="45"/>
      <c r="Y310" s="45"/>
      <c r="Z310" s="45"/>
      <c r="AA310" s="45"/>
      <c r="AB310" s="45"/>
      <c r="AC310" s="45"/>
      <c r="AD310" s="45"/>
      <c r="AE310" s="45"/>
      <c r="AF310" s="45"/>
      <c r="AG310" s="45"/>
      <c r="AH310" s="45"/>
      <c r="AI310" s="45"/>
      <c r="AJ310" s="45"/>
      <c r="AK310" s="45"/>
      <c r="AL310" s="45"/>
      <c r="AM310" s="63"/>
      <c r="AN310" s="63"/>
    </row>
    <row r="311" spans="3:40" ht="14.1">
      <c r="C311" s="57"/>
      <c r="D311" s="58" t="str">
        <f>IF(E306=4,"10µ",IF(E306=3,"10µ",IF(E306=2,"10µ",IF(E306=1,"10µ",0))))</f>
        <v>10µ</v>
      </c>
      <c r="E311" s="58" t="str">
        <f>IF(OR(D311=0),0,IF(MOD($E$42*$F$42,2)=0,"610",IF(MOD($E$42*$F$42,2.5)=0,"760",IF(MOD($E$42*$F$42,3)=0,"915","Refer"))))</f>
        <v>610</v>
      </c>
      <c r="F311" s="58" t="str">
        <f>IF(OR(D311=0),0,IF(MOD($E$42*$F$42,6)=0,"915",IF(MOD($E$42*$F$42,5)=0,"760",IF(MOD($E$42*$F$42,4)=0,"610","Refer"))))</f>
        <v>915</v>
      </c>
      <c r="G311" s="58">
        <f>IF(D311=0,0,150)</f>
        <v>150</v>
      </c>
      <c r="H311" s="60">
        <f>IF(D311=0,0,($E$42*$F$42*305*305)/(E311*F311))</f>
        <v>6</v>
      </c>
      <c r="I311" s="834"/>
      <c r="J311" s="902"/>
      <c r="K311" s="902"/>
      <c r="L311" s="902"/>
      <c r="M311" s="902"/>
      <c r="N311" s="902"/>
      <c r="O311" s="902"/>
      <c r="P311" s="902"/>
      <c r="Q311" s="913"/>
      <c r="R311" s="913"/>
      <c r="S311" s="913"/>
      <c r="T311" s="913"/>
      <c r="U311" s="912"/>
      <c r="V311" s="912"/>
      <c r="W311" s="913"/>
      <c r="X311" s="912"/>
      <c r="Y311" s="912"/>
      <c r="Z311" s="912"/>
      <c r="AA311" s="912"/>
      <c r="AB311" s="912"/>
      <c r="AC311" s="912"/>
      <c r="AD311" s="912"/>
      <c r="AE311" s="912"/>
      <c r="AF311" s="912"/>
      <c r="AG311" s="912"/>
      <c r="AH311" s="912"/>
      <c r="AI311" s="912"/>
      <c r="AJ311" s="912"/>
      <c r="AK311" s="912"/>
      <c r="AL311" s="912"/>
      <c r="AM311" s="915"/>
      <c r="AN311" s="915"/>
    </row>
    <row r="312" spans="3:40" ht="14.1">
      <c r="C312" s="57"/>
      <c r="D312" s="58" t="str">
        <f>IF(E306=4,"5µ",IF(E306=3,"5µ",IF(E306=2,"5µ",0)))</f>
        <v>5µ</v>
      </c>
      <c r="E312" s="58" t="str">
        <f t="shared" ref="E312:E314" si="190">IF(OR(D312=0),0,IF(MOD($E$42*$F$42,2)=0,"610",IF(MOD($E$42*$F$42,2.5)=0,"760",IF(MOD($E$42*$F$42,3)=0,"915","Refer"))))</f>
        <v>610</v>
      </c>
      <c r="F312" s="58" t="str">
        <f>IF(OR(D312=0),0,IF(MOD($E$42*$F$42,6)=0,"915",IF(MOD($E$42*$F$42,5)=0,"760",IF(MOD($E$42*$F$42,4)=0,"610","Refer"))))</f>
        <v>915</v>
      </c>
      <c r="G312" s="58">
        <f>IF(D312=0,0,300)</f>
        <v>300</v>
      </c>
      <c r="H312" s="60">
        <f>IF(D312=0,0,($E$42*$F$42*305*305)/(E312*F312))</f>
        <v>6</v>
      </c>
      <c r="I312" s="834"/>
      <c r="J312" s="902"/>
      <c r="K312" s="902"/>
      <c r="L312" s="902"/>
      <c r="M312" s="902"/>
      <c r="N312" s="902"/>
      <c r="O312" s="902"/>
      <c r="P312" s="902"/>
      <c r="Q312" s="913"/>
      <c r="R312" s="913"/>
      <c r="S312" s="913"/>
      <c r="T312" s="913"/>
      <c r="U312" s="912"/>
      <c r="V312" s="912"/>
      <c r="W312" s="913"/>
      <c r="X312" s="912"/>
      <c r="Y312" s="912"/>
      <c r="Z312" s="912"/>
      <c r="AA312" s="912"/>
      <c r="AB312" s="912"/>
      <c r="AC312" s="912"/>
      <c r="AD312" s="912"/>
      <c r="AE312" s="912"/>
      <c r="AF312" s="912"/>
      <c r="AG312" s="912"/>
      <c r="AH312" s="912"/>
      <c r="AI312" s="912"/>
      <c r="AJ312" s="912"/>
      <c r="AK312" s="912"/>
      <c r="AL312" s="912"/>
      <c r="AM312" s="915"/>
      <c r="AN312" s="915"/>
    </row>
    <row r="313" spans="3:40" ht="14.1">
      <c r="C313" s="57"/>
      <c r="D313" s="58" t="str">
        <f>IF(E306=4,"1µ",IF(E306=3,"1µ",0))</f>
        <v>1µ</v>
      </c>
      <c r="E313" s="58" t="str">
        <f t="shared" si="190"/>
        <v>610</v>
      </c>
      <c r="F313" s="58" t="str">
        <f>IF(OR(D313=0),0,IF(MOD($E$42*$F$42,6)=0,"915",IF(MOD($E$42*$F$42,5)=0,"760",IF(MOD($E$42*$F$42,4)=0,"610","Refer"))))</f>
        <v>915</v>
      </c>
      <c r="G313" s="58">
        <f>IF(D313=0,0,300)</f>
        <v>300</v>
      </c>
      <c r="H313" s="60">
        <f>IF(D313=0,0,($E$42*$F$42*305*305)/(E313*F313))</f>
        <v>6</v>
      </c>
      <c r="I313" s="834"/>
      <c r="J313" s="902"/>
      <c r="K313" s="902"/>
      <c r="L313" s="902"/>
      <c r="M313" s="902"/>
      <c r="N313" s="902"/>
      <c r="O313" s="902"/>
      <c r="P313" s="902"/>
      <c r="Q313" s="913"/>
      <c r="R313" s="913"/>
      <c r="S313" s="913"/>
      <c r="T313" s="913"/>
      <c r="U313" s="912"/>
      <c r="V313" s="912"/>
      <c r="W313" s="913"/>
      <c r="X313" s="912"/>
      <c r="Y313" s="912"/>
      <c r="Z313" s="912"/>
      <c r="AA313" s="912"/>
      <c r="AB313" s="912"/>
      <c r="AC313" s="912"/>
      <c r="AD313" s="912"/>
      <c r="AE313" s="912"/>
      <c r="AF313" s="912"/>
      <c r="AG313" s="912"/>
      <c r="AH313" s="912"/>
      <c r="AI313" s="912"/>
      <c r="AJ313" s="912"/>
      <c r="AK313" s="912"/>
      <c r="AL313" s="912"/>
      <c r="AM313" s="915"/>
      <c r="AN313" s="915"/>
    </row>
    <row r="314" spans="3:40" ht="37.5">
      <c r="C314" s="57"/>
      <c r="D314" s="58" t="str">
        <f>IF(E306=4,"0.3µ 95% Eff. HEPA Filetr",0)</f>
        <v>0.3µ 95% Eff. HEPA Filetr</v>
      </c>
      <c r="E314" s="58" t="str">
        <f t="shared" si="190"/>
        <v>610</v>
      </c>
      <c r="F314" s="58" t="str">
        <f>IF(OR(D314=0),0,IF(MOD($E$42*$F$42,6)=0,"915",IF(MOD($E$42*$F$42,5)=0,"760",IF(MOD($E$42*$F$42,4)=0,"610","Refer"))))</f>
        <v>915</v>
      </c>
      <c r="G314" s="58">
        <f>IF(D314=0,0,300)</f>
        <v>300</v>
      </c>
      <c r="H314" s="60">
        <f>IF(D314=0,0,($E$42*$F$42*305*305)/(E314*F314))</f>
        <v>6</v>
      </c>
      <c r="I314" s="836"/>
      <c r="J314" s="902"/>
      <c r="K314" s="902"/>
      <c r="L314" s="902"/>
      <c r="M314" s="902"/>
      <c r="N314" s="902"/>
      <c r="O314" s="902"/>
      <c r="P314" s="902"/>
      <c r="Q314" s="913"/>
      <c r="R314" s="913"/>
      <c r="S314" s="913"/>
      <c r="T314" s="913"/>
      <c r="U314" s="912"/>
      <c r="V314" s="912"/>
      <c r="W314" s="913"/>
      <c r="X314" s="912"/>
      <c r="Y314" s="912"/>
      <c r="Z314" s="912"/>
      <c r="AA314" s="912"/>
      <c r="AB314" s="912"/>
      <c r="AC314" s="912"/>
      <c r="AD314" s="912"/>
      <c r="AE314" s="912"/>
      <c r="AF314" s="912"/>
      <c r="AG314" s="912"/>
      <c r="AH314" s="912"/>
      <c r="AI314" s="912"/>
      <c r="AJ314" s="912"/>
      <c r="AK314" s="912"/>
      <c r="AL314" s="912"/>
      <c r="AM314" s="915"/>
      <c r="AN314" s="915"/>
    </row>
    <row r="315" spans="3:40" ht="14.1">
      <c r="C315" s="57"/>
      <c r="D315" s="826"/>
      <c r="E315" s="182"/>
      <c r="F315" s="182"/>
      <c r="G315" s="182"/>
      <c r="H315" s="182"/>
      <c r="I315" s="827"/>
      <c r="J315" s="52"/>
      <c r="K315" s="52"/>
      <c r="L315" s="52"/>
      <c r="M315" s="52"/>
      <c r="N315" s="52"/>
      <c r="O315" s="828"/>
      <c r="P315" s="828"/>
      <c r="Q315" s="55"/>
      <c r="R315" s="55"/>
      <c r="S315" s="55"/>
      <c r="T315" s="55"/>
      <c r="U315" s="45"/>
      <c r="V315" s="45"/>
      <c r="W315" s="55"/>
      <c r="X315" s="45"/>
      <c r="Y315" s="45"/>
      <c r="Z315" s="45"/>
      <c r="AA315" s="45"/>
      <c r="AB315" s="45"/>
      <c r="AC315" s="45"/>
      <c r="AD315" s="45"/>
      <c r="AE315" s="45"/>
      <c r="AF315" s="45"/>
      <c r="AG315" s="45"/>
      <c r="AH315" s="45"/>
      <c r="AI315" s="45"/>
      <c r="AJ315" s="45"/>
      <c r="AK315" s="45"/>
      <c r="AL315" s="45"/>
      <c r="AM315" s="63"/>
      <c r="AN315" s="63"/>
    </row>
    <row r="316" spans="3:40" ht="14.1" customHeight="1">
      <c r="C316" s="57"/>
      <c r="D316" s="901" t="str">
        <f>"AHU - " &amp; INT((ROW()-34)/14)+1 &amp; "  " &amp; IF(I317&gt;0,"Air-Conditioning System " &amp; IF(OR(G320="Header", G320="C"), "(Chilled Water)",IF(OR(G320="Distributor", G320="D"), "(DX)", "Ventilation System")),IF(NOT(I317&gt;0), "Ventilation System ( SUPPLY )", "Refer"))</f>
        <v>AHU - 21  Air-Conditioning System (Chilled Water)</v>
      </c>
      <c r="E316" s="901"/>
      <c r="F316" s="901"/>
      <c r="G316" s="901"/>
      <c r="H316" s="901"/>
      <c r="I316" s="901"/>
      <c r="J316" s="52"/>
      <c r="K316" s="52"/>
      <c r="L316" s="53"/>
      <c r="M316" s="53"/>
      <c r="N316" s="53"/>
      <c r="O316" s="54"/>
      <c r="P316" s="55"/>
      <c r="AM316" s="56"/>
      <c r="AN316" s="56"/>
    </row>
    <row r="317" spans="3:40" ht="14.1">
      <c r="C317" s="57"/>
      <c r="D317" s="175" t="s">
        <v>274</v>
      </c>
      <c r="E317" s="180" t="str">
        <f>'BOD-Cold &amp; Amb.'!R370</f>
        <v>ISO 7</v>
      </c>
      <c r="F317" s="175" t="s">
        <v>275</v>
      </c>
      <c r="G317" s="180">
        <f>'BOD-Cold &amp; Amb.'!AK370</f>
        <v>42500</v>
      </c>
      <c r="H317" s="175" t="s">
        <v>276</v>
      </c>
      <c r="I317" s="181">
        <f>'BOD-Cold &amp; Amb.'!AQ370</f>
        <v>108.5</v>
      </c>
      <c r="J317" s="902" t="s">
        <v>277</v>
      </c>
      <c r="K317" s="902">
        <v>1</v>
      </c>
      <c r="L317" s="917">
        <f>Q317</f>
        <v>2070750</v>
      </c>
      <c r="M317" s="902">
        <f>K317*L317</f>
        <v>2070750</v>
      </c>
      <c r="N317" s="902"/>
      <c r="O317" s="902"/>
      <c r="P317" s="902"/>
      <c r="Q317" s="913">
        <f t="shared" ref="Q317" si="191">CEILING((S317+T317+U317+V317+W317),250)</f>
        <v>2070750</v>
      </c>
      <c r="R317" s="913">
        <f>IF(I317&gt;0,625,375)</f>
        <v>625</v>
      </c>
      <c r="S317" s="913">
        <f>(E318*G318*3*10.76+E318*I318*2*10.76+G318*I318*2*10.76)*R317/(1000*1000)</f>
        <v>883396</v>
      </c>
      <c r="T317" s="913">
        <f>I317*4*1050</f>
        <v>455700</v>
      </c>
      <c r="U317" s="912">
        <f>IF(G317&lt;=2000,5000,(IF(G317&lt;=5000,8000,(IF(G317&lt;=10000,10000,(IF(G317&lt;=18000,15000,(IF(G317&lt;=40000,20000,25000)))))))))</f>
        <v>25000</v>
      </c>
      <c r="V317" s="912">
        <f t="shared" ref="V317" si="192">IF(X317=200,17150,(IF(X317=225,18150,(IF(X317=250,18900,(IF(X317=280,19150,(IF(X317=315,19650,(IF(X317=355,21900,(IF(X317=400,24400,0)))))))))))))+IF(X317=450,31000,(IF(X317=500,37450,(IF(X317=560,45650,(IF(X317=630,58900,(IF(X317=710,77950,0)))))))))+IF(X317=800,119650,(IF(X317=900,153300,(IF(X317=1000,178900,(IF(X317=1120,286500,(IF(X317=1250,394500,(IF(X317=1450,461500,0)))))))))))</f>
        <v>286500</v>
      </c>
      <c r="W317" s="913">
        <f>IF(I319=0.5,16600,(IF(I319=1,19050,(IF(I319=1.5,21750,(IF(I319=2,23600,(IF(I319=3,30000,(IF(I319=5,38000,0)))))))))))*1.2+IF(I319=7.5,52300,(IF(I319=10,59600,0)))*1.2+IF(I319=12.5,100350,(IF(I319=15,106000,(IF(I319=20,129150,(IF(I319=25,146050,(IF(I319=30,173600,(IF(I319=40,233900,(IF(I319=50,304650,IF(I319=60,350000,400000)))))))))))))*1.2)</f>
        <v>420000</v>
      </c>
      <c r="X317" s="912">
        <f>E319</f>
        <v>1120</v>
      </c>
      <c r="Y317" s="912">
        <f t="shared" ref="Y317" si="193">IF(G317&lt;=6750,450,(IF(G317&lt;=8500,500,(IF(G317&lt;=10750,560,(IF(G317&lt;=13500,630,(IF(G317&lt;=17000,710,(IF(G317&lt;=21500,800,(IF(G317&lt;=27000,900,(IF(G317&lt;=34000,1000,0)))))))))))))))</f>
        <v>0</v>
      </c>
      <c r="Z317" s="912">
        <f t="shared" ref="Z317" si="194">IF(G317&lt;=1300,200,(IF(G317&lt;=1600,225,(IF(G317&lt;=2100,250,(IF(G317&lt;=2700,280,(IF(G317&lt;=3450,315,(IF(G317&lt;=4250,355,(IF(G317&lt;=5250,400,(IF(G317&lt;=6750,450,0)))))))))))))))</f>
        <v>0</v>
      </c>
      <c r="AA317" s="912">
        <f t="shared" ref="AA317" si="195">IF(G317&lt;=2000,5000,(IF(G317&lt;=5000,8000,(IF(G317&lt;=10000,10000,(IF(G317&lt;=18000,15000,(IF(G317&lt;=40000,20000,10000)))))))))</f>
        <v>10000</v>
      </c>
      <c r="AB317" s="912">
        <f>IF(E318=950,2,(IF(E318=1150,3,(IF(E318=1550,4,(IF(E318=1750,5,(IF(E318=2050,6,(IF(E318=2900,8,(IF(E318=3600,10,12)))))))))))))</f>
        <v>12</v>
      </c>
      <c r="AC317" s="912">
        <f>IF(G318=950,2,(IF(G318=1150,3,(IF(G318=1550,4,(IF(G318=1750,5,(IF(G318=2050,6,(IF(G318=2900,8,(IF(G318=3600,10,12)))))))))))))</f>
        <v>10</v>
      </c>
      <c r="AD317" s="912">
        <f t="shared" ref="AD317" si="196">AC317*AB317</f>
        <v>120</v>
      </c>
      <c r="AE317" s="912">
        <v>150</v>
      </c>
      <c r="AF317" s="912">
        <f t="shared" ref="AF317" si="197">CEILING((SQRT(G317/1000))*4*2*AE317*1.25*K317,100)</f>
        <v>9800</v>
      </c>
      <c r="AG317" s="912">
        <f>E325*F325*H325/(305*305)</f>
        <v>0</v>
      </c>
      <c r="AH317" s="912">
        <f>E326*F326*H326/(305*305)</f>
        <v>36</v>
      </c>
      <c r="AI317" s="912">
        <f>H327*E327*F327/(305*305)</f>
        <v>36</v>
      </c>
      <c r="AJ317" s="912">
        <f>H328*E328*F328/(305*305)</f>
        <v>36</v>
      </c>
      <c r="AK317" s="912">
        <f>H329*E329*F329/(305*305)</f>
        <v>0</v>
      </c>
      <c r="AL317" s="912"/>
      <c r="AM317" s="915">
        <f t="shared" ref="AM317" si="198">(G317*2.2/1100)</f>
        <v>85.000000000000014</v>
      </c>
      <c r="AN317" s="915">
        <f t="shared" ref="AN317" si="199">(G317*1/1100)</f>
        <v>38.636363636363633</v>
      </c>
    </row>
    <row r="318" spans="3:40" ht="14.1">
      <c r="C318" s="57"/>
      <c r="D318" s="175" t="s">
        <v>278</v>
      </c>
      <c r="E318" s="180">
        <f>'BOD-Cold &amp; Amb.'!AL371</f>
        <v>4000</v>
      </c>
      <c r="F318" s="175" t="s">
        <v>279</v>
      </c>
      <c r="G318" s="180">
        <f>'BOD-Cold &amp; Amb.'!AL373</f>
        <v>3600</v>
      </c>
      <c r="H318" s="175" t="s">
        <v>280</v>
      </c>
      <c r="I318" s="181">
        <f>'BOD-Cold &amp; Amb.'!AL375</f>
        <v>5800</v>
      </c>
      <c r="J318" s="902"/>
      <c r="K318" s="902"/>
      <c r="L318" s="902"/>
      <c r="M318" s="902"/>
      <c r="N318" s="902"/>
      <c r="O318" s="902"/>
      <c r="P318" s="902"/>
      <c r="Q318" s="913"/>
      <c r="R318" s="913"/>
      <c r="S318" s="913"/>
      <c r="T318" s="913"/>
      <c r="U318" s="912"/>
      <c r="V318" s="912"/>
      <c r="W318" s="913"/>
      <c r="X318" s="912"/>
      <c r="Y318" s="912"/>
      <c r="Z318" s="912"/>
      <c r="AA318" s="912"/>
      <c r="AB318" s="912"/>
      <c r="AC318" s="912"/>
      <c r="AD318" s="912"/>
      <c r="AE318" s="912"/>
      <c r="AF318" s="912"/>
      <c r="AG318" s="912"/>
      <c r="AH318" s="912"/>
      <c r="AI318" s="912"/>
      <c r="AJ318" s="912"/>
      <c r="AK318" s="912"/>
      <c r="AL318" s="912"/>
      <c r="AM318" s="915"/>
      <c r="AN318" s="915"/>
    </row>
    <row r="319" spans="3:40" ht="14.1">
      <c r="C319" s="57"/>
      <c r="D319" s="175" t="s">
        <v>281</v>
      </c>
      <c r="E319" s="180">
        <f>'BOD-Cold &amp; Amb.'!AN370</f>
        <v>1120</v>
      </c>
      <c r="F319" s="176" t="s">
        <v>282</v>
      </c>
      <c r="G319" s="180">
        <f>'BOD-Cold &amp; Amb.'!AM370</f>
        <v>150</v>
      </c>
      <c r="H319" s="176" t="s">
        <v>283</v>
      </c>
      <c r="I319" s="181">
        <f>'BOD-Cold &amp; Amb.'!AO370</f>
        <v>60</v>
      </c>
      <c r="J319" s="902"/>
      <c r="K319" s="902"/>
      <c r="L319" s="902"/>
      <c r="M319" s="902"/>
      <c r="N319" s="902"/>
      <c r="O319" s="902"/>
      <c r="P319" s="902"/>
      <c r="Q319" s="913"/>
      <c r="R319" s="913"/>
      <c r="S319" s="913"/>
      <c r="T319" s="913"/>
      <c r="U319" s="912"/>
      <c r="V319" s="912"/>
      <c r="W319" s="913"/>
      <c r="X319" s="912"/>
      <c r="Y319" s="912"/>
      <c r="Z319" s="912"/>
      <c r="AA319" s="912"/>
      <c r="AB319" s="912"/>
      <c r="AC319" s="912"/>
      <c r="AD319" s="912"/>
      <c r="AE319" s="912"/>
      <c r="AF319" s="912"/>
      <c r="AG319" s="912"/>
      <c r="AH319" s="912"/>
      <c r="AI319" s="912"/>
      <c r="AJ319" s="912"/>
      <c r="AK319" s="912"/>
      <c r="AL319" s="912"/>
      <c r="AM319" s="915"/>
      <c r="AN319" s="915"/>
    </row>
    <row r="320" spans="3:40" ht="21.6" customHeight="1">
      <c r="C320" s="57"/>
      <c r="D320" s="175" t="s">
        <v>284</v>
      </c>
      <c r="E320" s="180">
        <f>'BOD-Cold &amp; Amb.'!AP370</f>
        <v>4</v>
      </c>
      <c r="F320" s="832" t="s">
        <v>285</v>
      </c>
      <c r="G320" s="837" t="str">
        <f>IF(OR(I317=0, E320="Amb"), "Amb",IF('BOD-Cold &amp; Amb.'!AH280="C", "Header",IF('BOD-Cold &amp; Amb.'!AH280="D", "Distributor", "Refer")))</f>
        <v>Header</v>
      </c>
      <c r="H320" s="832" t="s">
        <v>286</v>
      </c>
      <c r="I320" s="833" t="str">
        <f>IF(OR(I317=0, E320=0), 0,ROUND(((( I317/E320)*304.8)/(E318-400))*1000,0)&amp;" h "&amp;" x " &amp; (E318-400)&amp;" w ")</f>
        <v xml:space="preserve">2297 h  x 3600 w </v>
      </c>
      <c r="J320" s="902"/>
      <c r="K320" s="902"/>
      <c r="L320" s="902"/>
      <c r="M320" s="902"/>
      <c r="N320" s="902"/>
      <c r="O320" s="902"/>
      <c r="P320" s="902"/>
      <c r="Q320" s="913"/>
      <c r="R320" s="913"/>
      <c r="S320" s="913"/>
      <c r="T320" s="913"/>
      <c r="U320" s="912"/>
      <c r="V320" s="912"/>
      <c r="W320" s="913"/>
      <c r="X320" s="912"/>
      <c r="Y320" s="912"/>
      <c r="Z320" s="912"/>
      <c r="AA320" s="912"/>
      <c r="AB320" s="912"/>
      <c r="AC320" s="912"/>
      <c r="AD320" s="912"/>
      <c r="AE320" s="912"/>
      <c r="AF320" s="912"/>
      <c r="AG320" s="912"/>
      <c r="AH320" s="912"/>
      <c r="AI320" s="912"/>
      <c r="AJ320" s="912"/>
      <c r="AK320" s="912"/>
      <c r="AL320" s="912"/>
      <c r="AM320" s="915"/>
      <c r="AN320" s="915"/>
    </row>
    <row r="321" spans="3:40" ht="21">
      <c r="C321" s="57"/>
      <c r="D321" s="175" t="s">
        <v>287</v>
      </c>
      <c r="E321" s="180">
        <f>'BOD-Cold &amp; Amb.'!AR370</f>
        <v>3</v>
      </c>
      <c r="F321" s="176" t="s">
        <v>288</v>
      </c>
      <c r="G321" s="177" t="str">
        <f>IF(E321=4,"10µ, 5µ, 1µ &amp; 0.3µ (HEPA Plenum Fitted 95% eff.)",IF(E321=3,"10µ, 5µ &amp; 1µ ",IF(E321=2,"10µ  &amp; 5µ",IF(E321=1,"10µ", "Filter Ratings"))))</f>
        <v xml:space="preserve">10µ, 5µ &amp; 1µ </v>
      </c>
      <c r="H321" s="178"/>
      <c r="I321" s="179"/>
      <c r="J321" s="902"/>
      <c r="K321" s="902"/>
      <c r="L321" s="902"/>
      <c r="M321" s="902"/>
      <c r="N321" s="902"/>
      <c r="O321" s="902"/>
      <c r="P321" s="902"/>
      <c r="Q321" s="913"/>
      <c r="R321" s="913"/>
      <c r="S321" s="913"/>
      <c r="T321" s="913"/>
      <c r="U321" s="912"/>
      <c r="V321" s="912"/>
      <c r="W321" s="913"/>
      <c r="X321" s="912"/>
      <c r="Y321" s="912"/>
      <c r="Z321" s="912"/>
      <c r="AA321" s="912"/>
      <c r="AB321" s="912"/>
      <c r="AC321" s="912"/>
      <c r="AD321" s="912"/>
      <c r="AE321" s="912"/>
      <c r="AF321" s="912"/>
      <c r="AG321" s="912"/>
      <c r="AH321" s="912"/>
      <c r="AI321" s="912"/>
      <c r="AJ321" s="912"/>
      <c r="AK321" s="912"/>
      <c r="AL321" s="912"/>
      <c r="AM321" s="915"/>
      <c r="AN321" s="915"/>
    </row>
    <row r="322" spans="3:40">
      <c r="C322" s="57"/>
      <c r="D322" s="922" t="s">
        <v>289</v>
      </c>
      <c r="E322" s="923"/>
      <c r="F322" s="923"/>
      <c r="G322" s="923"/>
      <c r="H322" s="923"/>
      <c r="I322" s="924"/>
      <c r="J322" s="902"/>
      <c r="K322" s="902"/>
      <c r="L322" s="902"/>
      <c r="M322" s="902"/>
      <c r="N322" s="902"/>
      <c r="O322" s="902"/>
      <c r="P322" s="902"/>
      <c r="Q322" s="913"/>
      <c r="R322" s="913"/>
      <c r="S322" s="913"/>
      <c r="T322" s="913"/>
      <c r="U322" s="912"/>
      <c r="V322" s="912"/>
      <c r="W322" s="913"/>
      <c r="X322" s="912"/>
      <c r="Y322" s="912"/>
      <c r="Z322" s="912"/>
      <c r="AA322" s="912"/>
      <c r="AB322" s="912"/>
      <c r="AC322" s="912"/>
      <c r="AD322" s="912"/>
      <c r="AE322" s="912"/>
      <c r="AF322" s="912"/>
      <c r="AG322" s="912"/>
      <c r="AH322" s="912"/>
      <c r="AI322" s="912"/>
      <c r="AJ322" s="912"/>
      <c r="AK322" s="912"/>
      <c r="AL322" s="912"/>
      <c r="AM322" s="915"/>
      <c r="AN322" s="915"/>
    </row>
    <row r="323" spans="3:40" ht="24.95">
      <c r="C323" s="57"/>
      <c r="D323" s="58" t="s">
        <v>290</v>
      </c>
      <c r="E323" s="58" t="s">
        <v>291</v>
      </c>
      <c r="F323" s="58" t="s">
        <v>292</v>
      </c>
      <c r="G323" s="58" t="s">
        <v>293</v>
      </c>
      <c r="H323" s="58" t="s">
        <v>294</v>
      </c>
      <c r="I323" s="179"/>
      <c r="J323" s="902"/>
      <c r="K323" s="902"/>
      <c r="L323" s="902"/>
      <c r="M323" s="902"/>
      <c r="N323" s="902"/>
      <c r="O323" s="902"/>
      <c r="P323" s="902"/>
      <c r="Q323" s="913"/>
      <c r="R323" s="913"/>
      <c r="S323" s="913"/>
      <c r="T323" s="913"/>
      <c r="U323" s="912"/>
      <c r="V323" s="912"/>
      <c r="W323" s="913"/>
      <c r="X323" s="912"/>
      <c r="Y323" s="912"/>
      <c r="Z323" s="912"/>
      <c r="AA323" s="912"/>
      <c r="AB323" s="912"/>
      <c r="AC323" s="912"/>
      <c r="AD323" s="912"/>
      <c r="AE323" s="912"/>
      <c r="AF323" s="912"/>
      <c r="AG323" s="912"/>
      <c r="AH323" s="912"/>
      <c r="AI323" s="912"/>
      <c r="AJ323" s="912"/>
      <c r="AK323" s="912"/>
      <c r="AL323" s="912"/>
      <c r="AM323" s="915"/>
      <c r="AN323" s="915"/>
    </row>
    <row r="324" spans="3:40" ht="14.1">
      <c r="C324" s="57"/>
      <c r="D324" s="58"/>
      <c r="E324" s="58">
        <f>IF(E318=950,2,(IF(E318=1150,3,(IF(E318=1550,4,(IF(E318=1750,5,(IF(E318=2050,6,(IF(E318=2900,8,(IF(E318=3600,10,IF(E318=4000,12,0))))))))))))))</f>
        <v>12</v>
      </c>
      <c r="F324" s="58">
        <f>IF(G318=950,2,(IF(G318=1150,3,(IF(G318=1550,4,(IF(G318=1750,5,(IF(G318=2050,6,(IF(G318=2900,8,(IF(G318=3600,10,IF(E318=4000,12,0))))))))))))))</f>
        <v>10</v>
      </c>
      <c r="G324" s="58"/>
      <c r="H324" s="60"/>
      <c r="I324" s="834"/>
      <c r="J324" s="902"/>
      <c r="K324" s="902"/>
      <c r="L324" s="902"/>
      <c r="M324" s="902"/>
      <c r="N324" s="902"/>
      <c r="O324" s="902"/>
      <c r="P324" s="902"/>
      <c r="Q324" s="913"/>
      <c r="R324" s="913"/>
      <c r="S324" s="913"/>
      <c r="T324" s="913"/>
      <c r="U324" s="912"/>
      <c r="V324" s="912"/>
      <c r="W324" s="913"/>
      <c r="X324" s="912"/>
      <c r="Y324" s="912"/>
      <c r="Z324" s="912"/>
      <c r="AA324" s="912"/>
      <c r="AB324" s="912"/>
      <c r="AC324" s="912"/>
      <c r="AD324" s="912"/>
      <c r="AE324" s="912"/>
      <c r="AF324" s="912"/>
      <c r="AG324" s="912"/>
      <c r="AH324" s="912"/>
      <c r="AI324" s="912"/>
      <c r="AJ324" s="912"/>
      <c r="AK324" s="912"/>
      <c r="AL324" s="912"/>
      <c r="AM324" s="915"/>
      <c r="AN324" s="915"/>
    </row>
    <row r="325" spans="3:40" ht="14.1">
      <c r="C325" s="57"/>
      <c r="D325" s="58">
        <f>IF(AND(I317=0, OR(E321=1, E321=2, E321=3, E321=4, E321=5)), "20µ", 0)</f>
        <v>0</v>
      </c>
      <c r="E325" s="58">
        <f>IF(OR(D325=0),0,IF(MOD($E$42*$F$42,2)=0,"610",IF(MOD($E$42*$F$42,2.5)=0,"760",IF(MOD($E$42*$F$42,3)=0,"915","Refer"))))</f>
        <v>0</v>
      </c>
      <c r="F325" s="58">
        <f>IF(OR(D325=0),0,IF(MOD($E$42*$F$42,6)=0,"915",IF(MOD($E$42*$F$42,5)=0,"760",IF(MOD($E$42*$F$42,4)=0,"610","Refer"))))</f>
        <v>0</v>
      </c>
      <c r="G325" s="58">
        <f>IF(D325=0,0,100)</f>
        <v>0</v>
      </c>
      <c r="H325" s="60">
        <f>IF(D325=0,0,($E$42*$F$42*305*305)/(E325*F325))</f>
        <v>0</v>
      </c>
      <c r="I325" s="834"/>
      <c r="J325" s="902"/>
      <c r="K325" s="902"/>
      <c r="L325" s="902"/>
      <c r="M325" s="902"/>
      <c r="N325" s="902"/>
      <c r="O325" s="902"/>
      <c r="P325" s="902"/>
      <c r="Q325" s="55"/>
      <c r="R325" s="55"/>
      <c r="S325" s="55"/>
      <c r="T325" s="55"/>
      <c r="U325" s="45"/>
      <c r="V325" s="45"/>
      <c r="W325" s="55"/>
      <c r="X325" s="45"/>
      <c r="Y325" s="45"/>
      <c r="Z325" s="45"/>
      <c r="AA325" s="45"/>
      <c r="AB325" s="45"/>
      <c r="AC325" s="45"/>
      <c r="AD325" s="45"/>
      <c r="AE325" s="45"/>
      <c r="AF325" s="45"/>
      <c r="AG325" s="45"/>
      <c r="AH325" s="45"/>
      <c r="AI325" s="45"/>
      <c r="AJ325" s="45"/>
      <c r="AK325" s="45"/>
      <c r="AL325" s="45"/>
      <c r="AM325" s="63"/>
      <c r="AN325" s="63"/>
    </row>
    <row r="326" spans="3:40" ht="14.1">
      <c r="C326" s="57"/>
      <c r="D326" s="58" t="str">
        <f>IF(E321=4,"10µ",IF(E321=3,"10µ",IF(E321=2,"10µ",IF(E321=1,"10µ",0))))</f>
        <v>10µ</v>
      </c>
      <c r="E326" s="58" t="str">
        <f>IF(OR(D326=0),0,IF(MOD($E$42*$F$42,2)=0,"610",IF(MOD($E$42*$F$42,2.5)=0,"760",IF(MOD($E$42*$F$42,3)=0,"915","Refer"))))</f>
        <v>610</v>
      </c>
      <c r="F326" s="58" t="str">
        <f>IF(OR(D326=0),0,IF(MOD($E$42*$F$42,6)=0,"915",IF(MOD($E$42*$F$42,5)=0,"760",IF(MOD($E$42*$F$42,4)=0,"610","Refer"))))</f>
        <v>915</v>
      </c>
      <c r="G326" s="58">
        <f>IF(D326=0,0,150)</f>
        <v>150</v>
      </c>
      <c r="H326" s="60">
        <f>IF(D326=0,0,($E$42*$F$42*305*305)/(E326*F326))</f>
        <v>6</v>
      </c>
      <c r="I326" s="834"/>
      <c r="J326" s="902"/>
      <c r="K326" s="902"/>
      <c r="L326" s="902"/>
      <c r="M326" s="902"/>
      <c r="N326" s="902"/>
      <c r="O326" s="902"/>
      <c r="P326" s="902"/>
      <c r="Q326" s="913"/>
      <c r="R326" s="913"/>
      <c r="S326" s="913"/>
      <c r="T326" s="913"/>
      <c r="U326" s="912"/>
      <c r="V326" s="912"/>
      <c r="W326" s="913"/>
      <c r="X326" s="912"/>
      <c r="Y326" s="912"/>
      <c r="Z326" s="912"/>
      <c r="AA326" s="912"/>
      <c r="AB326" s="912"/>
      <c r="AC326" s="912"/>
      <c r="AD326" s="912"/>
      <c r="AE326" s="912"/>
      <c r="AF326" s="912"/>
      <c r="AG326" s="912"/>
      <c r="AH326" s="912"/>
      <c r="AI326" s="912"/>
      <c r="AJ326" s="912"/>
      <c r="AK326" s="912"/>
      <c r="AL326" s="912"/>
      <c r="AM326" s="915"/>
      <c r="AN326" s="915"/>
    </row>
    <row r="327" spans="3:40" ht="14.1">
      <c r="C327" s="57"/>
      <c r="D327" s="58" t="str">
        <f>IF(E321=4,"5µ",IF(E321=3,"5µ",IF(E321=2,"5µ",0)))</f>
        <v>5µ</v>
      </c>
      <c r="E327" s="58" t="str">
        <f t="shared" ref="E327:E329" si="200">IF(OR(D327=0),0,IF(MOD($E$42*$F$42,2)=0,"610",IF(MOD($E$42*$F$42,2.5)=0,"760",IF(MOD($E$42*$F$42,3)=0,"915","Refer"))))</f>
        <v>610</v>
      </c>
      <c r="F327" s="58" t="str">
        <f>IF(OR(D327=0),0,IF(MOD($E$42*$F$42,6)=0,"915",IF(MOD($E$42*$F$42,5)=0,"760",IF(MOD($E$42*$F$42,4)=0,"610","Refer"))))</f>
        <v>915</v>
      </c>
      <c r="G327" s="58">
        <f>IF(D327=0,0,300)</f>
        <v>300</v>
      </c>
      <c r="H327" s="60">
        <f>IF(D327=0,0,($E$42*$F$42*305*305)/(E327*F327))</f>
        <v>6</v>
      </c>
      <c r="I327" s="834"/>
      <c r="J327" s="902"/>
      <c r="K327" s="902"/>
      <c r="L327" s="902"/>
      <c r="M327" s="902"/>
      <c r="N327" s="902"/>
      <c r="O327" s="902"/>
      <c r="P327" s="902"/>
      <c r="Q327" s="913"/>
      <c r="R327" s="913"/>
      <c r="S327" s="913"/>
      <c r="T327" s="913"/>
      <c r="U327" s="912"/>
      <c r="V327" s="912"/>
      <c r="W327" s="913"/>
      <c r="X327" s="912"/>
      <c r="Y327" s="912"/>
      <c r="Z327" s="912"/>
      <c r="AA327" s="912"/>
      <c r="AB327" s="912"/>
      <c r="AC327" s="912"/>
      <c r="AD327" s="912"/>
      <c r="AE327" s="912"/>
      <c r="AF327" s="912"/>
      <c r="AG327" s="912"/>
      <c r="AH327" s="912"/>
      <c r="AI327" s="912"/>
      <c r="AJ327" s="912"/>
      <c r="AK327" s="912"/>
      <c r="AL327" s="912"/>
      <c r="AM327" s="915"/>
      <c r="AN327" s="915"/>
    </row>
    <row r="328" spans="3:40" ht="14.1">
      <c r="C328" s="57"/>
      <c r="D328" s="58" t="str">
        <f>IF(E321=4,"1µ",IF(E321=3,"1µ",0))</f>
        <v>1µ</v>
      </c>
      <c r="E328" s="58" t="str">
        <f t="shared" si="200"/>
        <v>610</v>
      </c>
      <c r="F328" s="58" t="str">
        <f>IF(OR(D328=0),0,IF(MOD($E$42*$F$42,6)=0,"915",IF(MOD($E$42*$F$42,5)=0,"760",IF(MOD($E$42*$F$42,4)=0,"610","Refer"))))</f>
        <v>915</v>
      </c>
      <c r="G328" s="58">
        <f>IF(D328=0,0,300)</f>
        <v>300</v>
      </c>
      <c r="H328" s="60">
        <f>IF(D328=0,0,($E$42*$F$42*305*305)/(E328*F328))</f>
        <v>6</v>
      </c>
      <c r="I328" s="834"/>
      <c r="J328" s="902"/>
      <c r="K328" s="902"/>
      <c r="L328" s="902"/>
      <c r="M328" s="902"/>
      <c r="N328" s="902"/>
      <c r="O328" s="902"/>
      <c r="P328" s="902"/>
      <c r="Q328" s="913"/>
      <c r="R328" s="913"/>
      <c r="S328" s="913"/>
      <c r="T328" s="913"/>
      <c r="U328" s="912"/>
      <c r="V328" s="912"/>
      <c r="W328" s="913"/>
      <c r="X328" s="912"/>
      <c r="Y328" s="912"/>
      <c r="Z328" s="912"/>
      <c r="AA328" s="912"/>
      <c r="AB328" s="912"/>
      <c r="AC328" s="912"/>
      <c r="AD328" s="912"/>
      <c r="AE328" s="912"/>
      <c r="AF328" s="912"/>
      <c r="AG328" s="912"/>
      <c r="AH328" s="912"/>
      <c r="AI328" s="912"/>
      <c r="AJ328" s="912"/>
      <c r="AK328" s="912"/>
      <c r="AL328" s="912"/>
      <c r="AM328" s="915"/>
      <c r="AN328" s="915"/>
    </row>
    <row r="329" spans="3:40" ht="14.1">
      <c r="C329" s="57"/>
      <c r="D329" s="58">
        <f>IF(E321=4,"0.3µ 95% Eff. HEPA Filetr",0)</f>
        <v>0</v>
      </c>
      <c r="E329" s="58">
        <f t="shared" si="200"/>
        <v>0</v>
      </c>
      <c r="F329" s="58">
        <f>IF(OR(D329=0),0,IF(MOD($E$42*$F$42,6)=0,"915",IF(MOD($E$42*$F$42,5)=0,"760",IF(MOD($E$42*$F$42,4)=0,"610","Refer"))))</f>
        <v>0</v>
      </c>
      <c r="G329" s="58">
        <f>IF(D329=0,0,300)</f>
        <v>0</v>
      </c>
      <c r="H329" s="60">
        <f>IF(D329=0,0,($E$42*$F$42*305*305)/(E329*F329))</f>
        <v>0</v>
      </c>
      <c r="I329" s="836"/>
      <c r="J329" s="902"/>
      <c r="K329" s="902"/>
      <c r="L329" s="902"/>
      <c r="M329" s="902"/>
      <c r="N329" s="902"/>
      <c r="O329" s="902"/>
      <c r="P329" s="902"/>
      <c r="Q329" s="913"/>
      <c r="R329" s="913"/>
      <c r="S329" s="913"/>
      <c r="T329" s="913"/>
      <c r="U329" s="912"/>
      <c r="V329" s="912"/>
      <c r="W329" s="913"/>
      <c r="X329" s="912"/>
      <c r="Y329" s="912"/>
      <c r="Z329" s="912"/>
      <c r="AA329" s="912"/>
      <c r="AB329" s="912"/>
      <c r="AC329" s="912"/>
      <c r="AD329" s="912"/>
      <c r="AE329" s="912"/>
      <c r="AF329" s="912"/>
      <c r="AG329" s="912"/>
      <c r="AH329" s="912"/>
      <c r="AI329" s="912"/>
      <c r="AJ329" s="912"/>
      <c r="AK329" s="912"/>
      <c r="AL329" s="912"/>
      <c r="AM329" s="915"/>
      <c r="AN329" s="915"/>
    </row>
    <row r="330" spans="3:40" ht="14.1">
      <c r="C330" s="57"/>
      <c r="D330" s="826"/>
      <c r="E330" s="182"/>
      <c r="F330" s="182"/>
      <c r="G330" s="182"/>
      <c r="H330" s="182"/>
      <c r="I330" s="827"/>
      <c r="J330" s="52"/>
      <c r="K330" s="52"/>
      <c r="L330" s="52"/>
      <c r="M330" s="52"/>
      <c r="N330" s="52"/>
      <c r="O330" s="828"/>
      <c r="P330" s="828"/>
      <c r="Q330" s="55"/>
      <c r="R330" s="55"/>
      <c r="S330" s="55"/>
      <c r="T330" s="55"/>
      <c r="U330" s="45"/>
      <c r="V330" s="45"/>
      <c r="W330" s="55"/>
      <c r="X330" s="45"/>
      <c r="Y330" s="45"/>
      <c r="Z330" s="45"/>
      <c r="AA330" s="45"/>
      <c r="AB330" s="45"/>
      <c r="AC330" s="45"/>
      <c r="AD330" s="45"/>
      <c r="AE330" s="45"/>
      <c r="AF330" s="45"/>
      <c r="AG330" s="45"/>
      <c r="AH330" s="45"/>
      <c r="AI330" s="45"/>
      <c r="AJ330" s="45"/>
      <c r="AK330" s="45"/>
      <c r="AL330" s="45"/>
      <c r="AM330" s="63"/>
      <c r="AN330" s="63"/>
    </row>
    <row r="331" spans="3:40" ht="14.1">
      <c r="C331" s="57"/>
      <c r="D331" s="826"/>
      <c r="E331" s="182"/>
      <c r="F331" s="182"/>
      <c r="G331" s="182"/>
      <c r="H331" s="182"/>
      <c r="I331" s="827"/>
      <c r="J331" s="52"/>
      <c r="K331" s="52"/>
      <c r="L331" s="52"/>
      <c r="M331" s="52"/>
      <c r="N331" s="52"/>
      <c r="O331" s="828"/>
      <c r="P331" s="828"/>
      <c r="Q331" s="55"/>
      <c r="R331" s="55"/>
      <c r="S331" s="55"/>
      <c r="T331" s="55"/>
      <c r="U331" s="45"/>
      <c r="V331" s="45"/>
      <c r="W331" s="55"/>
      <c r="X331" s="45"/>
      <c r="Y331" s="45"/>
      <c r="Z331" s="45"/>
      <c r="AA331" s="45"/>
      <c r="AB331" s="45"/>
      <c r="AC331" s="45"/>
      <c r="AD331" s="45"/>
      <c r="AE331" s="45"/>
      <c r="AF331" s="45"/>
      <c r="AG331" s="45"/>
      <c r="AH331" s="45"/>
      <c r="AI331" s="45"/>
      <c r="AJ331" s="45"/>
      <c r="AK331" s="45"/>
      <c r="AL331" s="45"/>
      <c r="AM331" s="63"/>
      <c r="AN331" s="63"/>
    </row>
    <row r="332" spans="3:40" ht="14.45" thickBot="1">
      <c r="C332" s="57"/>
      <c r="D332" s="826"/>
      <c r="E332" s="182"/>
      <c r="F332" s="182"/>
      <c r="G332" s="182"/>
      <c r="H332" s="182"/>
      <c r="I332" s="827"/>
      <c r="J332" s="52"/>
      <c r="K332" s="52"/>
      <c r="L332" s="52"/>
      <c r="M332" s="52"/>
      <c r="N332" s="52"/>
      <c r="O332" s="828"/>
      <c r="P332" s="828"/>
      <c r="Q332" s="55"/>
      <c r="R332" s="55"/>
      <c r="S332" s="55"/>
      <c r="T332" s="55"/>
      <c r="U332" s="45"/>
      <c r="V332" s="45"/>
      <c r="W332" s="55"/>
      <c r="X332" s="45"/>
      <c r="Y332" s="45"/>
      <c r="Z332" s="45"/>
      <c r="AA332" s="45"/>
      <c r="AB332" s="45"/>
      <c r="AC332" s="45"/>
      <c r="AD332" s="45"/>
      <c r="AE332" s="45"/>
      <c r="AF332" s="45"/>
      <c r="AG332" s="45"/>
      <c r="AH332" s="45"/>
      <c r="AI332" s="45"/>
      <c r="AJ332" s="45"/>
      <c r="AK332" s="45"/>
      <c r="AL332" s="45"/>
      <c r="AM332" s="63"/>
      <c r="AN332" s="63"/>
    </row>
    <row r="333" spans="3:40" ht="12.95">
      <c r="C333" s="65" t="s">
        <v>296</v>
      </c>
      <c r="D333" s="941" t="s">
        <v>297</v>
      </c>
      <c r="E333" s="942"/>
      <c r="F333" s="942"/>
      <c r="G333" s="942"/>
      <c r="H333" s="942"/>
      <c r="I333" s="943"/>
      <c r="J333" s="49"/>
      <c r="K333" s="49"/>
      <c r="L333" s="66"/>
      <c r="M333" s="66"/>
      <c r="N333" s="66"/>
      <c r="O333" s="67"/>
      <c r="P333" s="67"/>
      <c r="AM333" s="56"/>
      <c r="AN333" s="56"/>
    </row>
    <row r="334" spans="3:40">
      <c r="C334" s="68"/>
      <c r="D334" s="931" t="s">
        <v>298</v>
      </c>
      <c r="E334" s="932"/>
      <c r="F334" s="932"/>
      <c r="G334" s="932"/>
      <c r="H334" s="932"/>
      <c r="I334" s="933"/>
      <c r="J334" s="69"/>
      <c r="K334" s="69"/>
      <c r="L334" s="70"/>
      <c r="M334" s="70"/>
      <c r="N334" s="70"/>
      <c r="O334" s="71"/>
      <c r="P334" s="71"/>
      <c r="AM334" s="56"/>
      <c r="AN334" s="56"/>
    </row>
    <row r="335" spans="3:40">
      <c r="C335" s="57"/>
      <c r="D335" s="934"/>
      <c r="E335" s="935"/>
      <c r="F335" s="935"/>
      <c r="G335" s="935"/>
      <c r="H335" s="935"/>
      <c r="I335" s="936"/>
      <c r="J335" s="52"/>
      <c r="K335" s="52"/>
      <c r="L335" s="53"/>
      <c r="M335" s="53"/>
      <c r="N335" s="53"/>
      <c r="O335" s="54"/>
      <c r="P335" s="54"/>
      <c r="AM335" s="56"/>
      <c r="AN335" s="56"/>
    </row>
    <row r="336" spans="3:40">
      <c r="C336" s="57"/>
      <c r="D336" s="934"/>
      <c r="E336" s="935"/>
      <c r="F336" s="935"/>
      <c r="G336" s="935"/>
      <c r="H336" s="935"/>
      <c r="I336" s="936"/>
      <c r="J336" s="52"/>
      <c r="K336" s="52"/>
      <c r="L336" s="53"/>
      <c r="M336" s="53"/>
      <c r="N336" s="53"/>
      <c r="O336" s="54"/>
      <c r="P336" s="54"/>
      <c r="AM336" s="56"/>
      <c r="AN336" s="56"/>
    </row>
    <row r="337" spans="3:50">
      <c r="C337" s="57"/>
      <c r="D337" s="934"/>
      <c r="E337" s="935"/>
      <c r="F337" s="935"/>
      <c r="G337" s="935"/>
      <c r="H337" s="935"/>
      <c r="I337" s="936"/>
      <c r="J337" s="52"/>
      <c r="K337" s="52"/>
      <c r="L337" s="53"/>
      <c r="M337" s="53"/>
      <c r="N337" s="53"/>
      <c r="O337" s="54"/>
      <c r="P337" s="54"/>
      <c r="AM337" s="56"/>
      <c r="AN337" s="56"/>
    </row>
    <row r="338" spans="3:50">
      <c r="C338" s="57"/>
      <c r="D338" s="934"/>
      <c r="E338" s="935"/>
      <c r="F338" s="935"/>
      <c r="G338" s="935"/>
      <c r="H338" s="935"/>
      <c r="I338" s="936"/>
      <c r="J338" s="52"/>
      <c r="K338" s="52"/>
      <c r="L338" s="53"/>
      <c r="M338" s="53"/>
      <c r="N338" s="53"/>
      <c r="O338" s="54"/>
      <c r="P338" s="54"/>
      <c r="AM338" s="56"/>
      <c r="AN338" s="56"/>
    </row>
    <row r="339" spans="3:50">
      <c r="C339" s="57"/>
      <c r="D339" s="934"/>
      <c r="E339" s="935"/>
      <c r="F339" s="935"/>
      <c r="G339" s="935"/>
      <c r="H339" s="935"/>
      <c r="I339" s="936"/>
      <c r="J339" s="52"/>
      <c r="K339" s="52"/>
      <c r="L339" s="53"/>
      <c r="M339" s="53"/>
      <c r="N339" s="53"/>
      <c r="O339" s="54"/>
      <c r="P339" s="54"/>
      <c r="AM339" s="56"/>
      <c r="AN339" s="56"/>
    </row>
    <row r="340" spans="3:50">
      <c r="C340" s="57"/>
      <c r="D340" s="934"/>
      <c r="E340" s="935"/>
      <c r="F340" s="935"/>
      <c r="G340" s="935"/>
      <c r="H340" s="935"/>
      <c r="I340" s="936"/>
      <c r="J340" s="52"/>
      <c r="K340" s="52"/>
      <c r="L340" s="53"/>
      <c r="M340" s="53"/>
      <c r="N340" s="53"/>
      <c r="O340" s="54"/>
      <c r="P340" s="54"/>
      <c r="AM340" s="56"/>
      <c r="AN340" s="56"/>
    </row>
    <row r="341" spans="3:50">
      <c r="C341" s="57"/>
      <c r="D341" s="934"/>
      <c r="E341" s="935"/>
      <c r="F341" s="935"/>
      <c r="G341" s="935"/>
      <c r="H341" s="935"/>
      <c r="I341" s="936"/>
      <c r="J341" s="52"/>
      <c r="K341" s="52"/>
      <c r="L341" s="53"/>
      <c r="M341" s="53"/>
      <c r="N341" s="53"/>
      <c r="O341" s="54"/>
      <c r="P341" s="54"/>
      <c r="AM341" s="56"/>
      <c r="AN341" s="56"/>
    </row>
    <row r="342" spans="3:50">
      <c r="C342" s="57"/>
      <c r="D342" s="934"/>
      <c r="E342" s="935"/>
      <c r="F342" s="935"/>
      <c r="G342" s="935"/>
      <c r="H342" s="935"/>
      <c r="I342" s="936"/>
      <c r="J342" s="52"/>
      <c r="K342" s="52"/>
      <c r="L342" s="53"/>
      <c r="M342" s="53"/>
      <c r="N342" s="53"/>
      <c r="O342" s="54"/>
      <c r="P342" s="54"/>
      <c r="AM342" s="56"/>
      <c r="AN342" s="56"/>
    </row>
    <row r="343" spans="3:50">
      <c r="C343" s="57"/>
      <c r="D343" s="934"/>
      <c r="E343" s="935"/>
      <c r="F343" s="935"/>
      <c r="G343" s="935"/>
      <c r="H343" s="935"/>
      <c r="I343" s="936"/>
      <c r="J343" s="52"/>
      <c r="K343" s="52"/>
      <c r="L343" s="53"/>
      <c r="M343" s="53"/>
      <c r="N343" s="53"/>
      <c r="O343" s="54"/>
      <c r="P343" s="54"/>
      <c r="AM343" s="56"/>
      <c r="AN343" s="56"/>
    </row>
    <row r="344" spans="3:50" ht="30.75" customHeight="1">
      <c r="C344" s="57"/>
      <c r="D344" s="934"/>
      <c r="E344" s="935"/>
      <c r="F344" s="935"/>
      <c r="G344" s="935"/>
      <c r="H344" s="935"/>
      <c r="I344" s="936"/>
      <c r="J344" s="52"/>
      <c r="K344" s="52"/>
      <c r="L344" s="53"/>
      <c r="M344" s="53"/>
      <c r="N344" s="53"/>
      <c r="O344" s="54"/>
      <c r="P344" s="54"/>
      <c r="AM344" s="56"/>
      <c r="AN344" s="56"/>
    </row>
    <row r="345" spans="3:50" ht="24.95">
      <c r="C345" s="68"/>
      <c r="D345" s="58" t="s">
        <v>299</v>
      </c>
      <c r="E345" s="58" t="s">
        <v>300</v>
      </c>
      <c r="F345" s="58" t="s">
        <v>301</v>
      </c>
      <c r="G345" s="58" t="s">
        <v>302</v>
      </c>
      <c r="H345" s="58" t="s">
        <v>303</v>
      </c>
      <c r="I345" s="58" t="s">
        <v>304</v>
      </c>
      <c r="J345" s="69"/>
      <c r="K345" s="69"/>
      <c r="L345" s="70"/>
      <c r="M345" s="70"/>
      <c r="N345" s="70"/>
      <c r="O345" s="71"/>
      <c r="P345" s="71"/>
      <c r="Q345" s="28">
        <f>CEILING((D346*E346*6*10.76/(1000*1000)+D346*F346*2*10.76/(1000*1000)+E346*F346*2*10.76/(1000*1000))*1000,100)</f>
        <v>679400</v>
      </c>
      <c r="AM345" s="56"/>
      <c r="AN345" s="56"/>
    </row>
    <row r="346" spans="3:50" ht="12.95">
      <c r="C346" s="927" t="s">
        <v>305</v>
      </c>
      <c r="D346" s="58">
        <f>IF(G346&lt;=2000,950,(IF(G346&lt;=3000,1150,(IF(G346&lt;=8000,1550,(IF(G346&lt;=10000,1750,(IF(G346&lt;=18000,2050,(IF(G346&lt;=32000,2900,(IF(G346&lt;=40000,3600,4000)))))))))))))</f>
        <v>1750</v>
      </c>
      <c r="E346" s="58">
        <f>IF(G346&lt;=2000,950,(IF(G346&lt;=4000,1100,(IF(G346&lt;=6000,1250,(IF(G346&lt;=10000,1550,(IF(G346&lt;=15000,1750,(IF(G346&lt;=24000,2050,(IF(G346&lt;=40000,2900,3600)))))))))))))</f>
        <v>1550</v>
      </c>
      <c r="F346" s="58">
        <f>H346+I346+G347+300</f>
        <v>7100</v>
      </c>
      <c r="G346" s="59">
        <v>9000</v>
      </c>
      <c r="H346" s="58">
        <f>IF(D347&lt;=315,1600,(IF(D347=355,1650,(IF(D347=400,1650,(IF(D347=450,1700,(IF(D347=500,1700,(IF(D347=560,1800,(IF(D347=630,2000,(IF(D347=710,2200,2500)))))))))))))))</f>
        <v>1800</v>
      </c>
      <c r="I346" s="58">
        <f>IF(H347=2,1800,(IF(H347=3,2300,(IF(H347=4,3300,(IF(H347=5,3800,0)))))))</f>
        <v>3800</v>
      </c>
      <c r="J346" s="929" t="s">
        <v>277</v>
      </c>
      <c r="K346" s="929">
        <v>1</v>
      </c>
      <c r="L346" s="930">
        <f>Q346*0.9</f>
        <v>491400</v>
      </c>
      <c r="M346" s="930">
        <f>L346*K346</f>
        <v>491400</v>
      </c>
      <c r="N346" s="930">
        <f>Q346*0.1</f>
        <v>54600</v>
      </c>
      <c r="O346" s="940">
        <f>N346*K346</f>
        <v>54600</v>
      </c>
      <c r="P346" s="940">
        <v>546000</v>
      </c>
      <c r="Q346" s="913">
        <f>CEILING((S346+T346+U346+V346+W346),250)</f>
        <v>546000</v>
      </c>
      <c r="R346" s="913">
        <v>625</v>
      </c>
      <c r="S346" s="913">
        <f>(D346*E346*3*10.76+D346*F346*2*10.76+E346*F346*2*10.76)*R346/(1000*1000)</f>
        <v>369858.1875</v>
      </c>
      <c r="T346" s="913">
        <f>F347*4*1050</f>
        <v>0</v>
      </c>
      <c r="U346" s="912">
        <f>IF(G346&lt;=2000,5000,(IF(G346&lt;=5000,8000,(IF(G346&lt;=10000,10000,(IF(G346&lt;=18000,15000,(IF(G346&lt;=40000,20000,10000)))))))))</f>
        <v>10000</v>
      </c>
      <c r="V346" s="912">
        <f>IF(X346=200,17150,(IF(X346=225,18150,(IF(X346=250,18900,(IF(X346=280,19150,(IF(X346=315,19650,(IF(X346=355,21900,(IF(X346=400,24400,0)))))))))))))+IF(X346=450,31000,(IF(X346=500,37450,(IF(X346=560,45650,(IF(X346=630,58900,(IF(X346=710,77950,0)))))))))+IF(X346=800,119650,(IF(X346=900,153300,(IF(X346=1000,178900,(IF(X346=1120,286500,(IF(X346=1250,394500,(IF(X346=1450,461500,0)))))))))))</f>
        <v>45650</v>
      </c>
      <c r="W346" s="913">
        <f>IF(E347=0.5,16600,(IF(E347=1,19050,(IF(E347=1.5,21750,(IF(E347=2,23600,(IF(E347=3,30000,(IF(E347=5,38000,0)))))))))))*1.2+IF(E347=7.5,52300,(IF(E347=10,59600,0)))*1.2+IF(E347=12.5,100350,(IF(E347=15,106000,(IF(E347=20,129150,(IF(E347=25,146050,(IF(E347=30,173600,(IF(E347=40,233900,(IF(E347=50,304650)))))))))))))*1.2</f>
        <v>120420</v>
      </c>
      <c r="X346" s="912">
        <f>IF(G346&lt;=5250,Z346,Y346)</f>
        <v>560</v>
      </c>
      <c r="Y346" s="912">
        <f>IF(G346&lt;=6750,450,(IF(G346&lt;=8500,500,(IF(G346&lt;=10750,560,(IF(G346&lt;=13500,630,(IF(G346&lt;=17000,710,(IF(G346&lt;=21500,800,(IF(G346&lt;=27000,900,(IF(G346&lt;=34000,1000,0)))))))))))))))</f>
        <v>560</v>
      </c>
      <c r="Z346" s="912">
        <f>IF(G346&lt;=1300,200,(IF(G346&lt;=1600,225,(IF(G346&lt;=2100,250,(IF(G346&lt;=2700,280,(IF(G346&lt;=3450,315,(IF(G346&lt;=4250,355,(IF(G346&lt;=5250,400,(IF(G346&lt;=6750,450,0)))))))))))))))</f>
        <v>0</v>
      </c>
      <c r="AA346" s="912">
        <f>IF(G346&lt;=2000,5000,(IF(G346&lt;=5000,8000,(IF(G346&lt;=10000,10000,(IF(G346&lt;=18000,15000,(IF(G346&lt;=40000,20000,10000)))))))))</f>
        <v>10000</v>
      </c>
      <c r="AB346" s="912">
        <f>IF(D346=950,2,(IF(D346=1150,3,(IF(D346=1550,4,(IF(D346=1750,5,(IF(D346=2050,6,(IF(D346=2900,8,(IF(D346=3600,10,1)))))))))))))</f>
        <v>5</v>
      </c>
      <c r="AC346" s="912">
        <f>IF(E346=950,2,(IF(E346=1100,2,(IF(E346=1250,3,(IF(E346=1550,4,(IF(E346=1750,5,(IF(E346=2050,6,(IF(E346=2900,8,(IF(E346=3600,10,1)))))))))))))))</f>
        <v>4</v>
      </c>
      <c r="AD346" s="912">
        <f>AC346*AB346</f>
        <v>20</v>
      </c>
      <c r="AE346" s="912">
        <v>150</v>
      </c>
      <c r="AF346" s="912">
        <f>CEILING((SQRT(G346/1000))*4*2*AE346*1.25*K346,100)</f>
        <v>4500</v>
      </c>
      <c r="AG346" s="912">
        <f>AB346*AC346</f>
        <v>20</v>
      </c>
      <c r="AH346" s="912">
        <f>AC346*AB346</f>
        <v>20</v>
      </c>
      <c r="AI346" s="912">
        <f>AC346*AB346</f>
        <v>20</v>
      </c>
      <c r="AJ346" s="912">
        <f>AC346*AB346</f>
        <v>20</v>
      </c>
      <c r="AK346" s="912">
        <f>AC346*AB346</f>
        <v>20</v>
      </c>
      <c r="AL346" s="912"/>
      <c r="AM346" s="915">
        <f>(G346*2.2/1100)</f>
        <v>18</v>
      </c>
      <c r="AN346" s="915">
        <f>(G346*1/1100)</f>
        <v>8.1818181818181817</v>
      </c>
      <c r="AX346" s="912"/>
    </row>
    <row r="347" spans="3:50">
      <c r="C347" s="928"/>
      <c r="D347" s="58">
        <f>IF(G346&lt;=5250,Z346,Y346)</f>
        <v>560</v>
      </c>
      <c r="E347" s="58">
        <v>12.5</v>
      </c>
      <c r="F347" s="58">
        <v>0</v>
      </c>
      <c r="G347" s="58">
        <f>IF(I347=4,600,(IF(I347=6,800,(IF(I347=8,1000,1200)))))</f>
        <v>1200</v>
      </c>
      <c r="H347" s="58">
        <v>5</v>
      </c>
      <c r="I347" s="58">
        <v>0</v>
      </c>
      <c r="J347" s="929"/>
      <c r="K347" s="929"/>
      <c r="L347" s="930"/>
      <c r="M347" s="930"/>
      <c r="N347" s="930"/>
      <c r="O347" s="940"/>
      <c r="P347" s="940"/>
      <c r="Q347" s="913"/>
      <c r="R347" s="913"/>
      <c r="S347" s="913"/>
      <c r="T347" s="913"/>
      <c r="U347" s="912"/>
      <c r="V347" s="912"/>
      <c r="W347" s="913"/>
      <c r="X347" s="912"/>
      <c r="Y347" s="912"/>
      <c r="Z347" s="912"/>
      <c r="AA347" s="912"/>
      <c r="AB347" s="912"/>
      <c r="AC347" s="912"/>
      <c r="AD347" s="912"/>
      <c r="AE347" s="912"/>
      <c r="AF347" s="912"/>
      <c r="AG347" s="912"/>
      <c r="AH347" s="912"/>
      <c r="AI347" s="912"/>
      <c r="AJ347" s="912"/>
      <c r="AK347" s="912"/>
      <c r="AL347" s="912"/>
      <c r="AM347" s="915"/>
      <c r="AN347" s="915"/>
      <c r="AX347" s="912"/>
    </row>
    <row r="348" spans="3:50" ht="25.5" thickBot="1">
      <c r="C348" s="57"/>
      <c r="D348" s="64" t="s">
        <v>306</v>
      </c>
      <c r="E348" s="64" t="s">
        <v>307</v>
      </c>
      <c r="F348" s="64" t="s">
        <v>308</v>
      </c>
      <c r="G348" s="64" t="s">
        <v>309</v>
      </c>
      <c r="H348" s="64" t="s">
        <v>310</v>
      </c>
      <c r="I348" s="64" t="s">
        <v>311</v>
      </c>
      <c r="J348" s="52"/>
      <c r="K348" s="52"/>
      <c r="L348" s="53"/>
      <c r="M348" s="53"/>
      <c r="N348" s="53"/>
      <c r="O348" s="54"/>
      <c r="P348" s="54"/>
      <c r="Q348" s="28">
        <f>CEILING((D351*E351*6*10.76/(1000*1000)+D351*F351*2*10.76/(1000*1000)+E351*F351*2*10.76/(1000*1000))*1000,100)</f>
        <v>0</v>
      </c>
      <c r="AM348" s="56"/>
      <c r="AN348" s="56"/>
    </row>
    <row r="349" spans="3:50" ht="12.95">
      <c r="C349" s="65" t="s">
        <v>85</v>
      </c>
      <c r="D349" s="941" t="s">
        <v>312</v>
      </c>
      <c r="E349" s="942"/>
      <c r="F349" s="942"/>
      <c r="G349" s="942"/>
      <c r="H349" s="942"/>
      <c r="I349" s="943"/>
      <c r="J349" s="49"/>
      <c r="K349" s="49"/>
      <c r="L349" s="66"/>
      <c r="M349" s="66"/>
      <c r="N349" s="66"/>
      <c r="O349" s="67"/>
      <c r="P349" s="67"/>
      <c r="AM349" s="56"/>
      <c r="AN349" s="56"/>
    </row>
    <row r="350" spans="3:50">
      <c r="C350" s="68"/>
      <c r="D350" s="931" t="s">
        <v>313</v>
      </c>
      <c r="E350" s="932"/>
      <c r="F350" s="932"/>
      <c r="G350" s="932"/>
      <c r="H350" s="932"/>
      <c r="I350" s="933"/>
      <c r="J350" s="69"/>
      <c r="K350" s="69"/>
      <c r="L350" s="70"/>
      <c r="M350" s="70"/>
      <c r="N350" s="70"/>
      <c r="O350" s="71"/>
      <c r="P350" s="71"/>
      <c r="AM350" s="56"/>
      <c r="AN350" s="56"/>
    </row>
    <row r="351" spans="3:50">
      <c r="C351" s="57"/>
      <c r="D351" s="934"/>
      <c r="E351" s="935"/>
      <c r="F351" s="935"/>
      <c r="G351" s="935"/>
      <c r="H351" s="935"/>
      <c r="I351" s="936"/>
      <c r="J351" s="52"/>
      <c r="K351" s="52"/>
      <c r="L351" s="53"/>
      <c r="M351" s="53"/>
      <c r="N351" s="53"/>
      <c r="O351" s="54"/>
      <c r="P351" s="54"/>
      <c r="AM351" s="56"/>
      <c r="AN351" s="56"/>
    </row>
    <row r="352" spans="3:50">
      <c r="C352" s="57"/>
      <c r="D352" s="934"/>
      <c r="E352" s="935"/>
      <c r="F352" s="935"/>
      <c r="G352" s="935"/>
      <c r="H352" s="935"/>
      <c r="I352" s="936"/>
      <c r="J352" s="52"/>
      <c r="K352" s="52"/>
      <c r="L352" s="53"/>
      <c r="M352" s="53"/>
      <c r="N352" s="53"/>
      <c r="O352" s="54"/>
      <c r="P352" s="54"/>
      <c r="AM352" s="56"/>
      <c r="AN352" s="56"/>
    </row>
    <row r="353" spans="3:50">
      <c r="C353" s="57"/>
      <c r="D353" s="934"/>
      <c r="E353" s="935"/>
      <c r="F353" s="935"/>
      <c r="G353" s="935"/>
      <c r="H353" s="935"/>
      <c r="I353" s="936"/>
      <c r="J353" s="52"/>
      <c r="K353" s="52"/>
      <c r="L353" s="53"/>
      <c r="M353" s="53"/>
      <c r="N353" s="53"/>
      <c r="O353" s="54"/>
      <c r="P353" s="54"/>
      <c r="AM353" s="56"/>
      <c r="AN353" s="56"/>
    </row>
    <row r="354" spans="3:50">
      <c r="C354" s="57"/>
      <c r="D354" s="934"/>
      <c r="E354" s="935"/>
      <c r="F354" s="935"/>
      <c r="G354" s="935"/>
      <c r="H354" s="935"/>
      <c r="I354" s="936"/>
      <c r="J354" s="52"/>
      <c r="K354" s="52"/>
      <c r="L354" s="53"/>
      <c r="M354" s="53"/>
      <c r="N354" s="53"/>
      <c r="O354" s="54"/>
      <c r="P354" s="54"/>
      <c r="AM354" s="56"/>
      <c r="AN354" s="56"/>
    </row>
    <row r="355" spans="3:50">
      <c r="C355" s="57"/>
      <c r="D355" s="934"/>
      <c r="E355" s="935"/>
      <c r="F355" s="935"/>
      <c r="G355" s="935"/>
      <c r="H355" s="935"/>
      <c r="I355" s="936"/>
      <c r="J355" s="52"/>
      <c r="K355" s="52"/>
      <c r="L355" s="53"/>
      <c r="M355" s="53"/>
      <c r="N355" s="53"/>
      <c r="O355" s="54"/>
      <c r="P355" s="54"/>
      <c r="AM355" s="56"/>
      <c r="AN355" s="56"/>
    </row>
    <row r="356" spans="3:50">
      <c r="C356" s="57"/>
      <c r="D356" s="934"/>
      <c r="E356" s="935"/>
      <c r="F356" s="935"/>
      <c r="G356" s="935"/>
      <c r="H356" s="935"/>
      <c r="I356" s="936"/>
      <c r="J356" s="52"/>
      <c r="K356" s="52"/>
      <c r="L356" s="53"/>
      <c r="M356" s="53"/>
      <c r="N356" s="53"/>
      <c r="O356" s="54"/>
      <c r="P356" s="54"/>
      <c r="AM356" s="56"/>
      <c r="AN356" s="56"/>
    </row>
    <row r="357" spans="3:50">
      <c r="C357" s="57"/>
      <c r="D357" s="934"/>
      <c r="E357" s="935"/>
      <c r="F357" s="935"/>
      <c r="G357" s="935"/>
      <c r="H357" s="935"/>
      <c r="I357" s="936"/>
      <c r="J357" s="52"/>
      <c r="K357" s="52"/>
      <c r="L357" s="53"/>
      <c r="M357" s="53"/>
      <c r="N357" s="53"/>
      <c r="O357" s="54"/>
      <c r="P357" s="54"/>
      <c r="AM357" s="56"/>
      <c r="AN357" s="56"/>
    </row>
    <row r="358" spans="3:50">
      <c r="C358" s="57"/>
      <c r="D358" s="934"/>
      <c r="E358" s="935"/>
      <c r="F358" s="935"/>
      <c r="G358" s="935"/>
      <c r="H358" s="935"/>
      <c r="I358" s="936"/>
      <c r="J358" s="52"/>
      <c r="K358" s="52"/>
      <c r="L358" s="53"/>
      <c r="M358" s="53"/>
      <c r="N358" s="53"/>
      <c r="O358" s="54"/>
      <c r="P358" s="54"/>
      <c r="AM358" s="56"/>
      <c r="AN358" s="56"/>
    </row>
    <row r="359" spans="3:50">
      <c r="C359" s="57"/>
      <c r="D359" s="934"/>
      <c r="E359" s="935"/>
      <c r="F359" s="935"/>
      <c r="G359" s="935"/>
      <c r="H359" s="935"/>
      <c r="I359" s="936"/>
      <c r="J359" s="52"/>
      <c r="K359" s="52"/>
      <c r="L359" s="53"/>
      <c r="M359" s="53"/>
      <c r="N359" s="53"/>
      <c r="O359" s="54"/>
      <c r="P359" s="54"/>
      <c r="AM359" s="56"/>
      <c r="AN359" s="56"/>
    </row>
    <row r="360" spans="3:50" ht="16.5" customHeight="1">
      <c r="C360" s="57"/>
      <c r="D360" s="934"/>
      <c r="E360" s="935"/>
      <c r="F360" s="935"/>
      <c r="G360" s="935"/>
      <c r="H360" s="935"/>
      <c r="I360" s="936"/>
      <c r="J360" s="52"/>
      <c r="K360" s="52"/>
      <c r="L360" s="53"/>
      <c r="M360" s="53"/>
      <c r="N360" s="53"/>
      <c r="O360" s="54"/>
      <c r="P360" s="54"/>
      <c r="AM360" s="56"/>
      <c r="AN360" s="56"/>
    </row>
    <row r="361" spans="3:50" ht="16.5" customHeight="1">
      <c r="C361" s="57"/>
      <c r="D361" s="937" t="s">
        <v>314</v>
      </c>
      <c r="E361" s="938"/>
      <c r="F361" s="938"/>
      <c r="G361" s="938"/>
      <c r="H361" s="938"/>
      <c r="I361" s="939"/>
      <c r="J361" s="52"/>
      <c r="K361" s="52"/>
      <c r="L361" s="53"/>
      <c r="M361" s="53"/>
      <c r="N361" s="53"/>
      <c r="O361" s="54"/>
      <c r="P361" s="54"/>
      <c r="AM361" s="56"/>
      <c r="AN361" s="56"/>
    </row>
    <row r="362" spans="3:50" ht="24.95">
      <c r="C362" s="68"/>
      <c r="D362" s="58" t="s">
        <v>299</v>
      </c>
      <c r="E362" s="58" t="s">
        <v>300</v>
      </c>
      <c r="F362" s="58" t="s">
        <v>301</v>
      </c>
      <c r="G362" s="58" t="s">
        <v>302</v>
      </c>
      <c r="H362" s="58" t="s">
        <v>303</v>
      </c>
      <c r="I362" s="58" t="s">
        <v>304</v>
      </c>
      <c r="J362" s="69"/>
      <c r="K362" s="69"/>
      <c r="L362" s="70"/>
      <c r="M362" s="70"/>
      <c r="N362" s="70"/>
      <c r="O362" s="71"/>
      <c r="P362" s="71"/>
      <c r="AM362" s="56"/>
      <c r="AN362" s="56"/>
    </row>
    <row r="363" spans="3:50" ht="12.95">
      <c r="C363" s="927" t="s">
        <v>315</v>
      </c>
      <c r="D363" s="58">
        <f>IF(G363&lt;=2000,950,(IF(G363&lt;=3000,1150,(IF(G363&lt;=8000,1550,(IF(G363&lt;=10000,1750,(IF(G363&lt;=18000,2050,(IF(G363&lt;=32000,2900,(IF(G363&lt;=40000,3600,4000)))))))))))))</f>
        <v>950</v>
      </c>
      <c r="E363" s="58">
        <f>IF(G363&lt;=2000,950,(IF(G363&lt;=4000,1100,(IF(G363&lt;=6000,1250,(IF(G363&lt;=10000,1550,(IF(G363&lt;=15000,1750,(IF(G363&lt;=24000,2050,(IF(G363&lt;=40000,2900,3600)))))))))))))</f>
        <v>950</v>
      </c>
      <c r="F363" s="58">
        <f>H363+I363+G364+300</f>
        <v>5400</v>
      </c>
      <c r="G363" s="59">
        <v>1850</v>
      </c>
      <c r="H363" s="58">
        <f>IF(D364&lt;=315,1600,(IF(D364=355,1650,(IF(D364=400,1650,(IF(D364=450,1700,(IF(D364=500,1700,(IF(D364=560,1800,(IF(D364=630,2000,(IF(D364=710,2200,2500)))))))))))))))</f>
        <v>1600</v>
      </c>
      <c r="I363" s="58">
        <f>IF(H364=2,1800,(IF(H364=3,2300,(IF(H364=4,3300,0)))))</f>
        <v>2300</v>
      </c>
      <c r="J363" s="929" t="s">
        <v>277</v>
      </c>
      <c r="K363" s="929">
        <v>1</v>
      </c>
      <c r="L363" s="930">
        <f>Q363*0.9</f>
        <v>185625</v>
      </c>
      <c r="M363" s="930">
        <f>L363*K363</f>
        <v>185625</v>
      </c>
      <c r="N363" s="930">
        <f>Q363*0.1</f>
        <v>20625</v>
      </c>
      <c r="O363" s="940">
        <f>N363*K363</f>
        <v>20625</v>
      </c>
      <c r="P363" s="940">
        <v>206250</v>
      </c>
      <c r="Q363" s="913">
        <f>CEILING((S363+T363+U363+V363+W363),250)</f>
        <v>206250</v>
      </c>
      <c r="R363" s="913">
        <v>625</v>
      </c>
      <c r="S363" s="913">
        <f>(D363*E363*3*10.76+D363*F363*2*10.76+E363*F363*2*10.76)*R363/(1000*1000)</f>
        <v>156204.9375</v>
      </c>
      <c r="T363" s="913">
        <f>F364*4*1050</f>
        <v>0</v>
      </c>
      <c r="U363" s="912">
        <f>IF(G363&lt;=2000,5000,(IF(G363&lt;=5000,8000,(IF(G363&lt;=10000,10000,(IF(G363&lt;=18000,15000,(IF(G363&lt;=40000,20000,10000)))))))))</f>
        <v>5000</v>
      </c>
      <c r="V363" s="912">
        <f>IF(X363=200,17150,(IF(X363=225,18150,(IF(X363=250,18900,(IF(X363=280,19150,(IF(X363=315,19650,(IF(X363=355,21900,(IF(X363=400,24400,0)))))))))))))+IF(X363=450,31000,(IF(X363=500,37450,(IF(X363=560,45650,(IF(X363=630,58900,(IF(X363=710,77950,0)))))))))+IF(X363=800,119650,(IF(X363=900,153300,(IF(X363=1000,178900,(IF(X363=1120,286500,(IF(X363=1250,394500,(IF(X363=1450,461500,0)))))))))))</f>
        <v>18900</v>
      </c>
      <c r="W363" s="913">
        <f>IF(E364=0.5,16600,(IF(E364=1,19050,(IF(E364=1.5,21750,(IF(E364=2,23600,(IF(E364=3,30000,(IF(E364=5,38000,0)))))))))))*1.2+IF(E364=7.5,52300,(IF(E364=10,59600,0)))*1.2+IF(E364=12.5,100350,(IF(E364=15,106000,(IF(E364=20,129150,(IF(E364=25,146050,(IF(E364=30,173600,(IF(E364=40,233900,(IF(E364=50,304650)))))))))))))*1.2</f>
        <v>26100</v>
      </c>
      <c r="X363" s="912">
        <f>IF(G363&lt;=5250,Z363,Y363)</f>
        <v>250</v>
      </c>
      <c r="Y363" s="912">
        <f>IF(G363&lt;=6750,450,(IF(G363&lt;=8500,500,(IF(G363&lt;=10750,560,(IF(G363&lt;=13500,630,(IF(G363&lt;=17000,710,(IF(G363&lt;=21500,800,(IF(G363&lt;=27000,900,(IF(G363&lt;=34000,1000,0)))))))))))))))</f>
        <v>450</v>
      </c>
      <c r="Z363" s="912">
        <f>IF(G363&lt;=1300,200,(IF(G363&lt;=1600,225,(IF(G363&lt;=2100,250,(IF(G363&lt;=2700,280,(IF(G363&lt;=3450,315,(IF(G363&lt;=4250,355,(IF(G363&lt;=5250,400,(IF(G363&lt;=6750,450,0)))))))))))))))</f>
        <v>250</v>
      </c>
      <c r="AA363" s="912">
        <f>IF(G363&lt;=2000,5000,(IF(G363&lt;=5000,8000,(IF(G363&lt;=10000,10000,(IF(G363&lt;=18000,15000,(IF(G363&lt;=40000,20000,10000)))))))))</f>
        <v>5000</v>
      </c>
      <c r="AB363" s="912">
        <f>IF(D363=950,2,(IF(D363=1150,3,(IF(D363=1550,4,(IF(D363=1750,5,(IF(D363=2050,6,(IF(D363=2900,8,(IF(D363=3600,10,1)))))))))))))</f>
        <v>2</v>
      </c>
      <c r="AC363" s="912">
        <f>IF(E363=950,2,(IF(E363=1100,2,(IF(E363=1250,3,(IF(E363=1550,4,(IF(E363=1750,5,(IF(E363=2050,6,(IF(E363=2900,8,(IF(E363=3600,10,1)))))))))))))))</f>
        <v>2</v>
      </c>
      <c r="AD363" s="912">
        <f>AC363*AB363</f>
        <v>4</v>
      </c>
      <c r="AE363" s="912">
        <v>150</v>
      </c>
      <c r="AF363" s="912">
        <f>CEILING((SQRT(G363/1000))*4*2*AE363*1.25*K363,100)</f>
        <v>2100</v>
      </c>
      <c r="AG363" s="912">
        <f>AB363*AC363</f>
        <v>4</v>
      </c>
      <c r="AH363" s="912">
        <f>AC363*AB363</f>
        <v>4</v>
      </c>
      <c r="AI363" s="912">
        <f>AC363*AB363</f>
        <v>4</v>
      </c>
      <c r="AJ363" s="912">
        <f>AC363*AB363</f>
        <v>4</v>
      </c>
      <c r="AK363" s="912"/>
      <c r="AL363" s="912"/>
      <c r="AM363" s="915">
        <f>(G363*2.2/1100)</f>
        <v>3.7000000000000006</v>
      </c>
      <c r="AN363" s="915">
        <f>(G363*1/1100)</f>
        <v>1.6818181818181819</v>
      </c>
      <c r="AX363" s="912"/>
    </row>
    <row r="364" spans="3:50">
      <c r="C364" s="928"/>
      <c r="D364" s="58">
        <f>IF(G363&lt;=5250,Z363,Y363)</f>
        <v>250</v>
      </c>
      <c r="E364" s="58">
        <v>1.5</v>
      </c>
      <c r="F364" s="58">
        <v>0</v>
      </c>
      <c r="G364" s="58">
        <f>IF(I364=4,600,(IF(I364=6,800,(IF(I364=8,1000,1200)))))</f>
        <v>1200</v>
      </c>
      <c r="H364" s="58">
        <v>3</v>
      </c>
      <c r="I364" s="58">
        <v>0</v>
      </c>
      <c r="J364" s="929"/>
      <c r="K364" s="929"/>
      <c r="L364" s="930"/>
      <c r="M364" s="930"/>
      <c r="N364" s="930"/>
      <c r="O364" s="940"/>
      <c r="P364" s="940"/>
      <c r="Q364" s="913"/>
      <c r="R364" s="913"/>
      <c r="S364" s="913"/>
      <c r="T364" s="913"/>
      <c r="U364" s="912"/>
      <c r="V364" s="912"/>
      <c r="W364" s="913"/>
      <c r="X364" s="912"/>
      <c r="Y364" s="912"/>
      <c r="Z364" s="912"/>
      <c r="AA364" s="912"/>
      <c r="AB364" s="912"/>
      <c r="AC364" s="912"/>
      <c r="AD364" s="912"/>
      <c r="AE364" s="912"/>
      <c r="AF364" s="912"/>
      <c r="AG364" s="912"/>
      <c r="AH364" s="912"/>
      <c r="AI364" s="912"/>
      <c r="AJ364" s="912"/>
      <c r="AK364" s="912"/>
      <c r="AL364" s="912"/>
      <c r="AM364" s="915"/>
      <c r="AN364" s="915"/>
      <c r="AX364" s="912"/>
    </row>
    <row r="365" spans="3:50" ht="12.95">
      <c r="C365" s="927" t="s">
        <v>316</v>
      </c>
      <c r="D365" s="58">
        <f>IF(G365&lt;=2000,950,(IF(G365&lt;=3000,1150,(IF(G365&lt;=8000,1550,(IF(G365&lt;=10000,1750,(IF(G365&lt;=18000,2050,(IF(G365&lt;=32000,2900,(IF(G365&lt;=40000,3600,4000)))))))))))))</f>
        <v>950</v>
      </c>
      <c r="E365" s="58">
        <f>IF(G365&lt;=2000,950,(IF(G365&lt;=4000,1100,(IF(G365&lt;=6000,1250,(IF(G365&lt;=10000,1550,(IF(G365&lt;=15000,1750,(IF(G365&lt;=24000,2050,(IF(G365&lt;=40000,2900,3600)))))))))))))</f>
        <v>950</v>
      </c>
      <c r="F365" s="58">
        <f>H365+I365+G366+300</f>
        <v>5400</v>
      </c>
      <c r="G365" s="59">
        <v>1950</v>
      </c>
      <c r="H365" s="58">
        <f>IF(D366&lt;=315,1600,(IF(D366=355,1650,(IF(D366=400,1650,(IF(D366=450,1700,(IF(D366=500,1700,(IF(D366=560,1800,(IF(D366=630,2000,(IF(D366=710,2200,2500)))))))))))))))</f>
        <v>1600</v>
      </c>
      <c r="I365" s="58">
        <f>IF(H366=2,1800,(IF(H366=3,2300,(IF(H366=4,3300,0)))))</f>
        <v>2300</v>
      </c>
      <c r="J365" s="929" t="s">
        <v>277</v>
      </c>
      <c r="K365" s="929">
        <v>1</v>
      </c>
      <c r="L365" s="930">
        <f>Q365*0.9</f>
        <v>185625</v>
      </c>
      <c r="M365" s="930">
        <f>L365*K365</f>
        <v>185625</v>
      </c>
      <c r="N365" s="930">
        <f>Q365*0.1</f>
        <v>20625</v>
      </c>
      <c r="O365" s="940">
        <f>N365*K365</f>
        <v>20625</v>
      </c>
      <c r="P365" s="940">
        <v>206250</v>
      </c>
      <c r="Q365" s="913">
        <f>CEILING((S365+T365+U365+V365+W365),250)</f>
        <v>206250</v>
      </c>
      <c r="R365" s="913">
        <v>625</v>
      </c>
      <c r="S365" s="913">
        <f>(D365*E365*3*10.76+D365*F365*2*10.76+E365*F365*2*10.76)*R365/(1000*1000)</f>
        <v>156204.9375</v>
      </c>
      <c r="T365" s="913">
        <f>F366*4*1050</f>
        <v>0</v>
      </c>
      <c r="U365" s="912">
        <f>IF(G365&lt;=2000,5000,(IF(G365&lt;=5000,8000,(IF(G365&lt;=10000,10000,(IF(G365&lt;=18000,15000,(IF(G365&lt;=40000,20000,10000)))))))))</f>
        <v>5000</v>
      </c>
      <c r="V365" s="912">
        <f>IF(X365=200,17150,(IF(X365=225,18150,(IF(X365=250,18900,(IF(X365=280,19150,(IF(X365=315,19650,(IF(X365=355,21900,(IF(X365=400,24400,0)))))))))))))+IF(X365=450,31000,(IF(X365=500,37450,(IF(X365=560,45650,(IF(X365=630,58900,(IF(X365=710,77950,0)))))))))+IF(X365=800,119650,(IF(X365=900,153300,(IF(X365=1000,178900,(IF(X365=1120,286500,(IF(X365=1250,394500,(IF(X365=1450,461500,0)))))))))))</f>
        <v>18900</v>
      </c>
      <c r="W365" s="913">
        <f>IF(E366=0.5,16600,(IF(E366=1,19050,(IF(E366=1.5,21750,(IF(E366=2,23600,(IF(E366=3,30000,(IF(E366=5,38000,0)))))))))))*1.2+IF(E366=7.5,52300,(IF(E366=10,59600,0)))*1.2+IF(E366=12.5,100350,(IF(E366=15,106000,(IF(E366=20,129150,(IF(E366=25,146050,(IF(E366=30,173600,(IF(E366=40,233900,(IF(E366=50,304650)))))))))))))*1.2</f>
        <v>26100</v>
      </c>
      <c r="X365" s="912">
        <f>IF(G365&lt;=5250,Z365,Y365)</f>
        <v>250</v>
      </c>
      <c r="Y365" s="912">
        <f>IF(G365&lt;=6750,450,(IF(G365&lt;=8500,500,(IF(G365&lt;=10750,560,(IF(G365&lt;=13500,630,(IF(G365&lt;=17000,710,(IF(G365&lt;=21500,800,(IF(G365&lt;=27000,900,(IF(G365&lt;=34000,1000,0)))))))))))))))</f>
        <v>450</v>
      </c>
      <c r="Z365" s="912">
        <f>IF(G365&lt;=1300,200,(IF(G365&lt;=1600,225,(IF(G365&lt;=2100,250,(IF(G365&lt;=2700,280,(IF(G365&lt;=3450,315,(IF(G365&lt;=4250,355,(IF(G365&lt;=5250,400,(IF(G365&lt;=6750,450,0)))))))))))))))</f>
        <v>250</v>
      </c>
      <c r="AA365" s="912">
        <f>IF(G365&lt;=2000,5000,(IF(G365&lt;=5000,8000,(IF(G365&lt;=10000,10000,(IF(G365&lt;=18000,15000,(IF(G365&lt;=40000,20000,10000)))))))))</f>
        <v>5000</v>
      </c>
      <c r="AB365" s="912">
        <f>IF(D365=950,2,(IF(D365=1150,3,(IF(D365=1550,4,(IF(D365=1750,5,(IF(D365=2050,6,(IF(D365=2900,8,(IF(D365=3600,10,1)))))))))))))</f>
        <v>2</v>
      </c>
      <c r="AC365" s="912">
        <f>IF(E365=950,2,(IF(E365=1100,2,(IF(E365=1250,3,(IF(E365=1550,4,(IF(E365=1750,5,(IF(E365=2050,6,(IF(E365=2900,8,(IF(E365=3600,10,1)))))))))))))))</f>
        <v>2</v>
      </c>
      <c r="AD365" s="912">
        <f>AC365*AB365</f>
        <v>4</v>
      </c>
      <c r="AE365" s="912">
        <v>150</v>
      </c>
      <c r="AF365" s="912">
        <f>CEILING((SQRT(G365/1000))*4*2*AE365*1.25*K365,100)</f>
        <v>2100</v>
      </c>
      <c r="AG365" s="912">
        <f>AB365*AC365</f>
        <v>4</v>
      </c>
      <c r="AH365" s="912">
        <f>AC365*AB365</f>
        <v>4</v>
      </c>
      <c r="AI365" s="912">
        <f>AC365*AB365</f>
        <v>4</v>
      </c>
      <c r="AJ365" s="912">
        <f>AC365*AB365</f>
        <v>4</v>
      </c>
      <c r="AK365" s="912"/>
      <c r="AL365" s="912"/>
      <c r="AM365" s="915">
        <f>(G365*2.2/1100)</f>
        <v>3.9</v>
      </c>
      <c r="AN365" s="915">
        <f>(G365*1/1100)</f>
        <v>1.7727272727272727</v>
      </c>
    </row>
    <row r="366" spans="3:50">
      <c r="C366" s="928"/>
      <c r="D366" s="58">
        <f>IF(G365&lt;=5250,Z365,Y365)</f>
        <v>250</v>
      </c>
      <c r="E366" s="58">
        <v>1.5</v>
      </c>
      <c r="F366" s="58">
        <v>0</v>
      </c>
      <c r="G366" s="58">
        <f>IF(I366=4,600,(IF(I366=6,800,(IF(I366=8,1000,1200)))))</f>
        <v>1200</v>
      </c>
      <c r="H366" s="58">
        <v>3</v>
      </c>
      <c r="I366" s="58">
        <v>0</v>
      </c>
      <c r="J366" s="929"/>
      <c r="K366" s="929"/>
      <c r="L366" s="930"/>
      <c r="M366" s="930"/>
      <c r="N366" s="930"/>
      <c r="O366" s="940"/>
      <c r="P366" s="940"/>
      <c r="Q366" s="913"/>
      <c r="R366" s="913"/>
      <c r="S366" s="913"/>
      <c r="T366" s="913"/>
      <c r="U366" s="912"/>
      <c r="V366" s="912"/>
      <c r="W366" s="913"/>
      <c r="X366" s="912"/>
      <c r="Y366" s="912"/>
      <c r="Z366" s="912"/>
      <c r="AA366" s="912"/>
      <c r="AB366" s="912"/>
      <c r="AC366" s="912"/>
      <c r="AD366" s="912"/>
      <c r="AE366" s="912"/>
      <c r="AF366" s="912"/>
      <c r="AG366" s="912"/>
      <c r="AH366" s="912"/>
      <c r="AI366" s="912"/>
      <c r="AJ366" s="912"/>
      <c r="AK366" s="912"/>
      <c r="AL366" s="912"/>
      <c r="AM366" s="915"/>
      <c r="AN366" s="915"/>
    </row>
    <row r="367" spans="3:50" ht="25.5" thickBot="1">
      <c r="C367" s="57"/>
      <c r="D367" s="64" t="s">
        <v>306</v>
      </c>
      <c r="E367" s="64" t="s">
        <v>307</v>
      </c>
      <c r="F367" s="64" t="s">
        <v>308</v>
      </c>
      <c r="G367" s="64" t="s">
        <v>309</v>
      </c>
      <c r="H367" s="64" t="s">
        <v>310</v>
      </c>
      <c r="I367" s="64" t="s">
        <v>311</v>
      </c>
      <c r="J367" s="52"/>
      <c r="K367" s="52"/>
      <c r="L367" s="53"/>
      <c r="M367" s="53"/>
      <c r="N367" s="53"/>
      <c r="O367" s="54"/>
      <c r="P367" s="54"/>
      <c r="Q367" s="28">
        <f>CEILING((D370*E370*6*10.76/(1000*1000)+D370*F370*2*10.76/(1000*1000)+E370*F370*2*10.76/(1000*1000))*1000,100)</f>
        <v>453500</v>
      </c>
      <c r="AM367" s="56"/>
      <c r="AN367" s="56"/>
    </row>
    <row r="368" spans="3:50" ht="12.95">
      <c r="C368" s="927" t="s">
        <v>317</v>
      </c>
      <c r="D368" s="58">
        <f>IF(G368&lt;=2000,950,(IF(G368&lt;=3000,1150,(IF(G368&lt;=8000,1550,(IF(G368&lt;=10000,1750,(IF(G368&lt;=18000,2050,(IF(G368&lt;=32000,2900,(IF(G368&lt;=40000,3600,4000)))))))))))))</f>
        <v>1550</v>
      </c>
      <c r="E368" s="58">
        <f>IF(G368&lt;=2000,950,(IF(G368&lt;=4000,1100,(IF(G368&lt;=6000,1250,(IF(G368&lt;=10000,1550,(IF(G368&lt;=15000,1750,(IF(G368&lt;=24000,2050,(IF(G368&lt;=40000,2900,3600)))))))))))))</f>
        <v>1100</v>
      </c>
      <c r="F368" s="58">
        <f>H368+I368+G369+300</f>
        <v>5450</v>
      </c>
      <c r="G368" s="59">
        <v>3900</v>
      </c>
      <c r="H368" s="58">
        <f>IF(D369&lt;=315,1600,(IF(D369=355,1650,(IF(D369=400,1650,(IF(D369=450,1700,(IF(D369=500,1700,(IF(D369=560,1800,(IF(D369=630,2000,(IF(D369=710,2200,2500)))))))))))))))</f>
        <v>1650</v>
      </c>
      <c r="I368" s="58">
        <f>IF(H369=2,1800,(IF(H369=3,2300,(IF(H369=4,3300,0)))))</f>
        <v>2300</v>
      </c>
      <c r="J368" s="929" t="s">
        <v>277</v>
      </c>
      <c r="K368" s="929">
        <v>1</v>
      </c>
      <c r="L368" s="930">
        <f>Q368*0.9</f>
        <v>273825</v>
      </c>
      <c r="M368" s="930">
        <f>L368*K368</f>
        <v>273825</v>
      </c>
      <c r="N368" s="930">
        <f>Q368*0.1</f>
        <v>30425</v>
      </c>
      <c r="O368" s="940">
        <f>N368*K368</f>
        <v>30425</v>
      </c>
      <c r="P368" s="940">
        <v>304250</v>
      </c>
      <c r="Q368" s="913">
        <f>CEILING((S368+T368+U368+V368+W368),250)</f>
        <v>304250</v>
      </c>
      <c r="R368" s="913">
        <v>625</v>
      </c>
      <c r="S368" s="913">
        <f>(D368*E368*3*10.76+D368*F368*2*10.76+E368*F368*2*10.76)*R368/(1000*1000)</f>
        <v>228650</v>
      </c>
      <c r="T368" s="913">
        <f>F369*4*1050</f>
        <v>0</v>
      </c>
      <c r="U368" s="912">
        <f>IF(G368&lt;=2000,5000,(IF(G368&lt;=5000,8000,(IF(G368&lt;=10000,10000,(IF(G368&lt;=18000,15000,(IF(G368&lt;=40000,20000,10000)))))))))</f>
        <v>8000</v>
      </c>
      <c r="V368" s="912">
        <f>IF(X368=200,17150,(IF(X368=225,18150,(IF(X368=250,18900,(IF(X368=280,19150,(IF(X368=315,19650,(IF(X368=355,21900,(IF(X368=400,24400,0)))))))))))))+IF(X368=450,31000,(IF(X368=500,37450,(IF(X368=560,45650,(IF(X368=630,58900,(IF(X368=710,77950,0)))))))))+IF(X368=800,119650,(IF(X368=900,153300,(IF(X368=1000,178900,(IF(X368=1120,286500,(IF(X368=1250,394500,(IF(X368=1450,461500,0)))))))))))</f>
        <v>21900</v>
      </c>
      <c r="W368" s="913">
        <f>IF(E369=0.5,16600,(IF(E369=1,19050,(IF(E369=1.5,21750,(IF(E369=2,23600,(IF(E369=3,30000,(IF(E369=5,38000,0)))))))))))*1.2+IF(E369=7.5,52300,(IF(E369=10,59600,0)))*1.2+IF(E369=12.5,100350,(IF(E369=15,106000,(IF(E369=20,129150,(IF(E369=25,146050,(IF(E369=30,173600,(IF(E369=40,233900,(IF(E369=50,304650)))))))))))))*1.2</f>
        <v>45600</v>
      </c>
      <c r="X368" s="912">
        <f>IF(G368&lt;=5250,Z368,Y368)</f>
        <v>355</v>
      </c>
      <c r="Y368" s="912">
        <f>IF(G368&lt;=6750,450,(IF(G368&lt;=8500,500,(IF(G368&lt;=10750,560,(IF(G368&lt;=13500,630,(IF(G368&lt;=17000,710,(IF(G368&lt;=21500,800,(IF(G368&lt;=27000,900,(IF(G368&lt;=34000,1000,0)))))))))))))))</f>
        <v>450</v>
      </c>
      <c r="Z368" s="912">
        <f>IF(G368&lt;=1300,200,(IF(G368&lt;=1600,225,(IF(G368&lt;=2100,250,(IF(G368&lt;=2700,280,(IF(G368&lt;=3450,315,(IF(G368&lt;=4250,355,(IF(G368&lt;=5250,400,(IF(G368&lt;=6750,450,0)))))))))))))))</f>
        <v>355</v>
      </c>
      <c r="AA368" s="912">
        <f>IF(G368&lt;=2000,5000,(IF(G368&lt;=5000,8000,(IF(G368&lt;=10000,10000,(IF(G368&lt;=18000,15000,(IF(G368&lt;=40000,20000,10000)))))))))</f>
        <v>8000</v>
      </c>
      <c r="AB368" s="912">
        <f>IF(D368=950,2,(IF(D368=1150,3,(IF(D368=1550,4,(IF(D368=1750,5,(IF(D368=2050,6,(IF(D368=2900,8,(IF(D368=3600,10,1)))))))))))))</f>
        <v>4</v>
      </c>
      <c r="AC368" s="912">
        <f>IF(E368=950,2,(IF(E368=1100,2,(IF(E368=1250,3,(IF(E368=1550,4,(IF(E368=1750,5,(IF(E368=2050,6,(IF(E368=2900,8,(IF(E368=3600,10,1)))))))))))))))</f>
        <v>2</v>
      </c>
      <c r="AD368" s="912">
        <f>AC368*AB368</f>
        <v>8</v>
      </c>
      <c r="AE368" s="912">
        <v>150</v>
      </c>
      <c r="AF368" s="912">
        <f>CEILING((SQRT(G368/1000))*4*2*AE368*1.25*K368,100)</f>
        <v>3000</v>
      </c>
      <c r="AG368" s="912">
        <f>AB368*AC368</f>
        <v>8</v>
      </c>
      <c r="AH368" s="912">
        <f>AC368*AB368</f>
        <v>8</v>
      </c>
      <c r="AI368" s="912">
        <f>AC368*AB368</f>
        <v>8</v>
      </c>
      <c r="AJ368" s="912">
        <f>AC368*AB368</f>
        <v>8</v>
      </c>
      <c r="AK368" s="912"/>
      <c r="AL368" s="912"/>
      <c r="AM368" s="915">
        <f>(G368*2.2/1100)</f>
        <v>7.8</v>
      </c>
      <c r="AN368" s="915">
        <f>(G368*1/1100)</f>
        <v>3.5454545454545454</v>
      </c>
      <c r="AX368" s="912"/>
    </row>
    <row r="369" spans="3:50">
      <c r="C369" s="928"/>
      <c r="D369" s="58">
        <f>IF(G368&lt;=5250,Z368,Y368)</f>
        <v>355</v>
      </c>
      <c r="E369" s="58">
        <v>5</v>
      </c>
      <c r="F369" s="58">
        <v>0</v>
      </c>
      <c r="G369" s="58">
        <f>IF(I369=4,600,(IF(I369=6,800,(IF(I369=8,1000,1200)))))</f>
        <v>1200</v>
      </c>
      <c r="H369" s="58">
        <v>3</v>
      </c>
      <c r="I369" s="58">
        <v>0</v>
      </c>
      <c r="J369" s="929"/>
      <c r="K369" s="929"/>
      <c r="L369" s="930"/>
      <c r="M369" s="930"/>
      <c r="N369" s="930"/>
      <c r="O369" s="940"/>
      <c r="P369" s="940"/>
      <c r="Q369" s="913"/>
      <c r="R369" s="913"/>
      <c r="S369" s="913"/>
      <c r="T369" s="913"/>
      <c r="U369" s="912"/>
      <c r="V369" s="912"/>
      <c r="W369" s="913"/>
      <c r="X369" s="912"/>
      <c r="Y369" s="912"/>
      <c r="Z369" s="912"/>
      <c r="AA369" s="912"/>
      <c r="AB369" s="912"/>
      <c r="AC369" s="912"/>
      <c r="AD369" s="912"/>
      <c r="AE369" s="912"/>
      <c r="AF369" s="912"/>
      <c r="AG369" s="912"/>
      <c r="AH369" s="912"/>
      <c r="AI369" s="912"/>
      <c r="AJ369" s="912"/>
      <c r="AK369" s="912"/>
      <c r="AL369" s="912"/>
      <c r="AM369" s="915"/>
      <c r="AN369" s="915"/>
      <c r="AX369" s="912"/>
    </row>
    <row r="370" spans="3:50" ht="12.95">
      <c r="C370" s="927" t="s">
        <v>318</v>
      </c>
      <c r="D370" s="58">
        <f>IF(G370&lt;=2000,950,(IF(G370&lt;=3000,1150,(IF(G370&lt;=8000,1550,(IF(G370&lt;=10000,1750,(IF(G370&lt;=18000,2050,(IF(G370&lt;=32000,2900,(IF(G370&lt;=40000,3600,4000)))))))))))))</f>
        <v>1550</v>
      </c>
      <c r="E370" s="58">
        <f>IF(G370&lt;=2000,950,(IF(G370&lt;=4000,1100,(IF(G370&lt;=6000,1250,(IF(G370&lt;=10000,1550,(IF(G370&lt;=15000,1750,(IF(G370&lt;=24000,2050,(IF(G370&lt;=40000,2900,3600)))))))))))))</f>
        <v>1250</v>
      </c>
      <c r="F370" s="58">
        <f>H370+I370+G371+300</f>
        <v>5450</v>
      </c>
      <c r="G370" s="59">
        <v>4450</v>
      </c>
      <c r="H370" s="58">
        <f>IF(D371&lt;=315,1600,(IF(D371=355,1650,(IF(D371=400,1650,(IF(D371=450,1700,(IF(D371=500,1700,(IF(D371=560,1800,(IF(D371=630,2000,(IF(D371=710,2200,2500)))))))))))))))</f>
        <v>1650</v>
      </c>
      <c r="I370" s="58">
        <f>IF(H371=2,1800,(IF(H371=3,2300,(IF(H371=4,3300,0)))))</f>
        <v>2300</v>
      </c>
      <c r="J370" s="929" t="s">
        <v>277</v>
      </c>
      <c r="K370" s="929">
        <v>1</v>
      </c>
      <c r="L370" s="930">
        <f>Q370*0.9</f>
        <v>290250</v>
      </c>
      <c r="M370" s="930">
        <f>L370*K370</f>
        <v>290250</v>
      </c>
      <c r="N370" s="930">
        <f>Q370*0.1</f>
        <v>32250</v>
      </c>
      <c r="O370" s="940">
        <f>N370*K370</f>
        <v>32250</v>
      </c>
      <c r="P370" s="940">
        <v>322500</v>
      </c>
      <c r="Q370" s="913">
        <f>CEILING((S370+T370+U370+V370+W370),250)</f>
        <v>322500</v>
      </c>
      <c r="R370" s="913">
        <v>625</v>
      </c>
      <c r="S370" s="913">
        <f>(D370*E370*3*10.76+D370*F370*2*10.76+E370*F370*2*10.76)*R370/(1000*1000)</f>
        <v>244336.0625</v>
      </c>
      <c r="T370" s="913">
        <f>F371*4*1050</f>
        <v>0</v>
      </c>
      <c r="U370" s="912">
        <f>IF(G370&lt;=2000,5000,(IF(G370&lt;=5000,8000,(IF(G370&lt;=10000,10000,(IF(G370&lt;=18000,15000,(IF(G370&lt;=40000,20000,10000)))))))))</f>
        <v>8000</v>
      </c>
      <c r="V370" s="912">
        <f>IF(X370=200,17150,(IF(X370=225,18150,(IF(X370=250,18900,(IF(X370=280,19150,(IF(X370=315,19650,(IF(X370=355,21900,(IF(X370=400,24400,0)))))))))))))+IF(X370=450,31000,(IF(X370=500,37450,(IF(X370=560,45650,(IF(X370=630,58900,(IF(X370=710,77950,0)))))))))+IF(X370=800,119650,(IF(X370=900,153300,(IF(X370=1000,178900,(IF(X370=1120,286500,(IF(X370=1250,394500,(IF(X370=1450,461500,0)))))))))))</f>
        <v>24400</v>
      </c>
      <c r="W370" s="913">
        <f>IF(E371=0.5,16600,(IF(E371=1,19050,(IF(E371=1.5,21750,(IF(E371=2,23600,(IF(E371=3,30000,(IF(E371=5,38000,0)))))))))))*1.2+IF(E371=7.5,52300,(IF(E371=10,59600,0)))*1.2+IF(E371=12.5,100350,(IF(E371=15,106000,(IF(E371=20,129150,(IF(E371=25,146050,(IF(E371=30,173600,(IF(E371=40,233900,(IF(E371=50,304650)))))))))))))*1.2</f>
        <v>45600</v>
      </c>
      <c r="X370" s="912">
        <f>IF(G370&lt;=5250,Z370,Y370)</f>
        <v>400</v>
      </c>
      <c r="Y370" s="912">
        <f>IF(G370&lt;=6750,450,(IF(G370&lt;=8500,500,(IF(G370&lt;=10750,560,(IF(G370&lt;=13500,630,(IF(G370&lt;=17000,710,(IF(G370&lt;=21500,800,(IF(G370&lt;=27000,900,(IF(G370&lt;=34000,1000,0)))))))))))))))</f>
        <v>450</v>
      </c>
      <c r="Z370" s="912">
        <f>IF(G370&lt;=1300,200,(IF(G370&lt;=1600,225,(IF(G370&lt;=2100,250,(IF(G370&lt;=2700,280,(IF(G370&lt;=3450,315,(IF(G370&lt;=4250,355,(IF(G370&lt;=5250,400,(IF(G370&lt;=6750,450,0)))))))))))))))</f>
        <v>400</v>
      </c>
      <c r="AA370" s="912">
        <f>IF(G370&lt;=2000,5000,(IF(G370&lt;=5000,8000,(IF(G370&lt;=10000,10000,(IF(G370&lt;=18000,15000,(IF(G370&lt;=40000,20000,10000)))))))))</f>
        <v>8000</v>
      </c>
      <c r="AB370" s="912">
        <f>IF(D370=950,2,(IF(D370=1150,3,(IF(D370=1550,4,(IF(D370=1750,5,(IF(D370=2050,6,(IF(D370=2900,8,(IF(D370=3600,10,1)))))))))))))</f>
        <v>4</v>
      </c>
      <c r="AC370" s="912">
        <f>IF(E370=950,2,(IF(E370=1100,2,(IF(E370=1250,3,(IF(E370=1550,4,(IF(E370=1750,5,(IF(E370=2050,6,(IF(E370=2900,8,(IF(E370=3600,10,1)))))))))))))))</f>
        <v>3</v>
      </c>
      <c r="AD370" s="912">
        <f>AC370*AB370</f>
        <v>12</v>
      </c>
      <c r="AE370" s="912">
        <v>150</v>
      </c>
      <c r="AF370" s="912">
        <f>CEILING((SQRT(G370/1000))*4*2*AE370*1.25*K370,100)</f>
        <v>3200</v>
      </c>
      <c r="AG370" s="912">
        <f>AB370*AC370</f>
        <v>12</v>
      </c>
      <c r="AH370" s="912">
        <f>AC370*AB370</f>
        <v>12</v>
      </c>
      <c r="AI370" s="912">
        <f>AC370*AB370</f>
        <v>12</v>
      </c>
      <c r="AJ370" s="912">
        <f>AC370*AB370</f>
        <v>12</v>
      </c>
      <c r="AK370" s="912"/>
      <c r="AL370" s="912"/>
      <c r="AM370" s="915">
        <f>(G370*2.2/1100)</f>
        <v>8.9</v>
      </c>
      <c r="AN370" s="915">
        <f>(G370*1/1100)</f>
        <v>4.0454545454545459</v>
      </c>
      <c r="AX370" s="912"/>
    </row>
    <row r="371" spans="3:50">
      <c r="C371" s="928"/>
      <c r="D371" s="58">
        <f>IF(G370&lt;=5250,Z370,Y370)</f>
        <v>400</v>
      </c>
      <c r="E371" s="58">
        <v>5</v>
      </c>
      <c r="F371" s="58">
        <v>0</v>
      </c>
      <c r="G371" s="58">
        <f>IF(I371=4,600,(IF(I371=6,800,(IF(I371=8,1000,1200)))))</f>
        <v>1200</v>
      </c>
      <c r="H371" s="58">
        <v>3</v>
      </c>
      <c r="I371" s="58">
        <v>0</v>
      </c>
      <c r="J371" s="929"/>
      <c r="K371" s="929"/>
      <c r="L371" s="930"/>
      <c r="M371" s="930"/>
      <c r="N371" s="930"/>
      <c r="O371" s="940"/>
      <c r="P371" s="940"/>
      <c r="Q371" s="913"/>
      <c r="R371" s="913"/>
      <c r="S371" s="913"/>
      <c r="T371" s="913"/>
      <c r="U371" s="912"/>
      <c r="V371" s="912"/>
      <c r="W371" s="913"/>
      <c r="X371" s="912"/>
      <c r="Y371" s="912"/>
      <c r="Z371" s="912"/>
      <c r="AA371" s="912"/>
      <c r="AB371" s="912"/>
      <c r="AC371" s="912"/>
      <c r="AD371" s="912"/>
      <c r="AE371" s="912"/>
      <c r="AF371" s="912"/>
      <c r="AG371" s="912"/>
      <c r="AH371" s="912"/>
      <c r="AI371" s="912"/>
      <c r="AJ371" s="912"/>
      <c r="AK371" s="912"/>
      <c r="AL371" s="912"/>
      <c r="AM371" s="915"/>
      <c r="AN371" s="915"/>
      <c r="AX371" s="912"/>
    </row>
    <row r="372" spans="3:50" ht="14.1">
      <c r="C372" s="72"/>
      <c r="D372" s="937" t="s">
        <v>319</v>
      </c>
      <c r="E372" s="938"/>
      <c r="F372" s="938"/>
      <c r="G372" s="938"/>
      <c r="H372" s="938"/>
      <c r="I372" s="939"/>
      <c r="J372" s="52"/>
      <c r="K372" s="52"/>
      <c r="L372" s="53"/>
      <c r="M372" s="53"/>
      <c r="N372" s="53"/>
      <c r="O372" s="54"/>
      <c r="P372" s="54"/>
      <c r="Q372" s="55"/>
      <c r="R372" s="55"/>
      <c r="S372" s="55"/>
      <c r="T372" s="55"/>
      <c r="U372" s="45"/>
      <c r="V372" s="45"/>
      <c r="W372" s="55"/>
      <c r="X372" s="45"/>
      <c r="Y372" s="45"/>
      <c r="Z372" s="45"/>
      <c r="AA372" s="45"/>
      <c r="AB372" s="45"/>
      <c r="AC372" s="45"/>
      <c r="AD372" s="45"/>
      <c r="AE372" s="45"/>
      <c r="AF372" s="45"/>
      <c r="AG372" s="45"/>
      <c r="AH372" s="45"/>
      <c r="AI372" s="45"/>
      <c r="AJ372" s="45"/>
      <c r="AK372" s="45"/>
      <c r="AL372" s="45"/>
      <c r="AM372" s="63"/>
      <c r="AN372" s="63"/>
    </row>
    <row r="373" spans="3:50" ht="12.95">
      <c r="C373" s="927" t="s">
        <v>320</v>
      </c>
      <c r="D373" s="58">
        <f>IF(G373&lt;=2000,950,(IF(G373&lt;=3000,1150,(IF(G373&lt;=8000,1550,(IF(G373&lt;=10000,1750,(IF(G373&lt;=18000,2050,(IF(G373&lt;=32000,2900,(IF(G373&lt;=40000,3600,4000)))))))))))))</f>
        <v>1750</v>
      </c>
      <c r="E373" s="58">
        <f>IF(G373&lt;=2000,950,(IF(G373&lt;=4000,1100,(IF(G373&lt;=6000,1250,(IF(G373&lt;=10000,1550,(IF(G373&lt;=15000,1750,(IF(G373&lt;=24000,2050,(IF(G373&lt;=40000,2900,3600)))))))))))))</f>
        <v>1550</v>
      </c>
      <c r="F373" s="58">
        <f>H373+I373+G374+300</f>
        <v>5600</v>
      </c>
      <c r="G373" s="59">
        <v>9000</v>
      </c>
      <c r="H373" s="58">
        <f>IF(D374&lt;=315,1600,(IF(D374=355,1650,(IF(D374=400,1650,(IF(D374=450,1700,(IF(D374=500,1700,(IF(D374=560,1800,(IF(D374=630,2000,(IF(D374=710,2200,2500)))))))))))))))</f>
        <v>1800</v>
      </c>
      <c r="I373" s="58">
        <f>IF(H374=2,1800,(IF(H374=3,2300,(IF(H374=4,3300,0)))))</f>
        <v>2300</v>
      </c>
      <c r="J373" s="929" t="s">
        <v>277</v>
      </c>
      <c r="K373" s="929">
        <v>2</v>
      </c>
      <c r="L373" s="930">
        <f>Q373*0.9</f>
        <v>364275</v>
      </c>
      <c r="M373" s="930">
        <f>L373*K373</f>
        <v>728550</v>
      </c>
      <c r="N373" s="930">
        <f>Q373*0.1</f>
        <v>40475</v>
      </c>
      <c r="O373" s="940">
        <f>N373*K373</f>
        <v>80950</v>
      </c>
      <c r="P373" s="940">
        <v>404750</v>
      </c>
      <c r="Q373" s="913">
        <f>CEILING((S373+T373+U373+V373+W373),250)</f>
        <v>404750</v>
      </c>
      <c r="R373" s="913">
        <v>625</v>
      </c>
      <c r="S373" s="913">
        <f>(D373*E373*3*10.76+D373*F373*2*10.76+E373*F373*2*10.76)*R373/(1000*1000)</f>
        <v>303280.6875</v>
      </c>
      <c r="T373" s="913">
        <f>F374*4*1050</f>
        <v>0</v>
      </c>
      <c r="U373" s="912">
        <f>IF(G373&lt;=2000,5000,(IF(G373&lt;=5000,8000,(IF(G373&lt;=10000,10000,(IF(G373&lt;=18000,15000,(IF(G373&lt;=40000,20000,10000)))))))))</f>
        <v>10000</v>
      </c>
      <c r="V373" s="912">
        <f>IF(X373=200,17150,(IF(X373=225,18150,(IF(X373=250,18900,(IF(X373=280,19150,(IF(X373=315,19650,(IF(X373=355,21900,(IF(X373=400,24400,0)))))))))))))+IF(X373=450,31000,(IF(X373=500,37450,(IF(X373=560,45650,(IF(X373=630,58900,(IF(X373=710,77950,0)))))))))+IF(X373=800,119650,(IF(X373=900,153300,(IF(X373=1000,178900,(IF(X373=1120,286500,(IF(X373=1250,394500,(IF(X373=1450,461500,0)))))))))))</f>
        <v>45650</v>
      </c>
      <c r="W373" s="913">
        <f>IF(E374=0.5,16600,(IF(E374=1,19050,(IF(E374=1.5,21750,(IF(E374=2,23600,(IF(E374=3,30000,(IF(E374=5,38000,0)))))))))))*1.2+IF(E374=7.5,52300,(IF(E374=10,59600,0)))*1.2+IF(E374=12.5,100350,(IF(E374=15,106000,(IF(E374=20,129150,(IF(E374=25,146050,(IF(E374=30,173600,(IF(E374=40,233900,(IF(E374=50,304650)))))))))))))*1.2</f>
        <v>45600</v>
      </c>
      <c r="X373" s="912">
        <f>IF(G373&lt;=5250,Z373,Y373)</f>
        <v>560</v>
      </c>
      <c r="Y373" s="912">
        <f>IF(G373&lt;=6750,450,(IF(G373&lt;=8500,500,(IF(G373&lt;=10750,560,(IF(G373&lt;=13500,630,(IF(G373&lt;=17000,710,(IF(G373&lt;=21500,800,(IF(G373&lt;=27000,900,(IF(G373&lt;=34000,1000,0)))))))))))))))</f>
        <v>560</v>
      </c>
      <c r="Z373" s="912">
        <f>IF(G373&lt;=1300,200,(IF(G373&lt;=1600,225,(IF(G373&lt;=2100,250,(IF(G373&lt;=2700,280,(IF(G373&lt;=3450,315,(IF(G373&lt;=4250,355,(IF(G373&lt;=5250,400,(IF(G373&lt;=6750,450,0)))))))))))))))</f>
        <v>0</v>
      </c>
      <c r="AA373" s="912">
        <f>IF(G373&lt;=2000,5000,(IF(G373&lt;=5000,8000,(IF(G373&lt;=10000,10000,(IF(G373&lt;=18000,15000,(IF(G373&lt;=40000,20000,10000)))))))))</f>
        <v>10000</v>
      </c>
      <c r="AB373" s="912">
        <f>IF(D373=950,2,(IF(D373=1150,3,(IF(D373=1550,4,(IF(D373=1750,5,(IF(D373=2050,6,(IF(D373=2900,8,(IF(D373=3600,10,1)))))))))))))</f>
        <v>5</v>
      </c>
      <c r="AC373" s="912">
        <f>IF(E373=950,2,(IF(E373=1100,2,(IF(E373=1250,3,(IF(E373=1550,4,(IF(E373=1750,5,(IF(E373=2050,6,(IF(E373=2900,8,(IF(E373=3600,10,1)))))))))))))))</f>
        <v>4</v>
      </c>
      <c r="AD373" s="912">
        <f>AC373*AB373</f>
        <v>20</v>
      </c>
      <c r="AE373" s="912">
        <v>150</v>
      </c>
      <c r="AF373" s="912">
        <f>CEILING((SQRT(G373/1000))*4*2*AE373*1.25*K373,100)</f>
        <v>9000</v>
      </c>
      <c r="AG373" s="912">
        <f>AB373*AC373</f>
        <v>20</v>
      </c>
      <c r="AH373" s="912">
        <f>AC373*AB373</f>
        <v>20</v>
      </c>
      <c r="AI373" s="912">
        <f>AC373*AB373</f>
        <v>20</v>
      </c>
      <c r="AJ373" s="912">
        <f>AC373*AB373</f>
        <v>20</v>
      </c>
      <c r="AK373" s="912"/>
      <c r="AL373" s="912"/>
      <c r="AM373" s="915">
        <f>(G373*2.2/1100)</f>
        <v>18</v>
      </c>
      <c r="AN373" s="915">
        <f>(G373*1/1100)</f>
        <v>8.1818181818181817</v>
      </c>
      <c r="AX373" s="912"/>
    </row>
    <row r="374" spans="3:50">
      <c r="C374" s="928"/>
      <c r="D374" s="58">
        <f>IF(G373&lt;=5250,Z373,Y373)</f>
        <v>560</v>
      </c>
      <c r="E374" s="58">
        <v>5</v>
      </c>
      <c r="F374" s="58">
        <v>0</v>
      </c>
      <c r="G374" s="58">
        <f>IF(I374=4,600,(IF(I374=6,800,(IF(I374=8,1000,1200)))))</f>
        <v>1200</v>
      </c>
      <c r="H374" s="58">
        <v>3</v>
      </c>
      <c r="I374" s="58">
        <v>0</v>
      </c>
      <c r="J374" s="929"/>
      <c r="K374" s="929"/>
      <c r="L374" s="930"/>
      <c r="M374" s="930"/>
      <c r="N374" s="930"/>
      <c r="O374" s="940"/>
      <c r="P374" s="940"/>
      <c r="Q374" s="913"/>
      <c r="R374" s="913"/>
      <c r="S374" s="913"/>
      <c r="T374" s="913"/>
      <c r="U374" s="912"/>
      <c r="V374" s="912"/>
      <c r="W374" s="913"/>
      <c r="X374" s="912"/>
      <c r="Y374" s="912"/>
      <c r="Z374" s="912"/>
      <c r="AA374" s="912"/>
      <c r="AB374" s="912"/>
      <c r="AC374" s="912"/>
      <c r="AD374" s="912"/>
      <c r="AE374" s="912"/>
      <c r="AF374" s="912"/>
      <c r="AG374" s="912"/>
      <c r="AH374" s="912"/>
      <c r="AI374" s="912"/>
      <c r="AJ374" s="912"/>
      <c r="AK374" s="912"/>
      <c r="AL374" s="912"/>
      <c r="AM374" s="915"/>
      <c r="AN374" s="915"/>
      <c r="AX374" s="912"/>
    </row>
    <row r="375" spans="3:50" ht="12.95">
      <c r="C375" s="927" t="s">
        <v>321</v>
      </c>
      <c r="D375" s="58">
        <f>IF(G375&lt;=2000,950,(IF(G375&lt;=3000,1150,(IF(G375&lt;=8000,1550,(IF(G375&lt;=10000,1750,(IF(G375&lt;=18000,2050,(IF(G375&lt;=32000,2900,(IF(G375&lt;=40000,3600,4000)))))))))))))</f>
        <v>1750</v>
      </c>
      <c r="E375" s="58">
        <f>IF(G375&lt;=2000,950,(IF(G375&lt;=4000,1100,(IF(G375&lt;=6000,1250,(IF(G375&lt;=10000,1550,(IF(G375&lt;=15000,1750,(IF(G375&lt;=24000,2050,(IF(G375&lt;=40000,2900,3600)))))))))))))</f>
        <v>1550</v>
      </c>
      <c r="F375" s="58">
        <f>H375+I375+G376+300</f>
        <v>5600</v>
      </c>
      <c r="G375" s="59">
        <v>10000</v>
      </c>
      <c r="H375" s="58">
        <f>IF(D376&lt;=315,1600,(IF(D376=355,1650,(IF(D376=400,1650,(IF(D376=450,1700,(IF(D376=500,1700,(IF(D376=560,1800,(IF(D376=630,2000,(IF(D376=710,2200,2500)))))))))))))))</f>
        <v>1800</v>
      </c>
      <c r="I375" s="58">
        <f>IF(H376=2,1800,(IF(H376=3,2300,(IF(H376=4,3300,0)))))</f>
        <v>2300</v>
      </c>
      <c r="J375" s="929" t="s">
        <v>277</v>
      </c>
      <c r="K375" s="929">
        <v>2</v>
      </c>
      <c r="L375" s="930">
        <f>Q375*0.9</f>
        <v>364275</v>
      </c>
      <c r="M375" s="930">
        <f>L375*K375</f>
        <v>728550</v>
      </c>
      <c r="N375" s="930">
        <f>Q375*0.1</f>
        <v>40475</v>
      </c>
      <c r="O375" s="940">
        <f>N375*K375</f>
        <v>80950</v>
      </c>
      <c r="P375" s="940">
        <v>404750</v>
      </c>
      <c r="Q375" s="913">
        <f>CEILING((S375+T375+U375+V375+W375),250)</f>
        <v>404750</v>
      </c>
      <c r="R375" s="913">
        <v>625</v>
      </c>
      <c r="S375" s="913">
        <f>(D375*E375*3*10.76+D375*F375*2*10.76+E375*F375*2*10.76)*R375/(1000*1000)</f>
        <v>303280.6875</v>
      </c>
      <c r="T375" s="913">
        <f>F376*4*1050</f>
        <v>0</v>
      </c>
      <c r="U375" s="912">
        <f>IF(G375&lt;=2000,5000,(IF(G375&lt;=5000,8000,(IF(G375&lt;=10000,10000,(IF(G375&lt;=18000,15000,(IF(G375&lt;=40000,20000,10000)))))))))</f>
        <v>10000</v>
      </c>
      <c r="V375" s="912">
        <f>IF(X375=200,17150,(IF(X375=225,18150,(IF(X375=250,18900,(IF(X375=280,19150,(IF(X375=315,19650,(IF(X375=355,21900,(IF(X375=400,24400,0)))))))))))))+IF(X375=450,31000,(IF(X375=500,37450,(IF(X375=560,45650,(IF(X375=630,58900,(IF(X375=710,77950,0)))))))))+IF(X375=800,119650,(IF(X375=900,153300,(IF(X375=1000,178900,(IF(X375=1120,286500,(IF(X375=1250,394500,(IF(X375=1450,461500,0)))))))))))</f>
        <v>45650</v>
      </c>
      <c r="W375" s="913">
        <f>IF(E376=0.5,16600,(IF(E376=1,19050,(IF(E376=1.5,21750,(IF(E376=2,23600,(IF(E376=3,30000,(IF(E376=5,38000,0)))))))))))*1.2+IF(E376=7.5,52300,(IF(E376=10,59600,0)))*1.2+IF(E376=12.5,100350,(IF(E376=15,106000,(IF(E376=20,129150,(IF(E376=25,146050,(IF(E376=30,173600,(IF(E376=40,233900,(IF(E376=50,304650)))))))))))))*1.2</f>
        <v>45600</v>
      </c>
      <c r="X375" s="912">
        <f>IF(G375&lt;=5250,Z375,Y375)</f>
        <v>560</v>
      </c>
      <c r="Y375" s="912">
        <f>IF(G375&lt;=6750,450,(IF(G375&lt;=8500,500,(IF(G375&lt;=10750,560,(IF(G375&lt;=13500,630,(IF(G375&lt;=17000,710,(IF(G375&lt;=21500,800,(IF(G375&lt;=27000,900,(IF(G375&lt;=34000,1000,0)))))))))))))))</f>
        <v>560</v>
      </c>
      <c r="Z375" s="912">
        <f>IF(G375&lt;=1300,200,(IF(G375&lt;=1600,225,(IF(G375&lt;=2100,250,(IF(G375&lt;=2700,280,(IF(G375&lt;=3450,315,(IF(G375&lt;=4250,355,(IF(G375&lt;=5250,400,(IF(G375&lt;=6750,450,0)))))))))))))))</f>
        <v>0</v>
      </c>
      <c r="AA375" s="912">
        <f>IF(G375&lt;=2000,5000,(IF(G375&lt;=5000,8000,(IF(G375&lt;=10000,10000,(IF(G375&lt;=18000,15000,(IF(G375&lt;=40000,20000,10000)))))))))</f>
        <v>10000</v>
      </c>
      <c r="AB375" s="912">
        <f>IF(D375=950,2,(IF(D375=1150,3,(IF(D375=1550,4,(IF(D375=1750,5,(IF(D375=2050,6,(IF(D375=2900,8,(IF(D375=3600,10,1)))))))))))))</f>
        <v>5</v>
      </c>
      <c r="AC375" s="912">
        <f>IF(E375=950,2,(IF(E375=1100,2,(IF(E375=1250,3,(IF(E375=1550,4,(IF(E375=1750,5,(IF(E375=2050,6,(IF(E375=2900,8,(IF(E375=3600,10,1)))))))))))))))</f>
        <v>4</v>
      </c>
      <c r="AD375" s="912">
        <f>AC375*AB375</f>
        <v>20</v>
      </c>
      <c r="AE375" s="912">
        <v>150</v>
      </c>
      <c r="AF375" s="912">
        <f>CEILING((SQRT(G375/1000))*4*2*AE375*1.25*K375,100)</f>
        <v>9500</v>
      </c>
      <c r="AG375" s="912">
        <f>AB375*AC375</f>
        <v>20</v>
      </c>
      <c r="AH375" s="912">
        <f>AC375*AB375</f>
        <v>20</v>
      </c>
      <c r="AI375" s="912">
        <f>AC375*AB375</f>
        <v>20</v>
      </c>
      <c r="AJ375" s="912">
        <f>AC375*AB375</f>
        <v>20</v>
      </c>
      <c r="AK375" s="912"/>
      <c r="AL375" s="912"/>
      <c r="AM375" s="915">
        <f>(G375*2.2/1100)</f>
        <v>20</v>
      </c>
      <c r="AN375" s="915">
        <f>(G375*1/1100)</f>
        <v>9.0909090909090917</v>
      </c>
      <c r="AX375" s="912"/>
    </row>
    <row r="376" spans="3:50">
      <c r="C376" s="928"/>
      <c r="D376" s="58">
        <f>IF(G375&lt;=5250,Z375,Y375)</f>
        <v>560</v>
      </c>
      <c r="E376" s="58">
        <v>5</v>
      </c>
      <c r="F376" s="58">
        <v>0</v>
      </c>
      <c r="G376" s="58">
        <f>IF(I376=4,600,(IF(I376=6,800,(IF(I376=8,1000,1200)))))</f>
        <v>1200</v>
      </c>
      <c r="H376" s="58">
        <v>3</v>
      </c>
      <c r="I376" s="58">
        <v>0</v>
      </c>
      <c r="J376" s="929"/>
      <c r="K376" s="929"/>
      <c r="L376" s="930"/>
      <c r="M376" s="930"/>
      <c r="N376" s="930"/>
      <c r="O376" s="940"/>
      <c r="P376" s="940"/>
      <c r="Q376" s="913"/>
      <c r="R376" s="913"/>
      <c r="S376" s="913"/>
      <c r="T376" s="913"/>
      <c r="U376" s="912"/>
      <c r="V376" s="912"/>
      <c r="W376" s="913"/>
      <c r="X376" s="912"/>
      <c r="Y376" s="912"/>
      <c r="Z376" s="912"/>
      <c r="AA376" s="912"/>
      <c r="AB376" s="912"/>
      <c r="AC376" s="912"/>
      <c r="AD376" s="912"/>
      <c r="AE376" s="912"/>
      <c r="AF376" s="912"/>
      <c r="AG376" s="912"/>
      <c r="AH376" s="912"/>
      <c r="AI376" s="912"/>
      <c r="AJ376" s="912"/>
      <c r="AK376" s="912"/>
      <c r="AL376" s="912"/>
      <c r="AM376" s="915"/>
      <c r="AN376" s="915"/>
      <c r="AX376" s="912"/>
    </row>
    <row r="377" spans="3:50">
      <c r="C377" s="72"/>
      <c r="D377" s="73"/>
      <c r="E377" s="74"/>
      <c r="F377" s="74"/>
      <c r="G377" s="74"/>
      <c r="H377" s="74"/>
      <c r="I377" s="75"/>
      <c r="J377" s="52"/>
      <c r="K377" s="52"/>
      <c r="L377" s="53"/>
      <c r="M377" s="53"/>
      <c r="N377" s="53"/>
      <c r="O377" s="54"/>
      <c r="P377" s="54"/>
      <c r="Q377" s="55"/>
      <c r="R377" s="55"/>
      <c r="S377" s="55"/>
      <c r="T377" s="55"/>
      <c r="U377" s="45"/>
      <c r="V377" s="45"/>
      <c r="W377" s="55"/>
      <c r="X377" s="45"/>
      <c r="Y377" s="45"/>
      <c r="Z377" s="45"/>
      <c r="AA377" s="45"/>
      <c r="AB377" s="45"/>
      <c r="AC377" s="45"/>
      <c r="AD377" s="45"/>
      <c r="AE377" s="45"/>
      <c r="AF377" s="45"/>
      <c r="AG377" s="45"/>
      <c r="AH377" s="45"/>
      <c r="AI377" s="45"/>
      <c r="AJ377" s="45"/>
      <c r="AK377" s="45"/>
      <c r="AL377" s="45"/>
      <c r="AM377" s="63"/>
      <c r="AN377" s="63"/>
    </row>
    <row r="378" spans="3:50" ht="12.95">
      <c r="C378" s="948" t="s">
        <v>84</v>
      </c>
      <c r="D378" s="895" t="s">
        <v>322</v>
      </c>
      <c r="E378" s="896"/>
      <c r="F378" s="896"/>
      <c r="G378" s="896"/>
      <c r="H378" s="896"/>
      <c r="I378" s="897"/>
      <c r="J378" s="52"/>
      <c r="K378" s="52"/>
      <c r="L378" s="52"/>
      <c r="M378" s="52"/>
      <c r="N378" s="52"/>
      <c r="O378" s="76"/>
      <c r="P378" s="76"/>
      <c r="AM378" s="56"/>
      <c r="AN378" s="56"/>
    </row>
    <row r="379" spans="3:50">
      <c r="C379" s="948"/>
      <c r="D379" s="950" t="s">
        <v>323</v>
      </c>
      <c r="E379" s="951"/>
      <c r="F379" s="951"/>
      <c r="G379" s="951"/>
      <c r="H379" s="951"/>
      <c r="I379" s="952"/>
      <c r="J379" s="944"/>
      <c r="K379" s="944"/>
      <c r="L379" s="944"/>
      <c r="M379" s="944"/>
      <c r="N379" s="944"/>
      <c r="O379" s="946"/>
      <c r="P379" s="946"/>
      <c r="AM379" s="56"/>
      <c r="AN379" s="56"/>
    </row>
    <row r="380" spans="3:50">
      <c r="C380" s="948"/>
      <c r="D380" s="950"/>
      <c r="E380" s="951"/>
      <c r="F380" s="951"/>
      <c r="G380" s="951"/>
      <c r="H380" s="951"/>
      <c r="I380" s="952"/>
      <c r="J380" s="945"/>
      <c r="K380" s="945"/>
      <c r="L380" s="945"/>
      <c r="M380" s="945"/>
      <c r="N380" s="945"/>
      <c r="O380" s="947"/>
      <c r="P380" s="947"/>
      <c r="AM380" s="56"/>
      <c r="AN380" s="56"/>
    </row>
    <row r="381" spans="3:50">
      <c r="C381" s="948"/>
      <c r="D381" s="950"/>
      <c r="E381" s="951"/>
      <c r="F381" s="951"/>
      <c r="G381" s="951"/>
      <c r="H381" s="951"/>
      <c r="I381" s="952"/>
      <c r="J381" s="945"/>
      <c r="K381" s="945"/>
      <c r="L381" s="945"/>
      <c r="M381" s="945"/>
      <c r="N381" s="945"/>
      <c r="O381" s="947"/>
      <c r="P381" s="947"/>
      <c r="AM381" s="56"/>
      <c r="AN381" s="56"/>
    </row>
    <row r="382" spans="3:50">
      <c r="C382" s="948"/>
      <c r="D382" s="950"/>
      <c r="E382" s="951"/>
      <c r="F382" s="951"/>
      <c r="G382" s="951"/>
      <c r="H382" s="951"/>
      <c r="I382" s="952"/>
      <c r="J382" s="945"/>
      <c r="K382" s="945"/>
      <c r="L382" s="945"/>
      <c r="M382" s="945"/>
      <c r="N382" s="945"/>
      <c r="O382" s="947"/>
      <c r="P382" s="947"/>
      <c r="AM382" s="56"/>
      <c r="AN382" s="56"/>
    </row>
    <row r="383" spans="3:50">
      <c r="C383" s="948"/>
      <c r="D383" s="950"/>
      <c r="E383" s="951"/>
      <c r="F383" s="951"/>
      <c r="G383" s="951"/>
      <c r="H383" s="951"/>
      <c r="I383" s="952"/>
      <c r="J383" s="945"/>
      <c r="K383" s="945"/>
      <c r="L383" s="945"/>
      <c r="M383" s="945"/>
      <c r="N383" s="945"/>
      <c r="O383" s="947"/>
      <c r="P383" s="947"/>
      <c r="AM383" s="56"/>
      <c r="AN383" s="56"/>
    </row>
    <row r="384" spans="3:50">
      <c r="C384" s="948"/>
      <c r="D384" s="950"/>
      <c r="E384" s="951"/>
      <c r="F384" s="951"/>
      <c r="G384" s="951"/>
      <c r="H384" s="951"/>
      <c r="I384" s="952"/>
      <c r="J384" s="945"/>
      <c r="K384" s="945"/>
      <c r="L384" s="945"/>
      <c r="M384" s="945"/>
      <c r="N384" s="945"/>
      <c r="O384" s="947"/>
      <c r="P384" s="947"/>
      <c r="AM384" s="56"/>
      <c r="AN384" s="56"/>
    </row>
    <row r="385" spans="3:50">
      <c r="C385" s="948"/>
      <c r="D385" s="950"/>
      <c r="E385" s="951"/>
      <c r="F385" s="951"/>
      <c r="G385" s="951"/>
      <c r="H385" s="951"/>
      <c r="I385" s="952"/>
      <c r="J385" s="945"/>
      <c r="K385" s="945"/>
      <c r="L385" s="945"/>
      <c r="M385" s="945"/>
      <c r="N385" s="945"/>
      <c r="O385" s="947"/>
      <c r="P385" s="947"/>
      <c r="AM385" s="56"/>
      <c r="AN385" s="56"/>
    </row>
    <row r="386" spans="3:50">
      <c r="C386" s="948"/>
      <c r="D386" s="950"/>
      <c r="E386" s="951"/>
      <c r="F386" s="951"/>
      <c r="G386" s="951"/>
      <c r="H386" s="951"/>
      <c r="I386" s="952"/>
      <c r="J386" s="945"/>
      <c r="K386" s="945"/>
      <c r="L386" s="945"/>
      <c r="M386" s="945"/>
      <c r="N386" s="945"/>
      <c r="O386" s="947"/>
      <c r="P386" s="947"/>
      <c r="AM386" s="56"/>
      <c r="AN386" s="56"/>
    </row>
    <row r="387" spans="3:50">
      <c r="C387" s="948"/>
      <c r="D387" s="950"/>
      <c r="E387" s="951"/>
      <c r="F387" s="951"/>
      <c r="G387" s="951"/>
      <c r="H387" s="951"/>
      <c r="I387" s="952"/>
      <c r="J387" s="945"/>
      <c r="K387" s="945"/>
      <c r="L387" s="945"/>
      <c r="M387" s="945"/>
      <c r="N387" s="945"/>
      <c r="O387" s="947"/>
      <c r="P387" s="947"/>
      <c r="AM387" s="56"/>
      <c r="AN387" s="56"/>
    </row>
    <row r="388" spans="3:50" ht="12.75" hidden="1" customHeight="1">
      <c r="C388" s="948"/>
      <c r="D388" s="950"/>
      <c r="E388" s="951"/>
      <c r="F388" s="951"/>
      <c r="G388" s="951"/>
      <c r="H388" s="951"/>
      <c r="I388" s="952"/>
      <c r="J388" s="945"/>
      <c r="K388" s="945"/>
      <c r="L388" s="945"/>
      <c r="M388" s="945"/>
      <c r="N388" s="945"/>
      <c r="O388" s="947"/>
      <c r="P388" s="947"/>
      <c r="AM388" s="56"/>
      <c r="AN388" s="56"/>
    </row>
    <row r="389" spans="3:50" ht="12.75" hidden="1" customHeight="1">
      <c r="C389" s="948"/>
      <c r="D389" s="950"/>
      <c r="E389" s="951"/>
      <c r="F389" s="951"/>
      <c r="G389" s="951"/>
      <c r="H389" s="951"/>
      <c r="I389" s="952"/>
      <c r="J389" s="945"/>
      <c r="K389" s="945"/>
      <c r="L389" s="945"/>
      <c r="M389" s="945"/>
      <c r="N389" s="945"/>
      <c r="O389" s="947"/>
      <c r="P389" s="947"/>
      <c r="AM389" s="56"/>
      <c r="AN389" s="56"/>
    </row>
    <row r="390" spans="3:50" ht="12.75" hidden="1" customHeight="1">
      <c r="C390" s="948"/>
      <c r="D390" s="950"/>
      <c r="E390" s="951"/>
      <c r="F390" s="951"/>
      <c r="G390" s="951"/>
      <c r="H390" s="951"/>
      <c r="I390" s="952"/>
      <c r="J390" s="945"/>
      <c r="K390" s="945"/>
      <c r="L390" s="945"/>
      <c r="M390" s="945"/>
      <c r="N390" s="945"/>
      <c r="O390" s="947"/>
      <c r="P390" s="947"/>
      <c r="AM390" s="56"/>
      <c r="AN390" s="56"/>
    </row>
    <row r="391" spans="3:50" ht="12.75" hidden="1" customHeight="1">
      <c r="C391" s="948"/>
      <c r="D391" s="950"/>
      <c r="E391" s="951"/>
      <c r="F391" s="951"/>
      <c r="G391" s="951"/>
      <c r="H391" s="951"/>
      <c r="I391" s="952"/>
      <c r="J391" s="945"/>
      <c r="K391" s="945"/>
      <c r="L391" s="945"/>
      <c r="M391" s="945"/>
      <c r="N391" s="945"/>
      <c r="O391" s="947"/>
      <c r="P391" s="947"/>
      <c r="AM391" s="56"/>
      <c r="AN391" s="56"/>
    </row>
    <row r="392" spans="3:50" ht="12.75" hidden="1" customHeight="1">
      <c r="C392" s="948"/>
      <c r="D392" s="950"/>
      <c r="E392" s="951"/>
      <c r="F392" s="951"/>
      <c r="G392" s="951"/>
      <c r="H392" s="951"/>
      <c r="I392" s="952"/>
      <c r="J392" s="945"/>
      <c r="K392" s="945"/>
      <c r="L392" s="945"/>
      <c r="M392" s="945"/>
      <c r="N392" s="945"/>
      <c r="O392" s="947"/>
      <c r="P392" s="947"/>
      <c r="AM392" s="56"/>
      <c r="AN392" s="56"/>
    </row>
    <row r="393" spans="3:50" ht="12.75" hidden="1" customHeight="1">
      <c r="C393" s="949"/>
      <c r="D393" s="953"/>
      <c r="E393" s="954"/>
      <c r="F393" s="954"/>
      <c r="G393" s="954"/>
      <c r="H393" s="954"/>
      <c r="I393" s="955"/>
      <c r="J393" s="945"/>
      <c r="K393" s="945"/>
      <c r="L393" s="945"/>
      <c r="M393" s="945"/>
      <c r="N393" s="945"/>
      <c r="O393" s="947"/>
      <c r="P393" s="947"/>
      <c r="AM393" s="56"/>
      <c r="AN393" s="56"/>
    </row>
    <row r="394" spans="3:50" ht="12.75" customHeight="1">
      <c r="C394" s="80"/>
      <c r="D394" s="937" t="s">
        <v>314</v>
      </c>
      <c r="E394" s="938"/>
      <c r="F394" s="938"/>
      <c r="G394" s="938"/>
      <c r="H394" s="938"/>
      <c r="I394" s="939"/>
      <c r="J394" s="78"/>
      <c r="K394" s="78"/>
      <c r="L394" s="78"/>
      <c r="M394" s="78"/>
      <c r="N394" s="78"/>
      <c r="O394" s="79"/>
      <c r="P394" s="79"/>
      <c r="AM394" s="56"/>
      <c r="AN394" s="56"/>
    </row>
    <row r="395" spans="3:50" ht="24.95">
      <c r="C395" s="81"/>
      <c r="D395" s="58" t="s">
        <v>299</v>
      </c>
      <c r="E395" s="58" t="s">
        <v>300</v>
      </c>
      <c r="F395" s="58" t="s">
        <v>301</v>
      </c>
      <c r="G395" s="58" t="s">
        <v>302</v>
      </c>
      <c r="H395" s="58" t="s">
        <v>303</v>
      </c>
      <c r="I395" s="58" t="s">
        <v>304</v>
      </c>
      <c r="J395" s="82"/>
      <c r="K395" s="82"/>
      <c r="L395" s="82"/>
      <c r="M395" s="82"/>
      <c r="N395" s="82"/>
      <c r="O395" s="83"/>
      <c r="P395" s="83"/>
      <c r="AM395" s="56"/>
      <c r="AN395" s="56"/>
    </row>
    <row r="396" spans="3:50" ht="12.95">
      <c r="C396" s="927" t="s">
        <v>324</v>
      </c>
      <c r="D396" s="58">
        <f>IF(G396&lt;=2000,950,(IF(G396&lt;=3000,1150,(IF(G396&lt;=8000,1550,(IF(G396&lt;=10000,1750,(IF(G396&lt;=18000,2050,(IF(G396&lt;=32000,2900,(IF(G396&lt;=40000,3600,4000)))))))))))))</f>
        <v>950</v>
      </c>
      <c r="E396" s="58">
        <f>IF(G396&lt;=2000,950,(IF(G396&lt;=4000,1100,(IF(G396&lt;=6000,1250,(IF(G396&lt;=10000,1550,(IF(G396&lt;=15000,1750,(IF(G396&lt;=24000,2050,(IF(G396&lt;=40000,2900,3600)))))))))))))</f>
        <v>950</v>
      </c>
      <c r="F396" s="58">
        <f>H396+I396+G397</f>
        <v>2100</v>
      </c>
      <c r="G396" s="59">
        <v>1750</v>
      </c>
      <c r="H396" s="58">
        <f>IF(D397&lt;=315,1600,(IF(D397=355,1650,(IF(D397=400,1650,(IF(D397=450,1700,(IF(D397=500,1700,(IF(D397=560,1800,(IF(D397=630,2000,(IF(D397=710,2200,2500)))))))))))))))</f>
        <v>1600</v>
      </c>
      <c r="I396" s="58">
        <f>IF(H397=2,1500,(IF(H397=1,500,0)))</f>
        <v>500</v>
      </c>
      <c r="J396" s="929" t="s">
        <v>277</v>
      </c>
      <c r="K396" s="929">
        <v>1</v>
      </c>
      <c r="L396" s="930">
        <f>Q396*0.9</f>
        <v>91575</v>
      </c>
      <c r="M396" s="930">
        <f>L396*K396</f>
        <v>91575</v>
      </c>
      <c r="N396" s="930">
        <f>Q396*0.1</f>
        <v>10175</v>
      </c>
      <c r="O396" s="940">
        <f>N396*K396</f>
        <v>10175</v>
      </c>
      <c r="P396" s="940">
        <v>101750</v>
      </c>
      <c r="Q396" s="913">
        <f>CEILING((S396+T396+U396+V396+W396),250)</f>
        <v>101750</v>
      </c>
      <c r="R396" s="913">
        <v>450</v>
      </c>
      <c r="S396" s="913">
        <f>(D396*E396*3*10.76+D396*F396*2*10.76+E396*F396*2*10.76)*R396/(1000*1000)</f>
        <v>51748.875</v>
      </c>
      <c r="T396" s="913">
        <f>F397*4*1050</f>
        <v>0</v>
      </c>
      <c r="U396" s="912">
        <f>IF(G396&lt;=2000,5000,(IF(G396&lt;=5000,8000,(IF(G396&lt;=10000,10000,(IF(G396&lt;=18000,15000,(IF(G396&lt;=40000,20000,10000)))))))))</f>
        <v>5000</v>
      </c>
      <c r="V396" s="912">
        <f>IF(X396=200,17150,(IF(X396=225,18150,(IF(X396=250,18900,(IF(X396=280,19150,(IF(X396=315,19650,(IF(X396=355,21900,(IF(X396=400,24400,0)))))))))))))+IF(X396=450,31000,(IF(X396=500,37450,(IF(X396=560,45650,(IF(X396=630,58900,(IF(X396=710,77950,0)))))))))+IF(X396=800,119650,(IF(X396=900,153300,(IF(X396=1000,178900,(IF(X396=1120,286500,(IF(X396=1250,394500,(IF(X396=1450,461500,0)))))))))))</f>
        <v>18900</v>
      </c>
      <c r="W396" s="913">
        <f>IF(E397=0.5,16600,(IF(E397=1,19050,(IF(E397=1.5,21750,(IF(E397=2,23600,(IF(E397=3,30000,(IF(E397=5,38000,0)))))))))))*1.2+IF(E397=7.5,52300,(IF(E397=10,59600,0)))*1.2+IF(E397=12.5,100350,(IF(E397=15,106000,(IF(E397=20,129150,(IF(E397=25,146050,(IF(E397=30,173600,(IF(E397=40,233900,(IF(E397=50,304650)))))))))))))*1.2</f>
        <v>26100</v>
      </c>
      <c r="X396" s="912">
        <f>IF(G396&lt;=5250,Z396,Y396)</f>
        <v>250</v>
      </c>
      <c r="Y396" s="912">
        <f>IF(G396&lt;=6750,450,(IF(G396&lt;=8500,500,(IF(G396&lt;=10750,560,(IF(G396&lt;=13500,630,(IF(G396&lt;=17000,710,(IF(G396&lt;=21500,800,(IF(G396&lt;=27000,900,(IF(G396&lt;=34000,1000,0)))))))))))))))</f>
        <v>450</v>
      </c>
      <c r="Z396" s="912">
        <f>IF(G396&lt;=1300,200,(IF(G396&lt;=1600,225,(IF(G396&lt;=2100,250,(IF(G396&lt;=2700,280,(IF(G396&lt;=3450,315,(IF(G396&lt;=4250,355,(IF(G396&lt;=5250,400,(IF(G396&lt;=6750,450,0)))))))))))))))</f>
        <v>250</v>
      </c>
      <c r="AA396" s="912">
        <f>IF(G396&lt;=2000,5000,(IF(G396&lt;=5000,8000,(IF(G396&lt;=10000,10000,(IF(G396&lt;=18000,15000,(IF(G396&lt;=40000,20000,10000)))))))))</f>
        <v>5000</v>
      </c>
      <c r="AB396" s="912">
        <f>IF(D396=950,2,(IF(D396=1150,3,(IF(D396=1550,4,(IF(D396=1750,5,(IF(D396=2050,6,(IF(D396=2900,8,(IF(D396=3600,10,1)))))))))))))</f>
        <v>2</v>
      </c>
      <c r="AC396" s="912">
        <f>IF(E396=950,2,(IF(E396=1100,2,(IF(E396=1250,3,(IF(E396=1550,4,(IF(E396=1750,5,(IF(E396=2050,6,(IF(E396=2900,8,(IF(E396=3600,10,1)))))))))))))))</f>
        <v>2</v>
      </c>
      <c r="AD396" s="912">
        <f>AC396*AB396</f>
        <v>4</v>
      </c>
      <c r="AE396" s="912">
        <v>150</v>
      </c>
      <c r="AF396" s="912">
        <f>CEILING((SQRT(G396/1000))*4*2*AE396*1.25*K396,100)</f>
        <v>2000</v>
      </c>
      <c r="AG396" s="912"/>
      <c r="AH396" s="912"/>
      <c r="AI396" s="912"/>
      <c r="AJ396" s="912"/>
      <c r="AK396" s="912"/>
      <c r="AL396" s="912">
        <f>AB396*AC396</f>
        <v>4</v>
      </c>
      <c r="AM396" s="915">
        <f>(G396*2/1300)</f>
        <v>2.6923076923076925</v>
      </c>
      <c r="AN396" s="915">
        <f>(G396*1/1100)</f>
        <v>1.5909090909090908</v>
      </c>
      <c r="AX396" s="912"/>
    </row>
    <row r="397" spans="3:50">
      <c r="C397" s="928"/>
      <c r="D397" s="58">
        <f>IF(G396&lt;=5250,Z396,Y396)</f>
        <v>250</v>
      </c>
      <c r="E397" s="58">
        <v>1.5</v>
      </c>
      <c r="F397" s="58">
        <v>0</v>
      </c>
      <c r="G397" s="58">
        <v>0</v>
      </c>
      <c r="H397" s="58">
        <v>1</v>
      </c>
      <c r="I397" s="58">
        <v>0</v>
      </c>
      <c r="J397" s="929"/>
      <c r="K397" s="929"/>
      <c r="L397" s="930"/>
      <c r="M397" s="930"/>
      <c r="N397" s="930"/>
      <c r="O397" s="940"/>
      <c r="P397" s="940"/>
      <c r="Q397" s="913"/>
      <c r="R397" s="913"/>
      <c r="S397" s="913"/>
      <c r="T397" s="913"/>
      <c r="U397" s="912"/>
      <c r="V397" s="912"/>
      <c r="W397" s="913"/>
      <c r="X397" s="912"/>
      <c r="Y397" s="912"/>
      <c r="Z397" s="912"/>
      <c r="AA397" s="912"/>
      <c r="AB397" s="912"/>
      <c r="AC397" s="912"/>
      <c r="AD397" s="912"/>
      <c r="AE397" s="912"/>
      <c r="AF397" s="912"/>
      <c r="AG397" s="912"/>
      <c r="AH397" s="912"/>
      <c r="AI397" s="912"/>
      <c r="AJ397" s="912"/>
      <c r="AK397" s="912"/>
      <c r="AL397" s="912"/>
      <c r="AM397" s="915"/>
      <c r="AN397" s="915"/>
      <c r="AX397" s="912"/>
    </row>
    <row r="398" spans="3:50" ht="12.95">
      <c r="C398" s="927" t="s">
        <v>325</v>
      </c>
      <c r="D398" s="58">
        <f>IF(G398&lt;=2000,950,(IF(G398&lt;=3000,1150,(IF(G398&lt;=8000,1550,(IF(G398&lt;=10000,1750,(IF(G398&lt;=18000,2050,(IF(G398&lt;=32000,2900,(IF(G398&lt;=40000,3600,4000)))))))))))))</f>
        <v>950</v>
      </c>
      <c r="E398" s="58">
        <f>IF(G398&lt;=2000,950,(IF(G398&lt;=4000,1100,(IF(G398&lt;=6000,1250,(IF(G398&lt;=10000,1550,(IF(G398&lt;=15000,1750,(IF(G398&lt;=24000,2050,(IF(G398&lt;=40000,2900,3600)))))))))))))</f>
        <v>950</v>
      </c>
      <c r="F398" s="58">
        <f>H398+I398+G399</f>
        <v>2100</v>
      </c>
      <c r="G398" s="59">
        <v>1825</v>
      </c>
      <c r="H398" s="58">
        <f>IF(D399&lt;=315,1600,(IF(D399=355,1650,(IF(D399=400,1650,(IF(D399=450,1700,(IF(D399=500,1700,(IF(D399=560,1800,(IF(D399=630,2000,(IF(D399=710,2200,2500)))))))))))))))</f>
        <v>1600</v>
      </c>
      <c r="I398" s="58">
        <f>IF(H399=2,1500,(IF(H399=1,500,0)))</f>
        <v>500</v>
      </c>
      <c r="J398" s="929" t="s">
        <v>277</v>
      </c>
      <c r="K398" s="929">
        <v>1</v>
      </c>
      <c r="L398" s="930">
        <f>Q398*0.9</f>
        <v>91575</v>
      </c>
      <c r="M398" s="930">
        <f>L398*K398</f>
        <v>91575</v>
      </c>
      <c r="N398" s="930">
        <f>Q398*0.1</f>
        <v>10175</v>
      </c>
      <c r="O398" s="940">
        <f>N398*K398</f>
        <v>10175</v>
      </c>
      <c r="P398" s="940">
        <v>101750</v>
      </c>
      <c r="Q398" s="913">
        <f>CEILING((S398+T398+U398+V398+W398),250)</f>
        <v>101750</v>
      </c>
      <c r="R398" s="913">
        <v>450</v>
      </c>
      <c r="S398" s="913">
        <f>(D398*E398*3*10.76+D398*F398*2*10.76+E398*F398*2*10.76)*R398/(1000*1000)</f>
        <v>51748.875</v>
      </c>
      <c r="T398" s="913">
        <f>F399*4*1050</f>
        <v>0</v>
      </c>
      <c r="U398" s="912">
        <f>IF(G398&lt;=2000,5000,(IF(G398&lt;=5000,8000,(IF(G398&lt;=10000,10000,(IF(G398&lt;=18000,15000,(IF(G398&lt;=40000,20000,10000)))))))))</f>
        <v>5000</v>
      </c>
      <c r="V398" s="912">
        <f>IF(X398=200,17150,(IF(X398=225,18150,(IF(X398=250,18900,(IF(X398=280,19150,(IF(X398=315,19650,(IF(X398=355,21900,(IF(X398=400,24400,0)))))))))))))+IF(X398=450,31000,(IF(X398=500,37450,(IF(X398=560,45650,(IF(X398=630,58900,(IF(X398=710,77950,0)))))))))+IF(X398=800,119650,(IF(X398=900,153300,(IF(X398=1000,178900,(IF(X398=1120,286500,(IF(X398=1250,394500,(IF(X398=1450,461500,0)))))))))))</f>
        <v>18900</v>
      </c>
      <c r="W398" s="913">
        <f>IF(E399=0.5,16600,(IF(E399=1,19050,(IF(E399=1.5,21750,(IF(E399=2,23600,(IF(E399=3,30000,(IF(E399=5,38000,0)))))))))))*1.2+IF(E399=7.5,52300,(IF(E399=10,59600,0)))*1.2+IF(E399=12.5,100350,(IF(E399=15,106000,(IF(E399=20,129150,(IF(E399=25,146050,(IF(E399=30,173600,(IF(E399=40,233900,(IF(E399=50,304650)))))))))))))*1.2</f>
        <v>26100</v>
      </c>
      <c r="X398" s="912">
        <f>IF(G398&lt;=5250,Z398,Y398)</f>
        <v>250</v>
      </c>
      <c r="Y398" s="912">
        <f>IF(G398&lt;=6750,450,(IF(G398&lt;=8500,500,(IF(G398&lt;=10750,560,(IF(G398&lt;=13500,630,(IF(G398&lt;=17000,710,(IF(G398&lt;=21500,800,(IF(G398&lt;=27000,900,(IF(G398&lt;=34000,1000,0)))))))))))))))</f>
        <v>450</v>
      </c>
      <c r="Z398" s="912">
        <f>IF(G398&lt;=1300,200,(IF(G398&lt;=1600,225,(IF(G398&lt;=2100,250,(IF(G398&lt;=2700,280,(IF(G398&lt;=3450,315,(IF(G398&lt;=4250,355,(IF(G398&lt;=5250,400,(IF(G398&lt;=6750,450,0)))))))))))))))</f>
        <v>250</v>
      </c>
      <c r="AA398" s="912">
        <f>IF(G398&lt;=2000,5000,(IF(G398&lt;=5000,8000,(IF(G398&lt;=10000,10000,(IF(G398&lt;=18000,15000,(IF(G398&lt;=40000,20000,10000)))))))))</f>
        <v>5000</v>
      </c>
      <c r="AB398" s="912">
        <f>IF(D398=950,2,(IF(D398=1150,3,(IF(D398=1550,4,(IF(D398=1750,5,(IF(D398=2050,6,(IF(D398=2900,8,(IF(D398=3600,10,1)))))))))))))</f>
        <v>2</v>
      </c>
      <c r="AC398" s="912">
        <f>IF(E398=950,2,(IF(E398=1100,2,(IF(E398=1250,3,(IF(E398=1550,4,(IF(E398=1750,5,(IF(E398=2050,6,(IF(E398=2900,8,(IF(E398=3600,10,1)))))))))))))))</f>
        <v>2</v>
      </c>
      <c r="AD398" s="912">
        <f>AC398*AB398</f>
        <v>4</v>
      </c>
      <c r="AE398" s="912">
        <v>150</v>
      </c>
      <c r="AF398" s="912">
        <f>CEILING((SQRT(G398/1000))*4*2*AE398*1.25*K398,100)</f>
        <v>2100</v>
      </c>
      <c r="AG398" s="912"/>
      <c r="AH398" s="912"/>
      <c r="AI398" s="912"/>
      <c r="AJ398" s="912"/>
      <c r="AK398" s="912"/>
      <c r="AL398" s="912">
        <f>AB398*AC398</f>
        <v>4</v>
      </c>
      <c r="AM398" s="915">
        <f>(G398*2/1300)</f>
        <v>2.8076923076923075</v>
      </c>
      <c r="AN398" s="915">
        <f>(G398*1/1100)</f>
        <v>1.6590909090909092</v>
      </c>
    </row>
    <row r="399" spans="3:50">
      <c r="C399" s="928"/>
      <c r="D399" s="58">
        <f>IF(G398&lt;=5250,Z398,Y398)</f>
        <v>250</v>
      </c>
      <c r="E399" s="58">
        <v>1.5</v>
      </c>
      <c r="F399" s="58">
        <v>0</v>
      </c>
      <c r="G399" s="58">
        <v>0</v>
      </c>
      <c r="H399" s="58">
        <v>1</v>
      </c>
      <c r="I399" s="58">
        <v>0</v>
      </c>
      <c r="J399" s="929"/>
      <c r="K399" s="929"/>
      <c r="L399" s="930"/>
      <c r="M399" s="930"/>
      <c r="N399" s="930"/>
      <c r="O399" s="940"/>
      <c r="P399" s="940"/>
      <c r="Q399" s="913"/>
      <c r="R399" s="913"/>
      <c r="S399" s="913"/>
      <c r="T399" s="913"/>
      <c r="U399" s="912"/>
      <c r="V399" s="912"/>
      <c r="W399" s="913"/>
      <c r="X399" s="912"/>
      <c r="Y399" s="912"/>
      <c r="Z399" s="912"/>
      <c r="AA399" s="912"/>
      <c r="AB399" s="912"/>
      <c r="AC399" s="912"/>
      <c r="AD399" s="912"/>
      <c r="AE399" s="912"/>
      <c r="AF399" s="912"/>
      <c r="AG399" s="912"/>
      <c r="AH399" s="912"/>
      <c r="AI399" s="912"/>
      <c r="AJ399" s="912"/>
      <c r="AK399" s="912"/>
      <c r="AL399" s="912"/>
      <c r="AM399" s="915"/>
      <c r="AN399" s="915"/>
    </row>
    <row r="400" spans="3:50" ht="25.5" thickBot="1">
      <c r="C400" s="84"/>
      <c r="D400" s="64" t="s">
        <v>306</v>
      </c>
      <c r="E400" s="64" t="s">
        <v>307</v>
      </c>
      <c r="F400" s="64" t="s">
        <v>308</v>
      </c>
      <c r="G400" s="64" t="s">
        <v>309</v>
      </c>
      <c r="H400" s="64" t="s">
        <v>310</v>
      </c>
      <c r="I400" s="64" t="s">
        <v>311</v>
      </c>
      <c r="J400" s="46"/>
      <c r="K400" s="46"/>
      <c r="L400" s="85"/>
      <c r="M400" s="85"/>
      <c r="N400" s="85"/>
      <c r="O400" s="86"/>
      <c r="P400" s="86"/>
      <c r="AM400" s="56"/>
      <c r="AN400" s="56"/>
    </row>
    <row r="401" spans="3:50" ht="12.95">
      <c r="C401" s="927" t="s">
        <v>326</v>
      </c>
      <c r="D401" s="58">
        <f>IF(G401&lt;=2000,950,(IF(G401&lt;=3000,1150,(IF(G401&lt;=8000,1550,(IF(G401&lt;=10000,1750,(IF(G401&lt;=18000,2050,(IF(G401&lt;=32000,2900,(IF(G401&lt;=40000,3600,4000)))))))))))))</f>
        <v>1750</v>
      </c>
      <c r="E401" s="58">
        <f>IF(G401&lt;=2000,950,(IF(G401&lt;=4000,1100,(IF(G401&lt;=6000,1250,(IF(G401&lt;=10000,1550,(IF(G401&lt;=15000,1750,(IF(G401&lt;=24000,2050,(IF(G401&lt;=40000,2900,3600)))))))))))))</f>
        <v>1550</v>
      </c>
      <c r="F401" s="58">
        <f>H401+I401+G402</f>
        <v>2300</v>
      </c>
      <c r="G401" s="59">
        <v>8575</v>
      </c>
      <c r="H401" s="58">
        <f>IF(D402&lt;=315,1600,(IF(D402=355,1650,(IF(D402=400,1650,(IF(D402=450,1700,(IF(D402=500,1700,(IF(D402=560,1800,(IF(D402=630,2000,(IF(D402=710,2200,2500)))))))))))))))</f>
        <v>1800</v>
      </c>
      <c r="I401" s="58">
        <f>IF(H402=2,1500,(IF(H402=1,500,0)))</f>
        <v>500</v>
      </c>
      <c r="J401" s="929" t="s">
        <v>277</v>
      </c>
      <c r="K401" s="929">
        <v>1</v>
      </c>
      <c r="L401" s="930">
        <f>Q401*0.9</f>
        <v>192825</v>
      </c>
      <c r="M401" s="930">
        <f>L401*K401</f>
        <v>192825</v>
      </c>
      <c r="N401" s="930">
        <f>Q401*0.1</f>
        <v>21425</v>
      </c>
      <c r="O401" s="940">
        <f>N401*K401</f>
        <v>21425</v>
      </c>
      <c r="P401" s="940">
        <v>214250</v>
      </c>
      <c r="Q401" s="913">
        <f>CEILING((S401+T401+U401+V401+W401),250)</f>
        <v>214250</v>
      </c>
      <c r="R401" s="913">
        <v>450</v>
      </c>
      <c r="S401" s="913">
        <f>(D401*E401*3*10.76+D401*F401*2*10.76+E401*F401*2*10.76)*R401/(1000*1000)</f>
        <v>112903.33500000001</v>
      </c>
      <c r="T401" s="913">
        <f>F402*4*1050</f>
        <v>0</v>
      </c>
      <c r="U401" s="912">
        <f>IF(G401&lt;=2000,5000,(IF(G401&lt;=5000,8000,(IF(G401&lt;=10000,10000,(IF(G401&lt;=18000,15000,(IF(G401&lt;=40000,20000,10000)))))))))</f>
        <v>10000</v>
      </c>
      <c r="V401" s="912">
        <f>IF(X401=200,17150,(IF(X401=225,18150,(IF(X401=250,18900,(IF(X401=280,19150,(IF(X401=315,19650,(IF(X401=355,21900,(IF(X401=400,24400,0)))))))))))))+IF(X401=450,31000,(IF(X401=500,37450,(IF(X401=560,45650,(IF(X401=630,58900,(IF(X401=710,77950,0)))))))))+IF(X401=800,119650,(IF(X401=900,153300,(IF(X401=1000,178900,(IF(X401=1120,286500,(IF(X401=1250,394500,(IF(X401=1450,461500,0)))))))))))</f>
        <v>45650</v>
      </c>
      <c r="W401" s="913">
        <f>IF(E402=0.5,16600,(IF(E402=1,19050,(IF(E402=1.5,21750,(IF(E402=2,23600,(IF(E402=3,30000,(IF(E402=5,38000,0)))))))))))*1.2+IF(E402=7.5,52300,(IF(E402=10,59600,0)))*1.2+IF(E402=12.5,100350,(IF(E402=15,106000,(IF(E402=20,129150,(IF(E402=25,146050,(IF(E402=30,173600,(IF(E402=40,233900,(IF(E402=50,304650)))))))))))))*1.2</f>
        <v>45600</v>
      </c>
      <c r="X401" s="912">
        <f>IF(G401&lt;=5250,Z401,Y401)</f>
        <v>560</v>
      </c>
      <c r="Y401" s="912">
        <f>IF(G401&lt;=6750,450,(IF(G401&lt;=8500,500,(IF(G401&lt;=10750,560,(IF(G401&lt;=13500,630,(IF(G401&lt;=17000,710,(IF(G401&lt;=21500,800,(IF(G401&lt;=27000,900,(IF(G401&lt;=34000,1000,0)))))))))))))))</f>
        <v>560</v>
      </c>
      <c r="Z401" s="912">
        <f>IF(G401&lt;=1300,200,(IF(G401&lt;=1600,225,(IF(G401&lt;=2100,250,(IF(G401&lt;=2700,280,(IF(G401&lt;=3450,315,(IF(G401&lt;=4250,355,(IF(G401&lt;=5250,400,(IF(G401&lt;=6750,450,0)))))))))))))))</f>
        <v>0</v>
      </c>
      <c r="AA401" s="912">
        <f>IF(G401&lt;=2000,5000,(IF(G401&lt;=5000,8000,(IF(G401&lt;=10000,10000,(IF(G401&lt;=18000,15000,(IF(G401&lt;=40000,20000,10000)))))))))</f>
        <v>10000</v>
      </c>
      <c r="AB401" s="912">
        <f>IF(D401=950,2,(IF(D401=1150,3,(IF(D401=1550,4,(IF(D401=1750,5,(IF(D401=2050,6,(IF(D401=2900,8,(IF(D401=3600,10,1)))))))))))))</f>
        <v>5</v>
      </c>
      <c r="AC401" s="912">
        <f>IF(E401=950,2,(IF(E401=1100,2,(IF(E401=1250,3,(IF(E401=1550,4,(IF(E401=1750,5,(IF(E401=2050,6,(IF(E401=2900,8,(IF(E401=3600,10,1)))))))))))))))</f>
        <v>4</v>
      </c>
      <c r="AD401" s="912">
        <f>AC401*AB401</f>
        <v>20</v>
      </c>
      <c r="AE401" s="912">
        <v>150</v>
      </c>
      <c r="AF401" s="912">
        <f>CEILING((SQRT(G401/1000))*4*2*AE401*1.25*K401,100)</f>
        <v>4400</v>
      </c>
      <c r="AG401" s="912"/>
      <c r="AH401" s="912"/>
      <c r="AI401" s="912"/>
      <c r="AJ401" s="912"/>
      <c r="AK401" s="912"/>
      <c r="AL401" s="912">
        <f>AB401*AC401</f>
        <v>20</v>
      </c>
      <c r="AM401" s="915">
        <f>(G401*2/1300)</f>
        <v>13.192307692307692</v>
      </c>
      <c r="AN401" s="915">
        <f>(G401*1/1100)</f>
        <v>7.7954545454545459</v>
      </c>
      <c r="AX401" s="912"/>
    </row>
    <row r="402" spans="3:50">
      <c r="C402" s="928"/>
      <c r="D402" s="58">
        <f>IF(G401&lt;=5250,Z401,Y401)</f>
        <v>560</v>
      </c>
      <c r="E402" s="58">
        <v>5</v>
      </c>
      <c r="F402" s="58">
        <v>0</v>
      </c>
      <c r="G402" s="58">
        <v>0</v>
      </c>
      <c r="H402" s="58">
        <v>1</v>
      </c>
      <c r="I402" s="58">
        <v>0</v>
      </c>
      <c r="J402" s="929"/>
      <c r="K402" s="929"/>
      <c r="L402" s="930"/>
      <c r="M402" s="930"/>
      <c r="N402" s="930"/>
      <c r="O402" s="940"/>
      <c r="P402" s="940"/>
      <c r="Q402" s="913"/>
      <c r="R402" s="913"/>
      <c r="S402" s="913"/>
      <c r="T402" s="913"/>
      <c r="U402" s="912"/>
      <c r="V402" s="912"/>
      <c r="W402" s="913"/>
      <c r="X402" s="912"/>
      <c r="Y402" s="912"/>
      <c r="Z402" s="912"/>
      <c r="AA402" s="912"/>
      <c r="AB402" s="912"/>
      <c r="AC402" s="912"/>
      <c r="AD402" s="912"/>
      <c r="AE402" s="912"/>
      <c r="AF402" s="912"/>
      <c r="AG402" s="912"/>
      <c r="AH402" s="912"/>
      <c r="AI402" s="912"/>
      <c r="AJ402" s="912"/>
      <c r="AK402" s="912"/>
      <c r="AL402" s="912"/>
      <c r="AM402" s="915"/>
      <c r="AN402" s="915"/>
      <c r="AX402" s="912"/>
    </row>
    <row r="403" spans="3:50" ht="12.95">
      <c r="C403" s="927" t="s">
        <v>327</v>
      </c>
      <c r="D403" s="58">
        <f>IF(G403&lt;=2000,950,(IF(G403&lt;=3000,1150,(IF(G403&lt;=8000,1550,(IF(G403&lt;=10000,1750,(IF(G403&lt;=18000,2050,(IF(G403&lt;=32000,2900,(IF(G403&lt;=40000,3600,4000)))))))))))))</f>
        <v>1550</v>
      </c>
      <c r="E403" s="58">
        <f>IF(G403&lt;=2000,950,(IF(G403&lt;=4000,1100,(IF(G403&lt;=6000,1250,(IF(G403&lt;=10000,1550,(IF(G403&lt;=15000,1750,(IF(G403&lt;=24000,2050,(IF(G403&lt;=40000,2900,3600)))))))))))))</f>
        <v>1100</v>
      </c>
      <c r="F403" s="58">
        <f>H403+I403+G404</f>
        <v>2150</v>
      </c>
      <c r="G403" s="59">
        <v>3700</v>
      </c>
      <c r="H403" s="58">
        <f>IF(D404&lt;=315,1600,(IF(D404=355,1650,(IF(D404=400,1650,(IF(D404=450,1700,(IF(D404=500,1700,(IF(D404=560,1800,(IF(D404=630,2000,(IF(D404=710,2200,2500)))))))))))))))</f>
        <v>1650</v>
      </c>
      <c r="I403" s="58">
        <f>IF(H404=2,1500,(IF(H404=1,500,0)))</f>
        <v>500</v>
      </c>
      <c r="J403" s="929" t="s">
        <v>277</v>
      </c>
      <c r="K403" s="929">
        <v>1</v>
      </c>
      <c r="L403" s="930">
        <f>Q403*0.9</f>
        <v>131400</v>
      </c>
      <c r="M403" s="930">
        <f>L403*K403</f>
        <v>131400</v>
      </c>
      <c r="N403" s="930">
        <f>Q403*0.1</f>
        <v>14600</v>
      </c>
      <c r="O403" s="940">
        <f>N403*K403</f>
        <v>14600</v>
      </c>
      <c r="P403" s="940">
        <v>146000</v>
      </c>
      <c r="Q403" s="913">
        <f>CEILING((S403+T403+U403+V403+W403),250)</f>
        <v>146000</v>
      </c>
      <c r="R403" s="913">
        <v>450</v>
      </c>
      <c r="S403" s="913">
        <f>(D403*E403*3*10.76+D403*F403*2*10.76+E403*F403*2*10.76)*R403/(1000*1000)</f>
        <v>79941.42</v>
      </c>
      <c r="T403" s="913">
        <f>F404*4*1050</f>
        <v>0</v>
      </c>
      <c r="U403" s="912">
        <f>IF(G403&lt;=2000,5000,(IF(G403&lt;=5000,8000,(IF(G403&lt;=10000,10000,(IF(G403&lt;=18000,15000,(IF(G403&lt;=40000,20000,10000)))))))))</f>
        <v>8000</v>
      </c>
      <c r="V403" s="912">
        <f>IF(X403=200,17150,(IF(X403=225,18150,(IF(X403=250,18900,(IF(X403=280,19150,(IF(X403=315,19650,(IF(X403=355,21900,(IF(X403=400,24400,0)))))))))))))+IF(X403=450,31000,(IF(X403=500,37450,(IF(X403=560,45650,(IF(X403=630,58900,(IF(X403=710,77950,0)))))))))+IF(X403=800,119650,(IF(X403=900,153300,(IF(X403=1000,178900,(IF(X403=1120,286500,(IF(X403=1250,394500,(IF(X403=1450,461500,0)))))))))))</f>
        <v>21900</v>
      </c>
      <c r="W403" s="913">
        <f>IF(E404=0.5,16600,(IF(E404=1,19050,(IF(E404=1.5,21750,(IF(E404=2,23600,(IF(E404=3,30000,(IF(E404=5,38000,0)))))))))))*1.2+IF(E404=7.5,52300,(IF(E404=10,59600,0)))*1.2+IF(E404=12.5,100350,(IF(E404=15,106000,(IF(E404=20,129150,(IF(E404=25,146050,(IF(E404=30,173600,(IF(E404=40,233900,(IF(E404=50,304650)))))))))))))*1.2</f>
        <v>36000</v>
      </c>
      <c r="X403" s="912">
        <f>IF(G403&lt;=5250,Z403,Y403)</f>
        <v>355</v>
      </c>
      <c r="Y403" s="912">
        <f>IF(G403&lt;=6750,450,(IF(G403&lt;=8500,500,(IF(G403&lt;=10750,560,(IF(G403&lt;=13500,630,(IF(G403&lt;=17000,710,(IF(G403&lt;=21500,800,(IF(G403&lt;=27000,900,(IF(G403&lt;=34000,1000,0)))))))))))))))</f>
        <v>450</v>
      </c>
      <c r="Z403" s="912">
        <f>IF(G403&lt;=1300,200,(IF(G403&lt;=1600,225,(IF(G403&lt;=2100,250,(IF(G403&lt;=2700,280,(IF(G403&lt;=3450,315,(IF(G403&lt;=4250,355,(IF(G403&lt;=5250,400,(IF(G403&lt;=6750,450,0)))))))))))))))</f>
        <v>355</v>
      </c>
      <c r="AA403" s="912">
        <f>IF(G403&lt;=2000,5000,(IF(G403&lt;=5000,8000,(IF(G403&lt;=10000,10000,(IF(G403&lt;=18000,15000,(IF(G403&lt;=40000,20000,10000)))))))))</f>
        <v>8000</v>
      </c>
      <c r="AB403" s="912">
        <f>IF(D403=950,2,(IF(D403=1150,3,(IF(D403=1550,4,(IF(D403=1750,5,(IF(D403=2050,6,(IF(D403=2900,8,(IF(D403=3600,10,1)))))))))))))</f>
        <v>4</v>
      </c>
      <c r="AC403" s="912">
        <f>IF(E403=950,2,(IF(E403=1100,2,(IF(E403=1250,3,(IF(E403=1550,4,(IF(E403=1750,5,(IF(E403=2050,6,(IF(E403=2900,8,(IF(E403=3600,10,1)))))))))))))))</f>
        <v>2</v>
      </c>
      <c r="AD403" s="912">
        <f>AC403*AB403</f>
        <v>8</v>
      </c>
      <c r="AE403" s="912">
        <v>150</v>
      </c>
      <c r="AF403" s="912">
        <f>CEILING((SQRT(G403/1000))*4*2*AE403*1.25*K403,100)</f>
        <v>2900</v>
      </c>
      <c r="AG403" s="912"/>
      <c r="AH403" s="912"/>
      <c r="AI403" s="912"/>
      <c r="AJ403" s="912"/>
      <c r="AK403" s="912"/>
      <c r="AL403" s="912">
        <f>AB403*AC403</f>
        <v>8</v>
      </c>
      <c r="AM403" s="915">
        <f>(G403*2/1300)</f>
        <v>5.6923076923076925</v>
      </c>
      <c r="AN403" s="915">
        <f>(G403*1/1100)</f>
        <v>3.3636363636363638</v>
      </c>
    </row>
    <row r="404" spans="3:50">
      <c r="C404" s="928"/>
      <c r="D404" s="58">
        <f>IF(G403&lt;=5250,Z403,Y403)</f>
        <v>355</v>
      </c>
      <c r="E404" s="58">
        <v>3</v>
      </c>
      <c r="F404" s="58">
        <v>0</v>
      </c>
      <c r="G404" s="58">
        <v>0</v>
      </c>
      <c r="H404" s="58">
        <v>1</v>
      </c>
      <c r="I404" s="58">
        <v>0</v>
      </c>
      <c r="J404" s="929"/>
      <c r="K404" s="929"/>
      <c r="L404" s="930"/>
      <c r="M404" s="930"/>
      <c r="N404" s="930"/>
      <c r="O404" s="940"/>
      <c r="P404" s="940"/>
      <c r="Q404" s="913"/>
      <c r="R404" s="913"/>
      <c r="S404" s="913"/>
      <c r="T404" s="913"/>
      <c r="U404" s="912"/>
      <c r="V404" s="912"/>
      <c r="W404" s="913"/>
      <c r="X404" s="912"/>
      <c r="Y404" s="912"/>
      <c r="Z404" s="912"/>
      <c r="AA404" s="912"/>
      <c r="AB404" s="912"/>
      <c r="AC404" s="912"/>
      <c r="AD404" s="912"/>
      <c r="AE404" s="912"/>
      <c r="AF404" s="912"/>
      <c r="AG404" s="912"/>
      <c r="AH404" s="912"/>
      <c r="AI404" s="912"/>
      <c r="AJ404" s="912"/>
      <c r="AK404" s="912"/>
      <c r="AL404" s="912"/>
      <c r="AM404" s="915"/>
      <c r="AN404" s="915"/>
    </row>
    <row r="405" spans="3:50" ht="12.95">
      <c r="C405" s="927" t="s">
        <v>328</v>
      </c>
      <c r="D405" s="58">
        <f>IF(G405&lt;=2000,950,(IF(G405&lt;=3000,1150,(IF(G405&lt;=8000,1550,(IF(G405&lt;=10000,1750,(IF(G405&lt;=18000,2050,(IF(G405&lt;=32000,2900,(IF(G405&lt;=40000,3600,4000)))))))))))))</f>
        <v>1550</v>
      </c>
      <c r="E405" s="58">
        <f>IF(G405&lt;=2000,950,(IF(G405&lt;=4000,1100,(IF(G405&lt;=6000,1250,(IF(G405&lt;=10000,1550,(IF(G405&lt;=15000,1750,(IF(G405&lt;=24000,2050,(IF(G405&lt;=40000,2900,3600)))))))))))))</f>
        <v>1250</v>
      </c>
      <c r="F405" s="58">
        <f>H405+I405+G406</f>
        <v>2150</v>
      </c>
      <c r="G405" s="59">
        <v>4200</v>
      </c>
      <c r="H405" s="58">
        <f>IF(D406&lt;=315,1600,(IF(D406=355,1650,(IF(D406=400,1650,(IF(D406=450,1700,(IF(D406=500,1700,(IF(D406=560,1800,(IF(D406=630,2000,(IF(D406=710,2200,2500)))))))))))))))</f>
        <v>1650</v>
      </c>
      <c r="I405" s="58">
        <f>IF(H406=2,1500,(IF(H406=1,500,0)))</f>
        <v>500</v>
      </c>
      <c r="J405" s="929" t="s">
        <v>277</v>
      </c>
      <c r="K405" s="929">
        <v>1</v>
      </c>
      <c r="L405" s="930">
        <f>Q405*0.9</f>
        <v>137250</v>
      </c>
      <c r="M405" s="930">
        <f>L405*K405</f>
        <v>137250</v>
      </c>
      <c r="N405" s="930">
        <f>Q405*0.1</f>
        <v>15250</v>
      </c>
      <c r="O405" s="940">
        <f>N405*K405</f>
        <v>15250</v>
      </c>
      <c r="P405" s="940">
        <v>152500</v>
      </c>
      <c r="Q405" s="913">
        <f>CEILING((S405+T405+U405+V405+W405),250)</f>
        <v>152500</v>
      </c>
      <c r="R405" s="913">
        <v>450</v>
      </c>
      <c r="S405" s="913">
        <f>(D405*E405*3*10.76+D405*F405*2*10.76+E405*F405*2*10.76)*R405/(1000*1000)</f>
        <v>86441.804999999993</v>
      </c>
      <c r="T405" s="913">
        <f>F406*4*1050</f>
        <v>0</v>
      </c>
      <c r="U405" s="912">
        <f>IF(G405&lt;=2000,5000,(IF(G405&lt;=5000,8000,(IF(G405&lt;=10000,10000,(IF(G405&lt;=18000,15000,(IF(G405&lt;=40000,20000,10000)))))))))</f>
        <v>8000</v>
      </c>
      <c r="V405" s="912">
        <f>IF(X405=200,17150,(IF(X405=225,18150,(IF(X405=250,18900,(IF(X405=280,19150,(IF(X405=315,19650,(IF(X405=355,21900,(IF(X405=400,24400,0)))))))))))))+IF(X405=450,31000,(IF(X405=500,37450,(IF(X405=560,45650,(IF(X405=630,58900,(IF(X405=710,77950,0)))))))))+IF(X405=800,119650,(IF(X405=900,153300,(IF(X405=1000,178900,(IF(X405=1120,286500,(IF(X405=1250,394500,(IF(X405=1450,461500,0)))))))))))</f>
        <v>21900</v>
      </c>
      <c r="W405" s="913">
        <f>IF(E406=0.5,16600,(IF(E406=1,19050,(IF(E406=1.5,21750,(IF(E406=2,23600,(IF(E406=3,30000,(IF(E406=5,38000,0)))))))))))*1.2+IF(E406=7.5,52300,(IF(E406=10,59600,0)))*1.2+IF(E406=12.5,100350,(IF(E406=15,106000,(IF(E406=20,129150,(IF(E406=25,146050,(IF(E406=30,173600,(IF(E406=40,233900,(IF(E406=50,304650)))))))))))))*1.2</f>
        <v>36000</v>
      </c>
      <c r="X405" s="912">
        <f>IF(G405&lt;=5250,Z405,Y405)</f>
        <v>355</v>
      </c>
      <c r="Y405" s="912">
        <f>IF(G405&lt;=6750,450,(IF(G405&lt;=8500,500,(IF(G405&lt;=10750,560,(IF(G405&lt;=13500,630,(IF(G405&lt;=17000,710,(IF(G405&lt;=21500,800,(IF(G405&lt;=27000,900,(IF(G405&lt;=34000,1000,0)))))))))))))))</f>
        <v>450</v>
      </c>
      <c r="Z405" s="912">
        <f>IF(G405&lt;=1300,200,(IF(G405&lt;=1600,225,(IF(G405&lt;=2100,250,(IF(G405&lt;=2700,280,(IF(G405&lt;=3450,315,(IF(G405&lt;=4250,355,(IF(G405&lt;=5250,400,(IF(G405&lt;=6750,450,0)))))))))))))))</f>
        <v>355</v>
      </c>
      <c r="AA405" s="912">
        <f>IF(G405&lt;=2000,5000,(IF(G405&lt;=5000,8000,(IF(G405&lt;=10000,10000,(IF(G405&lt;=18000,15000,(IF(G405&lt;=40000,20000,10000)))))))))</f>
        <v>8000</v>
      </c>
      <c r="AB405" s="912">
        <f>IF(D405=950,2,(IF(D405=1150,3,(IF(D405=1550,4,(IF(D405=1750,5,(IF(D405=2050,6,(IF(D405=2900,8,(IF(D405=3600,10,1)))))))))))))</f>
        <v>4</v>
      </c>
      <c r="AC405" s="912">
        <f>IF(E405=950,2,(IF(E405=1100,2,(IF(E405=1250,3,(IF(E405=1550,4,(IF(E405=1750,5,(IF(E405=2050,6,(IF(E405=2900,8,(IF(E405=3600,10,1)))))))))))))))</f>
        <v>3</v>
      </c>
      <c r="AD405" s="912">
        <f>AC405*AB405</f>
        <v>12</v>
      </c>
      <c r="AE405" s="912">
        <v>150</v>
      </c>
      <c r="AF405" s="912">
        <f>CEILING((SQRT(G405/1000))*4*2*AE405*1.25*K405,100)</f>
        <v>3100</v>
      </c>
      <c r="AG405" s="912"/>
      <c r="AH405" s="912"/>
      <c r="AI405" s="912"/>
      <c r="AJ405" s="912"/>
      <c r="AK405" s="912"/>
      <c r="AL405" s="912">
        <f>AB405*AC405</f>
        <v>12</v>
      </c>
      <c r="AM405" s="915">
        <f>(G405*2/1300)</f>
        <v>6.4615384615384617</v>
      </c>
      <c r="AN405" s="915">
        <f>(G405*1/1100)</f>
        <v>3.8181818181818183</v>
      </c>
    </row>
    <row r="406" spans="3:50">
      <c r="C406" s="928"/>
      <c r="D406" s="58">
        <f>IF(G405&lt;=5250,Z405,Y405)</f>
        <v>355</v>
      </c>
      <c r="E406" s="58">
        <v>3</v>
      </c>
      <c r="F406" s="58">
        <v>0</v>
      </c>
      <c r="G406" s="58">
        <v>0</v>
      </c>
      <c r="H406" s="58">
        <v>1</v>
      </c>
      <c r="I406" s="58">
        <v>0</v>
      </c>
      <c r="J406" s="929"/>
      <c r="K406" s="929"/>
      <c r="L406" s="930"/>
      <c r="M406" s="930"/>
      <c r="N406" s="930"/>
      <c r="O406" s="940"/>
      <c r="P406" s="940"/>
      <c r="Q406" s="913"/>
      <c r="R406" s="913"/>
      <c r="S406" s="913"/>
      <c r="T406" s="913"/>
      <c r="U406" s="912"/>
      <c r="V406" s="912"/>
      <c r="W406" s="913"/>
      <c r="X406" s="912"/>
      <c r="Y406" s="912"/>
      <c r="Z406" s="912"/>
      <c r="AA406" s="912"/>
      <c r="AB406" s="912"/>
      <c r="AC406" s="912"/>
      <c r="AD406" s="912"/>
      <c r="AE406" s="912"/>
      <c r="AF406" s="912"/>
      <c r="AG406" s="912"/>
      <c r="AH406" s="912"/>
      <c r="AI406" s="912"/>
      <c r="AJ406" s="912"/>
      <c r="AK406" s="912"/>
      <c r="AL406" s="912"/>
      <c r="AM406" s="915"/>
      <c r="AN406" s="915"/>
    </row>
    <row r="407" spans="3:50" ht="25.5" thickBot="1">
      <c r="C407" s="84"/>
      <c r="D407" s="64" t="s">
        <v>306</v>
      </c>
      <c r="E407" s="64" t="s">
        <v>307</v>
      </c>
      <c r="F407" s="64" t="s">
        <v>308</v>
      </c>
      <c r="G407" s="64" t="s">
        <v>309</v>
      </c>
      <c r="H407" s="64" t="s">
        <v>310</v>
      </c>
      <c r="I407" s="64" t="s">
        <v>311</v>
      </c>
      <c r="J407" s="46"/>
      <c r="K407" s="46"/>
      <c r="L407" s="85"/>
      <c r="M407" s="85"/>
      <c r="N407" s="85"/>
      <c r="O407" s="86"/>
      <c r="P407" s="86"/>
      <c r="AM407" s="56"/>
      <c r="AN407" s="56"/>
    </row>
    <row r="408" spans="3:50" ht="14.1">
      <c r="C408" s="72"/>
      <c r="D408" s="937" t="s">
        <v>319</v>
      </c>
      <c r="E408" s="938"/>
      <c r="F408" s="938"/>
      <c r="G408" s="938"/>
      <c r="H408" s="938"/>
      <c r="I408" s="939"/>
      <c r="J408" s="52"/>
      <c r="K408" s="87"/>
      <c r="L408" s="88"/>
      <c r="M408" s="88"/>
      <c r="N408" s="88"/>
      <c r="O408" s="89"/>
      <c r="P408" s="89"/>
      <c r="Q408" s="55"/>
      <c r="R408" s="55"/>
      <c r="S408" s="55"/>
      <c r="T408" s="55"/>
      <c r="U408" s="45"/>
      <c r="V408" s="45"/>
      <c r="W408" s="55"/>
      <c r="X408" s="45"/>
      <c r="Y408" s="45"/>
      <c r="Z408" s="45"/>
      <c r="AA408" s="45"/>
      <c r="AB408" s="45"/>
      <c r="AC408" s="45"/>
      <c r="AD408" s="45"/>
      <c r="AE408" s="45"/>
      <c r="AF408" s="45"/>
      <c r="AG408" s="45"/>
      <c r="AH408" s="45"/>
      <c r="AI408" s="45"/>
      <c r="AJ408" s="45"/>
      <c r="AK408" s="45"/>
      <c r="AL408" s="45"/>
      <c r="AM408" s="63"/>
      <c r="AN408" s="63"/>
    </row>
    <row r="409" spans="3:50" ht="12.95">
      <c r="C409" s="927" t="s">
        <v>329</v>
      </c>
      <c r="D409" s="58">
        <f>IF(G409&lt;=2000,950,(IF(G409&lt;=3000,1150,(IF(G409&lt;=8000,1550,(IF(G409&lt;=10000,1750,(IF(G409&lt;=18000,2050,(IF(G409&lt;=32000,2900,(IF(G409&lt;=40000,3600,4000)))))))))))))</f>
        <v>1750</v>
      </c>
      <c r="E409" s="58">
        <f>IF(G409&lt;=2000,950,(IF(G409&lt;=4000,1100,(IF(G409&lt;=6000,1250,(IF(G409&lt;=10000,1550,(IF(G409&lt;=15000,1750,(IF(G409&lt;=24000,2050,(IF(G409&lt;=40000,2900,3600)))))))))))))</f>
        <v>1550</v>
      </c>
      <c r="F409" s="58">
        <f>H409+I409+G410</f>
        <v>2200</v>
      </c>
      <c r="G409" s="59">
        <v>8250</v>
      </c>
      <c r="H409" s="58">
        <f>IF(D410&lt;=315,1600,(IF(D410=355,1650,(IF(D410=400,1650,(IF(D410=450,1700,(IF(D410=500,1700,(IF(D410=560,1800,(IF(D410=630,2000,(IF(D410=710,2200,2500)))))))))))))))</f>
        <v>1700</v>
      </c>
      <c r="I409" s="58">
        <f>IF(H410=2,1500,(IF(H410=1,500,0)))</f>
        <v>500</v>
      </c>
      <c r="J409" s="929" t="s">
        <v>277</v>
      </c>
      <c r="K409" s="929">
        <v>2</v>
      </c>
      <c r="L409" s="930">
        <f>Q409*0.9</f>
        <v>182700</v>
      </c>
      <c r="M409" s="930">
        <f>L409*K409</f>
        <v>365400</v>
      </c>
      <c r="N409" s="930">
        <f>Q409*0.1</f>
        <v>20300</v>
      </c>
      <c r="O409" s="940">
        <f>N409*K409</f>
        <v>40600</v>
      </c>
      <c r="P409" s="940">
        <v>203000</v>
      </c>
      <c r="Q409" s="913">
        <f>CEILING((S409+T409+U409+V409+W409),250)</f>
        <v>203000</v>
      </c>
      <c r="R409" s="913">
        <v>450</v>
      </c>
      <c r="S409" s="913">
        <f>(D409*E409*3*10.76+D409*F409*2*10.76+E409*F409*2*10.76)*R409/(1000*1000)</f>
        <v>109707.61500000001</v>
      </c>
      <c r="T409" s="913">
        <f>F410*4*1050</f>
        <v>0</v>
      </c>
      <c r="U409" s="912">
        <f>IF(G409&lt;=2000,5000,(IF(G409&lt;=5000,8000,(IF(G409&lt;=10000,10000,(IF(G409&lt;=18000,15000,(IF(G409&lt;=40000,20000,10000)))))))))</f>
        <v>10000</v>
      </c>
      <c r="V409" s="912">
        <f>IF(X409=200,17150,(IF(X409=225,18150,(IF(X409=250,18900,(IF(X409=280,19150,(IF(X409=315,19650,(IF(X409=355,21900,(IF(X409=400,24400,0)))))))))))))+IF(X409=450,31000,(IF(X409=500,37450,(IF(X409=560,45650,(IF(X409=630,58900,(IF(X409=710,77950,0)))))))))+IF(X409=800,119650,(IF(X409=900,153300,(IF(X409=1000,178900,(IF(X409=1120,286500,(IF(X409=1250,394500,(IF(X409=1450,461500,0)))))))))))</f>
        <v>37450</v>
      </c>
      <c r="W409" s="913">
        <f>IF(E410=0.5,16600,(IF(E410=1,19050,(IF(E410=1.5,21750,(IF(E410=2,23600,(IF(E410=3,30000,(IF(E410=5,38000,0)))))))))))*1.2+IF(E410=7.5,52300,(IF(E410=10,59600,0)))*1.2+IF(E410=12.5,100350,(IF(E410=15,106000,(IF(E410=20,129150,(IF(E410=25,146050,(IF(E410=30,173600,(IF(E410=40,233900,(IF(E410=50,304650)))))))))))))*1.2</f>
        <v>45600</v>
      </c>
      <c r="X409" s="912">
        <f>IF(G409&lt;=5250,Z409,Y409)</f>
        <v>500</v>
      </c>
      <c r="Y409" s="912">
        <f>IF(G409&lt;=6750,450,(IF(G409&lt;=8500,500,(IF(G409&lt;=10750,560,(IF(G409&lt;=13500,630,(IF(G409&lt;=17000,710,(IF(G409&lt;=21500,800,(IF(G409&lt;=27000,900,(IF(G409&lt;=34000,1000,0)))))))))))))))</f>
        <v>500</v>
      </c>
      <c r="Z409" s="912">
        <f>IF(G409&lt;=1300,200,(IF(G409&lt;=1600,225,(IF(G409&lt;=2100,250,(IF(G409&lt;=2700,280,(IF(G409&lt;=3450,315,(IF(G409&lt;=4250,355,(IF(G409&lt;=5250,400,(IF(G409&lt;=6750,450,0)))))))))))))))</f>
        <v>0</v>
      </c>
      <c r="AA409" s="912">
        <f>IF(G409&lt;=2000,5000,(IF(G409&lt;=5000,8000,(IF(G409&lt;=10000,10000,(IF(G409&lt;=18000,15000,(IF(G409&lt;=40000,20000,10000)))))))))</f>
        <v>10000</v>
      </c>
      <c r="AB409" s="912">
        <f>IF(D409=950,2,(IF(D409=1150,3,(IF(D409=1550,4,(IF(D409=1750,5,(IF(D409=2050,6,(IF(D409=2900,8,(IF(D409=3600,10,1)))))))))))))</f>
        <v>5</v>
      </c>
      <c r="AC409" s="912">
        <f>IF(E409=950,2,(IF(E409=1100,2,(IF(E409=1250,3,(IF(E409=1550,4,(IF(E409=1750,5,(IF(E409=2050,6,(IF(E409=2900,8,(IF(E409=3600,10,1)))))))))))))))</f>
        <v>4</v>
      </c>
      <c r="AD409" s="912">
        <f>AC409*AB409</f>
        <v>20</v>
      </c>
      <c r="AE409" s="912">
        <v>150</v>
      </c>
      <c r="AF409" s="912">
        <f>CEILING((SQRT(G409/1000))*4*2*AE409*1.25*K409,100)</f>
        <v>8700</v>
      </c>
      <c r="AG409" s="912"/>
      <c r="AH409" s="912"/>
      <c r="AI409" s="912"/>
      <c r="AJ409" s="912"/>
      <c r="AK409" s="912"/>
      <c r="AL409" s="912">
        <f>AB409*AC409</f>
        <v>20</v>
      </c>
      <c r="AM409" s="915">
        <f>(G409*2/1300)</f>
        <v>12.692307692307692</v>
      </c>
      <c r="AN409" s="915">
        <f>(G409*1/1100)</f>
        <v>7.5</v>
      </c>
      <c r="AX409" s="912"/>
    </row>
    <row r="410" spans="3:50">
      <c r="C410" s="928"/>
      <c r="D410" s="58">
        <f>IF(G409&lt;=5250,Z409,Y409)</f>
        <v>500</v>
      </c>
      <c r="E410" s="58">
        <v>5</v>
      </c>
      <c r="F410" s="58">
        <v>0</v>
      </c>
      <c r="G410" s="58">
        <v>0</v>
      </c>
      <c r="H410" s="58">
        <v>1</v>
      </c>
      <c r="I410" s="58">
        <v>0</v>
      </c>
      <c r="J410" s="929"/>
      <c r="K410" s="929"/>
      <c r="L410" s="930"/>
      <c r="M410" s="930"/>
      <c r="N410" s="930"/>
      <c r="O410" s="940"/>
      <c r="P410" s="940"/>
      <c r="Q410" s="913"/>
      <c r="R410" s="913"/>
      <c r="S410" s="913"/>
      <c r="T410" s="913"/>
      <c r="U410" s="912"/>
      <c r="V410" s="912"/>
      <c r="W410" s="913"/>
      <c r="X410" s="912"/>
      <c r="Y410" s="912"/>
      <c r="Z410" s="912"/>
      <c r="AA410" s="912"/>
      <c r="AB410" s="912"/>
      <c r="AC410" s="912"/>
      <c r="AD410" s="912"/>
      <c r="AE410" s="912"/>
      <c r="AF410" s="912"/>
      <c r="AG410" s="912"/>
      <c r="AH410" s="912"/>
      <c r="AI410" s="912"/>
      <c r="AJ410" s="912"/>
      <c r="AK410" s="912"/>
      <c r="AL410" s="912"/>
      <c r="AM410" s="915"/>
      <c r="AN410" s="915"/>
      <c r="AX410" s="912"/>
    </row>
    <row r="411" spans="3:50" ht="12.95">
      <c r="C411" s="927" t="s">
        <v>330</v>
      </c>
      <c r="D411" s="58">
        <f>IF(G411&lt;=2000,950,(IF(G411&lt;=3000,1150,(IF(G411&lt;=8000,1550,(IF(G411&lt;=10000,1750,(IF(G411&lt;=18000,2050,(IF(G411&lt;=32000,2900,(IF(G411&lt;=40000,3600,4000)))))))))))))</f>
        <v>1750</v>
      </c>
      <c r="E411" s="58">
        <f>IF(G411&lt;=2000,950,(IF(G411&lt;=4000,1100,(IF(G411&lt;=6000,1250,(IF(G411&lt;=10000,1550,(IF(G411&lt;=15000,1750,(IF(G411&lt;=24000,2050,(IF(G411&lt;=40000,2900,3600)))))))))))))</f>
        <v>1550</v>
      </c>
      <c r="F411" s="58">
        <f>H411+I411+G412</f>
        <v>2300</v>
      </c>
      <c r="G411" s="59">
        <v>9250</v>
      </c>
      <c r="H411" s="58">
        <f>IF(D412&lt;=315,1600,(IF(D412=355,1650,(IF(D412=400,1650,(IF(D412=450,1700,(IF(D412=500,1700,(IF(D412=560,1800,(IF(D412=630,2000,(IF(D412=710,2200,2500)))))))))))))))</f>
        <v>1800</v>
      </c>
      <c r="I411" s="58">
        <f>IF(H412=2,1500,(IF(H412=1,500,0)))</f>
        <v>500</v>
      </c>
      <c r="J411" s="929" t="s">
        <v>277</v>
      </c>
      <c r="K411" s="929">
        <v>2</v>
      </c>
      <c r="L411" s="930">
        <f>Q411*0.9</f>
        <v>192825</v>
      </c>
      <c r="M411" s="930">
        <f>L411*K411</f>
        <v>385650</v>
      </c>
      <c r="N411" s="930">
        <f>Q411*0.1</f>
        <v>21425</v>
      </c>
      <c r="O411" s="940">
        <f>N411*K411</f>
        <v>42850</v>
      </c>
      <c r="P411" s="940">
        <v>214250</v>
      </c>
      <c r="Q411" s="913">
        <f>CEILING((S411+T411+U411+V411+W411),250)</f>
        <v>214250</v>
      </c>
      <c r="R411" s="913">
        <v>450</v>
      </c>
      <c r="S411" s="913">
        <f>(D411*E411*3*10.76+D411*F411*2*10.76+E411*F411*2*10.76)*R411/(1000*1000)</f>
        <v>112903.33500000001</v>
      </c>
      <c r="T411" s="913">
        <f>F412*4*1050</f>
        <v>0</v>
      </c>
      <c r="U411" s="912">
        <f>IF(G411&lt;=2000,5000,(IF(G411&lt;=5000,8000,(IF(G411&lt;=10000,10000,(IF(G411&lt;=18000,15000,(IF(G411&lt;=40000,20000,10000)))))))))</f>
        <v>10000</v>
      </c>
      <c r="V411" s="912">
        <f>IF(X411=200,17150,(IF(X411=225,18150,(IF(X411=250,18900,(IF(X411=280,19150,(IF(X411=315,19650,(IF(X411=355,21900,(IF(X411=400,24400,0)))))))))))))+IF(X411=450,31000,(IF(X411=500,37450,(IF(X411=560,45650,(IF(X411=630,58900,(IF(X411=710,77950,0)))))))))+IF(X411=800,119650,(IF(X411=900,153300,(IF(X411=1000,178900,(IF(X411=1120,286500,(IF(X411=1250,394500,(IF(X411=1450,461500,0)))))))))))</f>
        <v>45650</v>
      </c>
      <c r="W411" s="913">
        <f>IF(E412=0.5,16600,(IF(E412=1,19050,(IF(E412=1.5,21750,(IF(E412=2,23600,(IF(E412=3,30000,(IF(E412=5,38000,0)))))))))))*1.2+IF(E412=7.5,52300,(IF(E412=10,59600,0)))*1.2+IF(E412=12.5,100350,(IF(E412=15,106000,(IF(E412=20,129150,(IF(E412=25,146050,(IF(E412=30,173600,(IF(E412=40,233900,(IF(E412=50,304650)))))))))))))*1.2</f>
        <v>45600</v>
      </c>
      <c r="X411" s="912">
        <f>IF(G411&lt;=5250,Z411,Y411)</f>
        <v>560</v>
      </c>
      <c r="Y411" s="912">
        <f>IF(G411&lt;=6750,450,(IF(G411&lt;=8500,500,(IF(G411&lt;=10750,560,(IF(G411&lt;=13500,630,(IF(G411&lt;=17000,710,(IF(G411&lt;=21500,800,(IF(G411&lt;=27000,900,(IF(G411&lt;=34000,1000,0)))))))))))))))</f>
        <v>560</v>
      </c>
      <c r="Z411" s="912">
        <f>IF(G411&lt;=1300,200,(IF(G411&lt;=1600,225,(IF(G411&lt;=2100,250,(IF(G411&lt;=2700,280,(IF(G411&lt;=3450,315,(IF(G411&lt;=4250,355,(IF(G411&lt;=5250,400,(IF(G411&lt;=6750,450,0)))))))))))))))</f>
        <v>0</v>
      </c>
      <c r="AA411" s="912">
        <f>IF(G411&lt;=2000,5000,(IF(G411&lt;=5000,8000,(IF(G411&lt;=10000,10000,(IF(G411&lt;=18000,15000,(IF(G411&lt;=40000,20000,10000)))))))))</f>
        <v>10000</v>
      </c>
      <c r="AB411" s="912">
        <f>IF(D411=950,2,(IF(D411=1150,3,(IF(D411=1550,4,(IF(D411=1750,5,(IF(D411=2050,6,(IF(D411=2900,8,(IF(D411=3600,10,1)))))))))))))</f>
        <v>5</v>
      </c>
      <c r="AC411" s="912">
        <f>IF(E411=950,2,(IF(E411=1100,2,(IF(E411=1250,3,(IF(E411=1550,4,(IF(E411=1750,5,(IF(E411=2050,6,(IF(E411=2900,8,(IF(E411=3600,10,1)))))))))))))))</f>
        <v>4</v>
      </c>
      <c r="AD411" s="912">
        <f>AC411*AB411</f>
        <v>20</v>
      </c>
      <c r="AE411" s="912">
        <v>150</v>
      </c>
      <c r="AF411" s="912">
        <f>CEILING((SQRT(G411/1000))*4*2*AE411*1.25*K411,100)</f>
        <v>9200</v>
      </c>
      <c r="AG411" s="912"/>
      <c r="AH411" s="912"/>
      <c r="AI411" s="912"/>
      <c r="AJ411" s="912"/>
      <c r="AK411" s="912"/>
      <c r="AL411" s="912">
        <f>AB411*AC411</f>
        <v>20</v>
      </c>
      <c r="AM411" s="915">
        <f>(G411*2/1300)</f>
        <v>14.23076923076923</v>
      </c>
      <c r="AN411" s="915">
        <f>(G411*1/1100)</f>
        <v>8.4090909090909083</v>
      </c>
      <c r="AX411" s="912"/>
    </row>
    <row r="412" spans="3:50">
      <c r="C412" s="928"/>
      <c r="D412" s="58">
        <f>IF(G411&lt;=5250,Z411,Y411)</f>
        <v>560</v>
      </c>
      <c r="E412" s="58">
        <v>5</v>
      </c>
      <c r="F412" s="58">
        <v>0</v>
      </c>
      <c r="G412" s="58">
        <v>0</v>
      </c>
      <c r="H412" s="58">
        <v>1</v>
      </c>
      <c r="I412" s="58">
        <v>0</v>
      </c>
      <c r="J412" s="929"/>
      <c r="K412" s="929"/>
      <c r="L412" s="930"/>
      <c r="M412" s="930"/>
      <c r="N412" s="930"/>
      <c r="O412" s="940"/>
      <c r="P412" s="940"/>
      <c r="Q412" s="913"/>
      <c r="R412" s="913"/>
      <c r="S412" s="913"/>
      <c r="T412" s="913"/>
      <c r="U412" s="912"/>
      <c r="V412" s="912"/>
      <c r="W412" s="913"/>
      <c r="X412" s="912"/>
      <c r="Y412" s="912"/>
      <c r="Z412" s="912"/>
      <c r="AA412" s="912"/>
      <c r="AB412" s="912"/>
      <c r="AC412" s="912"/>
      <c r="AD412" s="912"/>
      <c r="AE412" s="912"/>
      <c r="AF412" s="912"/>
      <c r="AG412" s="912"/>
      <c r="AH412" s="912"/>
      <c r="AI412" s="912"/>
      <c r="AJ412" s="912"/>
      <c r="AK412" s="912"/>
      <c r="AL412" s="912"/>
      <c r="AM412" s="915"/>
      <c r="AN412" s="915"/>
      <c r="AX412" s="912"/>
    </row>
    <row r="413" spans="3:50" ht="14.1">
      <c r="C413" s="72"/>
      <c r="D413" s="937" t="s">
        <v>314</v>
      </c>
      <c r="E413" s="938"/>
      <c r="F413" s="938"/>
      <c r="G413" s="938"/>
      <c r="H413" s="938"/>
      <c r="I413" s="939"/>
      <c r="J413" s="60"/>
      <c r="K413" s="60"/>
      <c r="L413" s="61"/>
      <c r="M413" s="61"/>
      <c r="N413" s="61"/>
      <c r="O413" s="62"/>
      <c r="P413" s="62"/>
      <c r="Q413" s="55"/>
      <c r="R413" s="55"/>
      <c r="S413" s="55"/>
      <c r="T413" s="55"/>
      <c r="U413" s="45"/>
      <c r="V413" s="45"/>
      <c r="W413" s="55"/>
      <c r="X413" s="45"/>
      <c r="Y413" s="45"/>
      <c r="Z413" s="45"/>
      <c r="AA413" s="45"/>
      <c r="AB413" s="45"/>
      <c r="AC413" s="45"/>
      <c r="AD413" s="45"/>
      <c r="AE413" s="45"/>
      <c r="AF413" s="45"/>
      <c r="AG413" s="45"/>
      <c r="AH413" s="45"/>
      <c r="AI413" s="45"/>
      <c r="AJ413" s="45"/>
      <c r="AK413" s="45"/>
      <c r="AL413" s="45"/>
      <c r="AM413" s="63"/>
      <c r="AN413" s="63"/>
    </row>
    <row r="414" spans="3:50" ht="12.95">
      <c r="C414" s="927" t="s">
        <v>331</v>
      </c>
      <c r="D414" s="58">
        <f>IF(G414&lt;=600,600,(IF(G414&lt;=2000,950,(IF(G414&lt;=3000,1150,(IF(G414&lt;=8000,1550,(IF(G414&lt;=10000,1750,(IF(G414&lt;=18000,2050,(IF(G414&lt;=32000,2900,(IF(G414&lt;=40000,3600,4000)))))))))))))))</f>
        <v>600</v>
      </c>
      <c r="E414" s="58">
        <f>IF(G414&lt;=600,600,(IF(G414&lt;=2000,950,(IF(G414&lt;=3000,1150,(IF(G414&lt;=8000,1550,(IF(G414&lt;=10000,1750,(IF(G414&lt;=18000,2050,(IF(G414&lt;=32000,2900,(IF(G414&lt;=40000,3600,4000)))))))))))))))</f>
        <v>600</v>
      </c>
      <c r="F414" s="58">
        <f>H414+I414+G415</f>
        <v>2100</v>
      </c>
      <c r="G414" s="59">
        <v>575</v>
      </c>
      <c r="H414" s="58">
        <f>IF(D415&lt;=315,1600,(IF(D415=355,1650,(IF(D415=400,1650,(IF(D415=450,1700,(IF(D415=500,1700,(IF(D415=560,1800,(IF(D415=630,2000,(IF(D415=710,2200,2500)))))))))))))))</f>
        <v>1600</v>
      </c>
      <c r="I414" s="58">
        <f>IF(H415=2,1500,(IF(H415=1,500,0)))</f>
        <v>500</v>
      </c>
      <c r="J414" s="929" t="s">
        <v>277</v>
      </c>
      <c r="K414" s="929">
        <v>4</v>
      </c>
      <c r="L414" s="930">
        <f>Q414*0.9</f>
        <v>64575</v>
      </c>
      <c r="M414" s="930">
        <f>L414*K414</f>
        <v>258300</v>
      </c>
      <c r="N414" s="930">
        <f>Q414*0.1</f>
        <v>7175</v>
      </c>
      <c r="O414" s="940">
        <f>N414*K414</f>
        <v>28700</v>
      </c>
      <c r="P414" s="940">
        <v>71750</v>
      </c>
      <c r="Q414" s="913">
        <f>CEILING((S414+T414+U414+V414+W414),250)</f>
        <v>71750</v>
      </c>
      <c r="R414" s="913">
        <v>450</v>
      </c>
      <c r="S414" s="913">
        <f>(D414*E414*3*10.76+D414*F414*2*10.76+E414*F414*2*10.76)*R414/(1000*1000)</f>
        <v>29633.040000000001</v>
      </c>
      <c r="T414" s="913">
        <f>F415*4*1050</f>
        <v>0</v>
      </c>
      <c r="U414" s="912">
        <f>IF(G414&lt;=2000,5000,(IF(G414&lt;=5000,8000,(IF(G414&lt;=10000,10000,(IF(G414&lt;=18000,15000,(IF(G414&lt;=40000,20000,10000)))))))))</f>
        <v>5000</v>
      </c>
      <c r="V414" s="912">
        <f>IF(X414=200,17150,(IF(X414=225,18150,(IF(X414=250,18900,(IF(X414=280,19150,(IF(X414=315,19650,(IF(X414=355,21900,(IF(X414=400,24400,0)))))))))))))+IF(X414=450,31000,(IF(X414=500,37450,(IF(X414=560,45650,(IF(X414=630,58900,(IF(X414=710,77950,0)))))))))+IF(X414=800,119650,(IF(X414=900,153300,(IF(X414=1000,178900,(IF(X414=1120,286500,(IF(X414=1250,394500,(IF(X414=1450,461500,0)))))))))))</f>
        <v>17150</v>
      </c>
      <c r="W414" s="913">
        <f>IF(E415=0.5,16600,(IF(E415=1,19050,(IF(E415=1.5,21750,(IF(E415=2,23600,(IF(E415=3,30000,(IF(E415=5,38000,0)))))))))))*1.2+IF(E415=7.5,52300,(IF(E415=10,59600,0)))*1.2+IF(E415=12.5,100350,(IF(E415=15,106000,(IF(E415=20,129150,(IF(E415=25,146050,(IF(E415=30,173600,(IF(E415=40,233900,(IF(E415=50,304650)))))))))))))*1.2</f>
        <v>19920</v>
      </c>
      <c r="X414" s="912">
        <f>IF(G414&lt;=5250,Z414,Y414)</f>
        <v>200</v>
      </c>
      <c r="Y414" s="912">
        <f>IF(G414&lt;=6750,450,(IF(G414&lt;=8500,500,(IF(G414&lt;=10750,560,(IF(G414&lt;=13500,630,(IF(G414&lt;=17000,710,(IF(G414&lt;=21500,800,(IF(G414&lt;=27000,900,(IF(G414&lt;=34000,1000,0)))))))))))))))</f>
        <v>450</v>
      </c>
      <c r="Z414" s="912">
        <f>IF(G414&lt;=1300,200,(IF(G414&lt;=1600,225,(IF(G414&lt;=2100,250,(IF(G414&lt;=2700,280,(IF(G414&lt;=3450,315,(IF(G414&lt;=4250,355,(IF(G414&lt;=5250,400,(IF(G414&lt;=6750,450,0)))))))))))))))</f>
        <v>200</v>
      </c>
      <c r="AA414" s="912">
        <f>IF(G414&lt;=2000,5000,(IF(G414&lt;=5000,8000,(IF(G414&lt;=10000,10000,(IF(G414&lt;=18000,15000,(IF(G414&lt;=40000,20000,10000)))))))))</f>
        <v>5000</v>
      </c>
      <c r="AB414" s="912">
        <f>IF(D414=950,2,(IF(D414=1150,3,(IF(D414=1550,4,(IF(D414=1750,5,(IF(D414=2050,6,(IF(D414=2900,8,(IF(D414=3600,10,1)))))))))))))</f>
        <v>1</v>
      </c>
      <c r="AC414" s="912">
        <f>IF(E414=950,2,(IF(E414=1100,2,(IF(E414=1250,3,(IF(E414=1550,4,(IF(E414=1750,5,(IF(E414=2050,6,(IF(E414=2900,8,(IF(E414=3600,10,1)))))))))))))))</f>
        <v>1</v>
      </c>
      <c r="AD414" s="912">
        <f>AC414*AB414</f>
        <v>1</v>
      </c>
      <c r="AE414" s="912">
        <v>150</v>
      </c>
      <c r="AF414" s="912">
        <f>CEILING((SQRT(G414/1000))*4*2*AE414*1.25*K414,100)</f>
        <v>4600</v>
      </c>
      <c r="AG414" s="912"/>
      <c r="AH414" s="912"/>
      <c r="AI414" s="912"/>
      <c r="AJ414" s="912"/>
      <c r="AK414" s="912"/>
      <c r="AL414" s="912">
        <f>AB414*AC414</f>
        <v>1</v>
      </c>
      <c r="AM414" s="915">
        <f>(G414*2/1300)</f>
        <v>0.88461538461538458</v>
      </c>
      <c r="AN414" s="915">
        <f>(G414*1/1100)</f>
        <v>0.52272727272727271</v>
      </c>
    </row>
    <row r="415" spans="3:50">
      <c r="C415" s="928"/>
      <c r="D415" s="58"/>
      <c r="E415" s="58">
        <v>0.5</v>
      </c>
      <c r="F415" s="58">
        <v>0</v>
      </c>
      <c r="G415" s="58">
        <v>0</v>
      </c>
      <c r="H415" s="58">
        <v>1</v>
      </c>
      <c r="I415" s="58">
        <v>0</v>
      </c>
      <c r="J415" s="929"/>
      <c r="K415" s="929"/>
      <c r="L415" s="930"/>
      <c r="M415" s="930"/>
      <c r="N415" s="930"/>
      <c r="O415" s="940"/>
      <c r="P415" s="940"/>
      <c r="Q415" s="913"/>
      <c r="R415" s="913"/>
      <c r="S415" s="913"/>
      <c r="T415" s="913"/>
      <c r="U415" s="912"/>
      <c r="V415" s="912"/>
      <c r="W415" s="913"/>
      <c r="X415" s="912"/>
      <c r="Y415" s="912"/>
      <c r="Z415" s="912"/>
      <c r="AA415" s="912"/>
      <c r="AB415" s="912"/>
      <c r="AC415" s="912"/>
      <c r="AD415" s="912"/>
      <c r="AE415" s="912"/>
      <c r="AF415" s="912"/>
      <c r="AG415" s="912"/>
      <c r="AH415" s="912"/>
      <c r="AI415" s="912"/>
      <c r="AJ415" s="912"/>
      <c r="AK415" s="912"/>
      <c r="AL415" s="912"/>
      <c r="AM415" s="915"/>
      <c r="AN415" s="915"/>
    </row>
    <row r="416" spans="3:50" ht="12.95">
      <c r="C416" s="927" t="s">
        <v>332</v>
      </c>
      <c r="D416" s="58">
        <f>IF(G416&lt;=600,600,(IF(G416&lt;=2000,950,(IF(G416&lt;=3000,1150,(IF(G416&lt;=8000,1550,(IF(G416&lt;=10000,1750,(IF(G416&lt;=18000,2050,(IF(G416&lt;=32000,2900,(IF(G416&lt;=40000,3600,4000)))))))))))))))</f>
        <v>600</v>
      </c>
      <c r="E416" s="58">
        <f>IF(G416&lt;=600,600,(IF(G416&lt;=2000,950,(IF(G416&lt;=3000,1150,(IF(G416&lt;=8000,1550,(IF(G416&lt;=10000,1750,(IF(G416&lt;=18000,2050,(IF(G416&lt;=32000,2900,(IF(G416&lt;=40000,3600,4000)))))))))))))))</f>
        <v>600</v>
      </c>
      <c r="F416" s="58">
        <f>H416+I416+G417</f>
        <v>2100</v>
      </c>
      <c r="G416" s="59">
        <v>300</v>
      </c>
      <c r="H416" s="58">
        <f>IF(D417&lt;=315,1600,(IF(D417=355,1650,(IF(D417=400,1650,(IF(D417=450,1700,(IF(D417=500,1700,(IF(D417=560,1800,(IF(D417=630,2000,(IF(D417=710,2200,2500)))))))))))))))</f>
        <v>1600</v>
      </c>
      <c r="I416" s="58">
        <f>IF(H417=2,1500,(IF(H417=1,500,0)))</f>
        <v>500</v>
      </c>
      <c r="J416" s="929" t="s">
        <v>277</v>
      </c>
      <c r="K416" s="929">
        <v>1</v>
      </c>
      <c r="L416" s="930">
        <f>Q416*0.9</f>
        <v>64575</v>
      </c>
      <c r="M416" s="930">
        <f>L416*K416</f>
        <v>64575</v>
      </c>
      <c r="N416" s="930">
        <f>Q416*0.1</f>
        <v>7175</v>
      </c>
      <c r="O416" s="940">
        <f>N416*K416</f>
        <v>7175</v>
      </c>
      <c r="P416" s="940">
        <v>71750</v>
      </c>
      <c r="Q416" s="913">
        <f>CEILING((S416+T416+U416+V416+W416),250)</f>
        <v>71750</v>
      </c>
      <c r="R416" s="913">
        <v>450</v>
      </c>
      <c r="S416" s="913">
        <f>(D416*E416*3*10.76+D416*F416*2*10.76+E416*F416*2*10.76)*R416/(1000*1000)</f>
        <v>29633.040000000001</v>
      </c>
      <c r="T416" s="913">
        <f>F417*4*1050</f>
        <v>0</v>
      </c>
      <c r="U416" s="912">
        <f>IF(G416&lt;=2000,5000,(IF(G416&lt;=5000,8000,(IF(G416&lt;=10000,10000,(IF(G416&lt;=18000,15000,(IF(G416&lt;=40000,20000,10000)))))))))</f>
        <v>5000</v>
      </c>
      <c r="V416" s="912">
        <f>IF(X416=200,17150,(IF(X416=225,18150,(IF(X416=250,18900,(IF(X416=280,19150,(IF(X416=315,19650,(IF(X416=355,21900,(IF(X416=400,24400,0)))))))))))))+IF(X416=450,31000,(IF(X416=500,37450,(IF(X416=560,45650,(IF(X416=630,58900,(IF(X416=710,77950,0)))))))))+IF(X416=800,119650,(IF(X416=900,153300,(IF(X416=1000,178900,(IF(X416=1120,286500,(IF(X416=1250,394500,(IF(X416=1450,461500,0)))))))))))</f>
        <v>17150</v>
      </c>
      <c r="W416" s="913">
        <f>IF(E417=0.5,16600,(IF(E417=1,19050,(IF(E417=1.5,21750,(IF(E417=2,23600,(IF(E417=3,30000,(IF(E417=5,38000,0)))))))))))*1.2+IF(E417=7.5,52300,(IF(E417=10,59600,0)))*1.2+IF(E417=12.5,100350,(IF(E417=15,106000,(IF(E417=20,129150,(IF(E417=25,146050,(IF(E417=30,173600,(IF(E417=40,233900,(IF(E417=50,304650)))))))))))))*1.2</f>
        <v>19920</v>
      </c>
      <c r="X416" s="912">
        <f>IF(G416&lt;=5250,Z416,Y416)</f>
        <v>200</v>
      </c>
      <c r="Y416" s="912">
        <f>IF(G416&lt;=6750,450,(IF(G416&lt;=8500,500,(IF(G416&lt;=10750,560,(IF(G416&lt;=13500,630,(IF(G416&lt;=17000,710,(IF(G416&lt;=21500,800,(IF(G416&lt;=27000,900,(IF(G416&lt;=34000,1000,0)))))))))))))))</f>
        <v>450</v>
      </c>
      <c r="Z416" s="912">
        <f>IF(G416&lt;=1300,200,(IF(G416&lt;=1600,225,(IF(G416&lt;=2100,250,(IF(G416&lt;=2700,280,(IF(G416&lt;=3450,315,(IF(G416&lt;=4250,355,(IF(G416&lt;=5250,400,(IF(G416&lt;=6750,450,0)))))))))))))))</f>
        <v>200</v>
      </c>
      <c r="AA416" s="912">
        <f>IF(G416&lt;=2000,5000,(IF(G416&lt;=5000,8000,(IF(G416&lt;=10000,10000,(IF(G416&lt;=18000,15000,(IF(G416&lt;=40000,20000,10000)))))))))</f>
        <v>5000</v>
      </c>
      <c r="AB416" s="912">
        <f>IF(D416=950,2,(IF(D416=1150,3,(IF(D416=1550,4,(IF(D416=1750,5,(IF(D416=2050,6,(IF(D416=2900,8,(IF(D416=3600,10,1)))))))))))))</f>
        <v>1</v>
      </c>
      <c r="AC416" s="912">
        <f>IF(E416=950,2,(IF(E416=1100,2,(IF(E416=1250,3,(IF(E416=1550,4,(IF(E416=1750,5,(IF(E416=2050,6,(IF(E416=2900,8,(IF(E416=3600,10,1)))))))))))))))</f>
        <v>1</v>
      </c>
      <c r="AD416" s="912">
        <f>AC416*AB416</f>
        <v>1</v>
      </c>
      <c r="AE416" s="912">
        <v>150</v>
      </c>
      <c r="AF416" s="912">
        <f>CEILING((SQRT(G416/1000))*4*2*AE416*1.25*K416,100)</f>
        <v>900</v>
      </c>
      <c r="AG416" s="912"/>
      <c r="AH416" s="912"/>
      <c r="AI416" s="912"/>
      <c r="AJ416" s="912"/>
      <c r="AK416" s="912"/>
      <c r="AL416" s="912">
        <f>AB416*AC416</f>
        <v>1</v>
      </c>
      <c r="AM416" s="915">
        <f>(G416*2/1300)</f>
        <v>0.46153846153846156</v>
      </c>
      <c r="AN416" s="915">
        <f>(G416*1/1100)</f>
        <v>0.27272727272727271</v>
      </c>
    </row>
    <row r="417" spans="3:40">
      <c r="C417" s="928"/>
      <c r="D417" s="58"/>
      <c r="E417" s="58">
        <v>0.5</v>
      </c>
      <c r="F417" s="58">
        <v>0</v>
      </c>
      <c r="G417" s="58">
        <v>0</v>
      </c>
      <c r="H417" s="58">
        <v>1</v>
      </c>
      <c r="I417" s="58">
        <v>0</v>
      </c>
      <c r="J417" s="929"/>
      <c r="K417" s="929"/>
      <c r="L417" s="930"/>
      <c r="M417" s="930"/>
      <c r="N417" s="930"/>
      <c r="O417" s="940"/>
      <c r="P417" s="940"/>
      <c r="Q417" s="913"/>
      <c r="R417" s="913"/>
      <c r="S417" s="913"/>
      <c r="T417" s="913"/>
      <c r="U417" s="912"/>
      <c r="V417" s="912"/>
      <c r="W417" s="913"/>
      <c r="X417" s="912"/>
      <c r="Y417" s="912"/>
      <c r="Z417" s="912"/>
      <c r="AA417" s="912"/>
      <c r="AB417" s="912"/>
      <c r="AC417" s="912"/>
      <c r="AD417" s="912"/>
      <c r="AE417" s="912"/>
      <c r="AF417" s="912"/>
      <c r="AG417" s="912"/>
      <c r="AH417" s="912"/>
      <c r="AI417" s="912"/>
      <c r="AJ417" s="912"/>
      <c r="AK417" s="912"/>
      <c r="AL417" s="912"/>
      <c r="AM417" s="915"/>
      <c r="AN417" s="915"/>
    </row>
    <row r="418" spans="3:40" ht="14.1">
      <c r="C418" s="72"/>
      <c r="D418" s="937" t="s">
        <v>319</v>
      </c>
      <c r="E418" s="938"/>
      <c r="F418" s="938"/>
      <c r="G418" s="938"/>
      <c r="H418" s="938"/>
      <c r="I418" s="939"/>
      <c r="J418" s="60"/>
      <c r="K418" s="60"/>
      <c r="L418" s="61"/>
      <c r="M418" s="61"/>
      <c r="N418" s="61"/>
      <c r="O418" s="62"/>
      <c r="P418" s="62"/>
      <c r="Q418" s="55"/>
      <c r="R418" s="55"/>
      <c r="S418" s="55"/>
      <c r="T418" s="55"/>
      <c r="U418" s="45"/>
      <c r="V418" s="45"/>
      <c r="W418" s="55"/>
      <c r="X418" s="45"/>
      <c r="Y418" s="45"/>
      <c r="Z418" s="45"/>
      <c r="AA418" s="45"/>
      <c r="AB418" s="45"/>
      <c r="AC418" s="45"/>
      <c r="AD418" s="45"/>
      <c r="AE418" s="45"/>
      <c r="AF418" s="45"/>
      <c r="AG418" s="45"/>
      <c r="AH418" s="45"/>
      <c r="AI418" s="45"/>
      <c r="AJ418" s="45"/>
      <c r="AK418" s="45"/>
      <c r="AL418" s="45"/>
      <c r="AM418" s="63"/>
      <c r="AN418" s="63"/>
    </row>
    <row r="419" spans="3:40" ht="12.95">
      <c r="C419" s="927" t="s">
        <v>332</v>
      </c>
      <c r="D419" s="58">
        <f>IF(G419&lt;=600,600,(IF(G419&lt;=2000,950,(IF(G419&lt;=3000,1150,(IF(G419&lt;=8000,1550,(IF(G419&lt;=10000,1750,(IF(G419&lt;=18000,2050,(IF(G419&lt;=32000,2900,(IF(G419&lt;=40000,3600,4000)))))))))))))))</f>
        <v>600</v>
      </c>
      <c r="E419" s="58">
        <f>IF(G419&lt;=600,600,(IF(G419&lt;=2000,950,(IF(G419&lt;=3000,1150,(IF(G419&lt;=8000,1550,(IF(G419&lt;=10000,1750,(IF(G419&lt;=18000,2050,(IF(G419&lt;=32000,2900,(IF(G419&lt;=40000,3600,4000)))))))))))))))</f>
        <v>600</v>
      </c>
      <c r="F419" s="58">
        <f>H419+I419+G420</f>
        <v>2100</v>
      </c>
      <c r="G419" s="59">
        <v>300</v>
      </c>
      <c r="H419" s="58">
        <f>IF(D420&lt;=315,1600,(IF(D420=355,1650,(IF(D420=400,1650,(IF(D420=450,1700,(IF(D420=500,1700,(IF(D420=560,1800,(IF(D420=630,2000,(IF(D420=710,2200,2500)))))))))))))))</f>
        <v>1600</v>
      </c>
      <c r="I419" s="58">
        <f>IF(H420=2,1500,(IF(H420=1,500,0)))</f>
        <v>500</v>
      </c>
      <c r="J419" s="929" t="s">
        <v>277</v>
      </c>
      <c r="K419" s="929">
        <v>2</v>
      </c>
      <c r="L419" s="930">
        <f>Q419*0.9</f>
        <v>64575</v>
      </c>
      <c r="M419" s="930">
        <f>L419*K419</f>
        <v>129150</v>
      </c>
      <c r="N419" s="930">
        <f>Q419*0.1</f>
        <v>7175</v>
      </c>
      <c r="O419" s="940">
        <f>N419*K419</f>
        <v>14350</v>
      </c>
      <c r="P419" s="940">
        <v>71750</v>
      </c>
      <c r="Q419" s="913">
        <f>CEILING((S419+T419+U419+V419+W419),250)</f>
        <v>71750</v>
      </c>
      <c r="R419" s="913">
        <v>450</v>
      </c>
      <c r="S419" s="913">
        <f>(D419*E419*3*10.76+D419*F419*2*10.76+E419*F419*2*10.76)*R419/(1000*1000)</f>
        <v>29633.040000000001</v>
      </c>
      <c r="T419" s="913">
        <f>F420*4*1050</f>
        <v>0</v>
      </c>
      <c r="U419" s="912">
        <f>IF(G419&lt;=2000,5000,(IF(G419&lt;=5000,8000,(IF(G419&lt;=10000,10000,(IF(G419&lt;=18000,15000,(IF(G419&lt;=40000,20000,10000)))))))))</f>
        <v>5000</v>
      </c>
      <c r="V419" s="912">
        <f>IF(X419=200,17150,(IF(X419=225,18150,(IF(X419=250,18900,(IF(X419=280,19150,(IF(X419=315,19650,(IF(X419=355,21900,(IF(X419=400,24400,0)))))))))))))+IF(X419=450,31000,(IF(X419=500,37450,(IF(X419=560,45650,(IF(X419=630,58900,(IF(X419=710,77950,0)))))))))+IF(X419=800,119650,(IF(X419=900,153300,(IF(X419=1000,178900,(IF(X419=1120,286500,(IF(X419=1250,394500,(IF(X419=1450,461500,0)))))))))))</f>
        <v>17150</v>
      </c>
      <c r="W419" s="913">
        <f>IF(E420=0.5,16600,(IF(E420=1,19050,(IF(E420=1.5,21750,(IF(E420=2,23600,(IF(E420=3,30000,(IF(E420=5,38000,0)))))))))))*1.2+IF(E420=7.5,52300,(IF(E420=10,59600,0)))*1.2+IF(E420=12.5,100350,(IF(E420=15,106000,(IF(E420=20,129150,(IF(E420=25,146050,(IF(E420=30,173600,(IF(E420=40,233900,(IF(E420=50,304650)))))))))))))*1.2</f>
        <v>19920</v>
      </c>
      <c r="X419" s="912">
        <f>IF(G419&lt;=5250,Z419,Y419)</f>
        <v>200</v>
      </c>
      <c r="Y419" s="912">
        <f>IF(G419&lt;=6750,450,(IF(G419&lt;=8500,500,(IF(G419&lt;=10750,560,(IF(G419&lt;=13500,630,(IF(G419&lt;=17000,710,(IF(G419&lt;=21500,800,(IF(G419&lt;=27000,900,(IF(G419&lt;=34000,1000,0)))))))))))))))</f>
        <v>450</v>
      </c>
      <c r="Z419" s="912">
        <f>IF(G419&lt;=1300,200,(IF(G419&lt;=1600,225,(IF(G419&lt;=2100,250,(IF(G419&lt;=2700,280,(IF(G419&lt;=3450,315,(IF(G419&lt;=4250,355,(IF(G419&lt;=5250,400,(IF(G419&lt;=6750,450,0)))))))))))))))</f>
        <v>200</v>
      </c>
      <c r="AA419" s="912">
        <f>IF(G419&lt;=2000,5000,(IF(G419&lt;=5000,8000,(IF(G419&lt;=10000,10000,(IF(G419&lt;=18000,15000,(IF(G419&lt;=40000,20000,10000)))))))))</f>
        <v>5000</v>
      </c>
      <c r="AB419" s="912">
        <f>IF(D419=950,2,(IF(D419=1150,3,(IF(D419=1550,4,(IF(D419=1750,5,(IF(D419=2050,6,(IF(D419=2900,8,(IF(D419=3600,10,1)))))))))))))</f>
        <v>1</v>
      </c>
      <c r="AC419" s="912">
        <f>IF(E419=950,2,(IF(E419=1100,2,(IF(E419=1250,3,(IF(E419=1550,4,(IF(E419=1750,5,(IF(E419=2050,6,(IF(E419=2900,8,(IF(E419=3600,10,1)))))))))))))))</f>
        <v>1</v>
      </c>
      <c r="AD419" s="912">
        <f>AC419*AB419</f>
        <v>1</v>
      </c>
      <c r="AE419" s="912">
        <v>150</v>
      </c>
      <c r="AF419" s="912">
        <f>CEILING((SQRT(G419/1000))*4*2*AE419*1.25*K419,100)</f>
        <v>1700</v>
      </c>
      <c r="AG419" s="912"/>
      <c r="AH419" s="912"/>
      <c r="AI419" s="912"/>
      <c r="AJ419" s="912"/>
      <c r="AK419" s="912"/>
      <c r="AL419" s="912">
        <f>AB419*AC419</f>
        <v>1</v>
      </c>
      <c r="AM419" s="915">
        <f>(G419*2/1300)</f>
        <v>0.46153846153846156</v>
      </c>
      <c r="AN419" s="915">
        <f>(G419*1/1100)</f>
        <v>0.27272727272727271</v>
      </c>
    </row>
    <row r="420" spans="3:40" ht="12.95" thickBot="1">
      <c r="C420" s="928"/>
      <c r="D420" s="58"/>
      <c r="E420" s="58">
        <v>0.5</v>
      </c>
      <c r="F420" s="58">
        <v>0</v>
      </c>
      <c r="G420" s="58">
        <v>0</v>
      </c>
      <c r="H420" s="58">
        <v>1</v>
      </c>
      <c r="I420" s="58">
        <v>0</v>
      </c>
      <c r="J420" s="929"/>
      <c r="K420" s="929"/>
      <c r="L420" s="930"/>
      <c r="M420" s="930"/>
      <c r="N420" s="930"/>
      <c r="O420" s="940"/>
      <c r="P420" s="940"/>
      <c r="Q420" s="913"/>
      <c r="R420" s="913"/>
      <c r="S420" s="913"/>
      <c r="T420" s="913"/>
      <c r="U420" s="912"/>
      <c r="V420" s="912"/>
      <c r="W420" s="913"/>
      <c r="X420" s="912"/>
      <c r="Y420" s="912"/>
      <c r="Z420" s="912"/>
      <c r="AA420" s="912"/>
      <c r="AB420" s="912"/>
      <c r="AC420" s="912"/>
      <c r="AD420" s="912"/>
      <c r="AE420" s="912"/>
      <c r="AF420" s="912"/>
      <c r="AG420" s="912"/>
      <c r="AH420" s="912"/>
      <c r="AI420" s="912"/>
      <c r="AJ420" s="912"/>
      <c r="AK420" s="912"/>
      <c r="AL420" s="912"/>
      <c r="AM420" s="915"/>
      <c r="AN420" s="915"/>
    </row>
    <row r="421" spans="3:40" ht="12.75" customHeight="1">
      <c r="C421" s="90" t="s">
        <v>333</v>
      </c>
      <c r="D421" s="91" t="s">
        <v>334</v>
      </c>
      <c r="E421" s="92"/>
      <c r="F421" s="92"/>
      <c r="G421" s="92"/>
      <c r="H421" s="92"/>
      <c r="I421" s="92"/>
      <c r="J421" s="93"/>
      <c r="K421" s="94"/>
      <c r="L421" s="94"/>
      <c r="M421" s="95"/>
      <c r="N421" s="95"/>
      <c r="O421" s="96"/>
      <c r="P421" s="96"/>
      <c r="W421" s="913"/>
      <c r="AD421" s="28">
        <f>CEILING(SUM(AD29:AD406),50)</f>
        <v>2300</v>
      </c>
      <c r="AF421" s="28">
        <f>SUM(AF29:AF406)</f>
        <v>224100</v>
      </c>
    </row>
    <row r="422" spans="3:40" ht="12.75" customHeight="1">
      <c r="C422" s="829"/>
      <c r="D422" s="173" t="s">
        <v>335</v>
      </c>
      <c r="J422" s="830"/>
      <c r="K422" s="101"/>
      <c r="L422" s="101"/>
      <c r="M422" s="103"/>
      <c r="N422" s="103"/>
      <c r="O422" s="104"/>
      <c r="P422" s="104"/>
      <c r="W422" s="913"/>
    </row>
    <row r="423" spans="3:40" ht="12.75" customHeight="1">
      <c r="C423" s="97">
        <v>1</v>
      </c>
      <c r="D423" s="964" t="s">
        <v>336</v>
      </c>
      <c r="E423" s="961"/>
      <c r="F423" s="961"/>
      <c r="G423" s="961"/>
      <c r="H423" s="961"/>
      <c r="I423" s="961"/>
      <c r="J423" s="100" t="s">
        <v>337</v>
      </c>
      <c r="K423" s="101">
        <f>CEILING(AF421*0.395,500)</f>
        <v>89000</v>
      </c>
      <c r="L423" s="102">
        <f>Q423</f>
        <v>116.2</v>
      </c>
      <c r="M423" s="101">
        <f>L423*K423</f>
        <v>10341800</v>
      </c>
      <c r="N423" s="103">
        <f>Q423*0.1</f>
        <v>11.620000000000001</v>
      </c>
      <c r="O423" s="104">
        <f>N423*K423</f>
        <v>1034180.0000000001</v>
      </c>
      <c r="P423" s="104">
        <v>116.2</v>
      </c>
      <c r="Q423" s="104">
        <v>116.2</v>
      </c>
      <c r="R423" s="105"/>
      <c r="S423" s="105"/>
      <c r="T423" s="105"/>
      <c r="U423" s="105"/>
      <c r="V423" s="105"/>
      <c r="W423" s="913"/>
      <c r="AG423" s="963">
        <f t="shared" ref="AG423:AL423" si="201">CEILING(SUM(AG29:AG421),10)</f>
        <v>130</v>
      </c>
      <c r="AH423" s="963">
        <f t="shared" si="201"/>
        <v>780</v>
      </c>
      <c r="AI423" s="963">
        <f t="shared" si="201"/>
        <v>780</v>
      </c>
      <c r="AJ423" s="963">
        <f t="shared" si="201"/>
        <v>780</v>
      </c>
      <c r="AK423" s="963">
        <f t="shared" si="201"/>
        <v>100</v>
      </c>
      <c r="AL423" s="963">
        <f t="shared" si="201"/>
        <v>100</v>
      </c>
      <c r="AM423" s="962">
        <f>CEILING(SUM(AM29:AM406),10)</f>
        <v>1580</v>
      </c>
      <c r="AN423" s="962">
        <f>CEILING(SUM(AN29:AN406),10)</f>
        <v>730</v>
      </c>
    </row>
    <row r="424" spans="3:40" ht="12.75" customHeight="1">
      <c r="C424" s="97"/>
      <c r="D424" s="99" t="s">
        <v>338</v>
      </c>
      <c r="E424" s="99"/>
      <c r="F424" s="99"/>
      <c r="G424" s="99"/>
      <c r="H424" s="99"/>
      <c r="I424" s="99"/>
      <c r="J424" s="100"/>
      <c r="K424" s="101"/>
      <c r="L424" s="102"/>
      <c r="M424" s="101"/>
      <c r="N424" s="103"/>
      <c r="O424" s="104"/>
      <c r="P424" s="104"/>
      <c r="Q424" s="104"/>
      <c r="R424" s="105"/>
      <c r="S424" s="105"/>
      <c r="T424" s="105"/>
      <c r="U424" s="105"/>
      <c r="V424" s="105"/>
      <c r="AG424" s="963"/>
      <c r="AH424" s="963"/>
      <c r="AI424" s="963"/>
      <c r="AJ424" s="963"/>
      <c r="AK424" s="963"/>
      <c r="AL424" s="963"/>
      <c r="AM424" s="962"/>
      <c r="AN424" s="962"/>
    </row>
    <row r="425" spans="3:40" ht="12.75" customHeight="1">
      <c r="C425" s="97"/>
      <c r="D425" s="99" t="s">
        <v>339</v>
      </c>
      <c r="E425" s="99"/>
      <c r="F425" s="99"/>
      <c r="G425" s="99"/>
      <c r="H425" s="99"/>
      <c r="I425" s="99"/>
      <c r="J425" s="100"/>
      <c r="K425" s="101"/>
      <c r="L425" s="102"/>
      <c r="M425" s="101"/>
      <c r="N425" s="103"/>
      <c r="O425" s="104"/>
      <c r="P425" s="104"/>
      <c r="Q425" s="104"/>
      <c r="R425" s="105"/>
      <c r="S425" s="105"/>
      <c r="T425" s="105"/>
      <c r="U425" s="105"/>
      <c r="V425" s="105"/>
      <c r="AG425" s="963"/>
      <c r="AH425" s="963"/>
      <c r="AI425" s="963"/>
      <c r="AJ425" s="963"/>
      <c r="AK425" s="963"/>
      <c r="AL425" s="963"/>
      <c r="AM425" s="962"/>
      <c r="AN425" s="962"/>
    </row>
    <row r="426" spans="3:40" ht="12.75" customHeight="1">
      <c r="C426" s="97"/>
      <c r="D426" s="99" t="s">
        <v>340</v>
      </c>
      <c r="E426" s="99"/>
      <c r="F426" s="99"/>
      <c r="G426" s="99"/>
      <c r="H426" s="99"/>
      <c r="I426" s="99"/>
      <c r="J426" s="100"/>
      <c r="K426" s="101"/>
      <c r="L426" s="102"/>
      <c r="M426" s="101"/>
      <c r="N426" s="103"/>
      <c r="O426" s="104"/>
      <c r="P426" s="104"/>
      <c r="Q426" s="104"/>
      <c r="R426" s="105"/>
      <c r="S426" s="105"/>
      <c r="T426" s="105"/>
      <c r="U426" s="105"/>
      <c r="V426" s="105"/>
      <c r="AG426" s="963"/>
      <c r="AH426" s="963"/>
      <c r="AI426" s="963"/>
      <c r="AJ426" s="963"/>
      <c r="AK426" s="963"/>
      <c r="AL426" s="963"/>
      <c r="AM426" s="962"/>
      <c r="AN426" s="962"/>
    </row>
    <row r="427" spans="3:40" ht="12.75" customHeight="1">
      <c r="C427" s="97">
        <v>2</v>
      </c>
      <c r="D427" s="964" t="s">
        <v>341</v>
      </c>
      <c r="E427" s="961"/>
      <c r="F427" s="961"/>
      <c r="G427" s="961"/>
      <c r="H427" s="961"/>
      <c r="I427" s="961"/>
      <c r="J427" s="100" t="s">
        <v>337</v>
      </c>
      <c r="K427" s="101">
        <f>CEILING(AF421*0.35,500)</f>
        <v>78500</v>
      </c>
      <c r="L427" s="102">
        <f>Q427</f>
        <v>125.5</v>
      </c>
      <c r="M427" s="101">
        <f>L427*K427</f>
        <v>9851750</v>
      </c>
      <c r="N427" s="103">
        <f>Q427*0.1</f>
        <v>12.55</v>
      </c>
      <c r="O427" s="104">
        <f>N427*K427</f>
        <v>985175</v>
      </c>
      <c r="P427" s="104">
        <v>125.5</v>
      </c>
      <c r="Q427" s="104">
        <v>125.5</v>
      </c>
      <c r="R427" s="105"/>
      <c r="S427" s="105"/>
      <c r="T427" s="105"/>
      <c r="U427" s="105"/>
      <c r="V427" s="105"/>
      <c r="AG427" s="963"/>
      <c r="AH427" s="963"/>
      <c r="AI427" s="963"/>
      <c r="AJ427" s="963"/>
      <c r="AK427" s="963"/>
      <c r="AL427" s="963"/>
      <c r="AM427" s="963"/>
      <c r="AN427" s="963"/>
    </row>
    <row r="428" spans="3:40" ht="12.75" customHeight="1">
      <c r="C428" s="97"/>
      <c r="D428" s="99" t="s">
        <v>338</v>
      </c>
      <c r="E428" s="99"/>
      <c r="F428" s="99"/>
      <c r="G428" s="99"/>
      <c r="H428" s="99"/>
      <c r="I428" s="99"/>
      <c r="J428" s="100"/>
      <c r="K428" s="101"/>
      <c r="L428" s="102"/>
      <c r="M428" s="101"/>
      <c r="N428" s="103"/>
      <c r="O428" s="104"/>
      <c r="P428" s="104"/>
      <c r="Q428" s="104"/>
      <c r="R428" s="105"/>
      <c r="S428" s="105"/>
      <c r="T428" s="105"/>
      <c r="U428" s="105"/>
      <c r="V428" s="105"/>
      <c r="AG428" s="106"/>
      <c r="AH428" s="106"/>
      <c r="AI428" s="106"/>
      <c r="AJ428" s="106"/>
      <c r="AK428" s="106"/>
      <c r="AL428" s="106"/>
      <c r="AM428" s="106"/>
      <c r="AN428" s="106"/>
    </row>
    <row r="429" spans="3:40" ht="12.75" customHeight="1">
      <c r="C429" s="97"/>
      <c r="D429" s="99" t="s">
        <v>339</v>
      </c>
      <c r="E429" s="99"/>
      <c r="F429" s="99"/>
      <c r="G429" s="99"/>
      <c r="H429" s="99"/>
      <c r="I429" s="99"/>
      <c r="J429" s="100"/>
      <c r="K429" s="101"/>
      <c r="L429" s="102"/>
      <c r="M429" s="101"/>
      <c r="N429" s="103"/>
      <c r="O429" s="104"/>
      <c r="P429" s="104"/>
      <c r="Q429" s="104"/>
      <c r="R429" s="105"/>
      <c r="S429" s="105"/>
      <c r="T429" s="105"/>
      <c r="U429" s="105"/>
      <c r="V429" s="105"/>
      <c r="AG429" s="106"/>
      <c r="AH429" s="106"/>
      <c r="AI429" s="106"/>
      <c r="AJ429" s="106"/>
      <c r="AK429" s="106"/>
      <c r="AL429" s="106"/>
      <c r="AM429" s="106"/>
      <c r="AN429" s="106"/>
    </row>
    <row r="430" spans="3:40" ht="12.75" customHeight="1" thickBot="1">
      <c r="C430" s="107"/>
      <c r="D430" s="99" t="s">
        <v>340</v>
      </c>
      <c r="E430" s="99"/>
      <c r="F430" s="99"/>
      <c r="G430" s="99"/>
      <c r="H430" s="99"/>
      <c r="I430" s="99"/>
      <c r="J430" s="108"/>
      <c r="K430" s="109"/>
      <c r="L430" s="110"/>
      <c r="M430" s="109"/>
      <c r="N430" s="111"/>
      <c r="O430" s="112"/>
      <c r="P430" s="112"/>
      <c r="Q430" s="104"/>
      <c r="R430" s="105"/>
      <c r="S430" s="105"/>
      <c r="T430" s="105"/>
      <c r="U430" s="105"/>
      <c r="V430" s="105"/>
      <c r="AG430" s="106"/>
      <c r="AH430" s="106"/>
      <c r="AI430" s="106"/>
      <c r="AJ430" s="106"/>
      <c r="AK430" s="106"/>
      <c r="AL430" s="106"/>
      <c r="AM430" s="106"/>
      <c r="AN430" s="106"/>
    </row>
    <row r="431" spans="3:40" ht="12.75" customHeight="1">
      <c r="C431" s="113">
        <v>3</v>
      </c>
      <c r="D431" s="964" t="s">
        <v>342</v>
      </c>
      <c r="E431" s="961"/>
      <c r="F431" s="961"/>
      <c r="G431" s="961"/>
      <c r="H431" s="961"/>
      <c r="I431" s="961"/>
      <c r="J431" s="114" t="s">
        <v>337</v>
      </c>
      <c r="K431" s="94">
        <f>CEILING(AF421*0.265,500)</f>
        <v>59500</v>
      </c>
      <c r="L431" s="115">
        <f>Q431</f>
        <v>134.80000000000001</v>
      </c>
      <c r="M431" s="94">
        <f>L431*K431</f>
        <v>8020600.0000000009</v>
      </c>
      <c r="N431" s="95">
        <f>Q431*0.1</f>
        <v>13.480000000000002</v>
      </c>
      <c r="O431" s="96">
        <f>N431*K431</f>
        <v>802060.00000000012</v>
      </c>
      <c r="P431" s="96">
        <v>134.80000000000001</v>
      </c>
      <c r="Q431" s="104">
        <v>134.80000000000001</v>
      </c>
      <c r="R431" s="105"/>
      <c r="S431" s="105"/>
      <c r="T431" s="105"/>
      <c r="U431" s="105"/>
      <c r="V431" s="105"/>
      <c r="AG431" s="956" t="s">
        <v>343</v>
      </c>
      <c r="AH431" s="956" t="s">
        <v>344</v>
      </c>
      <c r="AI431" s="956" t="s">
        <v>345</v>
      </c>
      <c r="AJ431" s="956" t="s">
        <v>346</v>
      </c>
      <c r="AK431" s="956" t="s">
        <v>347</v>
      </c>
      <c r="AL431" s="956" t="s">
        <v>348</v>
      </c>
      <c r="AM431" s="956" t="s">
        <v>349</v>
      </c>
      <c r="AN431" s="956" t="s">
        <v>349</v>
      </c>
    </row>
    <row r="432" spans="3:40" ht="12.75" customHeight="1">
      <c r="C432" s="97"/>
      <c r="D432" s="99" t="s">
        <v>338</v>
      </c>
      <c r="E432" s="99"/>
      <c r="F432" s="99"/>
      <c r="G432" s="99"/>
      <c r="H432" s="99"/>
      <c r="I432" s="99"/>
      <c r="J432" s="100"/>
      <c r="K432" s="101"/>
      <c r="L432" s="102"/>
      <c r="M432" s="101"/>
      <c r="N432" s="103"/>
      <c r="O432" s="104"/>
      <c r="P432" s="104"/>
      <c r="Q432" s="105"/>
      <c r="R432" s="105"/>
      <c r="S432" s="105"/>
      <c r="T432" s="105"/>
      <c r="U432" s="105"/>
      <c r="V432" s="105"/>
      <c r="AG432" s="956"/>
      <c r="AH432" s="956"/>
      <c r="AI432" s="956"/>
      <c r="AJ432" s="956"/>
      <c r="AK432" s="956"/>
      <c r="AL432" s="956"/>
      <c r="AM432" s="956"/>
      <c r="AN432" s="956"/>
    </row>
    <row r="433" spans="3:40" ht="12.75" customHeight="1">
      <c r="C433" s="97"/>
      <c r="D433" s="99" t="s">
        <v>339</v>
      </c>
      <c r="E433" s="99"/>
      <c r="F433" s="99"/>
      <c r="G433" s="99"/>
      <c r="H433" s="99"/>
      <c r="I433" s="99"/>
      <c r="J433" s="100"/>
      <c r="K433" s="101"/>
      <c r="L433" s="102"/>
      <c r="M433" s="101"/>
      <c r="N433" s="103"/>
      <c r="O433" s="104"/>
      <c r="P433" s="104"/>
      <c r="Q433" s="105"/>
      <c r="R433" s="105"/>
      <c r="S433" s="105"/>
      <c r="T433" s="105"/>
      <c r="U433" s="105"/>
      <c r="V433" s="105"/>
      <c r="AG433" s="956"/>
      <c r="AH433" s="956"/>
      <c r="AI433" s="956"/>
      <c r="AJ433" s="956"/>
      <c r="AK433" s="956"/>
      <c r="AL433" s="956"/>
      <c r="AM433" s="956"/>
      <c r="AN433" s="956"/>
    </row>
    <row r="434" spans="3:40" ht="12.75" customHeight="1">
      <c r="C434" s="97"/>
      <c r="D434" s="99" t="s">
        <v>340</v>
      </c>
      <c r="E434" s="99"/>
      <c r="F434" s="99"/>
      <c r="G434" s="99"/>
      <c r="H434" s="99"/>
      <c r="I434" s="99"/>
      <c r="J434" s="100"/>
      <c r="K434" s="101"/>
      <c r="L434" s="102"/>
      <c r="M434" s="101"/>
      <c r="N434" s="103"/>
      <c r="O434" s="104"/>
      <c r="P434" s="104"/>
      <c r="Q434" s="105"/>
      <c r="R434" s="105"/>
      <c r="S434" s="105"/>
      <c r="T434" s="105"/>
      <c r="U434" s="105"/>
      <c r="V434" s="105"/>
      <c r="AG434" s="956"/>
      <c r="AH434" s="956"/>
      <c r="AI434" s="956"/>
      <c r="AJ434" s="956"/>
      <c r="AK434" s="956"/>
      <c r="AL434" s="956"/>
      <c r="AM434" s="956"/>
      <c r="AN434" s="956"/>
    </row>
    <row r="435" spans="3:40" ht="12.75" customHeight="1">
      <c r="C435" s="97"/>
      <c r="D435" s="173" t="s">
        <v>350</v>
      </c>
      <c r="E435" s="99"/>
      <c r="F435" s="99"/>
      <c r="G435" s="99"/>
      <c r="H435" s="99"/>
      <c r="I435" s="99"/>
      <c r="J435" s="100"/>
      <c r="K435" s="101"/>
      <c r="L435" s="102"/>
      <c r="M435" s="101"/>
      <c r="N435" s="103"/>
      <c r="O435" s="104"/>
      <c r="P435" s="104"/>
      <c r="Q435" s="105"/>
      <c r="R435" s="105"/>
      <c r="S435" s="105"/>
      <c r="T435" s="105"/>
      <c r="U435" s="105"/>
      <c r="V435" s="105"/>
      <c r="AG435" s="956"/>
      <c r="AH435" s="956"/>
      <c r="AI435" s="956"/>
      <c r="AJ435" s="956"/>
      <c r="AK435" s="956"/>
      <c r="AL435" s="956"/>
      <c r="AM435" s="956"/>
      <c r="AN435" s="956"/>
    </row>
    <row r="436" spans="3:40" ht="12.75" customHeight="1">
      <c r="C436" s="97">
        <v>4</v>
      </c>
      <c r="D436" s="99" t="s">
        <v>351</v>
      </c>
      <c r="E436" s="99"/>
      <c r="F436" s="99"/>
      <c r="G436" s="99"/>
      <c r="H436" s="99"/>
      <c r="I436" s="99"/>
      <c r="J436" s="100" t="s">
        <v>337</v>
      </c>
      <c r="K436" s="101">
        <f>CEILING(AF421*0.5*1,500)</f>
        <v>112500</v>
      </c>
      <c r="L436" s="102">
        <f>Q436</f>
        <v>72</v>
      </c>
      <c r="M436" s="101">
        <f>L436*K436</f>
        <v>8100000</v>
      </c>
      <c r="N436" s="103">
        <f>Q436*0.1</f>
        <v>7.2</v>
      </c>
      <c r="O436" s="104">
        <f>N436*K436</f>
        <v>810000</v>
      </c>
      <c r="P436" s="104">
        <v>72</v>
      </c>
      <c r="Q436" s="116">
        <v>72</v>
      </c>
      <c r="R436" s="105"/>
      <c r="S436" s="105"/>
      <c r="T436" s="105"/>
      <c r="U436" s="105"/>
      <c r="V436" s="105"/>
      <c r="AG436" s="956"/>
      <c r="AH436" s="956"/>
      <c r="AI436" s="956"/>
      <c r="AJ436" s="956"/>
      <c r="AK436" s="956"/>
      <c r="AL436" s="956"/>
      <c r="AM436" s="956"/>
      <c r="AN436" s="956"/>
    </row>
    <row r="437" spans="3:40" ht="12.75" customHeight="1">
      <c r="C437" s="97"/>
      <c r="D437" s="99" t="s">
        <v>352</v>
      </c>
      <c r="E437" s="99"/>
      <c r="F437" s="99"/>
      <c r="G437" s="99"/>
      <c r="H437" s="99"/>
      <c r="I437" s="99"/>
      <c r="J437" s="100"/>
      <c r="K437" s="101"/>
      <c r="L437" s="101"/>
      <c r="M437" s="101"/>
      <c r="N437" s="103"/>
      <c r="O437" s="104"/>
      <c r="P437" s="104"/>
      <c r="Q437" s="116"/>
      <c r="R437" s="105"/>
      <c r="S437" s="105"/>
      <c r="T437" s="105"/>
      <c r="U437" s="105"/>
      <c r="V437" s="105"/>
    </row>
    <row r="438" spans="3:40" ht="12.75" customHeight="1">
      <c r="C438" s="97">
        <v>5</v>
      </c>
      <c r="D438" s="99" t="s">
        <v>353</v>
      </c>
      <c r="E438" s="99"/>
      <c r="F438" s="99"/>
      <c r="G438" s="99"/>
      <c r="H438" s="99"/>
      <c r="I438" s="99"/>
      <c r="J438" s="100" t="s">
        <v>337</v>
      </c>
      <c r="K438" s="101">
        <f>CEILING(AF421*0.5*1,500)</f>
        <v>112500</v>
      </c>
      <c r="L438" s="102">
        <f>Q438</f>
        <v>80</v>
      </c>
      <c r="M438" s="101">
        <f>L438*K438</f>
        <v>9000000</v>
      </c>
      <c r="N438" s="103">
        <f>Q438*0.1</f>
        <v>8</v>
      </c>
      <c r="O438" s="104">
        <f>N438*K438</f>
        <v>900000</v>
      </c>
      <c r="P438" s="104">
        <v>80</v>
      </c>
      <c r="Q438" s="116">
        <v>80</v>
      </c>
      <c r="R438" s="105"/>
      <c r="S438" s="105"/>
      <c r="T438" s="105"/>
      <c r="U438" s="105"/>
      <c r="V438" s="105"/>
    </row>
    <row r="439" spans="3:40" ht="12.75" customHeight="1">
      <c r="C439" s="97"/>
      <c r="D439" s="99" t="s">
        <v>354</v>
      </c>
      <c r="E439" s="99"/>
      <c r="F439" s="99"/>
      <c r="G439" s="99"/>
      <c r="H439" s="99"/>
      <c r="I439" s="99"/>
      <c r="J439" s="100"/>
      <c r="K439" s="101"/>
      <c r="L439" s="101"/>
      <c r="M439" s="101"/>
      <c r="N439" s="103"/>
      <c r="O439" s="104"/>
      <c r="P439" s="104"/>
      <c r="Q439" s="116"/>
      <c r="R439" s="105"/>
      <c r="S439" s="105"/>
      <c r="T439" s="105"/>
      <c r="U439" s="105"/>
      <c r="V439" s="105"/>
    </row>
    <row r="440" spans="3:40" ht="12.75" customHeight="1">
      <c r="C440" s="97"/>
      <c r="D440" s="173" t="s">
        <v>355</v>
      </c>
      <c r="E440" s="99"/>
      <c r="F440" s="99"/>
      <c r="G440" s="99"/>
      <c r="H440" s="99"/>
      <c r="I440" s="99"/>
      <c r="J440" s="100"/>
      <c r="K440" s="101"/>
      <c r="L440" s="101"/>
      <c r="M440" s="101"/>
      <c r="N440" s="103"/>
      <c r="O440" s="104"/>
      <c r="P440" s="104"/>
      <c r="Q440" s="116"/>
      <c r="R440" s="105"/>
      <c r="S440" s="105"/>
      <c r="T440" s="105"/>
      <c r="U440" s="105"/>
      <c r="V440" s="105"/>
    </row>
    <row r="441" spans="3:40" ht="12.75" customHeight="1">
      <c r="C441" s="97">
        <v>6</v>
      </c>
      <c r="D441" s="99" t="s">
        <v>356</v>
      </c>
      <c r="E441" s="99"/>
      <c r="F441" s="99"/>
      <c r="G441" s="99"/>
      <c r="H441" s="99"/>
      <c r="I441" s="99"/>
      <c r="J441" s="100" t="s">
        <v>337</v>
      </c>
      <c r="K441"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Amb.'!AF386)*1.2*2,20)</f>
        <v>10740</v>
      </c>
      <c r="L441" s="102">
        <f>Q441</f>
        <v>1100</v>
      </c>
      <c r="M441" s="101">
        <f>L441*K441</f>
        <v>11814000</v>
      </c>
      <c r="N441" s="103">
        <f>Q441*0.1</f>
        <v>110</v>
      </c>
      <c r="O441" s="104">
        <f>K441*N441</f>
        <v>1181400</v>
      </c>
      <c r="P441" s="104">
        <v>1100</v>
      </c>
      <c r="Q441" s="116">
        <v>1100</v>
      </c>
      <c r="R441" s="105"/>
      <c r="S441" s="105"/>
      <c r="T441" s="105"/>
      <c r="U441" s="105"/>
      <c r="V441" s="105"/>
    </row>
    <row r="442" spans="3:40" ht="12.75" customHeight="1">
      <c r="C442" s="97"/>
      <c r="D442" s="99" t="s">
        <v>357</v>
      </c>
      <c r="E442" s="99"/>
      <c r="F442" s="99"/>
      <c r="G442" s="99"/>
      <c r="H442" s="99"/>
      <c r="I442" s="99"/>
      <c r="J442" s="100"/>
      <c r="K442" s="101"/>
      <c r="L442" s="101"/>
      <c r="M442" s="101"/>
      <c r="N442" s="103"/>
      <c r="O442" s="104"/>
      <c r="P442" s="104"/>
      <c r="Q442" s="116"/>
      <c r="R442" s="105"/>
      <c r="S442" s="105"/>
      <c r="T442" s="105"/>
      <c r="U442" s="105"/>
      <c r="V442" s="105"/>
    </row>
    <row r="443" spans="3:40" ht="12.75" customHeight="1">
      <c r="C443" s="97"/>
      <c r="D443" s="173" t="s">
        <v>358</v>
      </c>
      <c r="E443" s="99"/>
      <c r="F443" s="99"/>
      <c r="G443" s="99"/>
      <c r="H443" s="99"/>
      <c r="I443" s="99"/>
      <c r="J443" s="100"/>
      <c r="K443" s="101"/>
      <c r="L443" s="101"/>
      <c r="M443" s="101"/>
      <c r="N443" s="103"/>
      <c r="O443" s="104"/>
      <c r="P443" s="104"/>
      <c r="Q443" s="116"/>
      <c r="R443" s="105"/>
      <c r="S443" s="105"/>
      <c r="T443" s="105"/>
      <c r="U443" s="105"/>
      <c r="V443" s="105"/>
    </row>
    <row r="444" spans="3:40" ht="12.75" customHeight="1">
      <c r="C444" s="97">
        <v>7</v>
      </c>
      <c r="D444" s="99" t="s">
        <v>359</v>
      </c>
      <c r="E444" s="99"/>
      <c r="F444" s="99"/>
      <c r="G444" s="99"/>
      <c r="H444" s="99"/>
      <c r="I444" s="99"/>
      <c r="J444" s="100" t="s">
        <v>337</v>
      </c>
      <c r="K444" s="102">
        <f>AN423</f>
        <v>730</v>
      </c>
      <c r="L444" s="102">
        <f>Q444</f>
        <v>1400</v>
      </c>
      <c r="M444" s="101">
        <f>L444*K444</f>
        <v>1022000</v>
      </c>
      <c r="N444" s="103">
        <f>Q444*0.1</f>
        <v>140</v>
      </c>
      <c r="O444" s="104">
        <f>K444*N444</f>
        <v>102200</v>
      </c>
      <c r="P444" s="104">
        <v>1400</v>
      </c>
      <c r="Q444" s="116">
        <v>1400</v>
      </c>
      <c r="R444" s="105"/>
      <c r="S444" s="105"/>
      <c r="T444" s="105"/>
      <c r="U444" s="105"/>
      <c r="V444" s="105"/>
    </row>
    <row r="445" spans="3:40" ht="12.75" customHeight="1">
      <c r="C445" s="97"/>
      <c r="D445" s="99" t="s">
        <v>360</v>
      </c>
      <c r="E445" s="99"/>
      <c r="F445" s="99"/>
      <c r="G445" s="99"/>
      <c r="H445" s="99"/>
      <c r="I445" s="99"/>
      <c r="J445" s="100"/>
      <c r="K445" s="101"/>
      <c r="L445" s="101"/>
      <c r="M445" s="101"/>
      <c r="N445" s="103"/>
      <c r="O445" s="104"/>
      <c r="P445" s="104"/>
      <c r="Q445" s="116"/>
      <c r="R445" s="105"/>
      <c r="S445" s="105"/>
      <c r="T445" s="105"/>
      <c r="U445" s="105"/>
      <c r="V445" s="105"/>
    </row>
    <row r="446" spans="3:40" ht="12.75" customHeight="1">
      <c r="C446" s="97"/>
      <c r="D446" s="99" t="s">
        <v>361</v>
      </c>
      <c r="E446" s="99"/>
      <c r="F446" s="99"/>
      <c r="G446" s="99"/>
      <c r="H446" s="99"/>
      <c r="I446" s="99"/>
      <c r="J446" s="100"/>
      <c r="K446" s="101"/>
      <c r="L446" s="101"/>
      <c r="M446" s="101"/>
      <c r="N446" s="103"/>
      <c r="O446" s="104"/>
      <c r="P446" s="104"/>
      <c r="Q446" s="116"/>
      <c r="R446" s="105"/>
      <c r="S446" s="105"/>
      <c r="T446" s="105"/>
      <c r="U446" s="105"/>
      <c r="V446" s="105"/>
    </row>
    <row r="447" spans="3:40" ht="12.75" customHeight="1">
      <c r="C447" s="97"/>
      <c r="D447" s="173" t="s">
        <v>362</v>
      </c>
      <c r="E447" s="99"/>
      <c r="F447" s="99"/>
      <c r="G447" s="99"/>
      <c r="H447" s="99"/>
      <c r="I447" s="99"/>
      <c r="J447" s="100"/>
      <c r="K447" s="101"/>
      <c r="L447" s="101"/>
      <c r="M447" s="101"/>
      <c r="N447" s="103"/>
      <c r="O447" s="104"/>
      <c r="P447" s="104"/>
      <c r="Q447" s="116"/>
      <c r="R447" s="105"/>
      <c r="S447" s="105"/>
      <c r="T447" s="105"/>
      <c r="U447" s="105"/>
      <c r="V447" s="105"/>
    </row>
    <row r="448" spans="3:40" ht="12.75" customHeight="1">
      <c r="C448" s="97">
        <v>7</v>
      </c>
      <c r="D448" s="99" t="s">
        <v>363</v>
      </c>
      <c r="E448" s="99"/>
      <c r="F448" s="99"/>
      <c r="G448" s="99"/>
      <c r="H448" s="99"/>
      <c r="I448" s="99"/>
      <c r="J448" s="100" t="s">
        <v>337</v>
      </c>
      <c r="K448" s="101">
        <f>CEILING(AN423*0.3,10)</f>
        <v>220</v>
      </c>
      <c r="L448" s="102">
        <f>Q448</f>
        <v>750</v>
      </c>
      <c r="M448" s="101">
        <f>L448*K448</f>
        <v>165000</v>
      </c>
      <c r="N448" s="103">
        <f>Q448*0.1</f>
        <v>75</v>
      </c>
      <c r="O448" s="104">
        <f>K448*N448</f>
        <v>16500</v>
      </c>
      <c r="P448" s="104">
        <v>750</v>
      </c>
      <c r="Q448" s="116">
        <v>750</v>
      </c>
      <c r="R448" s="105"/>
      <c r="S448" s="105"/>
      <c r="T448" s="105"/>
      <c r="U448" s="105"/>
      <c r="V448" s="105"/>
    </row>
    <row r="449" spans="3:22" ht="12.75" customHeight="1">
      <c r="C449" s="97"/>
      <c r="D449" s="99" t="s">
        <v>364</v>
      </c>
      <c r="E449" s="99"/>
      <c r="F449" s="99"/>
      <c r="G449" s="99"/>
      <c r="H449" s="99"/>
      <c r="I449" s="99"/>
      <c r="J449" s="100"/>
      <c r="K449" s="101"/>
      <c r="L449" s="101"/>
      <c r="M449" s="101"/>
      <c r="N449" s="103"/>
      <c r="O449" s="104"/>
      <c r="P449" s="104"/>
      <c r="Q449" s="116"/>
      <c r="R449" s="105"/>
      <c r="S449" s="105"/>
      <c r="T449" s="105"/>
      <c r="U449" s="105"/>
      <c r="V449" s="105"/>
    </row>
    <row r="450" spans="3:22" ht="12.75" customHeight="1">
      <c r="C450" s="117"/>
      <c r="D450" s="99" t="s">
        <v>365</v>
      </c>
      <c r="E450" s="99"/>
      <c r="F450" s="99"/>
      <c r="G450" s="99"/>
      <c r="H450" s="99"/>
      <c r="I450" s="99"/>
      <c r="J450" s="100"/>
      <c r="K450" s="101"/>
      <c r="L450" s="101"/>
      <c r="M450" s="101"/>
      <c r="N450" s="103"/>
      <c r="O450" s="104"/>
      <c r="P450" s="104"/>
      <c r="Q450" s="116"/>
      <c r="R450" s="105"/>
      <c r="S450" s="105"/>
      <c r="T450" s="105"/>
      <c r="U450" s="105"/>
      <c r="V450" s="105"/>
    </row>
    <row r="451" spans="3:22" ht="12.75" customHeight="1">
      <c r="C451" s="118">
        <v>8</v>
      </c>
      <c r="D451" s="119" t="s">
        <v>366</v>
      </c>
      <c r="E451" s="119"/>
      <c r="F451" s="119"/>
      <c r="G451" s="119"/>
      <c r="H451" s="119"/>
      <c r="I451" s="119"/>
      <c r="J451" s="120" t="s">
        <v>337</v>
      </c>
      <c r="K451" s="121">
        <f>AM423+AN423</f>
        <v>2310</v>
      </c>
      <c r="L451" s="102">
        <f>Q451</f>
        <v>1500</v>
      </c>
      <c r="M451" s="101">
        <f>L451*K451</f>
        <v>3465000</v>
      </c>
      <c r="N451" s="103">
        <f>Q451*0.1</f>
        <v>150</v>
      </c>
      <c r="O451" s="104">
        <f>K451*N451</f>
        <v>346500</v>
      </c>
      <c r="P451" s="104">
        <v>1500</v>
      </c>
      <c r="Q451" s="122">
        <v>1500</v>
      </c>
      <c r="R451" s="105"/>
      <c r="S451" s="105"/>
      <c r="T451" s="105"/>
      <c r="U451" s="105"/>
      <c r="V451" s="105"/>
    </row>
    <row r="452" spans="3:22" ht="12.75" customHeight="1">
      <c r="C452" s="97"/>
      <c r="D452" s="99" t="s">
        <v>367</v>
      </c>
      <c r="E452" s="99"/>
      <c r="F452" s="99"/>
      <c r="G452" s="99"/>
      <c r="H452" s="99"/>
      <c r="I452" s="99"/>
      <c r="J452" s="100"/>
      <c r="K452" s="101"/>
      <c r="L452" s="101"/>
      <c r="M452" s="101"/>
      <c r="N452" s="103"/>
      <c r="O452" s="104"/>
      <c r="P452" s="104"/>
      <c r="Q452" s="116"/>
      <c r="R452" s="105"/>
      <c r="S452" s="105"/>
      <c r="T452" s="105"/>
      <c r="U452" s="105"/>
      <c r="V452" s="105"/>
    </row>
    <row r="453" spans="3:22" ht="12.75" customHeight="1">
      <c r="C453" s="97"/>
      <c r="D453" s="173" t="s">
        <v>368</v>
      </c>
      <c r="E453" s="99"/>
      <c r="F453" s="99"/>
      <c r="G453" s="99"/>
      <c r="H453" s="99"/>
      <c r="I453" s="99"/>
      <c r="J453" s="100"/>
      <c r="K453" s="101"/>
      <c r="L453" s="101"/>
      <c r="M453" s="101"/>
      <c r="N453" s="103"/>
      <c r="O453" s="104"/>
      <c r="P453" s="104"/>
      <c r="Q453" s="116"/>
      <c r="R453" s="105"/>
      <c r="S453" s="105"/>
      <c r="T453" s="105"/>
      <c r="U453" s="105"/>
      <c r="V453" s="105"/>
    </row>
    <row r="454" spans="3:22" ht="12.75" customHeight="1">
      <c r="C454" s="97">
        <v>9</v>
      </c>
      <c r="D454" s="99" t="s">
        <v>369</v>
      </c>
      <c r="E454" s="99"/>
      <c r="F454" s="99"/>
      <c r="G454" s="99"/>
      <c r="H454" s="99"/>
      <c r="I454" s="99"/>
      <c r="J454" s="100" t="s">
        <v>337</v>
      </c>
      <c r="K454" s="101">
        <f>('BOD-Cold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Amb.'!AF386)*2</f>
        <v>8936</v>
      </c>
      <c r="L454" s="102">
        <f>Q454</f>
        <v>2750</v>
      </c>
      <c r="M454" s="101">
        <f>L454*K454</f>
        <v>24574000</v>
      </c>
      <c r="N454" s="103">
        <f>Q454*0.1</f>
        <v>275</v>
      </c>
      <c r="O454" s="104">
        <f>K454*N454</f>
        <v>2457400</v>
      </c>
      <c r="P454" s="104">
        <v>2750</v>
      </c>
      <c r="Q454" s="116">
        <v>2750</v>
      </c>
      <c r="R454" s="105"/>
      <c r="S454" s="105"/>
      <c r="T454" s="105"/>
      <c r="U454" s="105"/>
      <c r="V454" s="105"/>
    </row>
    <row r="455" spans="3:22" ht="12.75" customHeight="1">
      <c r="C455" s="97"/>
      <c r="D455" s="99" t="s">
        <v>370</v>
      </c>
      <c r="E455" s="99"/>
      <c r="F455" s="99"/>
      <c r="G455" s="99"/>
      <c r="H455" s="99"/>
      <c r="I455" s="99"/>
      <c r="J455" s="100"/>
      <c r="K455" s="101"/>
      <c r="L455" s="101"/>
      <c r="M455" s="101"/>
      <c r="N455" s="103"/>
      <c r="O455" s="104"/>
      <c r="P455" s="104"/>
      <c r="Q455" s="116"/>
      <c r="R455" s="105"/>
      <c r="S455" s="105"/>
      <c r="T455" s="105"/>
      <c r="U455" s="105"/>
      <c r="V455" s="105"/>
    </row>
    <row r="456" spans="3:22" ht="12.75" customHeight="1">
      <c r="C456" s="97"/>
      <c r="D456" s="99" t="s">
        <v>371</v>
      </c>
      <c r="E456" s="99"/>
      <c r="F456" s="99"/>
      <c r="G456" s="99"/>
      <c r="H456" s="99"/>
      <c r="I456" s="99"/>
      <c r="J456" s="100"/>
      <c r="K456" s="101"/>
      <c r="L456" s="101"/>
      <c r="M456" s="101"/>
      <c r="N456" s="103"/>
      <c r="O456" s="104"/>
      <c r="P456" s="104"/>
      <c r="Q456" s="116"/>
      <c r="R456" s="105"/>
      <c r="S456" s="105"/>
      <c r="T456" s="105"/>
      <c r="U456" s="105"/>
      <c r="V456" s="105"/>
    </row>
    <row r="457" spans="3:22" ht="12.75" customHeight="1">
      <c r="C457" s="97"/>
      <c r="D457" s="99" t="s">
        <v>372</v>
      </c>
      <c r="E457" s="99"/>
      <c r="F457" s="99"/>
      <c r="G457" s="99"/>
      <c r="H457" s="99"/>
      <c r="I457" s="99"/>
      <c r="J457" s="100"/>
      <c r="K457" s="101"/>
      <c r="L457" s="101"/>
      <c r="M457" s="101"/>
      <c r="N457" s="103"/>
      <c r="O457" s="104"/>
      <c r="P457" s="104"/>
      <c r="Q457" s="116"/>
      <c r="R457" s="105"/>
      <c r="S457" s="105"/>
      <c r="T457" s="105"/>
      <c r="U457" s="105"/>
      <c r="V457" s="105"/>
    </row>
    <row r="458" spans="3:22" ht="12.75" customHeight="1">
      <c r="C458" s="97">
        <v>10</v>
      </c>
      <c r="D458" s="99" t="s">
        <v>373</v>
      </c>
      <c r="E458" s="99"/>
      <c r="F458" s="99"/>
      <c r="G458" s="99"/>
      <c r="H458" s="99"/>
      <c r="I458" s="99"/>
      <c r="J458" s="100" t="s">
        <v>337</v>
      </c>
      <c r="K458"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Amb.'!AF386)*2*1.1,50)</f>
        <v>9850</v>
      </c>
      <c r="L458" s="102">
        <f>Q458</f>
        <v>150</v>
      </c>
      <c r="M458" s="101">
        <f>L458*K458</f>
        <v>1477500</v>
      </c>
      <c r="N458" s="103">
        <f>Q458*0.1</f>
        <v>15</v>
      </c>
      <c r="O458" s="104">
        <f>K458*N458</f>
        <v>147750</v>
      </c>
      <c r="P458" s="104">
        <v>150</v>
      </c>
      <c r="Q458" s="116">
        <v>150</v>
      </c>
      <c r="R458" s="105"/>
      <c r="S458" s="105"/>
      <c r="T458" s="105"/>
      <c r="U458" s="105"/>
      <c r="V458" s="105"/>
    </row>
    <row r="459" spans="3:22" ht="12.75" customHeight="1">
      <c r="C459" s="117"/>
      <c r="D459" s="123" t="s">
        <v>374</v>
      </c>
      <c r="E459" s="123"/>
      <c r="F459" s="123"/>
      <c r="G459" s="123"/>
      <c r="H459" s="123"/>
      <c r="I459" s="123"/>
      <c r="J459" s="77"/>
      <c r="K459" s="124"/>
      <c r="L459" s="124"/>
      <c r="M459" s="124"/>
      <c r="N459" s="125"/>
      <c r="O459" s="126"/>
      <c r="P459" s="126"/>
      <c r="Q459" s="127"/>
      <c r="R459" s="105"/>
      <c r="S459" s="105"/>
      <c r="T459" s="105"/>
      <c r="U459" s="105"/>
      <c r="V459" s="105"/>
    </row>
    <row r="460" spans="3:22" ht="12.75" customHeight="1">
      <c r="C460" s="128" t="s">
        <v>375</v>
      </c>
      <c r="D460" s="957" t="s">
        <v>376</v>
      </c>
      <c r="E460" s="957"/>
      <c r="F460" s="957"/>
      <c r="G460" s="957"/>
      <c r="H460" s="957"/>
      <c r="I460" s="957"/>
      <c r="J460" s="120"/>
      <c r="K460" s="130"/>
      <c r="L460" s="130"/>
      <c r="M460" s="130"/>
      <c r="N460" s="131"/>
      <c r="O460" s="132"/>
      <c r="P460" s="132"/>
      <c r="Q460" s="133"/>
      <c r="R460" s="134"/>
      <c r="S460" s="134"/>
      <c r="T460" s="134"/>
      <c r="U460" s="134"/>
      <c r="V460" s="134"/>
    </row>
    <row r="461" spans="3:22" ht="12.75" customHeight="1">
      <c r="C461" s="97">
        <v>1</v>
      </c>
      <c r="D461" s="99" t="s">
        <v>377</v>
      </c>
      <c r="E461" s="135"/>
      <c r="F461" s="135"/>
      <c r="G461" s="135"/>
      <c r="H461" s="135"/>
      <c r="I461" s="135"/>
      <c r="J461" s="100" t="s">
        <v>337</v>
      </c>
      <c r="K461" s="101">
        <f>AH423</f>
        <v>780</v>
      </c>
      <c r="L461" s="102">
        <f>Q461</f>
        <v>550</v>
      </c>
      <c r="M461" s="101">
        <f>L461*K461</f>
        <v>429000</v>
      </c>
      <c r="N461" s="103">
        <f>Q461*0.1</f>
        <v>55</v>
      </c>
      <c r="O461" s="104">
        <f>K461*N461</f>
        <v>42900</v>
      </c>
      <c r="P461" s="104">
        <v>550</v>
      </c>
      <c r="Q461" s="116">
        <v>550</v>
      </c>
      <c r="R461" s="105"/>
      <c r="S461" s="105"/>
      <c r="T461" s="105"/>
      <c r="U461" s="105"/>
      <c r="V461" s="105"/>
    </row>
    <row r="462" spans="3:22" ht="12.75" customHeight="1">
      <c r="C462" s="117"/>
      <c r="D462" s="123" t="s">
        <v>378</v>
      </c>
      <c r="E462" s="136"/>
      <c r="F462" s="136"/>
      <c r="G462" s="136"/>
      <c r="H462" s="136"/>
      <c r="I462" s="136"/>
      <c r="J462" s="77"/>
      <c r="K462" s="124"/>
      <c r="L462" s="124"/>
      <c r="M462" s="124"/>
      <c r="N462" s="137"/>
      <c r="O462" s="138"/>
      <c r="P462" s="138"/>
      <c r="Q462" s="139"/>
      <c r="R462" s="134"/>
      <c r="S462" s="134"/>
      <c r="T462" s="134"/>
      <c r="U462" s="134"/>
      <c r="V462" s="134"/>
    </row>
    <row r="463" spans="3:22" ht="12.75" customHeight="1">
      <c r="C463" s="118"/>
      <c r="D463" s="119" t="s">
        <v>379</v>
      </c>
      <c r="E463" s="140"/>
      <c r="F463" s="140"/>
      <c r="G463" s="140"/>
      <c r="H463" s="140"/>
      <c r="I463" s="140"/>
      <c r="J463" s="120"/>
      <c r="K463" s="130"/>
      <c r="L463" s="130"/>
      <c r="M463" s="130"/>
      <c r="N463" s="131"/>
      <c r="O463" s="132"/>
      <c r="P463" s="132"/>
      <c r="Q463" s="133"/>
      <c r="R463" s="134"/>
      <c r="S463" s="134"/>
      <c r="T463" s="134"/>
      <c r="U463" s="134"/>
      <c r="V463" s="134"/>
    </row>
    <row r="464" spans="3:22" ht="12.75" customHeight="1">
      <c r="C464" s="97">
        <v>2</v>
      </c>
      <c r="D464" s="99" t="s">
        <v>380</v>
      </c>
      <c r="E464" s="135"/>
      <c r="F464" s="135"/>
      <c r="G464" s="135"/>
      <c r="H464" s="135"/>
      <c r="I464" s="135"/>
      <c r="J464" s="100" t="s">
        <v>337</v>
      </c>
      <c r="K464" s="101">
        <f>AI423</f>
        <v>780</v>
      </c>
      <c r="L464" s="102">
        <f>Q464</f>
        <v>750</v>
      </c>
      <c r="M464" s="101">
        <f>L464*K464</f>
        <v>585000</v>
      </c>
      <c r="N464" s="103">
        <f>Q464*0.1</f>
        <v>75</v>
      </c>
      <c r="O464" s="104">
        <f>K464*N464</f>
        <v>58500</v>
      </c>
      <c r="P464" s="104">
        <v>750</v>
      </c>
      <c r="Q464" s="122">
        <v>750</v>
      </c>
      <c r="R464" s="105"/>
      <c r="S464" s="105"/>
      <c r="T464" s="105"/>
      <c r="U464" s="105"/>
      <c r="V464" s="105"/>
    </row>
    <row r="465" spans="3:22" ht="12.75" customHeight="1">
      <c r="C465" s="97"/>
      <c r="D465" s="99" t="s">
        <v>381</v>
      </c>
      <c r="E465" s="135"/>
      <c r="F465" s="135"/>
      <c r="G465" s="135"/>
      <c r="H465" s="135"/>
      <c r="I465" s="135"/>
      <c r="J465" s="100"/>
      <c r="K465" s="101"/>
      <c r="L465" s="101"/>
      <c r="M465" s="101"/>
      <c r="N465" s="141"/>
      <c r="O465" s="142"/>
      <c r="P465" s="142"/>
      <c r="Q465" s="143"/>
      <c r="R465" s="134"/>
      <c r="S465" s="134"/>
      <c r="T465" s="134"/>
      <c r="U465" s="134"/>
      <c r="V465" s="134"/>
    </row>
    <row r="466" spans="3:22" ht="12.75" customHeight="1">
      <c r="C466" s="97"/>
      <c r="D466" s="99" t="s">
        <v>382</v>
      </c>
      <c r="E466" s="135"/>
      <c r="F466" s="135"/>
      <c r="G466" s="135"/>
      <c r="H466" s="135"/>
      <c r="I466" s="135"/>
      <c r="J466" s="100"/>
      <c r="K466" s="101"/>
      <c r="L466" s="101"/>
      <c r="M466" s="101"/>
      <c r="N466" s="141"/>
      <c r="O466" s="142"/>
      <c r="P466" s="142"/>
      <c r="Q466" s="139"/>
      <c r="R466" s="134"/>
      <c r="S466" s="134"/>
      <c r="T466" s="134"/>
      <c r="U466" s="134"/>
      <c r="V466" s="134"/>
    </row>
    <row r="467" spans="3:22" ht="12.75" customHeight="1">
      <c r="C467" s="97">
        <v>3</v>
      </c>
      <c r="D467" s="99" t="s">
        <v>383</v>
      </c>
      <c r="E467" s="135"/>
      <c r="F467" s="135"/>
      <c r="G467" s="135"/>
      <c r="H467" s="135"/>
      <c r="I467" s="135"/>
      <c r="J467" s="100" t="s">
        <v>337</v>
      </c>
      <c r="K467" s="101">
        <f>AJ423</f>
        <v>780</v>
      </c>
      <c r="L467" s="102">
        <f>Q467</f>
        <v>850</v>
      </c>
      <c r="M467" s="101">
        <f>L467*K467</f>
        <v>663000</v>
      </c>
      <c r="N467" s="103">
        <f>Q467*0.1</f>
        <v>85</v>
      </c>
      <c r="O467" s="104">
        <f>K467*N467</f>
        <v>66300</v>
      </c>
      <c r="P467" s="104">
        <v>850</v>
      </c>
      <c r="Q467" s="122">
        <v>850</v>
      </c>
      <c r="R467" s="105"/>
      <c r="S467" s="105"/>
      <c r="T467" s="105"/>
      <c r="U467" s="105"/>
      <c r="V467" s="105"/>
    </row>
    <row r="468" spans="3:22" ht="12.75" customHeight="1">
      <c r="C468" s="97"/>
      <c r="D468" s="99" t="s">
        <v>381</v>
      </c>
      <c r="E468" s="135"/>
      <c r="F468" s="135"/>
      <c r="G468" s="135"/>
      <c r="H468" s="135"/>
      <c r="I468" s="135"/>
      <c r="J468" s="100"/>
      <c r="K468" s="101"/>
      <c r="L468" s="101"/>
      <c r="M468" s="101"/>
      <c r="N468" s="141"/>
      <c r="O468" s="142"/>
      <c r="P468" s="142"/>
      <c r="Q468" s="143"/>
      <c r="R468" s="134"/>
      <c r="S468" s="134"/>
      <c r="T468" s="134"/>
      <c r="U468" s="134"/>
      <c r="V468" s="134"/>
    </row>
    <row r="469" spans="3:22" ht="12.75" customHeight="1">
      <c r="C469" s="97"/>
      <c r="D469" s="99" t="s">
        <v>384</v>
      </c>
      <c r="E469" s="135"/>
      <c r="F469" s="135"/>
      <c r="G469" s="135"/>
      <c r="H469" s="135"/>
      <c r="I469" s="135"/>
      <c r="J469" s="100"/>
      <c r="K469" s="101"/>
      <c r="L469" s="101"/>
      <c r="M469" s="101"/>
      <c r="N469" s="141"/>
      <c r="O469" s="142"/>
      <c r="P469" s="142"/>
      <c r="Q469" s="139"/>
      <c r="R469" s="134"/>
      <c r="S469" s="134"/>
      <c r="T469" s="134"/>
      <c r="U469" s="134"/>
      <c r="V469" s="134"/>
    </row>
    <row r="470" spans="3:22" ht="12.75" customHeight="1">
      <c r="C470" s="97">
        <v>4</v>
      </c>
      <c r="D470" s="99" t="s">
        <v>385</v>
      </c>
      <c r="E470" s="135"/>
      <c r="F470" s="135"/>
      <c r="G470" s="135"/>
      <c r="H470" s="135"/>
      <c r="I470" s="135"/>
      <c r="J470" s="100" t="s">
        <v>337</v>
      </c>
      <c r="K470" s="101">
        <f>AG423</f>
        <v>130</v>
      </c>
      <c r="L470" s="102">
        <f>Q470</f>
        <v>500</v>
      </c>
      <c r="M470" s="101">
        <f>L470*K470</f>
        <v>65000</v>
      </c>
      <c r="N470" s="103">
        <f>Q470*0.1</f>
        <v>50</v>
      </c>
      <c r="O470" s="104">
        <f>K470*N470</f>
        <v>6500</v>
      </c>
      <c r="P470" s="104">
        <v>500</v>
      </c>
      <c r="Q470" s="116">
        <v>500</v>
      </c>
      <c r="R470" s="105"/>
      <c r="S470" s="105"/>
      <c r="T470" s="105"/>
      <c r="U470" s="105"/>
      <c r="V470" s="105"/>
    </row>
    <row r="471" spans="3:22" ht="12.75" customHeight="1">
      <c r="C471" s="97"/>
      <c r="D471" s="99" t="s">
        <v>381</v>
      </c>
      <c r="E471" s="135"/>
      <c r="F471" s="135"/>
      <c r="G471" s="135"/>
      <c r="H471" s="135"/>
      <c r="I471" s="135"/>
      <c r="J471" s="100"/>
      <c r="K471" s="101"/>
      <c r="L471" s="101"/>
      <c r="M471" s="101"/>
      <c r="N471" s="141"/>
      <c r="O471" s="142"/>
      <c r="P471" s="142"/>
      <c r="Q471" s="143"/>
      <c r="R471" s="134"/>
      <c r="S471" s="134"/>
      <c r="T471" s="134"/>
      <c r="U471" s="134"/>
      <c r="V471" s="134"/>
    </row>
    <row r="472" spans="3:22" ht="12.75" customHeight="1">
      <c r="C472" s="97"/>
      <c r="D472" s="99" t="s">
        <v>386</v>
      </c>
      <c r="E472" s="135"/>
      <c r="F472" s="135"/>
      <c r="G472" s="135"/>
      <c r="H472" s="135"/>
      <c r="I472" s="135"/>
      <c r="J472" s="100"/>
      <c r="K472" s="101"/>
      <c r="L472" s="101"/>
      <c r="M472" s="101"/>
      <c r="N472" s="141"/>
      <c r="O472" s="142"/>
      <c r="P472" s="142"/>
      <c r="Q472" s="143"/>
      <c r="R472" s="134"/>
      <c r="S472" s="134"/>
      <c r="T472" s="134"/>
      <c r="U472" s="134"/>
      <c r="V472" s="134"/>
    </row>
    <row r="473" spans="3:22" ht="12.75" customHeight="1">
      <c r="C473" s="97">
        <v>5</v>
      </c>
      <c r="D473" s="99" t="s">
        <v>385</v>
      </c>
      <c r="E473" s="135"/>
      <c r="F473" s="135"/>
      <c r="G473" s="135"/>
      <c r="H473" s="135"/>
      <c r="I473" s="135"/>
      <c r="J473" s="100" t="s">
        <v>337</v>
      </c>
      <c r="K473" s="101">
        <f>AL423</f>
        <v>100</v>
      </c>
      <c r="L473" s="102">
        <f>Q473</f>
        <v>500</v>
      </c>
      <c r="M473" s="101">
        <f>L473*K473</f>
        <v>50000</v>
      </c>
      <c r="N473" s="103">
        <f>Q473*0.1</f>
        <v>50</v>
      </c>
      <c r="O473" s="104">
        <f>K473*N473</f>
        <v>5000</v>
      </c>
      <c r="P473" s="104">
        <v>500</v>
      </c>
      <c r="Q473" s="116">
        <v>500</v>
      </c>
      <c r="R473" s="105"/>
      <c r="S473" s="105"/>
      <c r="T473" s="105"/>
      <c r="U473" s="105"/>
      <c r="V473" s="105"/>
    </row>
    <row r="474" spans="3:22" ht="12.75" customHeight="1">
      <c r="C474" s="97"/>
      <c r="D474" s="99" t="s">
        <v>381</v>
      </c>
      <c r="E474" s="135"/>
      <c r="F474" s="135"/>
      <c r="G474" s="135"/>
      <c r="H474" s="135"/>
      <c r="I474" s="135"/>
      <c r="J474" s="100"/>
      <c r="K474" s="101"/>
      <c r="L474" s="101"/>
      <c r="M474" s="101"/>
      <c r="N474" s="141"/>
      <c r="O474" s="142"/>
      <c r="P474" s="142"/>
      <c r="Q474" s="143"/>
      <c r="R474" s="134"/>
      <c r="S474" s="134"/>
      <c r="T474" s="134"/>
      <c r="U474" s="134"/>
      <c r="V474" s="134"/>
    </row>
    <row r="475" spans="3:22" ht="12.75" customHeight="1">
      <c r="C475" s="97"/>
      <c r="D475" s="99" t="s">
        <v>387</v>
      </c>
      <c r="E475" s="135"/>
      <c r="F475" s="135"/>
      <c r="G475" s="135"/>
      <c r="H475" s="135"/>
      <c r="I475" s="135"/>
      <c r="J475" s="100"/>
      <c r="K475" s="101"/>
      <c r="L475" s="101"/>
      <c r="M475" s="101"/>
      <c r="N475" s="141"/>
      <c r="O475" s="142"/>
      <c r="P475" s="142"/>
      <c r="Q475" s="143"/>
      <c r="R475" s="134"/>
      <c r="S475" s="134"/>
      <c r="T475" s="134"/>
      <c r="U475" s="134"/>
      <c r="V475" s="134"/>
    </row>
    <row r="476" spans="3:22" ht="12.75" customHeight="1">
      <c r="C476" s="97">
        <v>6</v>
      </c>
      <c r="D476" s="99" t="s">
        <v>388</v>
      </c>
      <c r="E476" s="135"/>
      <c r="F476" s="135"/>
      <c r="G476" s="135"/>
      <c r="H476" s="135"/>
      <c r="I476" s="135"/>
      <c r="J476" s="100" t="s">
        <v>337</v>
      </c>
      <c r="K476" s="101">
        <f>AK423</f>
        <v>100</v>
      </c>
      <c r="L476" s="102">
        <f>Q476</f>
        <v>3250</v>
      </c>
      <c r="M476" s="101">
        <f>L476*K476</f>
        <v>325000</v>
      </c>
      <c r="N476" s="103">
        <f>Q476*0.3</f>
        <v>975</v>
      </c>
      <c r="O476" s="104">
        <f>K476*N476</f>
        <v>97500</v>
      </c>
      <c r="P476" s="104">
        <v>3250</v>
      </c>
      <c r="Q476" s="116">
        <v>3250</v>
      </c>
      <c r="R476" s="134"/>
      <c r="S476" s="134"/>
      <c r="T476" s="134"/>
      <c r="U476" s="134"/>
      <c r="V476" s="134"/>
    </row>
    <row r="477" spans="3:22" ht="12.75" customHeight="1">
      <c r="C477" s="97"/>
      <c r="D477" s="99" t="s">
        <v>389</v>
      </c>
      <c r="E477" s="135"/>
      <c r="F477" s="135"/>
      <c r="G477" s="135"/>
      <c r="H477" s="135"/>
      <c r="I477" s="135"/>
      <c r="J477" s="100"/>
      <c r="K477" s="101"/>
      <c r="L477" s="101"/>
      <c r="M477" s="101"/>
      <c r="N477" s="141"/>
      <c r="O477" s="142"/>
      <c r="P477" s="142"/>
      <c r="Q477" s="143"/>
      <c r="R477" s="134"/>
      <c r="S477" s="134"/>
      <c r="T477" s="134"/>
      <c r="U477" s="134"/>
      <c r="V477" s="134"/>
    </row>
    <row r="478" spans="3:22" ht="12.75" customHeight="1">
      <c r="C478" s="97">
        <v>7</v>
      </c>
      <c r="D478" s="99" t="s">
        <v>377</v>
      </c>
      <c r="E478" s="135"/>
      <c r="F478" s="135"/>
      <c r="G478" s="135"/>
      <c r="H478" s="135"/>
      <c r="I478" s="135"/>
      <c r="J478" s="100" t="s">
        <v>337</v>
      </c>
      <c r="K478"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Amb.'!AF386),50)</f>
        <v>4500</v>
      </c>
      <c r="L478" s="102">
        <f>Q478</f>
        <v>400</v>
      </c>
      <c r="M478" s="101">
        <f>L478*K478</f>
        <v>1800000</v>
      </c>
      <c r="N478" s="103">
        <f>Q478*0.1</f>
        <v>40</v>
      </c>
      <c r="O478" s="104">
        <f>K478*N478</f>
        <v>180000</v>
      </c>
      <c r="P478" s="104">
        <v>400</v>
      </c>
      <c r="Q478" s="143">
        <v>400</v>
      </c>
      <c r="R478" s="134"/>
      <c r="S478" s="134"/>
      <c r="T478" s="134"/>
      <c r="U478" s="134"/>
      <c r="V478" s="134"/>
    </row>
    <row r="479" spans="3:22" ht="12.75" customHeight="1">
      <c r="C479" s="97"/>
      <c r="D479" s="99" t="s">
        <v>381</v>
      </c>
      <c r="E479" s="135"/>
      <c r="F479" s="135"/>
      <c r="G479" s="135"/>
      <c r="H479" s="135"/>
      <c r="I479" s="135"/>
      <c r="J479" s="100"/>
      <c r="K479" s="101"/>
      <c r="L479" s="101"/>
      <c r="M479" s="101"/>
      <c r="N479" s="141"/>
      <c r="O479" s="142"/>
      <c r="P479" s="142"/>
      <c r="Q479" s="143"/>
      <c r="R479" s="134"/>
      <c r="S479" s="134"/>
      <c r="T479" s="134"/>
      <c r="U479" s="134"/>
      <c r="V479" s="134"/>
    </row>
    <row r="480" spans="3:22" ht="12.75" customHeight="1">
      <c r="C480" s="97"/>
      <c r="D480" s="99" t="s">
        <v>390</v>
      </c>
      <c r="E480" s="135"/>
      <c r="F480" s="135"/>
      <c r="G480" s="135"/>
      <c r="H480" s="135"/>
      <c r="I480" s="135"/>
      <c r="J480" s="100"/>
      <c r="K480" s="101"/>
      <c r="L480" s="101"/>
      <c r="M480" s="101"/>
      <c r="N480" s="141"/>
      <c r="O480" s="142"/>
      <c r="P480" s="142"/>
      <c r="Q480" s="143"/>
      <c r="R480" s="134"/>
      <c r="S480" s="134"/>
      <c r="T480" s="134"/>
      <c r="U480" s="134"/>
      <c r="V480" s="134"/>
    </row>
    <row r="481" spans="3:22" ht="12.75" customHeight="1">
      <c r="C481" s="97"/>
      <c r="D481" s="99" t="s">
        <v>391</v>
      </c>
      <c r="E481" s="135"/>
      <c r="F481" s="135"/>
      <c r="G481" s="135"/>
      <c r="H481" s="135"/>
      <c r="I481" s="135"/>
      <c r="J481" s="100"/>
      <c r="K481" s="101"/>
      <c r="L481" s="101"/>
      <c r="M481" s="101"/>
      <c r="N481" s="141"/>
      <c r="O481" s="142"/>
      <c r="P481" s="142"/>
      <c r="Q481" s="143"/>
      <c r="R481" s="134"/>
      <c r="S481" s="134"/>
      <c r="T481" s="134"/>
      <c r="U481" s="134"/>
      <c r="V481" s="134"/>
    </row>
    <row r="482" spans="3:22" ht="12.75" customHeight="1">
      <c r="C482" s="97">
        <v>8</v>
      </c>
      <c r="D482" s="99" t="s">
        <v>392</v>
      </c>
      <c r="E482" s="135"/>
      <c r="F482" s="135"/>
      <c r="G482" s="135"/>
      <c r="H482" s="135"/>
      <c r="I482" s="135"/>
      <c r="J482" s="100" t="s">
        <v>337</v>
      </c>
      <c r="K482"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Amb.'!AF386),50)</f>
        <v>4500</v>
      </c>
      <c r="L482" s="102">
        <f>Q482</f>
        <v>450</v>
      </c>
      <c r="M482" s="101">
        <f>L482*K482</f>
        <v>2025000</v>
      </c>
      <c r="N482" s="103">
        <f>Q482*0.1</f>
        <v>45</v>
      </c>
      <c r="O482" s="104">
        <f>K482*N482</f>
        <v>202500</v>
      </c>
      <c r="P482" s="104">
        <v>450</v>
      </c>
      <c r="Q482" s="143">
        <v>450</v>
      </c>
      <c r="R482" s="134"/>
      <c r="S482" s="134"/>
      <c r="T482" s="134"/>
      <c r="U482" s="134"/>
      <c r="V482" s="134"/>
    </row>
    <row r="483" spans="3:22" ht="12.75" customHeight="1">
      <c r="C483" s="97"/>
      <c r="D483" s="99" t="s">
        <v>393</v>
      </c>
      <c r="E483" s="135"/>
      <c r="F483" s="135"/>
      <c r="G483" s="135"/>
      <c r="H483" s="135"/>
      <c r="I483" s="135"/>
      <c r="J483" s="100"/>
      <c r="K483" s="101"/>
      <c r="L483" s="101"/>
      <c r="M483" s="101"/>
      <c r="N483" s="141"/>
      <c r="O483" s="142"/>
      <c r="P483" s="142"/>
      <c r="Q483" s="143"/>
      <c r="R483" s="134"/>
      <c r="S483" s="134"/>
      <c r="T483" s="134"/>
      <c r="U483" s="134"/>
      <c r="V483" s="134"/>
    </row>
    <row r="484" spans="3:22" ht="12.75" customHeight="1">
      <c r="C484" s="97"/>
      <c r="D484" s="99" t="s">
        <v>394</v>
      </c>
      <c r="E484" s="135"/>
      <c r="F484" s="135"/>
      <c r="G484" s="135"/>
      <c r="H484" s="135"/>
      <c r="I484" s="135"/>
      <c r="J484" s="100"/>
      <c r="K484" s="101"/>
      <c r="L484" s="101"/>
      <c r="M484" s="101"/>
      <c r="N484" s="141"/>
      <c r="O484" s="142"/>
      <c r="P484" s="142"/>
      <c r="Q484" s="143"/>
      <c r="R484" s="134"/>
      <c r="S484" s="134"/>
      <c r="T484" s="134"/>
      <c r="U484" s="134"/>
      <c r="V484" s="134"/>
    </row>
    <row r="485" spans="3:22" ht="12.75" customHeight="1" thickBot="1">
      <c r="C485" s="107"/>
      <c r="D485" s="99" t="s">
        <v>395</v>
      </c>
      <c r="E485" s="144"/>
      <c r="F485" s="144"/>
      <c r="G485" s="144"/>
      <c r="H485" s="144"/>
      <c r="I485" s="144"/>
      <c r="J485" s="108"/>
      <c r="K485" s="109"/>
      <c r="L485" s="109"/>
      <c r="M485" s="109"/>
      <c r="N485" s="145"/>
      <c r="O485" s="146"/>
      <c r="P485" s="146"/>
      <c r="Q485" s="143"/>
      <c r="R485" s="134"/>
      <c r="S485" s="134"/>
      <c r="T485" s="134"/>
      <c r="U485" s="134"/>
      <c r="V485" s="134"/>
    </row>
    <row r="486" spans="3:22" ht="12.75" customHeight="1">
      <c r="C486" s="97">
        <v>9</v>
      </c>
      <c r="D486" s="99" t="s">
        <v>396</v>
      </c>
      <c r="E486" s="135"/>
      <c r="F486" s="135"/>
      <c r="G486" s="135"/>
      <c r="H486" s="135"/>
      <c r="I486" s="135"/>
      <c r="J486" s="100" t="s">
        <v>337</v>
      </c>
      <c r="K486" s="844">
        <f>CEILING(SUM(SUMIFS('BOD-Cold &amp; Amb.'!AF10:AF405, 'BOD-Cold &amp; Amb.'!R10:R405, {"10K","GRADE C","ISO 7"})),50)</f>
        <v>350</v>
      </c>
      <c r="L486" s="102">
        <f>Q486</f>
        <v>3250</v>
      </c>
      <c r="M486" s="101">
        <f>L486*K486</f>
        <v>1137500</v>
      </c>
      <c r="N486" s="103">
        <f>Q486*0.1</f>
        <v>325</v>
      </c>
      <c r="O486" s="104">
        <f>K486*N486</f>
        <v>113750</v>
      </c>
      <c r="P486" s="104">
        <v>450</v>
      </c>
      <c r="Q486" s="143">
        <v>3250</v>
      </c>
      <c r="R486" s="134"/>
      <c r="S486" s="134"/>
      <c r="T486" s="134"/>
      <c r="U486" s="134"/>
      <c r="V486" s="134"/>
    </row>
    <row r="487" spans="3:22" ht="12.75" customHeight="1">
      <c r="C487" s="97"/>
      <c r="D487" s="99" t="s">
        <v>397</v>
      </c>
      <c r="E487" s="135"/>
      <c r="F487" s="135"/>
      <c r="G487" s="135"/>
      <c r="H487" s="135"/>
      <c r="I487" s="135"/>
      <c r="J487" s="100"/>
      <c r="K487" s="844"/>
      <c r="L487" s="101"/>
      <c r="M487" s="101"/>
      <c r="N487" s="141"/>
      <c r="O487" s="142"/>
      <c r="P487" s="142"/>
      <c r="Q487" s="143"/>
      <c r="R487" s="134"/>
      <c r="S487" s="134"/>
      <c r="T487" s="134"/>
      <c r="U487" s="134"/>
      <c r="V487" s="134"/>
    </row>
    <row r="488" spans="3:22" ht="12.75" customHeight="1">
      <c r="C488" s="97">
        <v>10</v>
      </c>
      <c r="D488" s="99" t="s">
        <v>398</v>
      </c>
      <c r="E488" s="135"/>
      <c r="F488" s="135"/>
      <c r="G488" s="135"/>
      <c r="H488" s="135"/>
      <c r="I488" s="135"/>
      <c r="J488" s="100" t="s">
        <v>337</v>
      </c>
      <c r="K488" s="101">
        <f>CEILING(SUM(SUMIFS('BOD-Cold &amp; Amb.'!AF10:AF405, 'BOD-Cold &amp; Amb.'!R10:R405, {"1K","100","GRADE B","GRADE A","ISO 5","ISO 6"})),50)</f>
        <v>3950</v>
      </c>
      <c r="L488" s="102">
        <f>Q488</f>
        <v>3250</v>
      </c>
      <c r="M488" s="101">
        <f>L488*K488</f>
        <v>12837500</v>
      </c>
      <c r="N488" s="103">
        <f>Q488*0.1</f>
        <v>325</v>
      </c>
      <c r="O488" s="104">
        <f>K488*N488</f>
        <v>1283750</v>
      </c>
      <c r="P488" s="104">
        <v>450</v>
      </c>
      <c r="Q488" s="143">
        <v>3250</v>
      </c>
      <c r="R488" s="134"/>
      <c r="S488" s="134"/>
      <c r="T488" s="134"/>
      <c r="U488" s="134"/>
      <c r="V488" s="134"/>
    </row>
    <row r="489" spans="3:22" ht="12.75" customHeight="1">
      <c r="C489" s="97"/>
      <c r="D489" s="99" t="s">
        <v>399</v>
      </c>
      <c r="E489" s="135"/>
      <c r="F489" s="135"/>
      <c r="G489" s="135"/>
      <c r="H489" s="135"/>
      <c r="I489" s="135"/>
      <c r="J489" s="100"/>
      <c r="K489" s="101"/>
      <c r="L489" s="101"/>
      <c r="M489" s="101"/>
      <c r="N489" s="141"/>
      <c r="O489" s="142"/>
      <c r="P489" s="142"/>
      <c r="Q489" s="143"/>
      <c r="R489" s="134"/>
      <c r="S489" s="134"/>
      <c r="T489" s="134"/>
      <c r="U489" s="134"/>
      <c r="V489" s="134"/>
    </row>
    <row r="490" spans="3:22" ht="12.75" customHeight="1">
      <c r="C490" s="97">
        <v>11</v>
      </c>
      <c r="D490" s="99" t="s">
        <v>400</v>
      </c>
      <c r="E490" s="135"/>
      <c r="F490" s="135"/>
      <c r="G490" s="135"/>
      <c r="H490" s="135"/>
      <c r="I490" s="135"/>
      <c r="J490" s="100" t="s">
        <v>337</v>
      </c>
      <c r="K490" s="101">
        <f>CEILING(SUM(SUMIFS('BOD-Cold &amp; Amb.'!AF10:AF405, 'BOD-Cold &amp; Amb.'!R10:R405, {"10","1","100","GRADE A","ISO 5","ISO 4","ISO 3","ISO 2"})),50)</f>
        <v>950</v>
      </c>
      <c r="L490" s="102">
        <f>Q490</f>
        <v>3250</v>
      </c>
      <c r="M490" s="101">
        <f>L490*K490</f>
        <v>3087500</v>
      </c>
      <c r="N490" s="103">
        <f>Q490*0.1</f>
        <v>325</v>
      </c>
      <c r="O490" s="104">
        <f>K490*N490</f>
        <v>308750</v>
      </c>
      <c r="P490" s="104">
        <v>450</v>
      </c>
      <c r="Q490" s="143">
        <v>3250</v>
      </c>
      <c r="R490" s="134"/>
      <c r="S490" s="134"/>
      <c r="T490" s="134"/>
      <c r="U490" s="134"/>
      <c r="V490" s="134"/>
    </row>
    <row r="491" spans="3:22" ht="12.75" customHeight="1">
      <c r="C491" s="97"/>
      <c r="D491" s="99" t="s">
        <v>401</v>
      </c>
      <c r="E491" s="135"/>
      <c r="F491" s="135"/>
      <c r="G491" s="135"/>
      <c r="H491" s="135"/>
      <c r="I491" s="135"/>
      <c r="J491" s="100"/>
      <c r="K491" s="101"/>
      <c r="L491" s="101"/>
      <c r="M491" s="101"/>
      <c r="N491" s="141"/>
      <c r="O491" s="142"/>
      <c r="P491" s="142"/>
      <c r="Q491" s="143"/>
      <c r="R491" s="134"/>
      <c r="S491" s="134"/>
      <c r="T491" s="134"/>
      <c r="U491" s="134"/>
      <c r="V491" s="134"/>
    </row>
    <row r="492" spans="3:22" ht="12.75" customHeight="1">
      <c r="C492" s="97"/>
      <c r="D492" s="99"/>
      <c r="E492" s="135"/>
      <c r="F492" s="135"/>
      <c r="G492" s="135"/>
      <c r="H492" s="135"/>
      <c r="I492" s="135"/>
      <c r="J492" s="100"/>
      <c r="K492" s="101"/>
      <c r="L492" s="101"/>
      <c r="M492" s="101"/>
      <c r="N492" s="141"/>
      <c r="O492" s="142"/>
      <c r="P492" s="142"/>
      <c r="Q492" s="143"/>
      <c r="R492" s="134"/>
      <c r="S492" s="134"/>
      <c r="T492" s="134"/>
      <c r="U492" s="134"/>
      <c r="V492" s="134"/>
    </row>
    <row r="493" spans="3:22" ht="12.75" customHeight="1" thickBot="1">
      <c r="C493" s="97"/>
      <c r="D493" s="99"/>
      <c r="E493" s="135"/>
      <c r="F493" s="135"/>
      <c r="G493" s="135"/>
      <c r="H493" s="135"/>
      <c r="I493" s="135"/>
      <c r="J493" s="100"/>
      <c r="K493" s="101"/>
      <c r="L493" s="101"/>
      <c r="M493" s="101"/>
      <c r="N493" s="141"/>
      <c r="O493" s="142"/>
      <c r="P493" s="142"/>
      <c r="Q493" s="143"/>
      <c r="R493" s="134"/>
      <c r="S493" s="134"/>
      <c r="T493" s="134"/>
      <c r="U493" s="134"/>
      <c r="V493" s="134"/>
    </row>
    <row r="494" spans="3:22" ht="12.75" customHeight="1">
      <c r="C494" s="90" t="s">
        <v>402</v>
      </c>
      <c r="D494" s="91" t="s">
        <v>403</v>
      </c>
      <c r="E494" s="91"/>
      <c r="F494" s="91"/>
      <c r="G494" s="91"/>
      <c r="H494" s="91"/>
      <c r="I494" s="91"/>
      <c r="J494" s="114"/>
      <c r="K494" s="94"/>
      <c r="L494" s="94"/>
      <c r="M494" s="94"/>
      <c r="N494" s="147"/>
      <c r="O494" s="148"/>
      <c r="P494" s="148"/>
      <c r="Q494" s="133"/>
      <c r="R494" s="134"/>
      <c r="S494" s="134"/>
      <c r="T494" s="134"/>
      <c r="U494" s="134"/>
      <c r="V494" s="134"/>
    </row>
    <row r="495" spans="3:22" ht="12.75" customHeight="1">
      <c r="C495" s="97">
        <v>1</v>
      </c>
      <c r="D495" s="99" t="s">
        <v>404</v>
      </c>
      <c r="E495" s="99"/>
      <c r="F495" s="99"/>
      <c r="G495" s="99"/>
      <c r="H495" s="99"/>
      <c r="I495" s="149"/>
      <c r="J495" s="101" t="s">
        <v>277</v>
      </c>
      <c r="K495" s="101">
        <f>COUNT('BOD-Cold &amp; Amb.'!E10:E405)</f>
        <v>320</v>
      </c>
      <c r="L495" s="150">
        <f>Q495*0.9</f>
        <v>6750</v>
      </c>
      <c r="M495" s="101">
        <f>L495*K495</f>
        <v>2160000</v>
      </c>
      <c r="N495" s="103">
        <f>Q495*0.1</f>
        <v>750</v>
      </c>
      <c r="O495" s="104">
        <f>K495*N495</f>
        <v>240000</v>
      </c>
      <c r="P495" s="104">
        <v>7500</v>
      </c>
      <c r="Q495" s="151">
        <v>7500</v>
      </c>
      <c r="R495" s="831" t="s">
        <v>405</v>
      </c>
      <c r="S495" s="134">
        <f>COUNT('BOD-Cold &amp; Amb.'!N10:N225)</f>
        <v>176</v>
      </c>
      <c r="T495" s="134"/>
      <c r="U495" s="134"/>
      <c r="V495" s="134"/>
    </row>
    <row r="496" spans="3:22" ht="12.75" customHeight="1">
      <c r="C496" s="97"/>
      <c r="D496" s="99" t="s">
        <v>406</v>
      </c>
      <c r="E496" s="99"/>
      <c r="F496" s="99"/>
      <c r="G496" s="99"/>
      <c r="H496" s="99"/>
      <c r="I496" s="149"/>
      <c r="J496" s="101"/>
      <c r="K496" s="101"/>
      <c r="L496" s="100"/>
      <c r="M496" s="101"/>
      <c r="N496" s="103"/>
      <c r="O496" s="104"/>
      <c r="P496" s="104"/>
      <c r="R496" s="134"/>
      <c r="S496" s="134"/>
      <c r="T496" s="134"/>
      <c r="U496" s="134"/>
      <c r="V496" s="134"/>
    </row>
    <row r="497" spans="3:22" ht="12.75" customHeight="1">
      <c r="C497" s="97">
        <v>2</v>
      </c>
      <c r="D497" s="99" t="s">
        <v>407</v>
      </c>
      <c r="E497" s="99"/>
      <c r="F497" s="99"/>
      <c r="G497" s="99"/>
      <c r="H497" s="99"/>
      <c r="I497" s="149"/>
      <c r="J497" s="101" t="s">
        <v>277</v>
      </c>
      <c r="K497" s="101">
        <f>E39+E66+E81+E96+E111+E126+E141+E156+E171+E186+E201+E216+E231+E246+E261+E276+E291+E306+E321</f>
        <v>59</v>
      </c>
      <c r="L497" s="150">
        <f>Q497*0.9</f>
        <v>6750</v>
      </c>
      <c r="M497" s="101">
        <f>L497*K497</f>
        <v>398250</v>
      </c>
      <c r="N497" s="103">
        <f>Q497*0.1</f>
        <v>750</v>
      </c>
      <c r="O497" s="104">
        <f>K497*N497</f>
        <v>44250</v>
      </c>
      <c r="P497" s="104">
        <v>7500</v>
      </c>
      <c r="Q497" s="151">
        <v>7500</v>
      </c>
      <c r="R497" s="134"/>
      <c r="S497" s="134"/>
      <c r="T497" s="134"/>
      <c r="U497" s="134"/>
      <c r="V497" s="134"/>
    </row>
    <row r="498" spans="3:22" ht="12.75" customHeight="1">
      <c r="C498" s="97"/>
      <c r="D498" s="99" t="s">
        <v>408</v>
      </c>
      <c r="E498" s="99"/>
      <c r="F498" s="99"/>
      <c r="G498" s="99"/>
      <c r="H498" s="99"/>
      <c r="I498" s="149"/>
      <c r="J498" s="101"/>
      <c r="K498" s="101"/>
      <c r="L498" s="100"/>
      <c r="M498" s="101"/>
      <c r="N498" s="103"/>
      <c r="O498" s="104"/>
      <c r="P498" s="104"/>
      <c r="R498" s="134"/>
      <c r="S498" s="134"/>
      <c r="T498" s="134"/>
      <c r="U498" s="134"/>
      <c r="V498" s="134"/>
    </row>
    <row r="499" spans="3:22" ht="12.75" customHeight="1">
      <c r="C499" s="97">
        <v>3</v>
      </c>
      <c r="D499" s="99" t="s">
        <v>409</v>
      </c>
      <c r="E499" s="99"/>
      <c r="F499" s="99"/>
      <c r="G499" s="99"/>
      <c r="H499" s="99"/>
      <c r="I499" s="149"/>
      <c r="J499" s="101" t="s">
        <v>277</v>
      </c>
      <c r="K499" s="101">
        <f>K497+K495</f>
        <v>379</v>
      </c>
      <c r="L499" s="150">
        <f>Q499*0.9</f>
        <v>3600</v>
      </c>
      <c r="M499" s="101">
        <f>L499*K499</f>
        <v>1364400</v>
      </c>
      <c r="N499" s="103">
        <f>Q499*0.1</f>
        <v>400</v>
      </c>
      <c r="O499" s="104">
        <f>K499*N499</f>
        <v>151600</v>
      </c>
      <c r="P499" s="104">
        <v>4000</v>
      </c>
      <c r="Q499" s="151">
        <v>4000</v>
      </c>
      <c r="R499" s="134"/>
      <c r="S499" s="134"/>
      <c r="T499" s="134"/>
      <c r="U499" s="134"/>
      <c r="V499" s="134"/>
    </row>
    <row r="500" spans="3:22" ht="12.75" customHeight="1" thickBot="1">
      <c r="C500" s="107"/>
      <c r="D500" s="152" t="s">
        <v>410</v>
      </c>
      <c r="E500" s="152"/>
      <c r="F500" s="152"/>
      <c r="G500" s="152"/>
      <c r="H500" s="152"/>
      <c r="I500" s="153"/>
      <c r="J500" s="109"/>
      <c r="K500" s="109"/>
      <c r="L500" s="108"/>
      <c r="M500" s="109"/>
      <c r="N500" s="111"/>
      <c r="O500" s="112"/>
      <c r="P500" s="112"/>
      <c r="Q500" s="151">
        <v>4000</v>
      </c>
      <c r="R500" s="134"/>
      <c r="S500" s="134"/>
      <c r="T500" s="134"/>
      <c r="U500" s="134"/>
      <c r="V500" s="134"/>
    </row>
    <row r="501" spans="3:22" ht="12.75" customHeight="1">
      <c r="C501" s="97">
        <v>4</v>
      </c>
      <c r="D501" s="151" t="s">
        <v>411</v>
      </c>
      <c r="E501" s="99"/>
      <c r="F501" s="99"/>
      <c r="G501" s="99"/>
      <c r="H501" s="99"/>
      <c r="I501" s="99"/>
      <c r="J501" s="100" t="s">
        <v>277</v>
      </c>
      <c r="K501" s="101">
        <f>COUNT('BOD-Cold &amp; Amb.'!N10:N405)</f>
        <v>304</v>
      </c>
      <c r="L501" s="102">
        <f>Q501*0.9</f>
        <v>67500</v>
      </c>
      <c r="M501" s="101">
        <f>L501*K501</f>
        <v>20520000</v>
      </c>
      <c r="N501" s="103">
        <f>Q501*0.1</f>
        <v>7500</v>
      </c>
      <c r="O501" s="104">
        <f>K501*N501</f>
        <v>2280000</v>
      </c>
      <c r="P501" s="104">
        <v>75000</v>
      </c>
      <c r="Q501" s="116">
        <v>75000</v>
      </c>
      <c r="R501" s="105"/>
      <c r="S501" s="105"/>
      <c r="T501" s="105"/>
      <c r="U501" s="105"/>
      <c r="V501" s="105"/>
    </row>
    <row r="502" spans="3:22" ht="12.75" customHeight="1">
      <c r="C502" s="97"/>
      <c r="D502" s="151" t="s">
        <v>412</v>
      </c>
      <c r="E502" s="99"/>
      <c r="F502" s="99"/>
      <c r="G502" s="99"/>
      <c r="H502" s="99"/>
      <c r="I502" s="99"/>
      <c r="J502" s="100"/>
      <c r="K502" s="101"/>
      <c r="L502" s="102"/>
      <c r="M502" s="101"/>
      <c r="N502" s="103"/>
      <c r="O502" s="104"/>
      <c r="P502" s="104"/>
      <c r="Q502" s="116"/>
      <c r="R502" s="105"/>
      <c r="S502" s="105"/>
      <c r="T502" s="105"/>
      <c r="U502" s="105"/>
      <c r="V502" s="105"/>
    </row>
    <row r="503" spans="3:22" ht="12.75" customHeight="1">
      <c r="C503" s="97"/>
      <c r="D503" s="151" t="s">
        <v>413</v>
      </c>
      <c r="E503" s="99"/>
      <c r="F503" s="99"/>
      <c r="G503" s="99"/>
      <c r="H503" s="99"/>
      <c r="I503" s="99"/>
      <c r="J503" s="100"/>
      <c r="K503" s="101"/>
      <c r="L503" s="102"/>
      <c r="M503" s="101"/>
      <c r="N503" s="103"/>
      <c r="O503" s="104"/>
      <c r="P503" s="104"/>
      <c r="Q503" s="116"/>
      <c r="R503" s="105"/>
      <c r="S503" s="151"/>
      <c r="T503" s="105"/>
      <c r="U503" s="105"/>
      <c r="V503" s="105"/>
    </row>
    <row r="504" spans="3:22" ht="12.75" customHeight="1">
      <c r="C504" s="97"/>
      <c r="D504" s="151" t="s">
        <v>414</v>
      </c>
      <c r="E504" s="99"/>
      <c r="F504" s="99"/>
      <c r="G504" s="99"/>
      <c r="H504" s="99"/>
      <c r="I504" s="99"/>
      <c r="J504" s="100"/>
      <c r="K504" s="101"/>
      <c r="L504" s="102"/>
      <c r="M504" s="101"/>
      <c r="N504" s="103"/>
      <c r="O504" s="104"/>
      <c r="P504" s="104"/>
      <c r="Q504" s="116"/>
      <c r="R504" s="105"/>
      <c r="S504" s="151"/>
      <c r="T504" s="105"/>
      <c r="U504" s="105"/>
      <c r="V504" s="105"/>
    </row>
    <row r="505" spans="3:22" ht="12.75" customHeight="1">
      <c r="C505" s="97"/>
      <c r="D505" s="151" t="s">
        <v>415</v>
      </c>
      <c r="E505" s="99"/>
      <c r="F505" s="99"/>
      <c r="G505" s="99"/>
      <c r="H505" s="99"/>
      <c r="I505" s="99"/>
      <c r="J505" s="100"/>
      <c r="K505" s="101"/>
      <c r="L505" s="102"/>
      <c r="M505" s="101"/>
      <c r="N505" s="103"/>
      <c r="O505" s="104"/>
      <c r="P505" s="104"/>
      <c r="Q505" s="116"/>
      <c r="R505" s="105"/>
      <c r="S505" s="151"/>
      <c r="T505" s="105"/>
      <c r="U505" s="105"/>
      <c r="V505" s="105"/>
    </row>
    <row r="506" spans="3:22" ht="12.75" customHeight="1">
      <c r="C506" s="97"/>
      <c r="D506" s="151" t="s">
        <v>416</v>
      </c>
      <c r="E506" s="99"/>
      <c r="F506" s="99"/>
      <c r="G506" s="99"/>
      <c r="H506" s="99"/>
      <c r="I506" s="99"/>
      <c r="J506" s="100"/>
      <c r="K506" s="101"/>
      <c r="L506" s="102"/>
      <c r="M506" s="101"/>
      <c r="N506" s="103"/>
      <c r="O506" s="104"/>
      <c r="P506" s="104"/>
      <c r="Q506" s="116"/>
      <c r="R506" s="105"/>
      <c r="S506" s="151"/>
      <c r="T506" s="105"/>
      <c r="U506" s="105"/>
      <c r="V506" s="105"/>
    </row>
    <row r="507" spans="3:22" ht="12.75" customHeight="1">
      <c r="C507" s="97"/>
      <c r="D507" s="151" t="s">
        <v>417</v>
      </c>
      <c r="E507" s="99"/>
      <c r="F507" s="99"/>
      <c r="G507" s="99"/>
      <c r="H507" s="99"/>
      <c r="I507" s="99"/>
      <c r="J507" s="100"/>
      <c r="K507" s="101"/>
      <c r="L507" s="102"/>
      <c r="M507" s="101"/>
      <c r="N507" s="103"/>
      <c r="O507" s="104"/>
      <c r="P507" s="104"/>
      <c r="Q507" s="116"/>
      <c r="R507" s="105"/>
      <c r="S507" s="151"/>
      <c r="T507" s="105"/>
      <c r="U507" s="105"/>
      <c r="V507" s="105"/>
    </row>
    <row r="508" spans="3:22" ht="12.75" customHeight="1">
      <c r="C508" s="97"/>
      <c r="D508" s="151" t="s">
        <v>418</v>
      </c>
      <c r="E508" s="99"/>
      <c r="F508" s="99"/>
      <c r="G508" s="99"/>
      <c r="H508" s="99"/>
      <c r="I508" s="99"/>
      <c r="J508" s="100"/>
      <c r="K508" s="101"/>
      <c r="L508" s="102"/>
      <c r="M508" s="101"/>
      <c r="N508" s="103"/>
      <c r="O508" s="104"/>
      <c r="P508" s="104"/>
      <c r="Q508" s="116"/>
      <c r="R508" s="105"/>
      <c r="S508" s="151"/>
      <c r="T508" s="105"/>
      <c r="U508" s="105"/>
      <c r="V508" s="105"/>
    </row>
    <row r="509" spans="3:22" ht="12.75" customHeight="1">
      <c r="C509" s="97"/>
      <c r="D509" s="151" t="s">
        <v>419</v>
      </c>
      <c r="E509" s="99"/>
      <c r="F509" s="99"/>
      <c r="G509" s="99"/>
      <c r="H509" s="99"/>
      <c r="I509" s="99"/>
      <c r="J509" s="100"/>
      <c r="K509" s="101"/>
      <c r="L509" s="102"/>
      <c r="M509" s="101"/>
      <c r="N509" s="103"/>
      <c r="O509" s="104"/>
      <c r="P509" s="104"/>
      <c r="Q509" s="116"/>
      <c r="R509" s="105"/>
      <c r="S509" s="151"/>
      <c r="T509" s="105"/>
      <c r="U509" s="105"/>
      <c r="V509" s="105"/>
    </row>
    <row r="510" spans="3:22" ht="12.75" customHeight="1">
      <c r="C510" s="97"/>
      <c r="D510" s="151" t="s">
        <v>420</v>
      </c>
      <c r="E510" s="99"/>
      <c r="F510" s="99"/>
      <c r="G510" s="99"/>
      <c r="H510" s="99"/>
      <c r="I510" s="99"/>
      <c r="J510" s="100"/>
      <c r="K510" s="101"/>
      <c r="L510" s="102"/>
      <c r="M510" s="101"/>
      <c r="N510" s="103"/>
      <c r="O510" s="104"/>
      <c r="P510" s="104"/>
      <c r="Q510" s="116"/>
      <c r="R510" s="105"/>
      <c r="S510" s="151"/>
      <c r="T510" s="105"/>
      <c r="U510" s="105"/>
      <c r="V510" s="105"/>
    </row>
    <row r="511" spans="3:22" ht="12.75" customHeight="1">
      <c r="C511" s="97"/>
      <c r="D511" s="151" t="s">
        <v>421</v>
      </c>
      <c r="E511" s="99"/>
      <c r="F511" s="99"/>
      <c r="G511" s="99"/>
      <c r="H511" s="99"/>
      <c r="I511" s="99"/>
      <c r="J511" s="100"/>
      <c r="K511" s="101"/>
      <c r="L511" s="102"/>
      <c r="M511" s="101"/>
      <c r="N511" s="103"/>
      <c r="O511" s="104"/>
      <c r="P511" s="104"/>
      <c r="Q511" s="116"/>
      <c r="R511" s="105"/>
      <c r="S511" s="151"/>
      <c r="T511" s="105"/>
      <c r="U511" s="105"/>
      <c r="V511" s="105"/>
    </row>
    <row r="512" spans="3:22" ht="12.75" customHeight="1">
      <c r="C512" s="97"/>
      <c r="D512" s="151" t="s">
        <v>422</v>
      </c>
      <c r="E512" s="99"/>
      <c r="F512" s="99"/>
      <c r="G512" s="99"/>
      <c r="H512" s="99"/>
      <c r="I512" s="99"/>
      <c r="J512" s="100"/>
      <c r="K512" s="101"/>
      <c r="L512" s="102"/>
      <c r="M512" s="101"/>
      <c r="N512" s="103"/>
      <c r="O512" s="104"/>
      <c r="P512" s="104"/>
      <c r="Q512" s="116"/>
      <c r="R512" s="105"/>
      <c r="S512" s="151"/>
      <c r="T512" s="105"/>
      <c r="U512" s="105"/>
      <c r="V512" s="105"/>
    </row>
    <row r="513" spans="3:22" ht="12.75" customHeight="1">
      <c r="C513" s="97"/>
      <c r="D513" s="151" t="s">
        <v>423</v>
      </c>
      <c r="E513" s="99"/>
      <c r="F513" s="99"/>
      <c r="G513" s="99"/>
      <c r="H513" s="99"/>
      <c r="I513" s="99"/>
      <c r="J513" s="100"/>
      <c r="K513" s="101"/>
      <c r="L513" s="102"/>
      <c r="M513" s="101"/>
      <c r="N513" s="103"/>
      <c r="O513" s="104"/>
      <c r="P513" s="104"/>
      <c r="Q513" s="116"/>
      <c r="R513" s="105"/>
      <c r="S513" s="151"/>
      <c r="T513" s="105"/>
      <c r="U513" s="105"/>
      <c r="V513" s="105"/>
    </row>
    <row r="514" spans="3:22" ht="12.75" customHeight="1">
      <c r="C514" s="97"/>
      <c r="D514" s="151" t="s">
        <v>424</v>
      </c>
      <c r="E514" s="99"/>
      <c r="F514" s="99"/>
      <c r="G514" s="99"/>
      <c r="H514" s="99"/>
      <c r="I514" s="99"/>
      <c r="J514" s="100"/>
      <c r="K514" s="101"/>
      <c r="L514" s="102"/>
      <c r="M514" s="101"/>
      <c r="N514" s="103"/>
      <c r="O514" s="104"/>
      <c r="P514" s="104"/>
      <c r="Q514" s="116"/>
      <c r="R514" s="105"/>
      <c r="S514" s="151"/>
      <c r="T514" s="105"/>
      <c r="U514" s="105"/>
      <c r="V514" s="105"/>
    </row>
    <row r="515" spans="3:22" ht="12.75" customHeight="1">
      <c r="C515" s="97"/>
      <c r="D515" s="151" t="s">
        <v>425</v>
      </c>
      <c r="E515" s="99"/>
      <c r="F515" s="99"/>
      <c r="G515" s="99"/>
      <c r="H515" s="99"/>
      <c r="I515" s="99"/>
      <c r="J515" s="100"/>
      <c r="K515" s="101"/>
      <c r="L515" s="102"/>
      <c r="M515" s="101"/>
      <c r="N515" s="103"/>
      <c r="O515" s="104"/>
      <c r="P515" s="104"/>
      <c r="Q515" s="116"/>
      <c r="R515" s="105"/>
      <c r="S515" s="151"/>
      <c r="T515" s="105"/>
      <c r="U515" s="105"/>
      <c r="V515" s="105"/>
    </row>
    <row r="516" spans="3:22" ht="12.75" customHeight="1">
      <c r="C516" s="97"/>
      <c r="D516" s="151" t="s">
        <v>426</v>
      </c>
      <c r="E516" s="99"/>
      <c r="F516" s="99"/>
      <c r="G516" s="99"/>
      <c r="H516" s="99"/>
      <c r="I516" s="99"/>
      <c r="J516" s="100"/>
      <c r="K516" s="101"/>
      <c r="L516" s="102"/>
      <c r="M516" s="101"/>
      <c r="N516" s="103"/>
      <c r="O516" s="104"/>
      <c r="P516" s="104"/>
      <c r="Q516" s="116"/>
      <c r="R516" s="105"/>
      <c r="S516" s="151"/>
      <c r="T516" s="105"/>
      <c r="U516" s="105"/>
      <c r="V516" s="105"/>
    </row>
    <row r="517" spans="3:22" ht="12.75" customHeight="1">
      <c r="C517" s="97"/>
      <c r="D517" s="151" t="s">
        <v>427</v>
      </c>
      <c r="E517" s="99"/>
      <c r="F517" s="99"/>
      <c r="G517" s="99"/>
      <c r="H517" s="99"/>
      <c r="I517" s="99"/>
      <c r="J517" s="100"/>
      <c r="K517" s="101"/>
      <c r="L517" s="102"/>
      <c r="M517" s="101"/>
      <c r="N517" s="103"/>
      <c r="O517" s="104"/>
      <c r="P517" s="104"/>
      <c r="Q517" s="116"/>
      <c r="R517" s="105"/>
      <c r="S517" s="151"/>
      <c r="T517" s="105"/>
      <c r="U517" s="105"/>
      <c r="V517" s="105"/>
    </row>
    <row r="518" spans="3:22" ht="12.75" customHeight="1">
      <c r="C518" s="97"/>
      <c r="D518" s="151" t="s">
        <v>428</v>
      </c>
      <c r="E518" s="99"/>
      <c r="F518" s="99"/>
      <c r="G518" s="99"/>
      <c r="H518" s="99"/>
      <c r="I518" s="99"/>
      <c r="J518" s="100"/>
      <c r="K518" s="101"/>
      <c r="L518" s="102"/>
      <c r="M518" s="101"/>
      <c r="N518" s="103"/>
      <c r="O518" s="104"/>
      <c r="P518" s="104"/>
      <c r="Q518" s="116"/>
      <c r="R518" s="105"/>
      <c r="S518" s="151"/>
      <c r="T518" s="105"/>
      <c r="U518" s="105"/>
      <c r="V518" s="105"/>
    </row>
    <row r="519" spans="3:22" ht="12.75" customHeight="1">
      <c r="C519" s="97">
        <v>5</v>
      </c>
      <c r="D519" s="154" t="s">
        <v>429</v>
      </c>
      <c r="E519" s="99"/>
      <c r="F519" s="99"/>
      <c r="G519" s="99"/>
      <c r="H519" s="99"/>
      <c r="I519" s="99"/>
      <c r="J519" s="100" t="s">
        <v>277</v>
      </c>
      <c r="K519" s="101">
        <f>COUNT('BOD-Cold &amp; Amb.'!N10:N405)</f>
        <v>304</v>
      </c>
      <c r="L519" s="102">
        <f>Q519*0.9</f>
        <v>45000</v>
      </c>
      <c r="M519" s="101">
        <v>0</v>
      </c>
      <c r="N519" s="103">
        <f>Q519*0.1</f>
        <v>5000</v>
      </c>
      <c r="O519" s="104">
        <v>0</v>
      </c>
      <c r="P519" s="104">
        <v>50000</v>
      </c>
      <c r="Q519" s="116">
        <v>50000</v>
      </c>
      <c r="R519" s="105"/>
      <c r="S519" s="151"/>
      <c r="T519" s="105"/>
      <c r="U519" s="105"/>
      <c r="V519" s="105"/>
    </row>
    <row r="520" spans="3:22" ht="12.75" customHeight="1">
      <c r="C520" s="97"/>
      <c r="D520" s="154" t="s">
        <v>412</v>
      </c>
      <c r="E520" s="99"/>
      <c r="F520" s="99"/>
      <c r="G520" s="99"/>
      <c r="H520" s="99"/>
      <c r="I520" s="99"/>
      <c r="J520" s="100"/>
      <c r="K520" s="101"/>
      <c r="L520" s="102"/>
      <c r="M520" s="101"/>
      <c r="N520" s="103"/>
      <c r="O520" s="104"/>
      <c r="P520" s="104"/>
      <c r="Q520" s="116"/>
      <c r="R520" s="105"/>
      <c r="S520" s="151"/>
      <c r="T520" s="105"/>
      <c r="U520" s="105"/>
      <c r="V520" s="105"/>
    </row>
    <row r="521" spans="3:22" ht="12.75" customHeight="1">
      <c r="C521" s="97"/>
      <c r="D521" s="154" t="s">
        <v>430</v>
      </c>
      <c r="E521" s="99"/>
      <c r="F521" s="99"/>
      <c r="G521" s="99"/>
      <c r="H521" s="99"/>
      <c r="I521" s="99"/>
      <c r="J521" s="100"/>
      <c r="K521" s="101"/>
      <c r="L521" s="102"/>
      <c r="M521" s="101"/>
      <c r="N521" s="103"/>
      <c r="O521" s="104"/>
      <c r="P521" s="104"/>
      <c r="Q521" s="116"/>
      <c r="R521" s="105"/>
      <c r="S521" s="154"/>
      <c r="T521" s="105"/>
      <c r="U521" s="105"/>
      <c r="V521" s="105"/>
    </row>
    <row r="522" spans="3:22" ht="12.75" customHeight="1">
      <c r="C522" s="97"/>
      <c r="D522" s="154" t="s">
        <v>413</v>
      </c>
      <c r="E522" s="99"/>
      <c r="F522" s="99"/>
      <c r="G522" s="99"/>
      <c r="H522" s="99"/>
      <c r="I522" s="99"/>
      <c r="J522" s="100"/>
      <c r="K522" s="101"/>
      <c r="L522" s="102"/>
      <c r="M522" s="101"/>
      <c r="N522" s="103"/>
      <c r="O522" s="104"/>
      <c r="P522" s="104"/>
      <c r="Q522" s="116"/>
      <c r="R522" s="105"/>
      <c r="S522" s="154"/>
      <c r="T522" s="105"/>
      <c r="U522" s="105"/>
      <c r="V522" s="105"/>
    </row>
    <row r="523" spans="3:22" ht="12.75" customHeight="1">
      <c r="C523" s="97"/>
      <c r="D523" s="154" t="s">
        <v>431</v>
      </c>
      <c r="E523" s="99"/>
      <c r="F523" s="99"/>
      <c r="G523" s="99"/>
      <c r="H523" s="99"/>
      <c r="I523" s="99"/>
      <c r="J523" s="100"/>
      <c r="K523" s="101"/>
      <c r="L523" s="102"/>
      <c r="M523" s="101"/>
      <c r="N523" s="103"/>
      <c r="O523" s="104"/>
      <c r="P523" s="104"/>
      <c r="Q523" s="116"/>
      <c r="R523" s="105"/>
      <c r="S523" s="154"/>
      <c r="T523" s="105"/>
      <c r="U523" s="105"/>
      <c r="V523" s="105"/>
    </row>
    <row r="524" spans="3:22" ht="12.75" customHeight="1">
      <c r="C524" s="97"/>
      <c r="D524" s="154" t="s">
        <v>432</v>
      </c>
      <c r="E524" s="99"/>
      <c r="F524" s="99"/>
      <c r="G524" s="99"/>
      <c r="H524" s="99"/>
      <c r="I524" s="99"/>
      <c r="J524" s="100"/>
      <c r="K524" s="101"/>
      <c r="L524" s="102"/>
      <c r="M524" s="101"/>
      <c r="N524" s="103"/>
      <c r="O524" s="104"/>
      <c r="P524" s="104"/>
      <c r="Q524" s="116"/>
      <c r="R524" s="105"/>
      <c r="S524" s="154"/>
      <c r="T524" s="105"/>
      <c r="U524" s="105"/>
      <c r="V524" s="105"/>
    </row>
    <row r="525" spans="3:22" ht="12.75" customHeight="1">
      <c r="C525" s="97"/>
      <c r="D525" s="154" t="s">
        <v>433</v>
      </c>
      <c r="E525" s="99"/>
      <c r="F525" s="99"/>
      <c r="G525" s="99"/>
      <c r="H525" s="99"/>
      <c r="I525" s="99"/>
      <c r="J525" s="100"/>
      <c r="K525" s="101"/>
      <c r="L525" s="102"/>
      <c r="M525" s="101"/>
      <c r="N525" s="103"/>
      <c r="O525" s="104"/>
      <c r="P525" s="104"/>
      <c r="Q525" s="116"/>
      <c r="R525" s="105"/>
      <c r="S525" s="154"/>
      <c r="T525" s="105"/>
      <c r="U525" s="105"/>
      <c r="V525" s="105"/>
    </row>
    <row r="526" spans="3:22" ht="12.75" customHeight="1">
      <c r="C526" s="97"/>
      <c r="D526" s="154" t="s">
        <v>434</v>
      </c>
      <c r="E526" s="99"/>
      <c r="F526" s="99"/>
      <c r="G526" s="99"/>
      <c r="H526" s="99"/>
      <c r="I526" s="99"/>
      <c r="J526" s="100"/>
      <c r="K526" s="101"/>
      <c r="L526" s="102"/>
      <c r="M526" s="101"/>
      <c r="N526" s="103"/>
      <c r="O526" s="104"/>
      <c r="P526" s="104"/>
      <c r="Q526" s="116"/>
      <c r="R526" s="105"/>
      <c r="S526" s="154"/>
      <c r="T526" s="105"/>
      <c r="U526" s="105"/>
      <c r="V526" s="105"/>
    </row>
    <row r="527" spans="3:22" ht="12.75" customHeight="1">
      <c r="C527" s="97"/>
      <c r="D527" s="154" t="s">
        <v>435</v>
      </c>
      <c r="E527" s="99"/>
      <c r="F527" s="99"/>
      <c r="G527" s="99"/>
      <c r="H527" s="99"/>
      <c r="I527" s="99"/>
      <c r="J527" s="100"/>
      <c r="K527" s="101"/>
      <c r="L527" s="102"/>
      <c r="M527" s="101"/>
      <c r="N527" s="103"/>
      <c r="O527" s="104"/>
      <c r="P527" s="104"/>
      <c r="Q527" s="116"/>
      <c r="R527" s="105"/>
      <c r="S527" s="154"/>
      <c r="T527" s="105"/>
      <c r="U527" s="105"/>
      <c r="V527" s="105"/>
    </row>
    <row r="528" spans="3:22" ht="12.75" customHeight="1">
      <c r="C528" s="97"/>
      <c r="D528" s="154" t="s">
        <v>436</v>
      </c>
      <c r="E528" s="99"/>
      <c r="F528" s="99"/>
      <c r="G528" s="99"/>
      <c r="H528" s="99"/>
      <c r="I528" s="99"/>
      <c r="J528" s="100"/>
      <c r="K528" s="101"/>
      <c r="L528" s="102"/>
      <c r="M528" s="101"/>
      <c r="N528" s="103"/>
      <c r="O528" s="104"/>
      <c r="P528" s="104"/>
      <c r="Q528" s="116"/>
      <c r="R528" s="105"/>
      <c r="S528" s="154"/>
      <c r="T528" s="105"/>
      <c r="U528" s="105"/>
      <c r="V528" s="105"/>
    </row>
    <row r="529" spans="3:22" ht="12.75" customHeight="1">
      <c r="C529" s="97"/>
      <c r="D529" s="154" t="s">
        <v>437</v>
      </c>
      <c r="E529" s="99"/>
      <c r="F529" s="99"/>
      <c r="G529" s="99"/>
      <c r="H529" s="99"/>
      <c r="I529" s="99"/>
      <c r="J529" s="100"/>
      <c r="K529" s="101"/>
      <c r="L529" s="102"/>
      <c r="M529" s="101"/>
      <c r="N529" s="103"/>
      <c r="O529" s="104"/>
      <c r="P529" s="104"/>
      <c r="Q529" s="116"/>
      <c r="R529" s="105"/>
      <c r="S529" s="154"/>
      <c r="T529" s="105"/>
      <c r="U529" s="105"/>
      <c r="V529" s="105"/>
    </row>
    <row r="530" spans="3:22" ht="12.75" customHeight="1">
      <c r="C530" s="97"/>
      <c r="D530" s="154" t="s">
        <v>438</v>
      </c>
      <c r="E530" s="99"/>
      <c r="F530" s="99"/>
      <c r="G530" s="99"/>
      <c r="H530" s="99"/>
      <c r="I530" s="99"/>
      <c r="J530" s="100"/>
      <c r="K530" s="101"/>
      <c r="L530" s="102"/>
      <c r="M530" s="101"/>
      <c r="N530" s="103"/>
      <c r="O530" s="104"/>
      <c r="P530" s="104"/>
      <c r="Q530" s="116"/>
      <c r="R530" s="105"/>
      <c r="T530" s="105"/>
      <c r="U530" s="105"/>
      <c r="V530" s="105"/>
    </row>
    <row r="531" spans="3:22" ht="12.75" customHeight="1">
      <c r="C531" s="97"/>
      <c r="D531" s="154" t="s">
        <v>439</v>
      </c>
      <c r="E531" s="99"/>
      <c r="F531" s="99"/>
      <c r="G531" s="99"/>
      <c r="H531" s="99"/>
      <c r="I531" s="99"/>
      <c r="J531" s="100"/>
      <c r="K531" s="101"/>
      <c r="L531" s="102"/>
      <c r="M531" s="101"/>
      <c r="N531" s="103"/>
      <c r="O531" s="104"/>
      <c r="P531" s="104"/>
      <c r="Q531" s="116"/>
      <c r="R531" s="105"/>
      <c r="T531" s="105"/>
      <c r="U531" s="105"/>
      <c r="V531" s="105"/>
    </row>
    <row r="532" spans="3:22" ht="12.75" customHeight="1">
      <c r="C532" s="97">
        <v>6</v>
      </c>
      <c r="D532" s="154" t="s">
        <v>440</v>
      </c>
      <c r="E532" s="99"/>
      <c r="F532" s="99"/>
      <c r="G532" s="99"/>
      <c r="H532" s="99"/>
      <c r="I532" s="99"/>
      <c r="J532" s="100" t="s">
        <v>277</v>
      </c>
      <c r="K532" s="101">
        <f>COUNT('BOD-Cold &amp; Amb.'!N10:N405)</f>
        <v>304</v>
      </c>
      <c r="L532" s="102">
        <f>Q532*0.9</f>
        <v>2700</v>
      </c>
      <c r="M532" s="101">
        <f>L532*K532</f>
        <v>820800</v>
      </c>
      <c r="N532" s="103">
        <f>Q532*0.1</f>
        <v>300</v>
      </c>
      <c r="O532" s="104">
        <f>K532*N532</f>
        <v>91200</v>
      </c>
      <c r="P532" s="104">
        <v>3000</v>
      </c>
      <c r="Q532" s="116">
        <v>3000</v>
      </c>
      <c r="R532" s="105"/>
      <c r="T532" s="105"/>
      <c r="U532" s="105"/>
      <c r="V532" s="105"/>
    </row>
    <row r="533" spans="3:22" ht="12.75" customHeight="1">
      <c r="C533" s="97"/>
      <c r="D533" s="99" t="s">
        <v>441</v>
      </c>
      <c r="E533" s="99"/>
      <c r="F533" s="99"/>
      <c r="G533" s="99"/>
      <c r="H533" s="99"/>
      <c r="I533" s="99"/>
      <c r="J533" s="100"/>
      <c r="K533" s="101"/>
      <c r="L533" s="102"/>
      <c r="M533" s="101"/>
      <c r="N533" s="103"/>
      <c r="O533" s="104"/>
      <c r="P533" s="104"/>
      <c r="Q533" s="116"/>
      <c r="R533" s="105"/>
      <c r="T533" s="105"/>
      <c r="U533" s="105"/>
      <c r="V533" s="105"/>
    </row>
    <row r="534" spans="3:22" ht="12.75" customHeight="1">
      <c r="C534" s="97"/>
      <c r="D534" s="154" t="s">
        <v>442</v>
      </c>
      <c r="E534" s="99"/>
      <c r="F534" s="99"/>
      <c r="G534" s="99"/>
      <c r="H534" s="99"/>
      <c r="I534" s="99"/>
      <c r="J534" s="100"/>
      <c r="K534" s="101"/>
      <c r="L534" s="102"/>
      <c r="M534" s="101"/>
      <c r="N534" s="103"/>
      <c r="O534" s="104"/>
      <c r="P534" s="104"/>
      <c r="Q534" s="116"/>
      <c r="R534" s="105"/>
      <c r="T534" s="105"/>
      <c r="U534" s="105"/>
      <c r="V534" s="105"/>
    </row>
    <row r="535" spans="3:22" ht="12.75" customHeight="1">
      <c r="C535" s="155" t="s">
        <v>443</v>
      </c>
      <c r="D535" s="156" t="s">
        <v>444</v>
      </c>
      <c r="E535" s="129"/>
      <c r="F535" s="129"/>
      <c r="G535" s="129"/>
      <c r="H535" s="129"/>
      <c r="I535" s="157"/>
      <c r="J535" s="120"/>
      <c r="K535" s="130"/>
      <c r="L535" s="130"/>
      <c r="M535" s="130"/>
      <c r="N535" s="131"/>
      <c r="O535" s="132"/>
      <c r="P535" s="132"/>
      <c r="Q535" s="143"/>
      <c r="R535" s="134"/>
      <c r="T535" s="134"/>
      <c r="U535" s="134"/>
      <c r="V535" s="134"/>
    </row>
    <row r="536" spans="3:22" ht="12.75" customHeight="1">
      <c r="C536" s="158">
        <v>1</v>
      </c>
      <c r="D536" s="98" t="s">
        <v>445</v>
      </c>
      <c r="E536" s="99"/>
      <c r="F536" s="99"/>
      <c r="G536" s="99"/>
      <c r="H536" s="99"/>
      <c r="I536" s="149"/>
      <c r="J536" s="100" t="s">
        <v>446</v>
      </c>
      <c r="K536" s="101">
        <v>1</v>
      </c>
      <c r="L536" s="101">
        <v>0</v>
      </c>
      <c r="M536" s="101">
        <f>L536*K536</f>
        <v>0</v>
      </c>
      <c r="N536" s="103">
        <f>Q536*1</f>
        <v>600000</v>
      </c>
      <c r="O536" s="104">
        <f>K536*N536</f>
        <v>600000</v>
      </c>
      <c r="P536" s="104">
        <v>600000</v>
      </c>
      <c r="Q536" s="116">
        <v>600000</v>
      </c>
      <c r="R536" s="105"/>
      <c r="T536" s="105"/>
      <c r="U536" s="105"/>
      <c r="V536" s="105"/>
    </row>
    <row r="537" spans="3:22" ht="12.75" customHeight="1">
      <c r="C537" s="158"/>
      <c r="D537" s="98" t="s">
        <v>447</v>
      </c>
      <c r="E537" s="99"/>
      <c r="F537" s="99"/>
      <c r="G537" s="99"/>
      <c r="H537" s="99"/>
      <c r="I537" s="149"/>
      <c r="J537" s="100"/>
      <c r="K537" s="101"/>
      <c r="L537" s="101"/>
      <c r="M537" s="103"/>
      <c r="N537" s="141"/>
      <c r="O537" s="104" t="s">
        <v>448</v>
      </c>
      <c r="P537" s="104"/>
      <c r="Q537" s="116" t="s">
        <v>448</v>
      </c>
      <c r="R537" s="105"/>
      <c r="S537" s="105"/>
      <c r="T537" s="105"/>
      <c r="U537" s="105"/>
      <c r="V537" s="105"/>
    </row>
    <row r="538" spans="3:22" ht="12.75" customHeight="1">
      <c r="C538" s="158"/>
      <c r="D538" s="98" t="s">
        <v>449</v>
      </c>
      <c r="E538" s="99"/>
      <c r="F538" s="99"/>
      <c r="G538" s="99"/>
      <c r="H538" s="99"/>
      <c r="I538" s="149"/>
      <c r="J538" s="100"/>
      <c r="K538" s="101"/>
      <c r="L538" s="101"/>
      <c r="M538" s="101"/>
      <c r="N538" s="141"/>
      <c r="O538" s="104"/>
      <c r="P538" s="104"/>
      <c r="Q538" s="116"/>
      <c r="R538" s="105"/>
      <c r="S538" s="105"/>
      <c r="T538" s="105"/>
      <c r="U538" s="105"/>
      <c r="V538" s="105"/>
    </row>
    <row r="539" spans="3:22" ht="12.75" customHeight="1">
      <c r="C539" s="159"/>
      <c r="D539" s="160" t="s">
        <v>450</v>
      </c>
      <c r="E539" s="161"/>
      <c r="F539" s="161"/>
      <c r="G539" s="161"/>
      <c r="H539" s="161"/>
      <c r="I539" s="137"/>
      <c r="J539" s="162"/>
      <c r="K539" s="137"/>
      <c r="L539" s="137"/>
      <c r="M539" s="137"/>
      <c r="N539" s="137"/>
      <c r="O539" s="163"/>
      <c r="P539" s="163"/>
      <c r="Q539" s="137"/>
    </row>
    <row r="540" spans="3:22" ht="12.75" customHeight="1">
      <c r="C540" s="164"/>
      <c r="D540" s="164"/>
      <c r="E540" s="164"/>
      <c r="F540" s="164"/>
      <c r="G540" s="164"/>
      <c r="H540" s="164"/>
      <c r="I540" s="164"/>
      <c r="J540" s="164"/>
      <c r="K540" s="164"/>
      <c r="L540" s="164"/>
      <c r="M540" s="165">
        <f>SUM(M29:M539)</f>
        <v>176837125</v>
      </c>
      <c r="N540" s="166"/>
      <c r="O540" s="165">
        <f>SUM(O29:O539)</f>
        <v>15081390</v>
      </c>
      <c r="P540" s="165"/>
    </row>
    <row r="541" spans="3:22" ht="12.75" customHeight="1">
      <c r="C541" s="161"/>
      <c r="D541" s="161"/>
      <c r="E541" s="161"/>
      <c r="F541" s="161"/>
      <c r="G541" s="161"/>
      <c r="H541" s="161"/>
      <c r="I541" s="161"/>
      <c r="J541" s="161"/>
      <c r="K541" s="161"/>
      <c r="L541" s="161"/>
      <c r="M541" s="958">
        <f>M540+O540</f>
        <v>191918515</v>
      </c>
      <c r="N541" s="959"/>
      <c r="O541" s="161"/>
    </row>
    <row r="542" spans="3:22" ht="12.75" customHeight="1">
      <c r="D542" s="960"/>
      <c r="E542" s="960"/>
      <c r="F542" s="960"/>
      <c r="G542" s="960"/>
      <c r="H542" s="960"/>
      <c r="I542" s="960"/>
      <c r="J542" s="960"/>
      <c r="K542" s="960"/>
      <c r="L542" s="960"/>
      <c r="M542" s="960"/>
      <c r="N542" s="960"/>
      <c r="O542" s="960"/>
    </row>
    <row r="543" spans="3:22" ht="12.75" customHeight="1">
      <c r="D543" s="961"/>
      <c r="E543" s="961"/>
      <c r="F543" s="961"/>
      <c r="M543" s="167"/>
      <c r="N543" s="168"/>
    </row>
    <row r="544" spans="3:22" ht="12.75" customHeight="1">
      <c r="M544" s="167"/>
      <c r="N544" s="168"/>
    </row>
    <row r="545" spans="3:14" ht="12.75" customHeight="1">
      <c r="D545" s="169"/>
      <c r="M545" s="167"/>
      <c r="N545" s="168"/>
    </row>
    <row r="546" spans="3:14" ht="12.75" customHeight="1">
      <c r="D546" s="169" t="s">
        <v>451</v>
      </c>
      <c r="M546" s="167"/>
      <c r="N546" s="168"/>
    </row>
    <row r="547" spans="3:14" ht="12.75" customHeight="1">
      <c r="C547" s="29">
        <v>1</v>
      </c>
      <c r="D547" s="99" t="s">
        <v>452</v>
      </c>
    </row>
    <row r="548" spans="3:14">
      <c r="C548" s="29">
        <v>2</v>
      </c>
      <c r="D548" s="99" t="s">
        <v>453</v>
      </c>
    </row>
    <row r="549" spans="3:14">
      <c r="C549" s="29">
        <v>3</v>
      </c>
      <c r="D549" s="99" t="s">
        <v>454</v>
      </c>
    </row>
    <row r="550" spans="3:14">
      <c r="C550" s="29">
        <v>4</v>
      </c>
      <c r="D550" s="170" t="s">
        <v>455</v>
      </c>
    </row>
    <row r="551" spans="3:14">
      <c r="C551" s="29">
        <v>7</v>
      </c>
      <c r="D551" s="99" t="s">
        <v>456</v>
      </c>
    </row>
    <row r="552" spans="3:14">
      <c r="C552" s="29">
        <v>8</v>
      </c>
      <c r="D552" s="99" t="s">
        <v>457</v>
      </c>
    </row>
    <row r="553" spans="3:14">
      <c r="C553" s="29">
        <v>9</v>
      </c>
      <c r="D553" s="99" t="s">
        <v>458</v>
      </c>
    </row>
    <row r="554" spans="3:14">
      <c r="C554" s="29">
        <v>10</v>
      </c>
      <c r="D554" s="99" t="s">
        <v>459</v>
      </c>
    </row>
    <row r="555" spans="3:14">
      <c r="C555" s="29">
        <v>11</v>
      </c>
      <c r="D555" s="99" t="s">
        <v>460</v>
      </c>
    </row>
    <row r="556" spans="3:14">
      <c r="C556" s="29">
        <v>12</v>
      </c>
      <c r="D556" s="99" t="s">
        <v>461</v>
      </c>
    </row>
    <row r="557" spans="3:14">
      <c r="C557" s="29"/>
      <c r="D557" s="99" t="s">
        <v>462</v>
      </c>
    </row>
    <row r="558" spans="3:14">
      <c r="C558" s="29">
        <v>13</v>
      </c>
      <c r="D558" s="99" t="s">
        <v>463</v>
      </c>
    </row>
    <row r="559" spans="3:14">
      <c r="C559" s="29">
        <v>14</v>
      </c>
      <c r="D559" s="99" t="s">
        <v>464</v>
      </c>
    </row>
    <row r="560" spans="3:14">
      <c r="C560" s="29">
        <v>15</v>
      </c>
      <c r="D560" s="99" t="s">
        <v>465</v>
      </c>
    </row>
    <row r="561" spans="3:5">
      <c r="C561" s="29"/>
      <c r="D561" s="99" t="s">
        <v>466</v>
      </c>
    </row>
    <row r="562" spans="3:5">
      <c r="C562" s="29">
        <v>16</v>
      </c>
      <c r="D562" s="99" t="s">
        <v>467</v>
      </c>
    </row>
    <row r="563" spans="3:5">
      <c r="C563" s="29">
        <v>17</v>
      </c>
      <c r="D563" s="99" t="s">
        <v>468</v>
      </c>
    </row>
    <row r="564" spans="3:5">
      <c r="C564" s="29">
        <v>18</v>
      </c>
      <c r="D564" s="99" t="s">
        <v>469</v>
      </c>
    </row>
    <row r="565" spans="3:5">
      <c r="C565" s="29"/>
      <c r="D565" s="99" t="s">
        <v>470</v>
      </c>
    </row>
    <row r="566" spans="3:5" ht="14.1">
      <c r="C566" s="29">
        <v>18</v>
      </c>
      <c r="D566" s="99" t="s">
        <v>471</v>
      </c>
      <c r="E566" s="171"/>
    </row>
    <row r="567" spans="3:5" ht="14.1">
      <c r="C567" s="29"/>
      <c r="D567" s="99" t="s">
        <v>472</v>
      </c>
      <c r="E567" s="171"/>
    </row>
    <row r="568" spans="3:5" ht="14.1">
      <c r="C568" s="29"/>
      <c r="D568" s="99" t="s">
        <v>473</v>
      </c>
      <c r="E568" s="171"/>
    </row>
    <row r="569" spans="3:5" ht="12.95">
      <c r="C569" s="29">
        <v>19</v>
      </c>
      <c r="D569" s="99" t="s">
        <v>474</v>
      </c>
    </row>
    <row r="570" spans="3:5">
      <c r="C570" s="29"/>
      <c r="D570" s="99" t="s">
        <v>475</v>
      </c>
    </row>
    <row r="571" spans="3:5">
      <c r="C571" s="29">
        <v>20</v>
      </c>
      <c r="D571" s="99" t="s">
        <v>476</v>
      </c>
    </row>
    <row r="572" spans="3:5">
      <c r="C572" s="29">
        <v>21</v>
      </c>
      <c r="D572" s="99" t="s">
        <v>477</v>
      </c>
    </row>
    <row r="573" spans="3:5">
      <c r="C573" s="29">
        <v>22</v>
      </c>
      <c r="D573" s="99" t="s">
        <v>478</v>
      </c>
    </row>
    <row r="574" spans="3:5">
      <c r="C574" s="29">
        <v>23</v>
      </c>
      <c r="D574" s="99" t="s">
        <v>479</v>
      </c>
    </row>
    <row r="575" spans="3:5">
      <c r="C575" s="29"/>
      <c r="D575" s="99"/>
    </row>
    <row r="576" spans="3:5">
      <c r="D576" s="99" t="s">
        <v>480</v>
      </c>
    </row>
    <row r="577" spans="4:6">
      <c r="D577" s="99" t="s">
        <v>481</v>
      </c>
    </row>
    <row r="578" spans="4:6">
      <c r="D578" s="99"/>
    </row>
    <row r="579" spans="4:6">
      <c r="F579" s="99"/>
    </row>
    <row r="580" spans="4:6">
      <c r="D580" s="99"/>
    </row>
    <row r="581" spans="4:6">
      <c r="D581" s="99"/>
    </row>
    <row r="582" spans="4:6" ht="20.100000000000001">
      <c r="D582" s="99"/>
      <c r="E582" s="172"/>
    </row>
    <row r="583" spans="4:6" ht="20.100000000000001">
      <c r="D583" s="99"/>
      <c r="E583" s="172"/>
    </row>
    <row r="584" spans="4:6" ht="20.100000000000001">
      <c r="D584" s="173"/>
      <c r="E584" s="172"/>
    </row>
    <row r="585" spans="4:6">
      <c r="D585" s="99"/>
    </row>
    <row r="586" spans="4:6" ht="12.95">
      <c r="D586" s="173"/>
    </row>
  </sheetData>
  <mergeCells count="3546">
    <mergeCell ref="AN431:AN436"/>
    <mergeCell ref="D460:I460"/>
    <mergeCell ref="M541:N541"/>
    <mergeCell ref="D542:O542"/>
    <mergeCell ref="D543:F543"/>
    <mergeCell ref="AM423:AM427"/>
    <mergeCell ref="AN423:AN427"/>
    <mergeCell ref="D427:I427"/>
    <mergeCell ref="D431:I431"/>
    <mergeCell ref="AG431:AG436"/>
    <mergeCell ref="AH431:AH436"/>
    <mergeCell ref="AI431:AI436"/>
    <mergeCell ref="AJ431:AJ436"/>
    <mergeCell ref="AK431:AK436"/>
    <mergeCell ref="AL431:AL436"/>
    <mergeCell ref="AM419:AM420"/>
    <mergeCell ref="AN419:AN420"/>
    <mergeCell ref="W421:W423"/>
    <mergeCell ref="D423:I423"/>
    <mergeCell ref="AG423:AG427"/>
    <mergeCell ref="AH423:AH427"/>
    <mergeCell ref="AI423:AI427"/>
    <mergeCell ref="AJ423:AJ427"/>
    <mergeCell ref="AK423:AK427"/>
    <mergeCell ref="AL423:AL427"/>
    <mergeCell ref="AG419:AG420"/>
    <mergeCell ref="AH419:AH420"/>
    <mergeCell ref="AI419:AI420"/>
    <mergeCell ref="AJ419:AJ420"/>
    <mergeCell ref="AK419:AK420"/>
    <mergeCell ref="AL419:AL420"/>
    <mergeCell ref="AC419:AC420"/>
    <mergeCell ref="AD419:AD420"/>
    <mergeCell ref="AE419:AE420"/>
    <mergeCell ref="AF419:AF420"/>
    <mergeCell ref="U419:U420"/>
    <mergeCell ref="V419:V420"/>
    <mergeCell ref="W419:W420"/>
    <mergeCell ref="X419:X420"/>
    <mergeCell ref="Y419:Y420"/>
    <mergeCell ref="Z419:Z420"/>
    <mergeCell ref="O419:O420"/>
    <mergeCell ref="P419:P420"/>
    <mergeCell ref="Q419:Q420"/>
    <mergeCell ref="R419:R420"/>
    <mergeCell ref="S419:S420"/>
    <mergeCell ref="T419:T420"/>
    <mergeCell ref="AM431:AM436"/>
    <mergeCell ref="C419:C420"/>
    <mergeCell ref="J419:J420"/>
    <mergeCell ref="K419:K420"/>
    <mergeCell ref="L419:L420"/>
    <mergeCell ref="M419:M420"/>
    <mergeCell ref="N419:N420"/>
    <mergeCell ref="AA419:AA420"/>
    <mergeCell ref="AB419:AB420"/>
    <mergeCell ref="AJ416:AJ417"/>
    <mergeCell ref="AK416:AK417"/>
    <mergeCell ref="AL416:AL417"/>
    <mergeCell ref="AM416:AM417"/>
    <mergeCell ref="AN416:AN417"/>
    <mergeCell ref="D418:I418"/>
    <mergeCell ref="AD416:AD417"/>
    <mergeCell ref="AE416:AE417"/>
    <mergeCell ref="AF416:AF417"/>
    <mergeCell ref="AG416:AG417"/>
    <mergeCell ref="AH416:AH417"/>
    <mergeCell ref="AI416:AI417"/>
    <mergeCell ref="X416:X417"/>
    <mergeCell ref="Y416:Y417"/>
    <mergeCell ref="Z416:Z417"/>
    <mergeCell ref="AA416:AA417"/>
    <mergeCell ref="AB416:AB417"/>
    <mergeCell ref="AC416:AC417"/>
    <mergeCell ref="R416:R417"/>
    <mergeCell ref="S416:S417"/>
    <mergeCell ref="T416:T417"/>
    <mergeCell ref="U416:U417"/>
    <mergeCell ref="V416:V417"/>
    <mergeCell ref="W416:W417"/>
    <mergeCell ref="AN414:AN415"/>
    <mergeCell ref="C416:C417"/>
    <mergeCell ref="J416:J417"/>
    <mergeCell ref="K416:K417"/>
    <mergeCell ref="L416:L417"/>
    <mergeCell ref="M416:M417"/>
    <mergeCell ref="N416:N417"/>
    <mergeCell ref="O416:O417"/>
    <mergeCell ref="P416:P417"/>
    <mergeCell ref="Q416:Q417"/>
    <mergeCell ref="AH414:AH415"/>
    <mergeCell ref="AI414:AI415"/>
    <mergeCell ref="AJ414:AJ415"/>
    <mergeCell ref="AK414:AK415"/>
    <mergeCell ref="AL414:AL415"/>
    <mergeCell ref="AM414:AM415"/>
    <mergeCell ref="AB414:AB415"/>
    <mergeCell ref="AC414:AC415"/>
    <mergeCell ref="AD414:AD415"/>
    <mergeCell ref="AE414:AE415"/>
    <mergeCell ref="AF414:AF415"/>
    <mergeCell ref="AG414:AG415"/>
    <mergeCell ref="V414:V415"/>
    <mergeCell ref="W414:W415"/>
    <mergeCell ref="X414:X415"/>
    <mergeCell ref="Y414:Y415"/>
    <mergeCell ref="Z414:Z415"/>
    <mergeCell ref="AA414:AA415"/>
    <mergeCell ref="P414:P415"/>
    <mergeCell ref="Q414:Q415"/>
    <mergeCell ref="R414:R415"/>
    <mergeCell ref="S414:S415"/>
    <mergeCell ref="T414:T415"/>
    <mergeCell ref="U414:U415"/>
    <mergeCell ref="AN411:AN412"/>
    <mergeCell ref="AX411:AX412"/>
    <mergeCell ref="D413:I413"/>
    <mergeCell ref="C414:C415"/>
    <mergeCell ref="J414:J415"/>
    <mergeCell ref="K414:K415"/>
    <mergeCell ref="L414:L415"/>
    <mergeCell ref="M414:M415"/>
    <mergeCell ref="N414:N415"/>
    <mergeCell ref="O414:O415"/>
    <mergeCell ref="AH411:AH412"/>
    <mergeCell ref="AI411:AI412"/>
    <mergeCell ref="AJ411:AJ412"/>
    <mergeCell ref="AK411:AK412"/>
    <mergeCell ref="AL411:AL412"/>
    <mergeCell ref="AM411:AM412"/>
    <mergeCell ref="AB411:AB412"/>
    <mergeCell ref="AC411:AC412"/>
    <mergeCell ref="AD411:AD412"/>
    <mergeCell ref="AE411:AE412"/>
    <mergeCell ref="AF411:AF412"/>
    <mergeCell ref="AG411:AG412"/>
    <mergeCell ref="V411:V412"/>
    <mergeCell ref="W411:W412"/>
    <mergeCell ref="X411:X412"/>
    <mergeCell ref="Y411:Y412"/>
    <mergeCell ref="Z411:Z412"/>
    <mergeCell ref="AA411:AA412"/>
    <mergeCell ref="P411:P412"/>
    <mergeCell ref="Q411:Q412"/>
    <mergeCell ref="R411:R412"/>
    <mergeCell ref="S411:S412"/>
    <mergeCell ref="T411:T412"/>
    <mergeCell ref="U411:U412"/>
    <mergeCell ref="AM409:AM410"/>
    <mergeCell ref="AN409:AN410"/>
    <mergeCell ref="AX409:AX410"/>
    <mergeCell ref="C411:C412"/>
    <mergeCell ref="J411:J412"/>
    <mergeCell ref="K411:K412"/>
    <mergeCell ref="L411:L412"/>
    <mergeCell ref="M411:M412"/>
    <mergeCell ref="N411:N412"/>
    <mergeCell ref="O411:O412"/>
    <mergeCell ref="AG409:AG410"/>
    <mergeCell ref="AH409:AH410"/>
    <mergeCell ref="AI409:AI410"/>
    <mergeCell ref="AJ409:AJ410"/>
    <mergeCell ref="AK409:AK410"/>
    <mergeCell ref="AL409:AL410"/>
    <mergeCell ref="AA409:AA410"/>
    <mergeCell ref="AB409:AB410"/>
    <mergeCell ref="AC409:AC410"/>
    <mergeCell ref="AD409:AD410"/>
    <mergeCell ref="AE409:AE410"/>
    <mergeCell ref="AF409:AF410"/>
    <mergeCell ref="U409:U410"/>
    <mergeCell ref="V409:V410"/>
    <mergeCell ref="W409:W410"/>
    <mergeCell ref="X409:X410"/>
    <mergeCell ref="Y409:Y410"/>
    <mergeCell ref="Z409:Z410"/>
    <mergeCell ref="O409:O410"/>
    <mergeCell ref="P409:P410"/>
    <mergeCell ref="Q409:Q410"/>
    <mergeCell ref="R409:R410"/>
    <mergeCell ref="S409:S410"/>
    <mergeCell ref="T409:T410"/>
    <mergeCell ref="AL405:AL406"/>
    <mergeCell ref="AM405:AM406"/>
    <mergeCell ref="AN405:AN406"/>
    <mergeCell ref="D408:I408"/>
    <mergeCell ref="C409:C410"/>
    <mergeCell ref="J409:J410"/>
    <mergeCell ref="K409:K410"/>
    <mergeCell ref="L409:L410"/>
    <mergeCell ref="M409:M410"/>
    <mergeCell ref="N409:N410"/>
    <mergeCell ref="AF405:AF406"/>
    <mergeCell ref="AG405:AG406"/>
    <mergeCell ref="AH405:AH406"/>
    <mergeCell ref="AI405:AI406"/>
    <mergeCell ref="AJ405:AJ406"/>
    <mergeCell ref="AK405:AK406"/>
    <mergeCell ref="Z405:Z406"/>
    <mergeCell ref="AA405:AA406"/>
    <mergeCell ref="AB405:AB406"/>
    <mergeCell ref="AC405:AC406"/>
    <mergeCell ref="AD405:AD406"/>
    <mergeCell ref="AE405:AE406"/>
    <mergeCell ref="T405:T406"/>
    <mergeCell ref="U405:U406"/>
    <mergeCell ref="V405:V406"/>
    <mergeCell ref="W405:W406"/>
    <mergeCell ref="X405:X406"/>
    <mergeCell ref="Y405:Y406"/>
    <mergeCell ref="N405:N406"/>
    <mergeCell ref="O405:O406"/>
    <mergeCell ref="P405:P406"/>
    <mergeCell ref="Q405:Q406"/>
    <mergeCell ref="R405:R406"/>
    <mergeCell ref="S405:S406"/>
    <mergeCell ref="AJ403:AJ404"/>
    <mergeCell ref="AK403:AK404"/>
    <mergeCell ref="AL403:AL404"/>
    <mergeCell ref="AM403:AM404"/>
    <mergeCell ref="AN403:AN404"/>
    <mergeCell ref="C405:C406"/>
    <mergeCell ref="J405:J406"/>
    <mergeCell ref="K405:K406"/>
    <mergeCell ref="L405:L406"/>
    <mergeCell ref="M405:M406"/>
    <mergeCell ref="AD403:AD404"/>
    <mergeCell ref="AE403:AE404"/>
    <mergeCell ref="AF403:AF404"/>
    <mergeCell ref="AG403:AG404"/>
    <mergeCell ref="AH403:AH404"/>
    <mergeCell ref="AI403:AI404"/>
    <mergeCell ref="X403:X404"/>
    <mergeCell ref="Y403:Y404"/>
    <mergeCell ref="Z403:Z404"/>
    <mergeCell ref="AA403:AA404"/>
    <mergeCell ref="AB403:AB404"/>
    <mergeCell ref="AC403:AC404"/>
    <mergeCell ref="R403:R404"/>
    <mergeCell ref="S403:S404"/>
    <mergeCell ref="T403:T404"/>
    <mergeCell ref="U403:U404"/>
    <mergeCell ref="V403:V404"/>
    <mergeCell ref="W403:W404"/>
    <mergeCell ref="AX401:AX402"/>
    <mergeCell ref="C403:C404"/>
    <mergeCell ref="J403:J404"/>
    <mergeCell ref="K403:K404"/>
    <mergeCell ref="L403:L404"/>
    <mergeCell ref="M403:M404"/>
    <mergeCell ref="N403:N404"/>
    <mergeCell ref="O403:O404"/>
    <mergeCell ref="P403:P404"/>
    <mergeCell ref="Q403:Q404"/>
    <mergeCell ref="AI401:AI402"/>
    <mergeCell ref="AJ401:AJ402"/>
    <mergeCell ref="AK401:AK402"/>
    <mergeCell ref="AL401:AL402"/>
    <mergeCell ref="AM401:AM402"/>
    <mergeCell ref="AN401:AN402"/>
    <mergeCell ref="AC401:AC402"/>
    <mergeCell ref="AD401:AD402"/>
    <mergeCell ref="AE401:AE402"/>
    <mergeCell ref="AF401:AF402"/>
    <mergeCell ref="AG401:AG402"/>
    <mergeCell ref="AH401:AH402"/>
    <mergeCell ref="W401:W402"/>
    <mergeCell ref="X401:X402"/>
    <mergeCell ref="Y401:Y402"/>
    <mergeCell ref="Z401:Z402"/>
    <mergeCell ref="AA401:AA402"/>
    <mergeCell ref="AB401:AB402"/>
    <mergeCell ref="Q401:Q402"/>
    <mergeCell ref="R401:R402"/>
    <mergeCell ref="S401:S402"/>
    <mergeCell ref="T401:T402"/>
    <mergeCell ref="U401:U402"/>
    <mergeCell ref="V401:V402"/>
    <mergeCell ref="AM398:AM399"/>
    <mergeCell ref="AN398:AN399"/>
    <mergeCell ref="C401:C402"/>
    <mergeCell ref="J401:J402"/>
    <mergeCell ref="K401:K402"/>
    <mergeCell ref="L401:L402"/>
    <mergeCell ref="M401:M402"/>
    <mergeCell ref="N401:N402"/>
    <mergeCell ref="O401:O402"/>
    <mergeCell ref="P401:P402"/>
    <mergeCell ref="AG398:AG399"/>
    <mergeCell ref="AH398:AH399"/>
    <mergeCell ref="AI398:AI399"/>
    <mergeCell ref="AJ398:AJ399"/>
    <mergeCell ref="AK398:AK399"/>
    <mergeCell ref="AL398:AL399"/>
    <mergeCell ref="AA398:AA399"/>
    <mergeCell ref="AB398:AB399"/>
    <mergeCell ref="AC398:AC399"/>
    <mergeCell ref="AD398:AD399"/>
    <mergeCell ref="AE398:AE399"/>
    <mergeCell ref="AF398:AF399"/>
    <mergeCell ref="U398:U399"/>
    <mergeCell ref="V398:V399"/>
    <mergeCell ref="W398:W399"/>
    <mergeCell ref="X398:X399"/>
    <mergeCell ref="Y398:Y399"/>
    <mergeCell ref="Z398:Z399"/>
    <mergeCell ref="O398:O399"/>
    <mergeCell ref="P398:P399"/>
    <mergeCell ref="Q398:Q399"/>
    <mergeCell ref="R398:R399"/>
    <mergeCell ref="S398:S399"/>
    <mergeCell ref="T398:T399"/>
    <mergeCell ref="AL396:AL397"/>
    <mergeCell ref="AM396:AM397"/>
    <mergeCell ref="AN396:AN397"/>
    <mergeCell ref="AX396:AX397"/>
    <mergeCell ref="C398:C399"/>
    <mergeCell ref="J398:J399"/>
    <mergeCell ref="K398:K399"/>
    <mergeCell ref="L398:L399"/>
    <mergeCell ref="M398:M399"/>
    <mergeCell ref="N398:N399"/>
    <mergeCell ref="AF396:AF397"/>
    <mergeCell ref="AG396:AG397"/>
    <mergeCell ref="AH396:AH397"/>
    <mergeCell ref="AI396:AI397"/>
    <mergeCell ref="AJ396:AJ397"/>
    <mergeCell ref="AK396:AK397"/>
    <mergeCell ref="Z396:Z397"/>
    <mergeCell ref="AA396:AA397"/>
    <mergeCell ref="AB396:AB397"/>
    <mergeCell ref="AC396:AC397"/>
    <mergeCell ref="AD396:AD397"/>
    <mergeCell ref="AE396:AE397"/>
    <mergeCell ref="T396:T397"/>
    <mergeCell ref="U396:U397"/>
    <mergeCell ref="V396:V397"/>
    <mergeCell ref="W396:W397"/>
    <mergeCell ref="X396:X397"/>
    <mergeCell ref="Y396:Y397"/>
    <mergeCell ref="N396:N397"/>
    <mergeCell ref="O396:O397"/>
    <mergeCell ref="P396:P397"/>
    <mergeCell ref="Q396:Q397"/>
    <mergeCell ref="R396:R397"/>
    <mergeCell ref="S396:S397"/>
    <mergeCell ref="M379:M393"/>
    <mergeCell ref="N379:N393"/>
    <mergeCell ref="O379:O393"/>
    <mergeCell ref="P379:P393"/>
    <mergeCell ref="D394:I394"/>
    <mergeCell ref="C396:C397"/>
    <mergeCell ref="J396:J397"/>
    <mergeCell ref="K396:K397"/>
    <mergeCell ref="L396:L397"/>
    <mergeCell ref="M396:M397"/>
    <mergeCell ref="C378:C393"/>
    <mergeCell ref="D378:I378"/>
    <mergeCell ref="D379:I393"/>
    <mergeCell ref="J379:J393"/>
    <mergeCell ref="K379:K393"/>
    <mergeCell ref="L379:L393"/>
    <mergeCell ref="AJ375:AJ376"/>
    <mergeCell ref="AK375:AK376"/>
    <mergeCell ref="AL375:AL376"/>
    <mergeCell ref="AM375:AM376"/>
    <mergeCell ref="AN375:AN376"/>
    <mergeCell ref="AX375:AX376"/>
    <mergeCell ref="AD375:AD376"/>
    <mergeCell ref="AE375:AE376"/>
    <mergeCell ref="AF375:AF376"/>
    <mergeCell ref="AG375:AG376"/>
    <mergeCell ref="AH375:AH376"/>
    <mergeCell ref="AI375:AI376"/>
    <mergeCell ref="X375:X376"/>
    <mergeCell ref="Y375:Y376"/>
    <mergeCell ref="Z375:Z376"/>
    <mergeCell ref="AA375:AA376"/>
    <mergeCell ref="AB375:AB376"/>
    <mergeCell ref="AC375:AC376"/>
    <mergeCell ref="R375:R376"/>
    <mergeCell ref="S375:S376"/>
    <mergeCell ref="T375:T376"/>
    <mergeCell ref="U375:U376"/>
    <mergeCell ref="V375:V376"/>
    <mergeCell ref="W375:W376"/>
    <mergeCell ref="AX373:AX374"/>
    <mergeCell ref="C375:C376"/>
    <mergeCell ref="J375:J376"/>
    <mergeCell ref="K375:K376"/>
    <mergeCell ref="L375:L376"/>
    <mergeCell ref="M375:M376"/>
    <mergeCell ref="N375:N376"/>
    <mergeCell ref="O375:O376"/>
    <mergeCell ref="P375:P376"/>
    <mergeCell ref="Q375:Q376"/>
    <mergeCell ref="AI373:AI374"/>
    <mergeCell ref="AJ373:AJ374"/>
    <mergeCell ref="AK373:AK374"/>
    <mergeCell ref="AL373:AL374"/>
    <mergeCell ref="AM373:AM374"/>
    <mergeCell ref="AN373:AN374"/>
    <mergeCell ref="AC373:AC374"/>
    <mergeCell ref="AD373:AD374"/>
    <mergeCell ref="AE373:AE374"/>
    <mergeCell ref="AF373:AF374"/>
    <mergeCell ref="AG373:AG374"/>
    <mergeCell ref="AH373:AH374"/>
    <mergeCell ref="W373:W374"/>
    <mergeCell ref="X373:X374"/>
    <mergeCell ref="Y373:Y374"/>
    <mergeCell ref="Z373:Z374"/>
    <mergeCell ref="AA373:AA374"/>
    <mergeCell ref="AB373:AB374"/>
    <mergeCell ref="Q373:Q374"/>
    <mergeCell ref="R373:R374"/>
    <mergeCell ref="S373:S374"/>
    <mergeCell ref="T373:T374"/>
    <mergeCell ref="U373:U374"/>
    <mergeCell ref="V373:V374"/>
    <mergeCell ref="AX370:AX371"/>
    <mergeCell ref="D372:I372"/>
    <mergeCell ref="C373:C374"/>
    <mergeCell ref="J373:J374"/>
    <mergeCell ref="K373:K374"/>
    <mergeCell ref="L373:L374"/>
    <mergeCell ref="M373:M374"/>
    <mergeCell ref="N373:N374"/>
    <mergeCell ref="O373:O374"/>
    <mergeCell ref="P373:P374"/>
    <mergeCell ref="AI370:AI371"/>
    <mergeCell ref="AJ370:AJ371"/>
    <mergeCell ref="AK370:AK371"/>
    <mergeCell ref="AL370:AL371"/>
    <mergeCell ref="AM370:AM371"/>
    <mergeCell ref="AN370:AN371"/>
    <mergeCell ref="AC370:AC371"/>
    <mergeCell ref="AD370:AD371"/>
    <mergeCell ref="AE370:AE371"/>
    <mergeCell ref="AF370:AF371"/>
    <mergeCell ref="AG370:AG371"/>
    <mergeCell ref="AH370:AH371"/>
    <mergeCell ref="W370:W371"/>
    <mergeCell ref="X370:X371"/>
    <mergeCell ref="Y370:Y371"/>
    <mergeCell ref="Z370:Z371"/>
    <mergeCell ref="AA370:AA371"/>
    <mergeCell ref="AB370:AB371"/>
    <mergeCell ref="Q370:Q371"/>
    <mergeCell ref="R370:R371"/>
    <mergeCell ref="S370:S371"/>
    <mergeCell ref="T370:T371"/>
    <mergeCell ref="U370:U371"/>
    <mergeCell ref="V370:V371"/>
    <mergeCell ref="AN368:AN369"/>
    <mergeCell ref="AX368:AX369"/>
    <mergeCell ref="C370:C371"/>
    <mergeCell ref="J370:J371"/>
    <mergeCell ref="K370:K371"/>
    <mergeCell ref="L370:L371"/>
    <mergeCell ref="M370:M371"/>
    <mergeCell ref="N370:N371"/>
    <mergeCell ref="O370:O371"/>
    <mergeCell ref="P370:P371"/>
    <mergeCell ref="AH368:AH369"/>
    <mergeCell ref="AI368:AI369"/>
    <mergeCell ref="AJ368:AJ369"/>
    <mergeCell ref="AK368:AK369"/>
    <mergeCell ref="AL368:AL369"/>
    <mergeCell ref="AM368:AM369"/>
    <mergeCell ref="AB368:AB369"/>
    <mergeCell ref="AC368:AC369"/>
    <mergeCell ref="AD368:AD369"/>
    <mergeCell ref="AE368:AE369"/>
    <mergeCell ref="AF368:AF369"/>
    <mergeCell ref="AG368:AG369"/>
    <mergeCell ref="AN365:AN366"/>
    <mergeCell ref="C368:C369"/>
    <mergeCell ref="J368:J369"/>
    <mergeCell ref="K368:K369"/>
    <mergeCell ref="L368:L369"/>
    <mergeCell ref="M368:M369"/>
    <mergeCell ref="N368:N369"/>
    <mergeCell ref="O368:O369"/>
    <mergeCell ref="AF365:AF366"/>
    <mergeCell ref="AG365:AG366"/>
    <mergeCell ref="AH365:AH366"/>
    <mergeCell ref="AI365:AI366"/>
    <mergeCell ref="AJ365:AJ366"/>
    <mergeCell ref="AK365:AK366"/>
    <mergeCell ref="Z365:Z366"/>
    <mergeCell ref="AA365:AA366"/>
    <mergeCell ref="AB365:AB366"/>
    <mergeCell ref="AC365:AC366"/>
    <mergeCell ref="U365:U366"/>
    <mergeCell ref="V365:V366"/>
    <mergeCell ref="W365:W366"/>
    <mergeCell ref="X365:X366"/>
    <mergeCell ref="Y365:Y366"/>
    <mergeCell ref="N365:N366"/>
    <mergeCell ref="O365:O366"/>
    <mergeCell ref="P365:P366"/>
    <mergeCell ref="Q365:Q366"/>
    <mergeCell ref="R365:R366"/>
    <mergeCell ref="S365:S366"/>
    <mergeCell ref="C365:C366"/>
    <mergeCell ref="J365:J366"/>
    <mergeCell ref="K365:K366"/>
    <mergeCell ref="AK363:AK364"/>
    <mergeCell ref="AL363:AL364"/>
    <mergeCell ref="AM363:AM364"/>
    <mergeCell ref="V368:V369"/>
    <mergeCell ref="W368:W369"/>
    <mergeCell ref="X368:X369"/>
    <mergeCell ref="Y368:Y369"/>
    <mergeCell ref="Z368:Z369"/>
    <mergeCell ref="AA368:AA369"/>
    <mergeCell ref="P368:P369"/>
    <mergeCell ref="Q368:Q369"/>
    <mergeCell ref="R368:R369"/>
    <mergeCell ref="S368:S369"/>
    <mergeCell ref="T368:T369"/>
    <mergeCell ref="U368:U369"/>
    <mergeCell ref="AL365:AL366"/>
    <mergeCell ref="AM365:AM366"/>
    <mergeCell ref="L365:L366"/>
    <mergeCell ref="M365:M366"/>
    <mergeCell ref="AE363:AE364"/>
    <mergeCell ref="AF363:AF364"/>
    <mergeCell ref="AG363:AG364"/>
    <mergeCell ref="AH363:AH364"/>
    <mergeCell ref="AI363:AI364"/>
    <mergeCell ref="AJ363:AJ364"/>
    <mergeCell ref="Y363:Y364"/>
    <mergeCell ref="Z363:Z364"/>
    <mergeCell ref="AA363:AA364"/>
    <mergeCell ref="AB363:AB364"/>
    <mergeCell ref="AC363:AC364"/>
    <mergeCell ref="AD363:AD364"/>
    <mergeCell ref="S363:S364"/>
    <mergeCell ref="T363:T364"/>
    <mergeCell ref="U363:U364"/>
    <mergeCell ref="V363:V364"/>
    <mergeCell ref="W363:W364"/>
    <mergeCell ref="X363:X364"/>
    <mergeCell ref="M363:M364"/>
    <mergeCell ref="N363:N364"/>
    <mergeCell ref="O363:O364"/>
    <mergeCell ref="P363:P364"/>
    <mergeCell ref="Q363:Q364"/>
    <mergeCell ref="R363:R364"/>
    <mergeCell ref="AD365:AD366"/>
    <mergeCell ref="AE365:AE366"/>
    <mergeCell ref="T365:T366"/>
    <mergeCell ref="C363:C364"/>
    <mergeCell ref="J363:J364"/>
    <mergeCell ref="K363:K364"/>
    <mergeCell ref="L363:L364"/>
    <mergeCell ref="AK346:AK347"/>
    <mergeCell ref="AL346:AL347"/>
    <mergeCell ref="AM346:AM347"/>
    <mergeCell ref="AN346:AN347"/>
    <mergeCell ref="AX346:AX347"/>
    <mergeCell ref="D349:I349"/>
    <mergeCell ref="AE346:AE347"/>
    <mergeCell ref="AF346:AF347"/>
    <mergeCell ref="AG346:AG347"/>
    <mergeCell ref="AH346:AH347"/>
    <mergeCell ref="AI346:AI347"/>
    <mergeCell ref="AJ346:AJ347"/>
    <mergeCell ref="Y346:Y347"/>
    <mergeCell ref="Z346:Z347"/>
    <mergeCell ref="AA346:AA347"/>
    <mergeCell ref="AB346:AB347"/>
    <mergeCell ref="AC346:AC347"/>
    <mergeCell ref="AD346:AD347"/>
    <mergeCell ref="S346:S347"/>
    <mergeCell ref="T346:T347"/>
    <mergeCell ref="U346:U347"/>
    <mergeCell ref="V346:V347"/>
    <mergeCell ref="W346:W347"/>
    <mergeCell ref="X346:X347"/>
    <mergeCell ref="M346:M347"/>
    <mergeCell ref="N346:N347"/>
    <mergeCell ref="AN363:AN364"/>
    <mergeCell ref="AX363:AX364"/>
    <mergeCell ref="AN328:AN329"/>
    <mergeCell ref="AC328:AC329"/>
    <mergeCell ref="AD328:AD329"/>
    <mergeCell ref="AE328:AE329"/>
    <mergeCell ref="AF328:AF329"/>
    <mergeCell ref="AG328:AG329"/>
    <mergeCell ref="AH328:AH329"/>
    <mergeCell ref="W328:W329"/>
    <mergeCell ref="X328:X329"/>
    <mergeCell ref="Y328:Y329"/>
    <mergeCell ref="Z328:Z329"/>
    <mergeCell ref="AA328:AA329"/>
    <mergeCell ref="AB328:AB329"/>
    <mergeCell ref="O317:O329"/>
    <mergeCell ref="P317:P329"/>
    <mergeCell ref="D350:I360"/>
    <mergeCell ref="D361:I361"/>
    <mergeCell ref="AC326:AC327"/>
    <mergeCell ref="AD326:AD327"/>
    <mergeCell ref="O346:O347"/>
    <mergeCell ref="P346:P347"/>
    <mergeCell ref="Q346:Q347"/>
    <mergeCell ref="R346:R347"/>
    <mergeCell ref="D333:I333"/>
    <mergeCell ref="D334:I344"/>
    <mergeCell ref="AN326:AN327"/>
    <mergeCell ref="AG326:AG327"/>
    <mergeCell ref="AH326:AH327"/>
    <mergeCell ref="AI326:AI327"/>
    <mergeCell ref="AJ326:AJ327"/>
    <mergeCell ref="Y326:Y327"/>
    <mergeCell ref="Z326:Z327"/>
    <mergeCell ref="C346:C347"/>
    <mergeCell ref="J346:J347"/>
    <mergeCell ref="K346:K347"/>
    <mergeCell ref="L346:L347"/>
    <mergeCell ref="AI328:AI329"/>
    <mergeCell ref="AJ328:AJ329"/>
    <mergeCell ref="AK328:AK329"/>
    <mergeCell ref="AL328:AL329"/>
    <mergeCell ref="AM328:AM329"/>
    <mergeCell ref="AE323:AE324"/>
    <mergeCell ref="AF323:AF324"/>
    <mergeCell ref="U323:U324"/>
    <mergeCell ref="V323:V324"/>
    <mergeCell ref="W323:W324"/>
    <mergeCell ref="X323:X324"/>
    <mergeCell ref="Y323:Y324"/>
    <mergeCell ref="Z323:Z324"/>
    <mergeCell ref="Q323:Q324"/>
    <mergeCell ref="R323:R324"/>
    <mergeCell ref="S323:S324"/>
    <mergeCell ref="T323:T324"/>
    <mergeCell ref="AK326:AK327"/>
    <mergeCell ref="AL326:AL327"/>
    <mergeCell ref="AM326:AM327"/>
    <mergeCell ref="Q328:Q329"/>
    <mergeCell ref="R328:R329"/>
    <mergeCell ref="S328:S329"/>
    <mergeCell ref="T328:T329"/>
    <mergeCell ref="U328:U329"/>
    <mergeCell ref="V328:V329"/>
    <mergeCell ref="AE326:AE327"/>
    <mergeCell ref="AF326:AF327"/>
    <mergeCell ref="AA326:AA327"/>
    <mergeCell ref="AB326:AB327"/>
    <mergeCell ref="AC321:AC322"/>
    <mergeCell ref="AD321:AD322"/>
    <mergeCell ref="AE321:AE322"/>
    <mergeCell ref="AF321:AF322"/>
    <mergeCell ref="AG321:AG322"/>
    <mergeCell ref="AH321:AH322"/>
    <mergeCell ref="W321:W322"/>
    <mergeCell ref="X321:X322"/>
    <mergeCell ref="Y321:Y322"/>
    <mergeCell ref="Z321:Z322"/>
    <mergeCell ref="AA321:AA322"/>
    <mergeCell ref="AB321:AB322"/>
    <mergeCell ref="AM323:AM324"/>
    <mergeCell ref="AN323:AN324"/>
    <mergeCell ref="Q326:Q327"/>
    <mergeCell ref="R326:R327"/>
    <mergeCell ref="S326:S327"/>
    <mergeCell ref="T326:T327"/>
    <mergeCell ref="U326:U327"/>
    <mergeCell ref="V326:V327"/>
    <mergeCell ref="W326:W327"/>
    <mergeCell ref="X326:X327"/>
    <mergeCell ref="AG323:AG324"/>
    <mergeCell ref="AH323:AH324"/>
    <mergeCell ref="AI323:AI324"/>
    <mergeCell ref="AJ323:AJ324"/>
    <mergeCell ref="AK323:AK324"/>
    <mergeCell ref="AL323:AL324"/>
    <mergeCell ref="AA323:AA324"/>
    <mergeCell ref="AB323:AB324"/>
    <mergeCell ref="AC323:AC324"/>
    <mergeCell ref="AD323:AD324"/>
    <mergeCell ref="Q317:Q318"/>
    <mergeCell ref="R317:R318"/>
    <mergeCell ref="S317:S318"/>
    <mergeCell ref="T317:T318"/>
    <mergeCell ref="AK319:AK320"/>
    <mergeCell ref="AL319:AL320"/>
    <mergeCell ref="AM319:AM320"/>
    <mergeCell ref="AN319:AN320"/>
    <mergeCell ref="Q321:Q322"/>
    <mergeCell ref="R321:R322"/>
    <mergeCell ref="S321:S322"/>
    <mergeCell ref="T321:T322"/>
    <mergeCell ref="U321:U322"/>
    <mergeCell ref="V321:V322"/>
    <mergeCell ref="AE319:AE320"/>
    <mergeCell ref="AF319:AF320"/>
    <mergeCell ref="AG319:AG320"/>
    <mergeCell ref="AH319:AH320"/>
    <mergeCell ref="AI319:AI320"/>
    <mergeCell ref="AJ319:AJ320"/>
    <mergeCell ref="Y319:Y320"/>
    <mergeCell ref="Z319:Z320"/>
    <mergeCell ref="AA319:AA320"/>
    <mergeCell ref="AB319:AB320"/>
    <mergeCell ref="AC319:AC320"/>
    <mergeCell ref="AD319:AD320"/>
    <mergeCell ref="AI321:AI322"/>
    <mergeCell ref="AJ321:AJ322"/>
    <mergeCell ref="AK321:AK322"/>
    <mergeCell ref="AL321:AL322"/>
    <mergeCell ref="AM321:AM322"/>
    <mergeCell ref="AN321:AN322"/>
    <mergeCell ref="R319:R320"/>
    <mergeCell ref="S319:S320"/>
    <mergeCell ref="T319:T320"/>
    <mergeCell ref="U319:U320"/>
    <mergeCell ref="V319:V320"/>
    <mergeCell ref="W319:W320"/>
    <mergeCell ref="X319:X320"/>
    <mergeCell ref="AG317:AG318"/>
    <mergeCell ref="AH317:AH318"/>
    <mergeCell ref="AI317:AI318"/>
    <mergeCell ref="AJ317:AJ318"/>
    <mergeCell ref="AK317:AK318"/>
    <mergeCell ref="AL317:AL318"/>
    <mergeCell ref="AA317:AA318"/>
    <mergeCell ref="AB317:AB318"/>
    <mergeCell ref="AC317:AC318"/>
    <mergeCell ref="AD317:AD318"/>
    <mergeCell ref="AE317:AE318"/>
    <mergeCell ref="AF317:AF318"/>
    <mergeCell ref="U317:U318"/>
    <mergeCell ref="V317:V318"/>
    <mergeCell ref="W317:W318"/>
    <mergeCell ref="X317:X318"/>
    <mergeCell ref="Y317:Y318"/>
    <mergeCell ref="Z317:Z318"/>
    <mergeCell ref="AC311:AC312"/>
    <mergeCell ref="AD311:AD312"/>
    <mergeCell ref="D316:I316"/>
    <mergeCell ref="J317:J329"/>
    <mergeCell ref="K317:K329"/>
    <mergeCell ref="L317:L329"/>
    <mergeCell ref="M317:M329"/>
    <mergeCell ref="N317:N329"/>
    <mergeCell ref="D322:I322"/>
    <mergeCell ref="AI313:AI314"/>
    <mergeCell ref="AJ313:AJ314"/>
    <mergeCell ref="AK313:AK314"/>
    <mergeCell ref="AL313:AL314"/>
    <mergeCell ref="AM313:AM314"/>
    <mergeCell ref="AN313:AN314"/>
    <mergeCell ref="AC313:AC314"/>
    <mergeCell ref="AD313:AD314"/>
    <mergeCell ref="AE313:AE314"/>
    <mergeCell ref="AF313:AF314"/>
    <mergeCell ref="AG313:AG314"/>
    <mergeCell ref="AH313:AH314"/>
    <mergeCell ref="W313:W314"/>
    <mergeCell ref="X313:X314"/>
    <mergeCell ref="Y313:Y314"/>
    <mergeCell ref="Z313:Z314"/>
    <mergeCell ref="AA313:AA314"/>
    <mergeCell ref="AB313:AB314"/>
    <mergeCell ref="O302:O314"/>
    <mergeCell ref="P302:P314"/>
    <mergeCell ref="AM317:AM318"/>
    <mergeCell ref="AN317:AN318"/>
    <mergeCell ref="Q319:Q320"/>
    <mergeCell ref="AE308:AE309"/>
    <mergeCell ref="AF308:AF309"/>
    <mergeCell ref="U308:U309"/>
    <mergeCell ref="V308:V309"/>
    <mergeCell ref="W308:W309"/>
    <mergeCell ref="X308:X309"/>
    <mergeCell ref="Y308:Y309"/>
    <mergeCell ref="Z308:Z309"/>
    <mergeCell ref="Q308:Q309"/>
    <mergeCell ref="R308:R309"/>
    <mergeCell ref="S308:S309"/>
    <mergeCell ref="T308:T309"/>
    <mergeCell ref="AK311:AK312"/>
    <mergeCell ref="AL311:AL312"/>
    <mergeCell ref="AM311:AM312"/>
    <mergeCell ref="AN311:AN312"/>
    <mergeCell ref="Q313:Q314"/>
    <mergeCell ref="R313:R314"/>
    <mergeCell ref="S313:S314"/>
    <mergeCell ref="T313:T314"/>
    <mergeCell ref="U313:U314"/>
    <mergeCell ref="V313:V314"/>
    <mergeCell ref="AE311:AE312"/>
    <mergeCell ref="AF311:AF312"/>
    <mergeCell ref="AG311:AG312"/>
    <mergeCell ref="AH311:AH312"/>
    <mergeCell ref="AI311:AI312"/>
    <mergeCell ref="AJ311:AJ312"/>
    <mergeCell ref="Y311:Y312"/>
    <mergeCell ref="Z311:Z312"/>
    <mergeCell ref="AA311:AA312"/>
    <mergeCell ref="AB311:AB312"/>
    <mergeCell ref="AC306:AC307"/>
    <mergeCell ref="AD306:AD307"/>
    <mergeCell ref="AE306:AE307"/>
    <mergeCell ref="AF306:AF307"/>
    <mergeCell ref="AG306:AG307"/>
    <mergeCell ref="AH306:AH307"/>
    <mergeCell ref="W306:W307"/>
    <mergeCell ref="X306:X307"/>
    <mergeCell ref="Y306:Y307"/>
    <mergeCell ref="Z306:Z307"/>
    <mergeCell ref="AA306:AA307"/>
    <mergeCell ref="AB306:AB307"/>
    <mergeCell ref="AM308:AM309"/>
    <mergeCell ref="AN308:AN309"/>
    <mergeCell ref="Q311:Q312"/>
    <mergeCell ref="R311:R312"/>
    <mergeCell ref="S311:S312"/>
    <mergeCell ref="T311:T312"/>
    <mergeCell ref="U311:U312"/>
    <mergeCell ref="V311:V312"/>
    <mergeCell ref="W311:W312"/>
    <mergeCell ref="X311:X312"/>
    <mergeCell ref="AG308:AG309"/>
    <mergeCell ref="AH308:AH309"/>
    <mergeCell ref="AI308:AI309"/>
    <mergeCell ref="AJ308:AJ309"/>
    <mergeCell ref="AK308:AK309"/>
    <mergeCell ref="AL308:AL309"/>
    <mergeCell ref="AA308:AA309"/>
    <mergeCell ref="AB308:AB309"/>
    <mergeCell ref="AC308:AC309"/>
    <mergeCell ref="AD308:AD309"/>
    <mergeCell ref="Q302:Q303"/>
    <mergeCell ref="R302:R303"/>
    <mergeCell ref="S302:S303"/>
    <mergeCell ref="T302:T303"/>
    <mergeCell ref="AK304:AK305"/>
    <mergeCell ref="AL304:AL305"/>
    <mergeCell ref="AM304:AM305"/>
    <mergeCell ref="AN304:AN305"/>
    <mergeCell ref="Q306:Q307"/>
    <mergeCell ref="R306:R307"/>
    <mergeCell ref="S306:S307"/>
    <mergeCell ref="T306:T307"/>
    <mergeCell ref="U306:U307"/>
    <mergeCell ref="V306:V307"/>
    <mergeCell ref="AE304:AE305"/>
    <mergeCell ref="AF304:AF305"/>
    <mergeCell ref="AG304:AG305"/>
    <mergeCell ref="AH304:AH305"/>
    <mergeCell ref="AI304:AI305"/>
    <mergeCell ref="AJ304:AJ305"/>
    <mergeCell ref="Y304:Y305"/>
    <mergeCell ref="Z304:Z305"/>
    <mergeCell ref="AA304:AA305"/>
    <mergeCell ref="AB304:AB305"/>
    <mergeCell ref="AC304:AC305"/>
    <mergeCell ref="AD304:AD305"/>
    <mergeCell ref="AI306:AI307"/>
    <mergeCell ref="AJ306:AJ307"/>
    <mergeCell ref="AK306:AK307"/>
    <mergeCell ref="AL306:AL307"/>
    <mergeCell ref="AM306:AM307"/>
    <mergeCell ref="AN306:AN307"/>
    <mergeCell ref="R304:R305"/>
    <mergeCell ref="S304:S305"/>
    <mergeCell ref="T304:T305"/>
    <mergeCell ref="U304:U305"/>
    <mergeCell ref="V304:V305"/>
    <mergeCell ref="W304:W305"/>
    <mergeCell ref="X304:X305"/>
    <mergeCell ref="AG302:AG303"/>
    <mergeCell ref="AH302:AH303"/>
    <mergeCell ref="AI302:AI303"/>
    <mergeCell ref="AJ302:AJ303"/>
    <mergeCell ref="AK302:AK303"/>
    <mergeCell ref="AL302:AL303"/>
    <mergeCell ref="AA302:AA303"/>
    <mergeCell ref="AB302:AB303"/>
    <mergeCell ref="AC302:AC303"/>
    <mergeCell ref="AD302:AD303"/>
    <mergeCell ref="AE302:AE303"/>
    <mergeCell ref="AF302:AF303"/>
    <mergeCell ref="U302:U303"/>
    <mergeCell ref="V302:V303"/>
    <mergeCell ref="W302:W303"/>
    <mergeCell ref="X302:X303"/>
    <mergeCell ref="Y302:Y303"/>
    <mergeCell ref="Z302:Z303"/>
    <mergeCell ref="AC296:AC297"/>
    <mergeCell ref="AD296:AD297"/>
    <mergeCell ref="D301:I301"/>
    <mergeCell ref="J302:J314"/>
    <mergeCell ref="K302:K314"/>
    <mergeCell ref="L302:L314"/>
    <mergeCell ref="M302:M314"/>
    <mergeCell ref="N302:N314"/>
    <mergeCell ref="D307:I307"/>
    <mergeCell ref="AI298:AI299"/>
    <mergeCell ref="AJ298:AJ299"/>
    <mergeCell ref="AK298:AK299"/>
    <mergeCell ref="AL298:AL299"/>
    <mergeCell ref="AM298:AM299"/>
    <mergeCell ref="AN298:AN299"/>
    <mergeCell ref="AC298:AC299"/>
    <mergeCell ref="AD298:AD299"/>
    <mergeCell ref="AE298:AE299"/>
    <mergeCell ref="AF298:AF299"/>
    <mergeCell ref="AG298:AG299"/>
    <mergeCell ref="AH298:AH299"/>
    <mergeCell ref="W298:W299"/>
    <mergeCell ref="X298:X299"/>
    <mergeCell ref="Y298:Y299"/>
    <mergeCell ref="Z298:Z299"/>
    <mergeCell ref="AA298:AA299"/>
    <mergeCell ref="AB298:AB299"/>
    <mergeCell ref="O287:O299"/>
    <mergeCell ref="P287:P299"/>
    <mergeCell ref="AM302:AM303"/>
    <mergeCell ref="AN302:AN303"/>
    <mergeCell ref="Q304:Q305"/>
    <mergeCell ref="AE293:AE294"/>
    <mergeCell ref="AF293:AF294"/>
    <mergeCell ref="U293:U294"/>
    <mergeCell ref="V293:V294"/>
    <mergeCell ref="W293:W294"/>
    <mergeCell ref="X293:X294"/>
    <mergeCell ref="Y293:Y294"/>
    <mergeCell ref="Z293:Z294"/>
    <mergeCell ref="Q293:Q294"/>
    <mergeCell ref="R293:R294"/>
    <mergeCell ref="S293:S294"/>
    <mergeCell ref="T293:T294"/>
    <mergeCell ref="AK296:AK297"/>
    <mergeCell ref="AL296:AL297"/>
    <mergeCell ref="AM296:AM297"/>
    <mergeCell ref="AN296:AN297"/>
    <mergeCell ref="Q298:Q299"/>
    <mergeCell ref="R298:R299"/>
    <mergeCell ref="S298:S299"/>
    <mergeCell ref="T298:T299"/>
    <mergeCell ref="U298:U299"/>
    <mergeCell ref="V298:V299"/>
    <mergeCell ref="AE296:AE297"/>
    <mergeCell ref="AF296:AF297"/>
    <mergeCell ref="AG296:AG297"/>
    <mergeCell ref="AH296:AH297"/>
    <mergeCell ref="AI296:AI297"/>
    <mergeCell ref="AJ296:AJ297"/>
    <mergeCell ref="Y296:Y297"/>
    <mergeCell ref="Z296:Z297"/>
    <mergeCell ref="AA296:AA297"/>
    <mergeCell ref="AB296:AB297"/>
    <mergeCell ref="AC291:AC292"/>
    <mergeCell ref="AD291:AD292"/>
    <mergeCell ref="AE291:AE292"/>
    <mergeCell ref="AF291:AF292"/>
    <mergeCell ref="AG291:AG292"/>
    <mergeCell ref="AH291:AH292"/>
    <mergeCell ref="W291:W292"/>
    <mergeCell ref="X291:X292"/>
    <mergeCell ref="Y291:Y292"/>
    <mergeCell ref="Z291:Z292"/>
    <mergeCell ref="AA291:AA292"/>
    <mergeCell ref="AB291:AB292"/>
    <mergeCell ref="AM293:AM294"/>
    <mergeCell ref="AN293:AN294"/>
    <mergeCell ref="Q296:Q297"/>
    <mergeCell ref="R296:R297"/>
    <mergeCell ref="S296:S297"/>
    <mergeCell ref="T296:T297"/>
    <mergeCell ref="U296:U297"/>
    <mergeCell ref="V296:V297"/>
    <mergeCell ref="W296:W297"/>
    <mergeCell ref="X296:X297"/>
    <mergeCell ref="AG293:AG294"/>
    <mergeCell ref="AH293:AH294"/>
    <mergeCell ref="AI293:AI294"/>
    <mergeCell ref="AJ293:AJ294"/>
    <mergeCell ref="AK293:AK294"/>
    <mergeCell ref="AL293:AL294"/>
    <mergeCell ref="AA293:AA294"/>
    <mergeCell ref="AB293:AB294"/>
    <mergeCell ref="AC293:AC294"/>
    <mergeCell ref="AD293:AD294"/>
    <mergeCell ref="Q287:Q288"/>
    <mergeCell ref="R287:R288"/>
    <mergeCell ref="S287:S288"/>
    <mergeCell ref="T287:T288"/>
    <mergeCell ref="AK289:AK290"/>
    <mergeCell ref="AL289:AL290"/>
    <mergeCell ref="AM289:AM290"/>
    <mergeCell ref="AN289:AN290"/>
    <mergeCell ref="Q291:Q292"/>
    <mergeCell ref="R291:R292"/>
    <mergeCell ref="S291:S292"/>
    <mergeCell ref="T291:T292"/>
    <mergeCell ref="U291:U292"/>
    <mergeCell ref="V291:V292"/>
    <mergeCell ref="AE289:AE290"/>
    <mergeCell ref="AF289:AF290"/>
    <mergeCell ref="AG289:AG290"/>
    <mergeCell ref="AH289:AH290"/>
    <mergeCell ref="AI289:AI290"/>
    <mergeCell ref="AJ289:AJ290"/>
    <mergeCell ref="Y289:Y290"/>
    <mergeCell ref="Z289:Z290"/>
    <mergeCell ref="AA289:AA290"/>
    <mergeCell ref="AB289:AB290"/>
    <mergeCell ref="AC289:AC290"/>
    <mergeCell ref="AD289:AD290"/>
    <mergeCell ref="AI291:AI292"/>
    <mergeCell ref="AJ291:AJ292"/>
    <mergeCell ref="AK291:AK292"/>
    <mergeCell ref="AL291:AL292"/>
    <mergeCell ref="AM291:AM292"/>
    <mergeCell ref="AN291:AN292"/>
    <mergeCell ref="R289:R290"/>
    <mergeCell ref="S289:S290"/>
    <mergeCell ref="T289:T290"/>
    <mergeCell ref="U289:U290"/>
    <mergeCell ref="V289:V290"/>
    <mergeCell ref="W289:W290"/>
    <mergeCell ref="X289:X290"/>
    <mergeCell ref="AG287:AG288"/>
    <mergeCell ref="AH287:AH288"/>
    <mergeCell ref="AI287:AI288"/>
    <mergeCell ref="AJ287:AJ288"/>
    <mergeCell ref="AK287:AK288"/>
    <mergeCell ref="AL287:AL288"/>
    <mergeCell ref="AA287:AA288"/>
    <mergeCell ref="AB287:AB288"/>
    <mergeCell ref="AC287:AC288"/>
    <mergeCell ref="AD287:AD288"/>
    <mergeCell ref="AE287:AE288"/>
    <mergeCell ref="AF287:AF288"/>
    <mergeCell ref="U287:U288"/>
    <mergeCell ref="V287:V288"/>
    <mergeCell ref="W287:W288"/>
    <mergeCell ref="X287:X288"/>
    <mergeCell ref="Y287:Y288"/>
    <mergeCell ref="Z287:Z288"/>
    <mergeCell ref="AC281:AC282"/>
    <mergeCell ref="AD281:AD282"/>
    <mergeCell ref="D286:I286"/>
    <mergeCell ref="J287:J299"/>
    <mergeCell ref="K287:K299"/>
    <mergeCell ref="L287:L299"/>
    <mergeCell ref="M287:M299"/>
    <mergeCell ref="N287:N299"/>
    <mergeCell ref="D292:I292"/>
    <mergeCell ref="AI283:AI284"/>
    <mergeCell ref="AJ283:AJ284"/>
    <mergeCell ref="AK283:AK284"/>
    <mergeCell ref="AL283:AL284"/>
    <mergeCell ref="AM283:AM284"/>
    <mergeCell ref="AN283:AN284"/>
    <mergeCell ref="AC283:AC284"/>
    <mergeCell ref="AD283:AD284"/>
    <mergeCell ref="AE283:AE284"/>
    <mergeCell ref="AF283:AF284"/>
    <mergeCell ref="AG283:AG284"/>
    <mergeCell ref="AH283:AH284"/>
    <mergeCell ref="W283:W284"/>
    <mergeCell ref="X283:X284"/>
    <mergeCell ref="Y283:Y284"/>
    <mergeCell ref="Z283:Z284"/>
    <mergeCell ref="AA283:AA284"/>
    <mergeCell ref="AB283:AB284"/>
    <mergeCell ref="O272:O284"/>
    <mergeCell ref="P272:P284"/>
    <mergeCell ref="AM287:AM288"/>
    <mergeCell ref="AN287:AN288"/>
    <mergeCell ref="Q289:Q290"/>
    <mergeCell ref="AE278:AE279"/>
    <mergeCell ref="AF278:AF279"/>
    <mergeCell ref="U278:U279"/>
    <mergeCell ref="V278:V279"/>
    <mergeCell ref="W278:W279"/>
    <mergeCell ref="X278:X279"/>
    <mergeCell ref="Y278:Y279"/>
    <mergeCell ref="Z278:Z279"/>
    <mergeCell ref="Q278:Q279"/>
    <mergeCell ref="R278:R279"/>
    <mergeCell ref="S278:S279"/>
    <mergeCell ref="T278:T279"/>
    <mergeCell ref="AK281:AK282"/>
    <mergeCell ref="AL281:AL282"/>
    <mergeCell ref="AM281:AM282"/>
    <mergeCell ref="AN281:AN282"/>
    <mergeCell ref="Q283:Q284"/>
    <mergeCell ref="R283:R284"/>
    <mergeCell ref="S283:S284"/>
    <mergeCell ref="T283:T284"/>
    <mergeCell ref="U283:U284"/>
    <mergeCell ref="V283:V284"/>
    <mergeCell ref="AE281:AE282"/>
    <mergeCell ref="AF281:AF282"/>
    <mergeCell ref="AG281:AG282"/>
    <mergeCell ref="AH281:AH282"/>
    <mergeCell ref="AI281:AI282"/>
    <mergeCell ref="AJ281:AJ282"/>
    <mergeCell ref="Y281:Y282"/>
    <mergeCell ref="Z281:Z282"/>
    <mergeCell ref="AA281:AA282"/>
    <mergeCell ref="AB281:AB282"/>
    <mergeCell ref="AC276:AC277"/>
    <mergeCell ref="AD276:AD277"/>
    <mergeCell ref="AE276:AE277"/>
    <mergeCell ref="AF276:AF277"/>
    <mergeCell ref="AG276:AG277"/>
    <mergeCell ref="AH276:AH277"/>
    <mergeCell ref="W276:W277"/>
    <mergeCell ref="X276:X277"/>
    <mergeCell ref="Y276:Y277"/>
    <mergeCell ref="Z276:Z277"/>
    <mergeCell ref="AA276:AA277"/>
    <mergeCell ref="AB276:AB277"/>
    <mergeCell ref="AM278:AM279"/>
    <mergeCell ref="AN278:AN279"/>
    <mergeCell ref="Q281:Q282"/>
    <mergeCell ref="R281:R282"/>
    <mergeCell ref="S281:S282"/>
    <mergeCell ref="T281:T282"/>
    <mergeCell ref="U281:U282"/>
    <mergeCell ref="V281:V282"/>
    <mergeCell ref="W281:W282"/>
    <mergeCell ref="X281:X282"/>
    <mergeCell ref="AG278:AG279"/>
    <mergeCell ref="AH278:AH279"/>
    <mergeCell ref="AI278:AI279"/>
    <mergeCell ref="AJ278:AJ279"/>
    <mergeCell ref="AK278:AK279"/>
    <mergeCell ref="AL278:AL279"/>
    <mergeCell ref="AA278:AA279"/>
    <mergeCell ref="AB278:AB279"/>
    <mergeCell ref="AC278:AC279"/>
    <mergeCell ref="AD278:AD279"/>
    <mergeCell ref="Q272:Q273"/>
    <mergeCell ref="R272:R273"/>
    <mergeCell ref="S272:S273"/>
    <mergeCell ref="T272:T273"/>
    <mergeCell ref="AK274:AK275"/>
    <mergeCell ref="AL274:AL275"/>
    <mergeCell ref="AM274:AM275"/>
    <mergeCell ref="AN274:AN275"/>
    <mergeCell ref="Q276:Q277"/>
    <mergeCell ref="R276:R277"/>
    <mergeCell ref="S276:S277"/>
    <mergeCell ref="T276:T277"/>
    <mergeCell ref="U276:U277"/>
    <mergeCell ref="V276:V277"/>
    <mergeCell ref="AE274:AE275"/>
    <mergeCell ref="AF274:AF275"/>
    <mergeCell ref="AG274:AG275"/>
    <mergeCell ref="AH274:AH275"/>
    <mergeCell ref="AI274:AI275"/>
    <mergeCell ref="AJ274:AJ275"/>
    <mergeCell ref="Y274:Y275"/>
    <mergeCell ref="Z274:Z275"/>
    <mergeCell ref="AA274:AA275"/>
    <mergeCell ref="AB274:AB275"/>
    <mergeCell ref="AC274:AC275"/>
    <mergeCell ref="AD274:AD275"/>
    <mergeCell ref="AI276:AI277"/>
    <mergeCell ref="AJ276:AJ277"/>
    <mergeCell ref="AK276:AK277"/>
    <mergeCell ref="AL276:AL277"/>
    <mergeCell ref="AM276:AM277"/>
    <mergeCell ref="AN276:AN277"/>
    <mergeCell ref="R274:R275"/>
    <mergeCell ref="S274:S275"/>
    <mergeCell ref="T274:T275"/>
    <mergeCell ref="U274:U275"/>
    <mergeCell ref="V274:V275"/>
    <mergeCell ref="W274:W275"/>
    <mergeCell ref="X274:X275"/>
    <mergeCell ref="AG272:AG273"/>
    <mergeCell ref="AH272:AH273"/>
    <mergeCell ref="AI272:AI273"/>
    <mergeCell ref="AJ272:AJ273"/>
    <mergeCell ref="AK272:AK273"/>
    <mergeCell ref="AL272:AL273"/>
    <mergeCell ref="AA272:AA273"/>
    <mergeCell ref="AB272:AB273"/>
    <mergeCell ref="AC272:AC273"/>
    <mergeCell ref="AD272:AD273"/>
    <mergeCell ref="AE272:AE273"/>
    <mergeCell ref="AF272:AF273"/>
    <mergeCell ref="U272:U273"/>
    <mergeCell ref="V272:V273"/>
    <mergeCell ref="W272:W273"/>
    <mergeCell ref="X272:X273"/>
    <mergeCell ref="Y272:Y273"/>
    <mergeCell ref="Z272:Z273"/>
    <mergeCell ref="AC266:AC267"/>
    <mergeCell ref="AD266:AD267"/>
    <mergeCell ref="D271:I271"/>
    <mergeCell ref="J272:J284"/>
    <mergeCell ref="K272:K284"/>
    <mergeCell ref="L272:L284"/>
    <mergeCell ref="M272:M284"/>
    <mergeCell ref="N272:N284"/>
    <mergeCell ref="D277:I277"/>
    <mergeCell ref="AI268:AI269"/>
    <mergeCell ref="AJ268:AJ269"/>
    <mergeCell ref="AK268:AK269"/>
    <mergeCell ref="AL268:AL269"/>
    <mergeCell ref="AM268:AM269"/>
    <mergeCell ref="AN268:AN269"/>
    <mergeCell ref="AC268:AC269"/>
    <mergeCell ref="AD268:AD269"/>
    <mergeCell ref="AE268:AE269"/>
    <mergeCell ref="AF268:AF269"/>
    <mergeCell ref="AG268:AG269"/>
    <mergeCell ref="AH268:AH269"/>
    <mergeCell ref="W268:W269"/>
    <mergeCell ref="X268:X269"/>
    <mergeCell ref="Y268:Y269"/>
    <mergeCell ref="Z268:Z269"/>
    <mergeCell ref="AA268:AA269"/>
    <mergeCell ref="AB268:AB269"/>
    <mergeCell ref="O257:O269"/>
    <mergeCell ref="P257:P269"/>
    <mergeCell ref="AM272:AM273"/>
    <mergeCell ref="AN272:AN273"/>
    <mergeCell ref="Q274:Q275"/>
    <mergeCell ref="AE263:AE264"/>
    <mergeCell ref="AF263:AF264"/>
    <mergeCell ref="U263:U264"/>
    <mergeCell ref="V263:V264"/>
    <mergeCell ref="W263:W264"/>
    <mergeCell ref="X263:X264"/>
    <mergeCell ref="Y263:Y264"/>
    <mergeCell ref="Z263:Z264"/>
    <mergeCell ref="Q263:Q264"/>
    <mergeCell ref="R263:R264"/>
    <mergeCell ref="S263:S264"/>
    <mergeCell ref="T263:T264"/>
    <mergeCell ref="AK266:AK267"/>
    <mergeCell ref="AL266:AL267"/>
    <mergeCell ref="AM266:AM267"/>
    <mergeCell ref="AN266:AN267"/>
    <mergeCell ref="Q268:Q269"/>
    <mergeCell ref="R268:R269"/>
    <mergeCell ref="S268:S269"/>
    <mergeCell ref="T268:T269"/>
    <mergeCell ref="U268:U269"/>
    <mergeCell ref="V268:V269"/>
    <mergeCell ref="AE266:AE267"/>
    <mergeCell ref="AF266:AF267"/>
    <mergeCell ref="AG266:AG267"/>
    <mergeCell ref="AH266:AH267"/>
    <mergeCell ref="AI266:AI267"/>
    <mergeCell ref="AJ266:AJ267"/>
    <mergeCell ref="Y266:Y267"/>
    <mergeCell ref="Z266:Z267"/>
    <mergeCell ref="AA266:AA267"/>
    <mergeCell ref="AB266:AB267"/>
    <mergeCell ref="AC261:AC262"/>
    <mergeCell ref="AD261:AD262"/>
    <mergeCell ref="AE261:AE262"/>
    <mergeCell ref="AF261:AF262"/>
    <mergeCell ref="AG261:AG262"/>
    <mergeCell ref="AH261:AH262"/>
    <mergeCell ref="W261:W262"/>
    <mergeCell ref="X261:X262"/>
    <mergeCell ref="Y261:Y262"/>
    <mergeCell ref="Z261:Z262"/>
    <mergeCell ref="AA261:AA262"/>
    <mergeCell ref="AB261:AB262"/>
    <mergeCell ref="AM263:AM264"/>
    <mergeCell ref="AN263:AN264"/>
    <mergeCell ref="Q266:Q267"/>
    <mergeCell ref="R266:R267"/>
    <mergeCell ref="S266:S267"/>
    <mergeCell ref="T266:T267"/>
    <mergeCell ref="U266:U267"/>
    <mergeCell ref="V266:V267"/>
    <mergeCell ref="W266:W267"/>
    <mergeCell ref="X266:X267"/>
    <mergeCell ref="AG263:AG264"/>
    <mergeCell ref="AH263:AH264"/>
    <mergeCell ref="AI263:AI264"/>
    <mergeCell ref="AJ263:AJ264"/>
    <mergeCell ref="AK263:AK264"/>
    <mergeCell ref="AL263:AL264"/>
    <mergeCell ref="AA263:AA264"/>
    <mergeCell ref="AB263:AB264"/>
    <mergeCell ref="AC263:AC264"/>
    <mergeCell ref="AD263:AD264"/>
    <mergeCell ref="Q257:Q258"/>
    <mergeCell ref="R257:R258"/>
    <mergeCell ref="S257:S258"/>
    <mergeCell ref="T257:T258"/>
    <mergeCell ref="AK259:AK260"/>
    <mergeCell ref="AL259:AL260"/>
    <mergeCell ref="AM259:AM260"/>
    <mergeCell ref="AN259:AN260"/>
    <mergeCell ref="Q261:Q262"/>
    <mergeCell ref="R261:R262"/>
    <mergeCell ref="S261:S262"/>
    <mergeCell ref="T261:T262"/>
    <mergeCell ref="U261:U262"/>
    <mergeCell ref="V261:V262"/>
    <mergeCell ref="AE259:AE260"/>
    <mergeCell ref="AF259:AF260"/>
    <mergeCell ref="AG259:AG260"/>
    <mergeCell ref="AH259:AH260"/>
    <mergeCell ref="AI259:AI260"/>
    <mergeCell ref="AJ259:AJ260"/>
    <mergeCell ref="Y259:Y260"/>
    <mergeCell ref="Z259:Z260"/>
    <mergeCell ref="AA259:AA260"/>
    <mergeCell ref="AB259:AB260"/>
    <mergeCell ref="AC259:AC260"/>
    <mergeCell ref="AD259:AD260"/>
    <mergeCell ref="AI261:AI262"/>
    <mergeCell ref="AJ261:AJ262"/>
    <mergeCell ref="AK261:AK262"/>
    <mergeCell ref="AL261:AL262"/>
    <mergeCell ref="AM261:AM262"/>
    <mergeCell ref="AN261:AN262"/>
    <mergeCell ref="V259:V260"/>
    <mergeCell ref="W259:W260"/>
    <mergeCell ref="X259:X260"/>
    <mergeCell ref="AG257:AG258"/>
    <mergeCell ref="AH257:AH258"/>
    <mergeCell ref="AI257:AI258"/>
    <mergeCell ref="AJ257:AJ258"/>
    <mergeCell ref="AK257:AK258"/>
    <mergeCell ref="AL257:AL258"/>
    <mergeCell ref="AA257:AA258"/>
    <mergeCell ref="AB257:AB258"/>
    <mergeCell ref="AC257:AC258"/>
    <mergeCell ref="AD257:AD258"/>
    <mergeCell ref="AE257:AE258"/>
    <mergeCell ref="AF257:AF258"/>
    <mergeCell ref="U257:U258"/>
    <mergeCell ref="V257:V258"/>
    <mergeCell ref="W257:W258"/>
    <mergeCell ref="X257:X258"/>
    <mergeCell ref="Y257:Y258"/>
    <mergeCell ref="Z257:Z258"/>
    <mergeCell ref="D256:I256"/>
    <mergeCell ref="J257:J269"/>
    <mergeCell ref="K257:K269"/>
    <mergeCell ref="L257:L269"/>
    <mergeCell ref="M257:M269"/>
    <mergeCell ref="N257:N269"/>
    <mergeCell ref="D262:I262"/>
    <mergeCell ref="AI253:AI254"/>
    <mergeCell ref="AJ253:AJ254"/>
    <mergeCell ref="AK253:AK254"/>
    <mergeCell ref="AL253:AL254"/>
    <mergeCell ref="AM253:AM254"/>
    <mergeCell ref="AN253:AN254"/>
    <mergeCell ref="AC253:AC254"/>
    <mergeCell ref="AD253:AD254"/>
    <mergeCell ref="AE253:AE254"/>
    <mergeCell ref="AF253:AF254"/>
    <mergeCell ref="AG253:AG254"/>
    <mergeCell ref="AH253:AH254"/>
    <mergeCell ref="W253:W254"/>
    <mergeCell ref="X253:X254"/>
    <mergeCell ref="Y253:Y254"/>
    <mergeCell ref="Z253:Z254"/>
    <mergeCell ref="AA253:AA254"/>
    <mergeCell ref="AB253:AB254"/>
    <mergeCell ref="AM257:AM258"/>
    <mergeCell ref="AN257:AN258"/>
    <mergeCell ref="Q259:Q260"/>
    <mergeCell ref="R259:R260"/>
    <mergeCell ref="S259:S260"/>
    <mergeCell ref="T259:T260"/>
    <mergeCell ref="U259:U260"/>
    <mergeCell ref="AN251:AN252"/>
    <mergeCell ref="Q253:Q254"/>
    <mergeCell ref="R253:R254"/>
    <mergeCell ref="S253:S254"/>
    <mergeCell ref="T253:T254"/>
    <mergeCell ref="U253:U254"/>
    <mergeCell ref="V253:V254"/>
    <mergeCell ref="AE251:AE252"/>
    <mergeCell ref="AF251:AF252"/>
    <mergeCell ref="AG251:AG252"/>
    <mergeCell ref="AH251:AH252"/>
    <mergeCell ref="AI251:AI252"/>
    <mergeCell ref="AJ251:AJ252"/>
    <mergeCell ref="Y251:Y252"/>
    <mergeCell ref="Z251:Z252"/>
    <mergeCell ref="AA251:AA252"/>
    <mergeCell ref="AB251:AB252"/>
    <mergeCell ref="AC251:AC252"/>
    <mergeCell ref="AD251:AD252"/>
    <mergeCell ref="O242:O254"/>
    <mergeCell ref="AM248:AM249"/>
    <mergeCell ref="AN248:AN249"/>
    <mergeCell ref="Q251:Q252"/>
    <mergeCell ref="R251:R252"/>
    <mergeCell ref="S251:S252"/>
    <mergeCell ref="T251:T252"/>
    <mergeCell ref="U251:U252"/>
    <mergeCell ref="V251:V252"/>
    <mergeCell ref="W251:W252"/>
    <mergeCell ref="X251:X252"/>
    <mergeCell ref="AG248:AG249"/>
    <mergeCell ref="AH248:AH249"/>
    <mergeCell ref="AI248:AI249"/>
    <mergeCell ref="AJ248:AJ249"/>
    <mergeCell ref="AK248:AK249"/>
    <mergeCell ref="AL248:AL249"/>
    <mergeCell ref="AA248:AA249"/>
    <mergeCell ref="AB248:AB249"/>
    <mergeCell ref="AC248:AC249"/>
    <mergeCell ref="AD248:AD249"/>
    <mergeCell ref="AE248:AE249"/>
    <mergeCell ref="AF248:AF249"/>
    <mergeCell ref="U248:U249"/>
    <mergeCell ref="V248:V249"/>
    <mergeCell ref="W248:W249"/>
    <mergeCell ref="X248:X249"/>
    <mergeCell ref="Y248:Y249"/>
    <mergeCell ref="Z248:Z249"/>
    <mergeCell ref="AK251:AK252"/>
    <mergeCell ref="AL251:AL252"/>
    <mergeCell ref="AM251:AM252"/>
    <mergeCell ref="AC244:AC245"/>
    <mergeCell ref="AD244:AD245"/>
    <mergeCell ref="AE244:AE245"/>
    <mergeCell ref="AJ246:AJ247"/>
    <mergeCell ref="AK246:AK247"/>
    <mergeCell ref="AL246:AL247"/>
    <mergeCell ref="AM246:AM247"/>
    <mergeCell ref="AN246:AN247"/>
    <mergeCell ref="D247:I247"/>
    <mergeCell ref="AD246:AD247"/>
    <mergeCell ref="AE246:AE247"/>
    <mergeCell ref="AF246:AF247"/>
    <mergeCell ref="AG246:AG247"/>
    <mergeCell ref="AH246:AH247"/>
    <mergeCell ref="AI246:AI247"/>
    <mergeCell ref="X246:X247"/>
    <mergeCell ref="Y246:Y247"/>
    <mergeCell ref="Z246:Z247"/>
    <mergeCell ref="AA246:AA247"/>
    <mergeCell ref="AB246:AB247"/>
    <mergeCell ref="AC246:AC247"/>
    <mergeCell ref="P242:P254"/>
    <mergeCell ref="U242:U243"/>
    <mergeCell ref="Q248:Q249"/>
    <mergeCell ref="R248:R249"/>
    <mergeCell ref="S248:S249"/>
    <mergeCell ref="T248:T249"/>
    <mergeCell ref="J242:J254"/>
    <mergeCell ref="K242:K254"/>
    <mergeCell ref="L242:L254"/>
    <mergeCell ref="M242:M254"/>
    <mergeCell ref="N242:N254"/>
    <mergeCell ref="AE242:AE243"/>
    <mergeCell ref="AF242:AF243"/>
    <mergeCell ref="AG242:AG243"/>
    <mergeCell ref="V242:V243"/>
    <mergeCell ref="W242:W243"/>
    <mergeCell ref="X242:X243"/>
    <mergeCell ref="Y242:Y243"/>
    <mergeCell ref="Z242:Z243"/>
    <mergeCell ref="AA242:AA243"/>
    <mergeCell ref="Q242:Q243"/>
    <mergeCell ref="R242:R243"/>
    <mergeCell ref="S242:S243"/>
    <mergeCell ref="T242:T243"/>
    <mergeCell ref="AL244:AL245"/>
    <mergeCell ref="AM244:AM245"/>
    <mergeCell ref="AN244:AN245"/>
    <mergeCell ref="Q246:Q247"/>
    <mergeCell ref="R246:R247"/>
    <mergeCell ref="S246:S247"/>
    <mergeCell ref="T246:T247"/>
    <mergeCell ref="U246:U247"/>
    <mergeCell ref="V246:V247"/>
    <mergeCell ref="W246:W247"/>
    <mergeCell ref="AF244:AF245"/>
    <mergeCell ref="AG244:AG245"/>
    <mergeCell ref="AH244:AH245"/>
    <mergeCell ref="AI244:AI245"/>
    <mergeCell ref="AJ244:AJ245"/>
    <mergeCell ref="AK244:AK245"/>
    <mergeCell ref="Z244:Z245"/>
    <mergeCell ref="AA244:AA245"/>
    <mergeCell ref="AB244:AB245"/>
    <mergeCell ref="D241:I241"/>
    <mergeCell ref="AD238:AD239"/>
    <mergeCell ref="AE238:AE239"/>
    <mergeCell ref="AF238:AF239"/>
    <mergeCell ref="AG238:AG239"/>
    <mergeCell ref="AH238:AH239"/>
    <mergeCell ref="AI238:AI239"/>
    <mergeCell ref="X238:X239"/>
    <mergeCell ref="Y238:Y239"/>
    <mergeCell ref="Z238:Z239"/>
    <mergeCell ref="AA238:AA239"/>
    <mergeCell ref="AB238:AB239"/>
    <mergeCell ref="AC238:AC239"/>
    <mergeCell ref="AN242:AN243"/>
    <mergeCell ref="Q244:Q245"/>
    <mergeCell ref="R244:R245"/>
    <mergeCell ref="S244:S245"/>
    <mergeCell ref="T244:T245"/>
    <mergeCell ref="U244:U245"/>
    <mergeCell ref="V244:V245"/>
    <mergeCell ref="W244:W245"/>
    <mergeCell ref="X244:X245"/>
    <mergeCell ref="Y244:Y245"/>
    <mergeCell ref="AH242:AH243"/>
    <mergeCell ref="AI242:AI243"/>
    <mergeCell ref="AJ242:AJ243"/>
    <mergeCell ref="AK242:AK243"/>
    <mergeCell ref="AL242:AL243"/>
    <mergeCell ref="AM242:AM243"/>
    <mergeCell ref="AB242:AB243"/>
    <mergeCell ref="AC242:AC243"/>
    <mergeCell ref="AD242:AD243"/>
    <mergeCell ref="AN236:AN237"/>
    <mergeCell ref="Q238:Q239"/>
    <mergeCell ref="R238:R239"/>
    <mergeCell ref="S238:S239"/>
    <mergeCell ref="T238:T239"/>
    <mergeCell ref="U238:U239"/>
    <mergeCell ref="V238:V239"/>
    <mergeCell ref="W238:W239"/>
    <mergeCell ref="AF236:AF237"/>
    <mergeCell ref="AG236:AG237"/>
    <mergeCell ref="AH236:AH237"/>
    <mergeCell ref="AI236:AI237"/>
    <mergeCell ref="AJ236:AJ237"/>
    <mergeCell ref="AK236:AK237"/>
    <mergeCell ref="Z236:Z237"/>
    <mergeCell ref="AA236:AA237"/>
    <mergeCell ref="AB236:AB237"/>
    <mergeCell ref="AC236:AC237"/>
    <mergeCell ref="AD236:AD237"/>
    <mergeCell ref="AE236:AE237"/>
    <mergeCell ref="AJ238:AJ239"/>
    <mergeCell ref="AK238:AK239"/>
    <mergeCell ref="AL238:AL239"/>
    <mergeCell ref="AM238:AM239"/>
    <mergeCell ref="AN238:AN239"/>
    <mergeCell ref="Q236:Q237"/>
    <mergeCell ref="R236:R237"/>
    <mergeCell ref="S236:S237"/>
    <mergeCell ref="T236:T237"/>
    <mergeCell ref="U236:U237"/>
    <mergeCell ref="V236:V237"/>
    <mergeCell ref="W236:W237"/>
    <mergeCell ref="X236:X237"/>
    <mergeCell ref="Y236:Y237"/>
    <mergeCell ref="AH233:AH234"/>
    <mergeCell ref="AI233:AI234"/>
    <mergeCell ref="AJ233:AJ234"/>
    <mergeCell ref="AK233:AK234"/>
    <mergeCell ref="AL233:AL234"/>
    <mergeCell ref="AM233:AM234"/>
    <mergeCell ref="AB233:AB234"/>
    <mergeCell ref="AC233:AC234"/>
    <mergeCell ref="AD233:AD234"/>
    <mergeCell ref="AE233:AE234"/>
    <mergeCell ref="AF233:AF234"/>
    <mergeCell ref="AG233:AG234"/>
    <mergeCell ref="V233:V234"/>
    <mergeCell ref="W233:W234"/>
    <mergeCell ref="X233:X234"/>
    <mergeCell ref="Y233:Y234"/>
    <mergeCell ref="Z233:Z234"/>
    <mergeCell ref="AA233:AA234"/>
    <mergeCell ref="AL236:AL237"/>
    <mergeCell ref="AM236:AM237"/>
    <mergeCell ref="D232:I232"/>
    <mergeCell ref="Q233:Q234"/>
    <mergeCell ref="R233:R234"/>
    <mergeCell ref="S233:S234"/>
    <mergeCell ref="T233:T234"/>
    <mergeCell ref="U233:U234"/>
    <mergeCell ref="AI231:AI232"/>
    <mergeCell ref="AJ231:AJ232"/>
    <mergeCell ref="AK231:AK232"/>
    <mergeCell ref="AL231:AL232"/>
    <mergeCell ref="AM231:AM232"/>
    <mergeCell ref="AN231:AN232"/>
    <mergeCell ref="AC231:AC232"/>
    <mergeCell ref="AD231:AD232"/>
    <mergeCell ref="AE231:AE232"/>
    <mergeCell ref="AF231:AF232"/>
    <mergeCell ref="AG231:AG232"/>
    <mergeCell ref="AH231:AH232"/>
    <mergeCell ref="W231:W232"/>
    <mergeCell ref="X231:X232"/>
    <mergeCell ref="Y231:Y232"/>
    <mergeCell ref="Z231:Z232"/>
    <mergeCell ref="AA231:AA232"/>
    <mergeCell ref="AB231:AB232"/>
    <mergeCell ref="Q231:Q232"/>
    <mergeCell ref="R231:R232"/>
    <mergeCell ref="S231:S232"/>
    <mergeCell ref="T231:T232"/>
    <mergeCell ref="U231:U232"/>
    <mergeCell ref="V231:V232"/>
    <mergeCell ref="AN233:AN234"/>
    <mergeCell ref="S227:S228"/>
    <mergeCell ref="T227:T228"/>
    <mergeCell ref="U227:U228"/>
    <mergeCell ref="V227:V228"/>
    <mergeCell ref="AI229:AI230"/>
    <mergeCell ref="AJ229:AJ230"/>
    <mergeCell ref="AK229:AK230"/>
    <mergeCell ref="AL229:AL230"/>
    <mergeCell ref="AM229:AM230"/>
    <mergeCell ref="AN229:AN230"/>
    <mergeCell ref="AC229:AC230"/>
    <mergeCell ref="AD229:AD230"/>
    <mergeCell ref="AE229:AE230"/>
    <mergeCell ref="AF229:AF230"/>
    <mergeCell ref="AG229:AG230"/>
    <mergeCell ref="AH229:AH230"/>
    <mergeCell ref="W229:W230"/>
    <mergeCell ref="X229:X230"/>
    <mergeCell ref="Y229:Y230"/>
    <mergeCell ref="Z229:Z230"/>
    <mergeCell ref="AA229:AA230"/>
    <mergeCell ref="AB229:AB230"/>
    <mergeCell ref="AI227:AI228"/>
    <mergeCell ref="AJ227:AJ228"/>
    <mergeCell ref="AK227:AK228"/>
    <mergeCell ref="AL227:AL228"/>
    <mergeCell ref="AM227:AM228"/>
    <mergeCell ref="AN227:AN228"/>
    <mergeCell ref="AC227:AC228"/>
    <mergeCell ref="AD227:AD228"/>
    <mergeCell ref="U223:U224"/>
    <mergeCell ref="V223:V224"/>
    <mergeCell ref="W223:W224"/>
    <mergeCell ref="X223:X224"/>
    <mergeCell ref="Y223:Y224"/>
    <mergeCell ref="Z223:Z224"/>
    <mergeCell ref="AE227:AE228"/>
    <mergeCell ref="AF227:AF228"/>
    <mergeCell ref="AG227:AG228"/>
    <mergeCell ref="AH227:AH228"/>
    <mergeCell ref="W227:W228"/>
    <mergeCell ref="X227:X228"/>
    <mergeCell ref="Y227:Y228"/>
    <mergeCell ref="Z227:Z228"/>
    <mergeCell ref="AA227:AA228"/>
    <mergeCell ref="AB227:AB228"/>
    <mergeCell ref="D226:I226"/>
    <mergeCell ref="J227:J239"/>
    <mergeCell ref="K227:K239"/>
    <mergeCell ref="L227:L239"/>
    <mergeCell ref="M227:M239"/>
    <mergeCell ref="N227:N239"/>
    <mergeCell ref="O227:O239"/>
    <mergeCell ref="P227:P239"/>
    <mergeCell ref="Q229:Q230"/>
    <mergeCell ref="R229:R230"/>
    <mergeCell ref="S229:S230"/>
    <mergeCell ref="T229:T230"/>
    <mergeCell ref="U229:U230"/>
    <mergeCell ref="V229:V230"/>
    <mergeCell ref="Q227:Q228"/>
    <mergeCell ref="R227:R228"/>
    <mergeCell ref="AK221:AK222"/>
    <mergeCell ref="AL221:AL222"/>
    <mergeCell ref="AM221:AM222"/>
    <mergeCell ref="AN221:AN222"/>
    <mergeCell ref="AC221:AC222"/>
    <mergeCell ref="AD221:AD222"/>
    <mergeCell ref="AE221:AE222"/>
    <mergeCell ref="AF221:AF222"/>
    <mergeCell ref="AG221:AG222"/>
    <mergeCell ref="AH221:AH222"/>
    <mergeCell ref="W221:W222"/>
    <mergeCell ref="X221:X222"/>
    <mergeCell ref="Y221:Y222"/>
    <mergeCell ref="Z221:Z222"/>
    <mergeCell ref="AA221:AA222"/>
    <mergeCell ref="AB221:AB222"/>
    <mergeCell ref="AM223:AM224"/>
    <mergeCell ref="AN223:AN224"/>
    <mergeCell ref="AG223:AG224"/>
    <mergeCell ref="AH223:AH224"/>
    <mergeCell ref="AI223:AI224"/>
    <mergeCell ref="AJ223:AJ224"/>
    <mergeCell ref="AK223:AK224"/>
    <mergeCell ref="AL223:AL224"/>
    <mergeCell ref="AA223:AA224"/>
    <mergeCell ref="AB223:AB224"/>
    <mergeCell ref="AC223:AC224"/>
    <mergeCell ref="AD223:AD224"/>
    <mergeCell ref="AE223:AE224"/>
    <mergeCell ref="AF223:AF224"/>
    <mergeCell ref="Q221:Q222"/>
    <mergeCell ref="R221:R222"/>
    <mergeCell ref="S221:S222"/>
    <mergeCell ref="T221:T222"/>
    <mergeCell ref="U221:U222"/>
    <mergeCell ref="V221:V222"/>
    <mergeCell ref="AE218:AE219"/>
    <mergeCell ref="AF218:AF219"/>
    <mergeCell ref="AG218:AG219"/>
    <mergeCell ref="AH218:AH219"/>
    <mergeCell ref="AI218:AI219"/>
    <mergeCell ref="AJ218:AJ219"/>
    <mergeCell ref="Y218:Y219"/>
    <mergeCell ref="Z218:Z219"/>
    <mergeCell ref="AA218:AA219"/>
    <mergeCell ref="AB218:AB219"/>
    <mergeCell ref="AC218:AC219"/>
    <mergeCell ref="AD218:AD219"/>
    <mergeCell ref="AI221:AI222"/>
    <mergeCell ref="AJ221:AJ222"/>
    <mergeCell ref="AN216:AN217"/>
    <mergeCell ref="D217:I217"/>
    <mergeCell ref="Q218:Q219"/>
    <mergeCell ref="R218:R219"/>
    <mergeCell ref="S218:S219"/>
    <mergeCell ref="T218:T219"/>
    <mergeCell ref="U218:U219"/>
    <mergeCell ref="V218:V219"/>
    <mergeCell ref="W218:W219"/>
    <mergeCell ref="X218:X219"/>
    <mergeCell ref="AH216:AH217"/>
    <mergeCell ref="AI216:AI217"/>
    <mergeCell ref="AJ216:AJ217"/>
    <mergeCell ref="AK216:AK217"/>
    <mergeCell ref="AL216:AL217"/>
    <mergeCell ref="AM216:AM217"/>
    <mergeCell ref="AB216:AB217"/>
    <mergeCell ref="AC216:AC217"/>
    <mergeCell ref="AD216:AD217"/>
    <mergeCell ref="AE216:AE217"/>
    <mergeCell ref="AF216:AF217"/>
    <mergeCell ref="AG216:AG217"/>
    <mergeCell ref="V216:V217"/>
    <mergeCell ref="W216:W217"/>
    <mergeCell ref="X216:X217"/>
    <mergeCell ref="Y216:Y217"/>
    <mergeCell ref="Z216:Z217"/>
    <mergeCell ref="AA216:AA217"/>
    <mergeCell ref="AK218:AK219"/>
    <mergeCell ref="AL218:AL219"/>
    <mergeCell ref="AM218:AM219"/>
    <mergeCell ref="AN218:AN219"/>
    <mergeCell ref="Q212:Q213"/>
    <mergeCell ref="R212:R213"/>
    <mergeCell ref="S212:S213"/>
    <mergeCell ref="T212:T213"/>
    <mergeCell ref="AK214:AK215"/>
    <mergeCell ref="AL214:AL215"/>
    <mergeCell ref="AM214:AM215"/>
    <mergeCell ref="AN214:AN215"/>
    <mergeCell ref="G216:I216"/>
    <mergeCell ref="Q216:Q217"/>
    <mergeCell ref="R216:R217"/>
    <mergeCell ref="S216:S217"/>
    <mergeCell ref="T216:T217"/>
    <mergeCell ref="U216:U217"/>
    <mergeCell ref="AE214:AE215"/>
    <mergeCell ref="AF214:AF215"/>
    <mergeCell ref="AG214:AG215"/>
    <mergeCell ref="AH214:AH215"/>
    <mergeCell ref="AI214:AI215"/>
    <mergeCell ref="AJ214:AJ215"/>
    <mergeCell ref="Y214:Y215"/>
    <mergeCell ref="Z214:Z215"/>
    <mergeCell ref="AA214:AA215"/>
    <mergeCell ref="AB214:AB215"/>
    <mergeCell ref="AC214:AC215"/>
    <mergeCell ref="AD214:AD215"/>
    <mergeCell ref="O212:O224"/>
    <mergeCell ref="P212:P224"/>
    <mergeCell ref="Q223:Q224"/>
    <mergeCell ref="R223:R224"/>
    <mergeCell ref="S223:S224"/>
    <mergeCell ref="T223:T224"/>
    <mergeCell ref="S214:S215"/>
    <mergeCell ref="T214:T215"/>
    <mergeCell ref="U214:U215"/>
    <mergeCell ref="V214:V215"/>
    <mergeCell ref="W214:W215"/>
    <mergeCell ref="X214:X215"/>
    <mergeCell ref="AG212:AG213"/>
    <mergeCell ref="AH212:AH213"/>
    <mergeCell ref="AI212:AI213"/>
    <mergeCell ref="AJ212:AJ213"/>
    <mergeCell ref="AK212:AK213"/>
    <mergeCell ref="AL212:AL213"/>
    <mergeCell ref="AA212:AA213"/>
    <mergeCell ref="AB212:AB213"/>
    <mergeCell ref="AC212:AC213"/>
    <mergeCell ref="AD212:AD213"/>
    <mergeCell ref="AE212:AE213"/>
    <mergeCell ref="AF212:AF213"/>
    <mergeCell ref="U212:U213"/>
    <mergeCell ref="V212:V213"/>
    <mergeCell ref="W212:W213"/>
    <mergeCell ref="X212:X213"/>
    <mergeCell ref="Y212:Y213"/>
    <mergeCell ref="Z212:Z213"/>
    <mergeCell ref="AC206:AC207"/>
    <mergeCell ref="AD206:AD207"/>
    <mergeCell ref="D211:I211"/>
    <mergeCell ref="J212:J224"/>
    <mergeCell ref="K212:K224"/>
    <mergeCell ref="L212:L224"/>
    <mergeCell ref="M212:M224"/>
    <mergeCell ref="N212:N224"/>
    <mergeCell ref="AI208:AI209"/>
    <mergeCell ref="AJ208:AJ209"/>
    <mergeCell ref="AK208:AK209"/>
    <mergeCell ref="AL208:AL209"/>
    <mergeCell ref="AM208:AM209"/>
    <mergeCell ref="AN208:AN209"/>
    <mergeCell ref="AC208:AC209"/>
    <mergeCell ref="AD208:AD209"/>
    <mergeCell ref="AE208:AE209"/>
    <mergeCell ref="AF208:AF209"/>
    <mergeCell ref="AG208:AG209"/>
    <mergeCell ref="AH208:AH209"/>
    <mergeCell ref="W208:W209"/>
    <mergeCell ref="X208:X209"/>
    <mergeCell ref="Y208:Y209"/>
    <mergeCell ref="Z208:Z209"/>
    <mergeCell ref="AA208:AA209"/>
    <mergeCell ref="AB208:AB209"/>
    <mergeCell ref="O197:O209"/>
    <mergeCell ref="P197:P209"/>
    <mergeCell ref="AM212:AM213"/>
    <mergeCell ref="AN212:AN213"/>
    <mergeCell ref="Q214:Q215"/>
    <mergeCell ref="R214:R215"/>
    <mergeCell ref="AE203:AE204"/>
    <mergeCell ref="AF203:AF204"/>
    <mergeCell ref="U203:U204"/>
    <mergeCell ref="V203:V204"/>
    <mergeCell ref="W203:W204"/>
    <mergeCell ref="X203:X204"/>
    <mergeCell ref="Y203:Y204"/>
    <mergeCell ref="Z203:Z204"/>
    <mergeCell ref="Q203:Q204"/>
    <mergeCell ref="R203:R204"/>
    <mergeCell ref="S203:S204"/>
    <mergeCell ref="T203:T204"/>
    <mergeCell ref="AK206:AK207"/>
    <mergeCell ref="AL206:AL207"/>
    <mergeCell ref="AM206:AM207"/>
    <mergeCell ref="AN206:AN207"/>
    <mergeCell ref="Q208:Q209"/>
    <mergeCell ref="R208:R209"/>
    <mergeCell ref="S208:S209"/>
    <mergeCell ref="T208:T209"/>
    <mergeCell ref="U208:U209"/>
    <mergeCell ref="V208:V209"/>
    <mergeCell ref="AE206:AE207"/>
    <mergeCell ref="AF206:AF207"/>
    <mergeCell ref="AG206:AG207"/>
    <mergeCell ref="AH206:AH207"/>
    <mergeCell ref="AI206:AI207"/>
    <mergeCell ref="AJ206:AJ207"/>
    <mergeCell ref="Y206:Y207"/>
    <mergeCell ref="Z206:Z207"/>
    <mergeCell ref="AA206:AA207"/>
    <mergeCell ref="AB206:AB207"/>
    <mergeCell ref="AC201:AC202"/>
    <mergeCell ref="AD201:AD202"/>
    <mergeCell ref="AE201:AE202"/>
    <mergeCell ref="AF201:AF202"/>
    <mergeCell ref="AG201:AG202"/>
    <mergeCell ref="AH201:AH202"/>
    <mergeCell ref="W201:W202"/>
    <mergeCell ref="X201:X202"/>
    <mergeCell ref="Y201:Y202"/>
    <mergeCell ref="Z201:Z202"/>
    <mergeCell ref="AA201:AA202"/>
    <mergeCell ref="AB201:AB202"/>
    <mergeCell ref="AM203:AM204"/>
    <mergeCell ref="AN203:AN204"/>
    <mergeCell ref="Q206:Q207"/>
    <mergeCell ref="R206:R207"/>
    <mergeCell ref="S206:S207"/>
    <mergeCell ref="T206:T207"/>
    <mergeCell ref="U206:U207"/>
    <mergeCell ref="V206:V207"/>
    <mergeCell ref="W206:W207"/>
    <mergeCell ref="X206:X207"/>
    <mergeCell ref="AG203:AG204"/>
    <mergeCell ref="AH203:AH204"/>
    <mergeCell ref="AI203:AI204"/>
    <mergeCell ref="AJ203:AJ204"/>
    <mergeCell ref="AK203:AK204"/>
    <mergeCell ref="AL203:AL204"/>
    <mergeCell ref="AA203:AA204"/>
    <mergeCell ref="AB203:AB204"/>
    <mergeCell ref="AC203:AC204"/>
    <mergeCell ref="AD203:AD204"/>
    <mergeCell ref="Q197:Q198"/>
    <mergeCell ref="R197:R198"/>
    <mergeCell ref="S197:S198"/>
    <mergeCell ref="T197:T198"/>
    <mergeCell ref="AK199:AK200"/>
    <mergeCell ref="AL199:AL200"/>
    <mergeCell ref="AM199:AM200"/>
    <mergeCell ref="AN199:AN200"/>
    <mergeCell ref="Q201:Q202"/>
    <mergeCell ref="R201:R202"/>
    <mergeCell ref="S201:S202"/>
    <mergeCell ref="T201:T202"/>
    <mergeCell ref="U201:U202"/>
    <mergeCell ref="V201:V202"/>
    <mergeCell ref="AE199:AE200"/>
    <mergeCell ref="AF199:AF200"/>
    <mergeCell ref="AG199:AG200"/>
    <mergeCell ref="AH199:AH200"/>
    <mergeCell ref="AI199:AI200"/>
    <mergeCell ref="AJ199:AJ200"/>
    <mergeCell ref="Y199:Y200"/>
    <mergeCell ref="Z199:Z200"/>
    <mergeCell ref="AA199:AA200"/>
    <mergeCell ref="AB199:AB200"/>
    <mergeCell ref="AC199:AC200"/>
    <mergeCell ref="AD199:AD200"/>
    <mergeCell ref="AI201:AI202"/>
    <mergeCell ref="AJ201:AJ202"/>
    <mergeCell ref="AK201:AK202"/>
    <mergeCell ref="AL201:AL202"/>
    <mergeCell ref="AM201:AM202"/>
    <mergeCell ref="AN201:AN202"/>
    <mergeCell ref="R199:R200"/>
    <mergeCell ref="S199:S200"/>
    <mergeCell ref="T199:T200"/>
    <mergeCell ref="U199:U200"/>
    <mergeCell ref="V199:V200"/>
    <mergeCell ref="W199:W200"/>
    <mergeCell ref="X199:X200"/>
    <mergeCell ref="AG197:AG198"/>
    <mergeCell ref="AH197:AH198"/>
    <mergeCell ref="AI197:AI198"/>
    <mergeCell ref="AJ197:AJ198"/>
    <mergeCell ref="AK197:AK198"/>
    <mergeCell ref="AL197:AL198"/>
    <mergeCell ref="AA197:AA198"/>
    <mergeCell ref="AB197:AB198"/>
    <mergeCell ref="AC197:AC198"/>
    <mergeCell ref="AD197:AD198"/>
    <mergeCell ref="AE197:AE198"/>
    <mergeCell ref="AF197:AF198"/>
    <mergeCell ref="U197:U198"/>
    <mergeCell ref="V197:V198"/>
    <mergeCell ref="W197:W198"/>
    <mergeCell ref="X197:X198"/>
    <mergeCell ref="Y197:Y198"/>
    <mergeCell ref="Z197:Z198"/>
    <mergeCell ref="AC191:AC192"/>
    <mergeCell ref="AD191:AD192"/>
    <mergeCell ref="D196:I196"/>
    <mergeCell ref="J197:J209"/>
    <mergeCell ref="K197:K209"/>
    <mergeCell ref="L197:L209"/>
    <mergeCell ref="M197:M209"/>
    <mergeCell ref="N197:N209"/>
    <mergeCell ref="D202:I202"/>
    <mergeCell ref="AI193:AI194"/>
    <mergeCell ref="AJ193:AJ194"/>
    <mergeCell ref="AK193:AK194"/>
    <mergeCell ref="AL193:AL194"/>
    <mergeCell ref="AM193:AM194"/>
    <mergeCell ref="AN193:AN194"/>
    <mergeCell ref="AC193:AC194"/>
    <mergeCell ref="AD193:AD194"/>
    <mergeCell ref="AE193:AE194"/>
    <mergeCell ref="AF193:AF194"/>
    <mergeCell ref="AG193:AG194"/>
    <mergeCell ref="AH193:AH194"/>
    <mergeCell ref="W193:W194"/>
    <mergeCell ref="X193:X194"/>
    <mergeCell ref="Y193:Y194"/>
    <mergeCell ref="Z193:Z194"/>
    <mergeCell ref="AA193:AA194"/>
    <mergeCell ref="AB193:AB194"/>
    <mergeCell ref="O182:O194"/>
    <mergeCell ref="P182:P194"/>
    <mergeCell ref="AM197:AM198"/>
    <mergeCell ref="AN197:AN198"/>
    <mergeCell ref="Q199:Q200"/>
    <mergeCell ref="AE188:AE189"/>
    <mergeCell ref="AF188:AF189"/>
    <mergeCell ref="U188:U189"/>
    <mergeCell ref="V188:V189"/>
    <mergeCell ref="W188:W189"/>
    <mergeCell ref="X188:X189"/>
    <mergeCell ref="Y188:Y189"/>
    <mergeCell ref="Z188:Z189"/>
    <mergeCell ref="Q188:Q189"/>
    <mergeCell ref="R188:R189"/>
    <mergeCell ref="S188:S189"/>
    <mergeCell ref="T188:T189"/>
    <mergeCell ref="AK191:AK192"/>
    <mergeCell ref="AL191:AL192"/>
    <mergeCell ref="AM191:AM192"/>
    <mergeCell ref="AN191:AN192"/>
    <mergeCell ref="Q193:Q194"/>
    <mergeCell ref="R193:R194"/>
    <mergeCell ref="S193:S194"/>
    <mergeCell ref="T193:T194"/>
    <mergeCell ref="U193:U194"/>
    <mergeCell ref="V193:V194"/>
    <mergeCell ref="AE191:AE192"/>
    <mergeCell ref="AF191:AF192"/>
    <mergeCell ref="AG191:AG192"/>
    <mergeCell ref="AH191:AH192"/>
    <mergeCell ref="AI191:AI192"/>
    <mergeCell ref="AJ191:AJ192"/>
    <mergeCell ref="Y191:Y192"/>
    <mergeCell ref="Z191:Z192"/>
    <mergeCell ref="AA191:AA192"/>
    <mergeCell ref="AB191:AB192"/>
    <mergeCell ref="AC186:AC187"/>
    <mergeCell ref="AD186:AD187"/>
    <mergeCell ref="AE186:AE187"/>
    <mergeCell ref="AF186:AF187"/>
    <mergeCell ref="AG186:AG187"/>
    <mergeCell ref="AH186:AH187"/>
    <mergeCell ref="W186:W187"/>
    <mergeCell ref="X186:X187"/>
    <mergeCell ref="Y186:Y187"/>
    <mergeCell ref="Z186:Z187"/>
    <mergeCell ref="AA186:AA187"/>
    <mergeCell ref="AB186:AB187"/>
    <mergeCell ref="AM188:AM189"/>
    <mergeCell ref="AN188:AN189"/>
    <mergeCell ref="Q191:Q192"/>
    <mergeCell ref="R191:R192"/>
    <mergeCell ref="S191:S192"/>
    <mergeCell ref="T191:T192"/>
    <mergeCell ref="U191:U192"/>
    <mergeCell ref="V191:V192"/>
    <mergeCell ref="W191:W192"/>
    <mergeCell ref="X191:X192"/>
    <mergeCell ref="AG188:AG189"/>
    <mergeCell ref="AH188:AH189"/>
    <mergeCell ref="AI188:AI189"/>
    <mergeCell ref="AJ188:AJ189"/>
    <mergeCell ref="AK188:AK189"/>
    <mergeCell ref="AL188:AL189"/>
    <mergeCell ref="AA188:AA189"/>
    <mergeCell ref="AB188:AB189"/>
    <mergeCell ref="AC188:AC189"/>
    <mergeCell ref="AD188:AD189"/>
    <mergeCell ref="Q182:Q183"/>
    <mergeCell ref="R182:R183"/>
    <mergeCell ref="S182:S183"/>
    <mergeCell ref="T182:T183"/>
    <mergeCell ref="AK184:AK185"/>
    <mergeCell ref="AL184:AL185"/>
    <mergeCell ref="AM184:AM185"/>
    <mergeCell ref="AN184:AN185"/>
    <mergeCell ref="Q186:Q187"/>
    <mergeCell ref="R186:R187"/>
    <mergeCell ref="S186:S187"/>
    <mergeCell ref="T186:T187"/>
    <mergeCell ref="U186:U187"/>
    <mergeCell ref="V186:V187"/>
    <mergeCell ref="AE184:AE185"/>
    <mergeCell ref="AF184:AF185"/>
    <mergeCell ref="AG184:AG185"/>
    <mergeCell ref="AH184:AH185"/>
    <mergeCell ref="AI184:AI185"/>
    <mergeCell ref="AJ184:AJ185"/>
    <mergeCell ref="Y184:Y185"/>
    <mergeCell ref="Z184:Z185"/>
    <mergeCell ref="AA184:AA185"/>
    <mergeCell ref="AB184:AB185"/>
    <mergeCell ref="AC184:AC185"/>
    <mergeCell ref="AD184:AD185"/>
    <mergeCell ref="AI186:AI187"/>
    <mergeCell ref="AJ186:AJ187"/>
    <mergeCell ref="AK186:AK187"/>
    <mergeCell ref="AL186:AL187"/>
    <mergeCell ref="AM186:AM187"/>
    <mergeCell ref="AN186:AN187"/>
    <mergeCell ref="R184:R185"/>
    <mergeCell ref="S184:S185"/>
    <mergeCell ref="T184:T185"/>
    <mergeCell ref="U184:U185"/>
    <mergeCell ref="V184:V185"/>
    <mergeCell ref="W184:W185"/>
    <mergeCell ref="X184:X185"/>
    <mergeCell ref="AG182:AG183"/>
    <mergeCell ref="AH182:AH183"/>
    <mergeCell ref="AI182:AI183"/>
    <mergeCell ref="AJ182:AJ183"/>
    <mergeCell ref="AK182:AK183"/>
    <mergeCell ref="AL182:AL183"/>
    <mergeCell ref="AA182:AA183"/>
    <mergeCell ref="AB182:AB183"/>
    <mergeCell ref="AC182:AC183"/>
    <mergeCell ref="AD182:AD183"/>
    <mergeCell ref="AE182:AE183"/>
    <mergeCell ref="AF182:AF183"/>
    <mergeCell ref="U182:U183"/>
    <mergeCell ref="V182:V183"/>
    <mergeCell ref="W182:W183"/>
    <mergeCell ref="X182:X183"/>
    <mergeCell ref="Y182:Y183"/>
    <mergeCell ref="Z182:Z183"/>
    <mergeCell ref="AC176:AC177"/>
    <mergeCell ref="AD176:AD177"/>
    <mergeCell ref="D181:I181"/>
    <mergeCell ref="J182:J194"/>
    <mergeCell ref="K182:K194"/>
    <mergeCell ref="L182:L194"/>
    <mergeCell ref="M182:M194"/>
    <mergeCell ref="N182:N194"/>
    <mergeCell ref="D187:I187"/>
    <mergeCell ref="AI178:AI179"/>
    <mergeCell ref="AJ178:AJ179"/>
    <mergeCell ref="AK178:AK179"/>
    <mergeCell ref="AL178:AL179"/>
    <mergeCell ref="AM178:AM179"/>
    <mergeCell ref="AN178:AN179"/>
    <mergeCell ref="AC178:AC179"/>
    <mergeCell ref="AD178:AD179"/>
    <mergeCell ref="AE178:AE179"/>
    <mergeCell ref="AF178:AF179"/>
    <mergeCell ref="AG178:AG179"/>
    <mergeCell ref="AH178:AH179"/>
    <mergeCell ref="W178:W179"/>
    <mergeCell ref="X178:X179"/>
    <mergeCell ref="Y178:Y179"/>
    <mergeCell ref="Z178:Z179"/>
    <mergeCell ref="AA178:AA179"/>
    <mergeCell ref="AB178:AB179"/>
    <mergeCell ref="O167:O179"/>
    <mergeCell ref="P167:P179"/>
    <mergeCell ref="AM182:AM183"/>
    <mergeCell ref="AN182:AN183"/>
    <mergeCell ref="Q184:Q185"/>
    <mergeCell ref="AE173:AE174"/>
    <mergeCell ref="AF173:AF174"/>
    <mergeCell ref="U173:U174"/>
    <mergeCell ref="V173:V174"/>
    <mergeCell ref="W173:W174"/>
    <mergeCell ref="X173:X174"/>
    <mergeCell ref="Y173:Y174"/>
    <mergeCell ref="Z173:Z174"/>
    <mergeCell ref="Q173:Q174"/>
    <mergeCell ref="R173:R174"/>
    <mergeCell ref="S173:S174"/>
    <mergeCell ref="T173:T174"/>
    <mergeCell ref="AK176:AK177"/>
    <mergeCell ref="AL176:AL177"/>
    <mergeCell ref="AM176:AM177"/>
    <mergeCell ref="AN176:AN177"/>
    <mergeCell ref="Q178:Q179"/>
    <mergeCell ref="R178:R179"/>
    <mergeCell ref="S178:S179"/>
    <mergeCell ref="T178:T179"/>
    <mergeCell ref="U178:U179"/>
    <mergeCell ref="V178:V179"/>
    <mergeCell ref="AE176:AE177"/>
    <mergeCell ref="AF176:AF177"/>
    <mergeCell ref="AG176:AG177"/>
    <mergeCell ref="AH176:AH177"/>
    <mergeCell ref="AI176:AI177"/>
    <mergeCell ref="AJ176:AJ177"/>
    <mergeCell ref="Y176:Y177"/>
    <mergeCell ref="Z176:Z177"/>
    <mergeCell ref="AA176:AA177"/>
    <mergeCell ref="AB176:AB177"/>
    <mergeCell ref="AC171:AC172"/>
    <mergeCell ref="AD171:AD172"/>
    <mergeCell ref="AE171:AE172"/>
    <mergeCell ref="AF171:AF172"/>
    <mergeCell ref="AG171:AG172"/>
    <mergeCell ref="AH171:AH172"/>
    <mergeCell ref="W171:W172"/>
    <mergeCell ref="X171:X172"/>
    <mergeCell ref="Y171:Y172"/>
    <mergeCell ref="Z171:Z172"/>
    <mergeCell ref="AA171:AA172"/>
    <mergeCell ref="AB171:AB172"/>
    <mergeCell ref="AM173:AM174"/>
    <mergeCell ref="AN173:AN174"/>
    <mergeCell ref="Q176:Q177"/>
    <mergeCell ref="R176:R177"/>
    <mergeCell ref="S176:S177"/>
    <mergeCell ref="T176:T177"/>
    <mergeCell ref="U176:U177"/>
    <mergeCell ref="V176:V177"/>
    <mergeCell ref="W176:W177"/>
    <mergeCell ref="X176:X177"/>
    <mergeCell ref="AG173:AG174"/>
    <mergeCell ref="AH173:AH174"/>
    <mergeCell ref="AI173:AI174"/>
    <mergeCell ref="AJ173:AJ174"/>
    <mergeCell ref="AK173:AK174"/>
    <mergeCell ref="AL173:AL174"/>
    <mergeCell ref="AA173:AA174"/>
    <mergeCell ref="AB173:AB174"/>
    <mergeCell ref="AC173:AC174"/>
    <mergeCell ref="AD173:AD174"/>
    <mergeCell ref="Q167:Q168"/>
    <mergeCell ref="R167:R168"/>
    <mergeCell ref="S167:S168"/>
    <mergeCell ref="T167:T168"/>
    <mergeCell ref="AK169:AK170"/>
    <mergeCell ref="AL169:AL170"/>
    <mergeCell ref="AM169:AM170"/>
    <mergeCell ref="AN169:AN170"/>
    <mergeCell ref="Q171:Q172"/>
    <mergeCell ref="R171:R172"/>
    <mergeCell ref="S171:S172"/>
    <mergeCell ref="T171:T172"/>
    <mergeCell ref="U171:U172"/>
    <mergeCell ref="V171:V172"/>
    <mergeCell ref="AE169:AE170"/>
    <mergeCell ref="AF169:AF170"/>
    <mergeCell ref="AG169:AG170"/>
    <mergeCell ref="AH169:AH170"/>
    <mergeCell ref="AI169:AI170"/>
    <mergeCell ref="AJ169:AJ170"/>
    <mergeCell ref="Y169:Y170"/>
    <mergeCell ref="Z169:Z170"/>
    <mergeCell ref="AA169:AA170"/>
    <mergeCell ref="AB169:AB170"/>
    <mergeCell ref="AC169:AC170"/>
    <mergeCell ref="AD169:AD170"/>
    <mergeCell ref="AI171:AI172"/>
    <mergeCell ref="AJ171:AJ172"/>
    <mergeCell ref="AK171:AK172"/>
    <mergeCell ref="AL171:AL172"/>
    <mergeCell ref="AM171:AM172"/>
    <mergeCell ref="AN171:AN172"/>
    <mergeCell ref="R169:R170"/>
    <mergeCell ref="S169:S170"/>
    <mergeCell ref="T169:T170"/>
    <mergeCell ref="U169:U170"/>
    <mergeCell ref="V169:V170"/>
    <mergeCell ref="W169:W170"/>
    <mergeCell ref="X169:X170"/>
    <mergeCell ref="AG167:AG168"/>
    <mergeCell ref="AH167:AH168"/>
    <mergeCell ref="AI167:AI168"/>
    <mergeCell ref="AJ167:AJ168"/>
    <mergeCell ref="AK167:AK168"/>
    <mergeCell ref="AL167:AL168"/>
    <mergeCell ref="AA167:AA168"/>
    <mergeCell ref="AB167:AB168"/>
    <mergeCell ref="AC167:AC168"/>
    <mergeCell ref="AD167:AD168"/>
    <mergeCell ref="AE167:AE168"/>
    <mergeCell ref="AF167:AF168"/>
    <mergeCell ref="U167:U168"/>
    <mergeCell ref="V167:V168"/>
    <mergeCell ref="W167:W168"/>
    <mergeCell ref="X167:X168"/>
    <mergeCell ref="Y167:Y168"/>
    <mergeCell ref="Z167:Z168"/>
    <mergeCell ref="AC161:AC162"/>
    <mergeCell ref="AD161:AD162"/>
    <mergeCell ref="D166:I166"/>
    <mergeCell ref="J167:J179"/>
    <mergeCell ref="K167:K179"/>
    <mergeCell ref="L167:L179"/>
    <mergeCell ref="M167:M179"/>
    <mergeCell ref="N167:N179"/>
    <mergeCell ref="D172:I172"/>
    <mergeCell ref="AI163:AI164"/>
    <mergeCell ref="AJ163:AJ164"/>
    <mergeCell ref="AK163:AK164"/>
    <mergeCell ref="AL163:AL164"/>
    <mergeCell ref="AM163:AM164"/>
    <mergeCell ref="AN163:AN164"/>
    <mergeCell ref="AC163:AC164"/>
    <mergeCell ref="AD163:AD164"/>
    <mergeCell ref="AE163:AE164"/>
    <mergeCell ref="AF163:AF164"/>
    <mergeCell ref="AG163:AG164"/>
    <mergeCell ref="AH163:AH164"/>
    <mergeCell ref="W163:W164"/>
    <mergeCell ref="X163:X164"/>
    <mergeCell ref="Y163:Y164"/>
    <mergeCell ref="Z163:Z164"/>
    <mergeCell ref="AA163:AA164"/>
    <mergeCell ref="AB163:AB164"/>
    <mergeCell ref="O152:O164"/>
    <mergeCell ref="P152:P164"/>
    <mergeCell ref="AM167:AM168"/>
    <mergeCell ref="AN167:AN168"/>
    <mergeCell ref="Q169:Q170"/>
    <mergeCell ref="AE158:AE159"/>
    <mergeCell ref="AF158:AF159"/>
    <mergeCell ref="U158:U159"/>
    <mergeCell ref="V158:V159"/>
    <mergeCell ref="W158:W159"/>
    <mergeCell ref="X158:X159"/>
    <mergeCell ref="Y158:Y159"/>
    <mergeCell ref="Z158:Z159"/>
    <mergeCell ref="Q158:Q159"/>
    <mergeCell ref="R158:R159"/>
    <mergeCell ref="S158:S159"/>
    <mergeCell ref="T158:T159"/>
    <mergeCell ref="AK161:AK162"/>
    <mergeCell ref="AL161:AL162"/>
    <mergeCell ref="AM161:AM162"/>
    <mergeCell ref="AN161:AN162"/>
    <mergeCell ref="Q163:Q164"/>
    <mergeCell ref="R163:R164"/>
    <mergeCell ref="S163:S164"/>
    <mergeCell ref="T163:T164"/>
    <mergeCell ref="U163:U164"/>
    <mergeCell ref="V163:V164"/>
    <mergeCell ref="AE161:AE162"/>
    <mergeCell ref="AF161:AF162"/>
    <mergeCell ref="AG161:AG162"/>
    <mergeCell ref="AH161:AH162"/>
    <mergeCell ref="AI161:AI162"/>
    <mergeCell ref="AJ161:AJ162"/>
    <mergeCell ref="Y161:Y162"/>
    <mergeCell ref="Z161:Z162"/>
    <mergeCell ref="AA161:AA162"/>
    <mergeCell ref="AB161:AB162"/>
    <mergeCell ref="AC156:AC157"/>
    <mergeCell ref="AD156:AD157"/>
    <mergeCell ref="AE156:AE157"/>
    <mergeCell ref="AF156:AF157"/>
    <mergeCell ref="AG156:AG157"/>
    <mergeCell ref="AH156:AH157"/>
    <mergeCell ref="W156:W157"/>
    <mergeCell ref="X156:X157"/>
    <mergeCell ref="Y156:Y157"/>
    <mergeCell ref="Z156:Z157"/>
    <mergeCell ref="AA156:AA157"/>
    <mergeCell ref="AB156:AB157"/>
    <mergeCell ref="AM158:AM159"/>
    <mergeCell ref="AN158:AN159"/>
    <mergeCell ref="Q161:Q162"/>
    <mergeCell ref="R161:R162"/>
    <mergeCell ref="S161:S162"/>
    <mergeCell ref="T161:T162"/>
    <mergeCell ref="U161:U162"/>
    <mergeCell ref="V161:V162"/>
    <mergeCell ref="W161:W162"/>
    <mergeCell ref="X161:X162"/>
    <mergeCell ref="AG158:AG159"/>
    <mergeCell ref="AH158:AH159"/>
    <mergeCell ref="AI158:AI159"/>
    <mergeCell ref="AJ158:AJ159"/>
    <mergeCell ref="AK158:AK159"/>
    <mergeCell ref="AL158:AL159"/>
    <mergeCell ref="AA158:AA159"/>
    <mergeCell ref="AB158:AB159"/>
    <mergeCell ref="AC158:AC159"/>
    <mergeCell ref="AD158:AD159"/>
    <mergeCell ref="Q152:Q153"/>
    <mergeCell ref="R152:R153"/>
    <mergeCell ref="S152:S153"/>
    <mergeCell ref="T152:T153"/>
    <mergeCell ref="AK154:AK155"/>
    <mergeCell ref="AL154:AL155"/>
    <mergeCell ref="AM154:AM155"/>
    <mergeCell ref="AN154:AN155"/>
    <mergeCell ref="Q156:Q157"/>
    <mergeCell ref="R156:R157"/>
    <mergeCell ref="S156:S157"/>
    <mergeCell ref="T156:T157"/>
    <mergeCell ref="U156:U157"/>
    <mergeCell ref="V156:V157"/>
    <mergeCell ref="AE154:AE155"/>
    <mergeCell ref="AF154:AF155"/>
    <mergeCell ref="AG154:AG155"/>
    <mergeCell ref="AH154:AH155"/>
    <mergeCell ref="AI154:AI155"/>
    <mergeCell ref="AJ154:AJ155"/>
    <mergeCell ref="Y154:Y155"/>
    <mergeCell ref="Z154:Z155"/>
    <mergeCell ref="AA154:AA155"/>
    <mergeCell ref="AB154:AB155"/>
    <mergeCell ref="AC154:AC155"/>
    <mergeCell ref="AD154:AD155"/>
    <mergeCell ref="AI156:AI157"/>
    <mergeCell ref="AJ156:AJ157"/>
    <mergeCell ref="AK156:AK157"/>
    <mergeCell ref="AL156:AL157"/>
    <mergeCell ref="AM156:AM157"/>
    <mergeCell ref="AN156:AN157"/>
    <mergeCell ref="R154:R155"/>
    <mergeCell ref="S154:S155"/>
    <mergeCell ref="T154:T155"/>
    <mergeCell ref="U154:U155"/>
    <mergeCell ref="V154:V155"/>
    <mergeCell ref="W154:W155"/>
    <mergeCell ref="X154:X155"/>
    <mergeCell ref="AG152:AG153"/>
    <mergeCell ref="AH152:AH153"/>
    <mergeCell ref="AI152:AI153"/>
    <mergeCell ref="AJ152:AJ153"/>
    <mergeCell ref="AK152:AK153"/>
    <mergeCell ref="AL152:AL153"/>
    <mergeCell ref="AA152:AA153"/>
    <mergeCell ref="AB152:AB153"/>
    <mergeCell ref="AC152:AC153"/>
    <mergeCell ref="AD152:AD153"/>
    <mergeCell ref="AE152:AE153"/>
    <mergeCell ref="AF152:AF153"/>
    <mergeCell ref="U152:U153"/>
    <mergeCell ref="V152:V153"/>
    <mergeCell ref="W152:W153"/>
    <mergeCell ref="X152:X153"/>
    <mergeCell ref="Y152:Y153"/>
    <mergeCell ref="Z152:Z153"/>
    <mergeCell ref="AC146:AC147"/>
    <mergeCell ref="AD146:AD147"/>
    <mergeCell ref="D151:I151"/>
    <mergeCell ref="J152:J164"/>
    <mergeCell ref="K152:K164"/>
    <mergeCell ref="L152:L164"/>
    <mergeCell ref="M152:M164"/>
    <mergeCell ref="N152:N164"/>
    <mergeCell ref="D157:I157"/>
    <mergeCell ref="AI148:AI149"/>
    <mergeCell ref="AJ148:AJ149"/>
    <mergeCell ref="AK148:AK149"/>
    <mergeCell ref="AL148:AL149"/>
    <mergeCell ref="AM148:AM149"/>
    <mergeCell ref="AN148:AN149"/>
    <mergeCell ref="AC148:AC149"/>
    <mergeCell ref="AD148:AD149"/>
    <mergeCell ref="AE148:AE149"/>
    <mergeCell ref="AF148:AF149"/>
    <mergeCell ref="AG148:AG149"/>
    <mergeCell ref="AH148:AH149"/>
    <mergeCell ref="W148:W149"/>
    <mergeCell ref="X148:X149"/>
    <mergeCell ref="Y148:Y149"/>
    <mergeCell ref="Z148:Z149"/>
    <mergeCell ref="AA148:AA149"/>
    <mergeCell ref="AB148:AB149"/>
    <mergeCell ref="O137:O149"/>
    <mergeCell ref="P137:P149"/>
    <mergeCell ref="AM152:AM153"/>
    <mergeCell ref="AN152:AN153"/>
    <mergeCell ref="Q154:Q155"/>
    <mergeCell ref="AE143:AE144"/>
    <mergeCell ref="AF143:AF144"/>
    <mergeCell ref="U143:U144"/>
    <mergeCell ref="V143:V144"/>
    <mergeCell ref="W143:W144"/>
    <mergeCell ref="X143:X144"/>
    <mergeCell ref="Y143:Y144"/>
    <mergeCell ref="Z143:Z144"/>
    <mergeCell ref="Q143:Q144"/>
    <mergeCell ref="R143:R144"/>
    <mergeCell ref="S143:S144"/>
    <mergeCell ref="T143:T144"/>
    <mergeCell ref="AK146:AK147"/>
    <mergeCell ref="AL146:AL147"/>
    <mergeCell ref="AM146:AM147"/>
    <mergeCell ref="AN146:AN147"/>
    <mergeCell ref="Q148:Q149"/>
    <mergeCell ref="R148:R149"/>
    <mergeCell ref="S148:S149"/>
    <mergeCell ref="T148:T149"/>
    <mergeCell ref="U148:U149"/>
    <mergeCell ref="V148:V149"/>
    <mergeCell ref="AE146:AE147"/>
    <mergeCell ref="AF146:AF147"/>
    <mergeCell ref="AG146:AG147"/>
    <mergeCell ref="AH146:AH147"/>
    <mergeCell ref="AI146:AI147"/>
    <mergeCell ref="AJ146:AJ147"/>
    <mergeCell ref="Y146:Y147"/>
    <mergeCell ref="Z146:Z147"/>
    <mergeCell ref="AA146:AA147"/>
    <mergeCell ref="AB146:AB147"/>
    <mergeCell ref="AC141:AC142"/>
    <mergeCell ref="AD141:AD142"/>
    <mergeCell ref="AE141:AE142"/>
    <mergeCell ref="AF141:AF142"/>
    <mergeCell ref="AG141:AG142"/>
    <mergeCell ref="AH141:AH142"/>
    <mergeCell ref="W141:W142"/>
    <mergeCell ref="X141:X142"/>
    <mergeCell ref="Y141:Y142"/>
    <mergeCell ref="Z141:Z142"/>
    <mergeCell ref="AA141:AA142"/>
    <mergeCell ref="AB141:AB142"/>
    <mergeCell ref="AM143:AM144"/>
    <mergeCell ref="AN143:AN144"/>
    <mergeCell ref="Q146:Q147"/>
    <mergeCell ref="R146:R147"/>
    <mergeCell ref="S146:S147"/>
    <mergeCell ref="T146:T147"/>
    <mergeCell ref="U146:U147"/>
    <mergeCell ref="V146:V147"/>
    <mergeCell ref="W146:W147"/>
    <mergeCell ref="X146:X147"/>
    <mergeCell ref="AG143:AG144"/>
    <mergeCell ref="AH143:AH144"/>
    <mergeCell ref="AI143:AI144"/>
    <mergeCell ref="AJ143:AJ144"/>
    <mergeCell ref="AK143:AK144"/>
    <mergeCell ref="AL143:AL144"/>
    <mergeCell ref="AA143:AA144"/>
    <mergeCell ref="AB143:AB144"/>
    <mergeCell ref="AC143:AC144"/>
    <mergeCell ref="AD143:AD144"/>
    <mergeCell ref="Q137:Q138"/>
    <mergeCell ref="R137:R138"/>
    <mergeCell ref="S137:S138"/>
    <mergeCell ref="T137:T138"/>
    <mergeCell ref="AK139:AK140"/>
    <mergeCell ref="AL139:AL140"/>
    <mergeCell ref="AM139:AM140"/>
    <mergeCell ref="AN139:AN140"/>
    <mergeCell ref="Q141:Q142"/>
    <mergeCell ref="R141:R142"/>
    <mergeCell ref="S141:S142"/>
    <mergeCell ref="T141:T142"/>
    <mergeCell ref="U141:U142"/>
    <mergeCell ref="V141:V142"/>
    <mergeCell ref="AE139:AE140"/>
    <mergeCell ref="AF139:AF140"/>
    <mergeCell ref="AG139:AG140"/>
    <mergeCell ref="AH139:AH140"/>
    <mergeCell ref="AI139:AI140"/>
    <mergeCell ref="AJ139:AJ140"/>
    <mergeCell ref="Y139:Y140"/>
    <mergeCell ref="Z139:Z140"/>
    <mergeCell ref="AA139:AA140"/>
    <mergeCell ref="AB139:AB140"/>
    <mergeCell ref="AC139:AC140"/>
    <mergeCell ref="AD139:AD140"/>
    <mergeCell ref="AI141:AI142"/>
    <mergeCell ref="AJ141:AJ142"/>
    <mergeCell ref="AK141:AK142"/>
    <mergeCell ref="AL141:AL142"/>
    <mergeCell ref="AM141:AM142"/>
    <mergeCell ref="AN141:AN142"/>
    <mergeCell ref="R139:R140"/>
    <mergeCell ref="S139:S140"/>
    <mergeCell ref="T139:T140"/>
    <mergeCell ref="U139:U140"/>
    <mergeCell ref="V139:V140"/>
    <mergeCell ref="W139:W140"/>
    <mergeCell ref="X139:X140"/>
    <mergeCell ref="AG137:AG138"/>
    <mergeCell ref="AH137:AH138"/>
    <mergeCell ref="AI137:AI138"/>
    <mergeCell ref="AJ137:AJ138"/>
    <mergeCell ref="AK137:AK138"/>
    <mergeCell ref="AL137:AL138"/>
    <mergeCell ref="AA137:AA138"/>
    <mergeCell ref="AB137:AB138"/>
    <mergeCell ref="AC137:AC138"/>
    <mergeCell ref="AD137:AD138"/>
    <mergeCell ref="AE137:AE138"/>
    <mergeCell ref="AF137:AF138"/>
    <mergeCell ref="U137:U138"/>
    <mergeCell ref="V137:V138"/>
    <mergeCell ref="W137:W138"/>
    <mergeCell ref="X137:X138"/>
    <mergeCell ref="Y137:Y138"/>
    <mergeCell ref="Z137:Z138"/>
    <mergeCell ref="AC131:AC132"/>
    <mergeCell ref="AD131:AD132"/>
    <mergeCell ref="D136:I136"/>
    <mergeCell ref="J137:J149"/>
    <mergeCell ref="K137:K149"/>
    <mergeCell ref="L137:L149"/>
    <mergeCell ref="M137:M149"/>
    <mergeCell ref="N137:N149"/>
    <mergeCell ref="D142:I142"/>
    <mergeCell ref="AI133:AI134"/>
    <mergeCell ref="AJ133:AJ134"/>
    <mergeCell ref="AK133:AK134"/>
    <mergeCell ref="AL133:AL134"/>
    <mergeCell ref="AM133:AM134"/>
    <mergeCell ref="AN133:AN134"/>
    <mergeCell ref="AC133:AC134"/>
    <mergeCell ref="AD133:AD134"/>
    <mergeCell ref="AE133:AE134"/>
    <mergeCell ref="AF133:AF134"/>
    <mergeCell ref="AG133:AG134"/>
    <mergeCell ref="AH133:AH134"/>
    <mergeCell ref="W133:W134"/>
    <mergeCell ref="X133:X134"/>
    <mergeCell ref="Y133:Y134"/>
    <mergeCell ref="Z133:Z134"/>
    <mergeCell ref="AA133:AA134"/>
    <mergeCell ref="AB133:AB134"/>
    <mergeCell ref="O122:O134"/>
    <mergeCell ref="P122:P134"/>
    <mergeCell ref="AM137:AM138"/>
    <mergeCell ref="AN137:AN138"/>
    <mergeCell ref="Q139:Q140"/>
    <mergeCell ref="AE128:AE129"/>
    <mergeCell ref="AF128:AF129"/>
    <mergeCell ref="U128:U129"/>
    <mergeCell ref="V128:V129"/>
    <mergeCell ref="W128:W129"/>
    <mergeCell ref="X128:X129"/>
    <mergeCell ref="Y128:Y129"/>
    <mergeCell ref="Z128:Z129"/>
    <mergeCell ref="Q128:Q129"/>
    <mergeCell ref="R128:R129"/>
    <mergeCell ref="S128:S129"/>
    <mergeCell ref="T128:T129"/>
    <mergeCell ref="AK131:AK132"/>
    <mergeCell ref="AL131:AL132"/>
    <mergeCell ref="AM131:AM132"/>
    <mergeCell ref="AN131:AN132"/>
    <mergeCell ref="Q133:Q134"/>
    <mergeCell ref="R133:R134"/>
    <mergeCell ref="S133:S134"/>
    <mergeCell ref="T133:T134"/>
    <mergeCell ref="U133:U134"/>
    <mergeCell ref="V133:V134"/>
    <mergeCell ref="AE131:AE132"/>
    <mergeCell ref="AF131:AF132"/>
    <mergeCell ref="AG131:AG132"/>
    <mergeCell ref="AH131:AH132"/>
    <mergeCell ref="AI131:AI132"/>
    <mergeCell ref="AJ131:AJ132"/>
    <mergeCell ref="Y131:Y132"/>
    <mergeCell ref="Z131:Z132"/>
    <mergeCell ref="AA131:AA132"/>
    <mergeCell ref="AB131:AB132"/>
    <mergeCell ref="AC126:AC127"/>
    <mergeCell ref="AD126:AD127"/>
    <mergeCell ref="AE126:AE127"/>
    <mergeCell ref="AF126:AF127"/>
    <mergeCell ref="AG126:AG127"/>
    <mergeCell ref="AH126:AH127"/>
    <mergeCell ref="W126:W127"/>
    <mergeCell ref="X126:X127"/>
    <mergeCell ref="Y126:Y127"/>
    <mergeCell ref="Z126:Z127"/>
    <mergeCell ref="AA126:AA127"/>
    <mergeCell ref="AB126:AB127"/>
    <mergeCell ref="AM128:AM129"/>
    <mergeCell ref="AN128:AN129"/>
    <mergeCell ref="Q131:Q132"/>
    <mergeCell ref="R131:R132"/>
    <mergeCell ref="S131:S132"/>
    <mergeCell ref="T131:T132"/>
    <mergeCell ref="U131:U132"/>
    <mergeCell ref="V131:V132"/>
    <mergeCell ref="W131:W132"/>
    <mergeCell ref="X131:X132"/>
    <mergeCell ref="AG128:AG129"/>
    <mergeCell ref="AH128:AH129"/>
    <mergeCell ref="AI128:AI129"/>
    <mergeCell ref="AJ128:AJ129"/>
    <mergeCell ref="AK128:AK129"/>
    <mergeCell ref="AL128:AL129"/>
    <mergeCell ref="AA128:AA129"/>
    <mergeCell ref="AB128:AB129"/>
    <mergeCell ref="AC128:AC129"/>
    <mergeCell ref="AD128:AD129"/>
    <mergeCell ref="Q122:Q123"/>
    <mergeCell ref="R122:R123"/>
    <mergeCell ref="S122:S123"/>
    <mergeCell ref="T122:T123"/>
    <mergeCell ref="AK124:AK125"/>
    <mergeCell ref="AL124:AL125"/>
    <mergeCell ref="AM124:AM125"/>
    <mergeCell ref="AN124:AN125"/>
    <mergeCell ref="Q126:Q127"/>
    <mergeCell ref="R126:R127"/>
    <mergeCell ref="S126:S127"/>
    <mergeCell ref="T126:T127"/>
    <mergeCell ref="U126:U127"/>
    <mergeCell ref="V126:V127"/>
    <mergeCell ref="AE124:AE125"/>
    <mergeCell ref="AF124:AF125"/>
    <mergeCell ref="AG124:AG125"/>
    <mergeCell ref="AH124:AH125"/>
    <mergeCell ref="AI124:AI125"/>
    <mergeCell ref="AJ124:AJ125"/>
    <mergeCell ref="Y124:Y125"/>
    <mergeCell ref="Z124:Z125"/>
    <mergeCell ref="AA124:AA125"/>
    <mergeCell ref="AB124:AB125"/>
    <mergeCell ref="AC124:AC125"/>
    <mergeCell ref="AD124:AD125"/>
    <mergeCell ref="AI126:AI127"/>
    <mergeCell ref="AJ126:AJ127"/>
    <mergeCell ref="AK126:AK127"/>
    <mergeCell ref="AL126:AL127"/>
    <mergeCell ref="AM126:AM127"/>
    <mergeCell ref="AN126:AN127"/>
    <mergeCell ref="R124:R125"/>
    <mergeCell ref="S124:S125"/>
    <mergeCell ref="T124:T125"/>
    <mergeCell ref="U124:U125"/>
    <mergeCell ref="V124:V125"/>
    <mergeCell ref="W124:W125"/>
    <mergeCell ref="X124:X125"/>
    <mergeCell ref="AG122:AG123"/>
    <mergeCell ref="AH122:AH123"/>
    <mergeCell ref="AI122:AI123"/>
    <mergeCell ref="AJ122:AJ123"/>
    <mergeCell ref="AK122:AK123"/>
    <mergeCell ref="AL122:AL123"/>
    <mergeCell ref="AA122:AA123"/>
    <mergeCell ref="AB122:AB123"/>
    <mergeCell ref="AC122:AC123"/>
    <mergeCell ref="AD122:AD123"/>
    <mergeCell ref="AE122:AE123"/>
    <mergeCell ref="AF122:AF123"/>
    <mergeCell ref="U122:U123"/>
    <mergeCell ref="V122:V123"/>
    <mergeCell ref="W122:W123"/>
    <mergeCell ref="X122:X123"/>
    <mergeCell ref="Y122:Y123"/>
    <mergeCell ref="Z122:Z123"/>
    <mergeCell ref="AC116:AC117"/>
    <mergeCell ref="AD116:AD117"/>
    <mergeCell ref="D121:I121"/>
    <mergeCell ref="J122:J134"/>
    <mergeCell ref="K122:K134"/>
    <mergeCell ref="L122:L134"/>
    <mergeCell ref="M122:M134"/>
    <mergeCell ref="N122:N134"/>
    <mergeCell ref="D127:I127"/>
    <mergeCell ref="AI118:AI119"/>
    <mergeCell ref="AJ118:AJ119"/>
    <mergeCell ref="AK118:AK119"/>
    <mergeCell ref="AL118:AL119"/>
    <mergeCell ref="AM118:AM119"/>
    <mergeCell ref="AN118:AN119"/>
    <mergeCell ref="AC118:AC119"/>
    <mergeCell ref="AD118:AD119"/>
    <mergeCell ref="AE118:AE119"/>
    <mergeCell ref="AF118:AF119"/>
    <mergeCell ref="AG118:AG119"/>
    <mergeCell ref="AH118:AH119"/>
    <mergeCell ref="W118:W119"/>
    <mergeCell ref="X118:X119"/>
    <mergeCell ref="Y118:Y119"/>
    <mergeCell ref="Z118:Z119"/>
    <mergeCell ref="AA118:AA119"/>
    <mergeCell ref="AB118:AB119"/>
    <mergeCell ref="O107:O119"/>
    <mergeCell ref="P107:P119"/>
    <mergeCell ref="AM122:AM123"/>
    <mergeCell ref="AN122:AN123"/>
    <mergeCell ref="Q124:Q125"/>
    <mergeCell ref="AE113:AE114"/>
    <mergeCell ref="AF113:AF114"/>
    <mergeCell ref="U113:U114"/>
    <mergeCell ref="V113:V114"/>
    <mergeCell ref="W113:W114"/>
    <mergeCell ref="X113:X114"/>
    <mergeCell ref="Y113:Y114"/>
    <mergeCell ref="Z113:Z114"/>
    <mergeCell ref="Q113:Q114"/>
    <mergeCell ref="R113:R114"/>
    <mergeCell ref="S113:S114"/>
    <mergeCell ref="T113:T114"/>
    <mergeCell ref="AK116:AK117"/>
    <mergeCell ref="AL116:AL117"/>
    <mergeCell ref="AM116:AM117"/>
    <mergeCell ref="AN116:AN117"/>
    <mergeCell ref="Q118:Q119"/>
    <mergeCell ref="R118:R119"/>
    <mergeCell ref="S118:S119"/>
    <mergeCell ref="T118:T119"/>
    <mergeCell ref="U118:U119"/>
    <mergeCell ref="V118:V119"/>
    <mergeCell ref="AE116:AE117"/>
    <mergeCell ref="AF116:AF117"/>
    <mergeCell ref="AG116:AG117"/>
    <mergeCell ref="AH116:AH117"/>
    <mergeCell ref="AI116:AI117"/>
    <mergeCell ref="AJ116:AJ117"/>
    <mergeCell ref="Y116:Y117"/>
    <mergeCell ref="Z116:Z117"/>
    <mergeCell ref="AA116:AA117"/>
    <mergeCell ref="AB116:AB117"/>
    <mergeCell ref="AC111:AC112"/>
    <mergeCell ref="AD111:AD112"/>
    <mergeCell ref="AE111:AE112"/>
    <mergeCell ref="AF111:AF112"/>
    <mergeCell ref="AG111:AG112"/>
    <mergeCell ref="AH111:AH112"/>
    <mergeCell ref="W111:W112"/>
    <mergeCell ref="X111:X112"/>
    <mergeCell ref="Y111:Y112"/>
    <mergeCell ref="Z111:Z112"/>
    <mergeCell ref="AA111:AA112"/>
    <mergeCell ref="AB111:AB112"/>
    <mergeCell ref="AM113:AM114"/>
    <mergeCell ref="AN113:AN114"/>
    <mergeCell ref="Q116:Q117"/>
    <mergeCell ref="R116:R117"/>
    <mergeCell ref="S116:S117"/>
    <mergeCell ref="T116:T117"/>
    <mergeCell ref="U116:U117"/>
    <mergeCell ref="V116:V117"/>
    <mergeCell ref="W116:W117"/>
    <mergeCell ref="X116:X117"/>
    <mergeCell ref="AG113:AG114"/>
    <mergeCell ref="AH113:AH114"/>
    <mergeCell ref="AI113:AI114"/>
    <mergeCell ref="AJ113:AJ114"/>
    <mergeCell ref="AK113:AK114"/>
    <mergeCell ref="AL113:AL114"/>
    <mergeCell ref="AA113:AA114"/>
    <mergeCell ref="AB113:AB114"/>
    <mergeCell ref="AC113:AC114"/>
    <mergeCell ref="AD113:AD114"/>
    <mergeCell ref="Q107:Q108"/>
    <mergeCell ref="R107:R108"/>
    <mergeCell ref="S107:S108"/>
    <mergeCell ref="T107:T108"/>
    <mergeCell ref="AK109:AK110"/>
    <mergeCell ref="AL109:AL110"/>
    <mergeCell ref="AM109:AM110"/>
    <mergeCell ref="AN109:AN110"/>
    <mergeCell ref="Q111:Q112"/>
    <mergeCell ref="R111:R112"/>
    <mergeCell ref="S111:S112"/>
    <mergeCell ref="T111:T112"/>
    <mergeCell ref="U111:U112"/>
    <mergeCell ref="V111:V112"/>
    <mergeCell ref="AE109:AE110"/>
    <mergeCell ref="AF109:AF110"/>
    <mergeCell ref="AG109:AG110"/>
    <mergeCell ref="AH109:AH110"/>
    <mergeCell ref="AI109:AI110"/>
    <mergeCell ref="AJ109:AJ110"/>
    <mergeCell ref="Y109:Y110"/>
    <mergeCell ref="Z109:Z110"/>
    <mergeCell ref="AA109:AA110"/>
    <mergeCell ref="AB109:AB110"/>
    <mergeCell ref="AC109:AC110"/>
    <mergeCell ref="AD109:AD110"/>
    <mergeCell ref="AI111:AI112"/>
    <mergeCell ref="AJ111:AJ112"/>
    <mergeCell ref="AK111:AK112"/>
    <mergeCell ref="AL111:AL112"/>
    <mergeCell ref="AM111:AM112"/>
    <mergeCell ref="AN111:AN112"/>
    <mergeCell ref="R109:R110"/>
    <mergeCell ref="S109:S110"/>
    <mergeCell ref="T109:T110"/>
    <mergeCell ref="U109:U110"/>
    <mergeCell ref="V109:V110"/>
    <mergeCell ref="W109:W110"/>
    <mergeCell ref="X109:X110"/>
    <mergeCell ref="AG107:AG108"/>
    <mergeCell ref="AH107:AH108"/>
    <mergeCell ref="AI107:AI108"/>
    <mergeCell ref="AJ107:AJ108"/>
    <mergeCell ref="AK107:AK108"/>
    <mergeCell ref="AL107:AL108"/>
    <mergeCell ref="AA107:AA108"/>
    <mergeCell ref="AB107:AB108"/>
    <mergeCell ref="AC107:AC108"/>
    <mergeCell ref="AD107:AD108"/>
    <mergeCell ref="AE107:AE108"/>
    <mergeCell ref="AF107:AF108"/>
    <mergeCell ref="U107:U108"/>
    <mergeCell ref="V107:V108"/>
    <mergeCell ref="W107:W108"/>
    <mergeCell ref="X107:X108"/>
    <mergeCell ref="Y107:Y108"/>
    <mergeCell ref="Z107:Z108"/>
    <mergeCell ref="AC101:AC102"/>
    <mergeCell ref="AD101:AD102"/>
    <mergeCell ref="D106:I106"/>
    <mergeCell ref="J107:J119"/>
    <mergeCell ref="K107:K119"/>
    <mergeCell ref="L107:L119"/>
    <mergeCell ref="M107:M119"/>
    <mergeCell ref="N107:N119"/>
    <mergeCell ref="D112:I112"/>
    <mergeCell ref="AI103:AI104"/>
    <mergeCell ref="AJ103:AJ104"/>
    <mergeCell ref="AK103:AK104"/>
    <mergeCell ref="AL103:AL104"/>
    <mergeCell ref="AM103:AM104"/>
    <mergeCell ref="AN103:AN104"/>
    <mergeCell ref="AC103:AC104"/>
    <mergeCell ref="AD103:AD104"/>
    <mergeCell ref="AE103:AE104"/>
    <mergeCell ref="AF103:AF104"/>
    <mergeCell ref="AG103:AG104"/>
    <mergeCell ref="AH103:AH104"/>
    <mergeCell ref="W103:W104"/>
    <mergeCell ref="X103:X104"/>
    <mergeCell ref="Y103:Y104"/>
    <mergeCell ref="Z103:Z104"/>
    <mergeCell ref="AA103:AA104"/>
    <mergeCell ref="AB103:AB104"/>
    <mergeCell ref="O92:O104"/>
    <mergeCell ref="P92:P104"/>
    <mergeCell ref="AM107:AM108"/>
    <mergeCell ref="AN107:AN108"/>
    <mergeCell ref="Q109:Q110"/>
    <mergeCell ref="AE98:AE99"/>
    <mergeCell ref="AF98:AF99"/>
    <mergeCell ref="U98:U99"/>
    <mergeCell ref="V98:V99"/>
    <mergeCell ref="W98:W99"/>
    <mergeCell ref="X98:X99"/>
    <mergeCell ref="Y98:Y99"/>
    <mergeCell ref="Z98:Z99"/>
    <mergeCell ref="Q98:Q99"/>
    <mergeCell ref="R98:R99"/>
    <mergeCell ref="S98:S99"/>
    <mergeCell ref="T98:T99"/>
    <mergeCell ref="AK101:AK102"/>
    <mergeCell ref="AL101:AL102"/>
    <mergeCell ref="AM101:AM102"/>
    <mergeCell ref="AN101:AN102"/>
    <mergeCell ref="Q103:Q104"/>
    <mergeCell ref="R103:R104"/>
    <mergeCell ref="S103:S104"/>
    <mergeCell ref="T103:T104"/>
    <mergeCell ref="U103:U104"/>
    <mergeCell ref="V103:V104"/>
    <mergeCell ref="AE101:AE102"/>
    <mergeCell ref="AF101:AF102"/>
    <mergeCell ref="AG101:AG102"/>
    <mergeCell ref="AH101:AH102"/>
    <mergeCell ref="AI101:AI102"/>
    <mergeCell ref="AJ101:AJ102"/>
    <mergeCell ref="Y101:Y102"/>
    <mergeCell ref="Z101:Z102"/>
    <mergeCell ref="AA101:AA102"/>
    <mergeCell ref="AB101:AB102"/>
    <mergeCell ref="AC96:AC97"/>
    <mergeCell ref="AD96:AD97"/>
    <mergeCell ref="AE96:AE97"/>
    <mergeCell ref="AF96:AF97"/>
    <mergeCell ref="AG96:AG97"/>
    <mergeCell ref="AH96:AH97"/>
    <mergeCell ref="W96:W97"/>
    <mergeCell ref="X96:X97"/>
    <mergeCell ref="Y96:Y97"/>
    <mergeCell ref="Z96:Z97"/>
    <mergeCell ref="AA96:AA97"/>
    <mergeCell ref="AB96:AB97"/>
    <mergeCell ref="AM98:AM99"/>
    <mergeCell ref="AN98:AN99"/>
    <mergeCell ref="Q101:Q102"/>
    <mergeCell ref="R101:R102"/>
    <mergeCell ref="S101:S102"/>
    <mergeCell ref="T101:T102"/>
    <mergeCell ref="U101:U102"/>
    <mergeCell ref="V101:V102"/>
    <mergeCell ref="W101:W102"/>
    <mergeCell ref="X101:X102"/>
    <mergeCell ref="AG98:AG99"/>
    <mergeCell ref="AH98:AH99"/>
    <mergeCell ref="AI98:AI99"/>
    <mergeCell ref="AJ98:AJ99"/>
    <mergeCell ref="AK98:AK99"/>
    <mergeCell ref="AL98:AL99"/>
    <mergeCell ref="AA98:AA99"/>
    <mergeCell ref="AB98:AB99"/>
    <mergeCell ref="AC98:AC99"/>
    <mergeCell ref="AD98:AD99"/>
    <mergeCell ref="Q92:Q93"/>
    <mergeCell ref="R92:R93"/>
    <mergeCell ref="S92:S93"/>
    <mergeCell ref="T92:T93"/>
    <mergeCell ref="AK94:AK95"/>
    <mergeCell ref="AL94:AL95"/>
    <mergeCell ref="AM94:AM95"/>
    <mergeCell ref="AN94:AN95"/>
    <mergeCell ref="Q96:Q97"/>
    <mergeCell ref="R96:R97"/>
    <mergeCell ref="S96:S97"/>
    <mergeCell ref="T96:T97"/>
    <mergeCell ref="U96:U97"/>
    <mergeCell ref="V96:V97"/>
    <mergeCell ref="AE94:AE95"/>
    <mergeCell ref="AF94:AF95"/>
    <mergeCell ref="AG94:AG95"/>
    <mergeCell ref="AH94:AH95"/>
    <mergeCell ref="AI94:AI95"/>
    <mergeCell ref="AJ94:AJ95"/>
    <mergeCell ref="Y94:Y95"/>
    <mergeCell ref="Z94:Z95"/>
    <mergeCell ref="AA94:AA95"/>
    <mergeCell ref="AB94:AB95"/>
    <mergeCell ref="AC94:AC95"/>
    <mergeCell ref="AD94:AD95"/>
    <mergeCell ref="AI96:AI97"/>
    <mergeCell ref="AJ96:AJ97"/>
    <mergeCell ref="AK96:AK97"/>
    <mergeCell ref="AL96:AL97"/>
    <mergeCell ref="AM96:AM97"/>
    <mergeCell ref="AN96:AN97"/>
    <mergeCell ref="T94:T95"/>
    <mergeCell ref="U94:U95"/>
    <mergeCell ref="V94:V95"/>
    <mergeCell ref="W94:W95"/>
    <mergeCell ref="X94:X95"/>
    <mergeCell ref="AG92:AG93"/>
    <mergeCell ref="AH92:AH93"/>
    <mergeCell ref="AI92:AI93"/>
    <mergeCell ref="AJ92:AJ93"/>
    <mergeCell ref="AK92:AK93"/>
    <mergeCell ref="AL92:AL93"/>
    <mergeCell ref="AA92:AA93"/>
    <mergeCell ref="AB92:AB93"/>
    <mergeCell ref="AC92:AC93"/>
    <mergeCell ref="AD92:AD93"/>
    <mergeCell ref="AE92:AE93"/>
    <mergeCell ref="AF92:AF93"/>
    <mergeCell ref="U92:U93"/>
    <mergeCell ref="V92:V93"/>
    <mergeCell ref="W92:W93"/>
    <mergeCell ref="X92:X93"/>
    <mergeCell ref="Y92:Y93"/>
    <mergeCell ref="Z92:Z93"/>
    <mergeCell ref="D91:I91"/>
    <mergeCell ref="J92:J104"/>
    <mergeCell ref="K92:K104"/>
    <mergeCell ref="L92:L104"/>
    <mergeCell ref="M92:M104"/>
    <mergeCell ref="N92:N104"/>
    <mergeCell ref="D97:I97"/>
    <mergeCell ref="AI88:AI89"/>
    <mergeCell ref="AJ88:AJ89"/>
    <mergeCell ref="AK88:AK89"/>
    <mergeCell ref="AL88:AL89"/>
    <mergeCell ref="AM88:AM89"/>
    <mergeCell ref="AN88:AN89"/>
    <mergeCell ref="AC88:AC89"/>
    <mergeCell ref="AD88:AD89"/>
    <mergeCell ref="AE88:AE89"/>
    <mergeCell ref="AF88:AF89"/>
    <mergeCell ref="AG88:AG89"/>
    <mergeCell ref="AH88:AH89"/>
    <mergeCell ref="W88:W89"/>
    <mergeCell ref="X88:X89"/>
    <mergeCell ref="Y88:Y89"/>
    <mergeCell ref="Z88:Z89"/>
    <mergeCell ref="AA88:AA89"/>
    <mergeCell ref="AB88:AB89"/>
    <mergeCell ref="O77:O89"/>
    <mergeCell ref="P77:P89"/>
    <mergeCell ref="AM92:AM93"/>
    <mergeCell ref="AN92:AN93"/>
    <mergeCell ref="Q94:Q95"/>
    <mergeCell ref="R94:R95"/>
    <mergeCell ref="S94:S95"/>
    <mergeCell ref="AK86:AK87"/>
    <mergeCell ref="AL86:AL87"/>
    <mergeCell ref="AM86:AM87"/>
    <mergeCell ref="AN86:AN87"/>
    <mergeCell ref="Q88:Q89"/>
    <mergeCell ref="R88:R89"/>
    <mergeCell ref="S88:S89"/>
    <mergeCell ref="T88:T89"/>
    <mergeCell ref="U88:U89"/>
    <mergeCell ref="V88:V89"/>
    <mergeCell ref="AE86:AE87"/>
    <mergeCell ref="AF86:AF87"/>
    <mergeCell ref="AG86:AG87"/>
    <mergeCell ref="AH86:AH87"/>
    <mergeCell ref="AI86:AI87"/>
    <mergeCell ref="AJ86:AJ87"/>
    <mergeCell ref="Y86:Y87"/>
    <mergeCell ref="Z86:Z87"/>
    <mergeCell ref="AA86:AA87"/>
    <mergeCell ref="AB86:AB87"/>
    <mergeCell ref="AC86:AC87"/>
    <mergeCell ref="AD86:AD87"/>
    <mergeCell ref="AM83:AM84"/>
    <mergeCell ref="AN83:AN84"/>
    <mergeCell ref="Q86:Q87"/>
    <mergeCell ref="R86:R87"/>
    <mergeCell ref="S86:S87"/>
    <mergeCell ref="T86:T87"/>
    <mergeCell ref="U86:U87"/>
    <mergeCell ref="V86:V87"/>
    <mergeCell ref="W86:W87"/>
    <mergeCell ref="X86:X87"/>
    <mergeCell ref="AG83:AG84"/>
    <mergeCell ref="AH83:AH84"/>
    <mergeCell ref="AI83:AI84"/>
    <mergeCell ref="AJ83:AJ84"/>
    <mergeCell ref="AK83:AK84"/>
    <mergeCell ref="AL83:AL84"/>
    <mergeCell ref="AA83:AA84"/>
    <mergeCell ref="AB83:AB84"/>
    <mergeCell ref="AC83:AC84"/>
    <mergeCell ref="AD83:AD84"/>
    <mergeCell ref="AE83:AE84"/>
    <mergeCell ref="AF83:AF84"/>
    <mergeCell ref="U83:U84"/>
    <mergeCell ref="V83:V84"/>
    <mergeCell ref="W83:W84"/>
    <mergeCell ref="X83:X84"/>
    <mergeCell ref="Y83:Y84"/>
    <mergeCell ref="Z83:Z84"/>
    <mergeCell ref="Q83:Q84"/>
    <mergeCell ref="R83:R84"/>
    <mergeCell ref="S83:S84"/>
    <mergeCell ref="T83:T84"/>
    <mergeCell ref="AK79:AK80"/>
    <mergeCell ref="AL79:AL80"/>
    <mergeCell ref="AM79:AM80"/>
    <mergeCell ref="AN79:AN80"/>
    <mergeCell ref="Q81:Q82"/>
    <mergeCell ref="R81:R82"/>
    <mergeCell ref="S81:S82"/>
    <mergeCell ref="T81:T82"/>
    <mergeCell ref="U81:U82"/>
    <mergeCell ref="V81:V82"/>
    <mergeCell ref="AE79:AE80"/>
    <mergeCell ref="AF79:AF80"/>
    <mergeCell ref="AG79:AG80"/>
    <mergeCell ref="AH79:AH80"/>
    <mergeCell ref="AI79:AI80"/>
    <mergeCell ref="AJ79:AJ80"/>
    <mergeCell ref="Y79:Y80"/>
    <mergeCell ref="Z79:Z80"/>
    <mergeCell ref="AA79:AA80"/>
    <mergeCell ref="AB79:AB80"/>
    <mergeCell ref="AC79:AC80"/>
    <mergeCell ref="AD79:AD80"/>
    <mergeCell ref="AI81:AI82"/>
    <mergeCell ref="AJ81:AJ82"/>
    <mergeCell ref="AK81:AK82"/>
    <mergeCell ref="AL81:AL82"/>
    <mergeCell ref="AM81:AM82"/>
    <mergeCell ref="AN81:AN82"/>
    <mergeCell ref="AC81:AC82"/>
    <mergeCell ref="AD81:AD82"/>
    <mergeCell ref="AE81:AE82"/>
    <mergeCell ref="AF81:AF82"/>
    <mergeCell ref="AM77:AM78"/>
    <mergeCell ref="AN77:AN78"/>
    <mergeCell ref="Q79:Q80"/>
    <mergeCell ref="R79:R80"/>
    <mergeCell ref="S79:S80"/>
    <mergeCell ref="T79:T80"/>
    <mergeCell ref="U79:U80"/>
    <mergeCell ref="V79:V80"/>
    <mergeCell ref="W79:W80"/>
    <mergeCell ref="X79:X80"/>
    <mergeCell ref="AG77:AG78"/>
    <mergeCell ref="AH77:AH78"/>
    <mergeCell ref="AI77:AI78"/>
    <mergeCell ref="AJ77:AJ78"/>
    <mergeCell ref="AK77:AK78"/>
    <mergeCell ref="AL77:AL78"/>
    <mergeCell ref="AA77:AA78"/>
    <mergeCell ref="AB77:AB78"/>
    <mergeCell ref="AC77:AC78"/>
    <mergeCell ref="AD77:AD78"/>
    <mergeCell ref="AE77:AE78"/>
    <mergeCell ref="AF77:AF78"/>
    <mergeCell ref="U77:U78"/>
    <mergeCell ref="V77:V78"/>
    <mergeCell ref="W77:W78"/>
    <mergeCell ref="X77:X78"/>
    <mergeCell ref="Y77:Y78"/>
    <mergeCell ref="Z77:Z78"/>
    <mergeCell ref="Q77:Q78"/>
    <mergeCell ref="R77:R78"/>
    <mergeCell ref="S77:S78"/>
    <mergeCell ref="T77:T78"/>
    <mergeCell ref="Q71:Q72"/>
    <mergeCell ref="AI73:AI74"/>
    <mergeCell ref="AJ73:AJ74"/>
    <mergeCell ref="AK73:AK74"/>
    <mergeCell ref="AL73:AL74"/>
    <mergeCell ref="AM73:AM74"/>
    <mergeCell ref="AN73:AN74"/>
    <mergeCell ref="AC73:AC74"/>
    <mergeCell ref="AD73:AD74"/>
    <mergeCell ref="AE73:AE74"/>
    <mergeCell ref="AF73:AF74"/>
    <mergeCell ref="AG73:AG74"/>
    <mergeCell ref="AH73:AH74"/>
    <mergeCell ref="W73:W74"/>
    <mergeCell ref="X73:X74"/>
    <mergeCell ref="Y73:Y74"/>
    <mergeCell ref="Z73:Z74"/>
    <mergeCell ref="AA73:AA74"/>
    <mergeCell ref="AB73:AB74"/>
    <mergeCell ref="D76:I76"/>
    <mergeCell ref="J77:J89"/>
    <mergeCell ref="K77:K89"/>
    <mergeCell ref="L77:L89"/>
    <mergeCell ref="M77:M89"/>
    <mergeCell ref="N77:N89"/>
    <mergeCell ref="D82:I82"/>
    <mergeCell ref="Q73:Q74"/>
    <mergeCell ref="R73:R74"/>
    <mergeCell ref="S73:S74"/>
    <mergeCell ref="T73:T74"/>
    <mergeCell ref="U73:U74"/>
    <mergeCell ref="V73:V74"/>
    <mergeCell ref="AG81:AG82"/>
    <mergeCell ref="AH81:AH82"/>
    <mergeCell ref="W81:W82"/>
    <mergeCell ref="X81:X82"/>
    <mergeCell ref="Y81:Y82"/>
    <mergeCell ref="Z81:Z82"/>
    <mergeCell ref="AA81:AA82"/>
    <mergeCell ref="AB81:AB82"/>
    <mergeCell ref="AN68:AN69"/>
    <mergeCell ref="AC68:AC69"/>
    <mergeCell ref="AD68:AD69"/>
    <mergeCell ref="AE68:AE69"/>
    <mergeCell ref="AF68:AF69"/>
    <mergeCell ref="AG68:AG69"/>
    <mergeCell ref="AH68:AH69"/>
    <mergeCell ref="W68:W69"/>
    <mergeCell ref="X68:X69"/>
    <mergeCell ref="Y68:Y69"/>
    <mergeCell ref="Z68:Z69"/>
    <mergeCell ref="AA68:AA69"/>
    <mergeCell ref="AB68:AB69"/>
    <mergeCell ref="AI71:AI72"/>
    <mergeCell ref="AJ71:AJ72"/>
    <mergeCell ref="AK71:AK72"/>
    <mergeCell ref="AL71:AL72"/>
    <mergeCell ref="AM71:AM72"/>
    <mergeCell ref="AN71:AN72"/>
    <mergeCell ref="AC71:AC72"/>
    <mergeCell ref="AD71:AD72"/>
    <mergeCell ref="AE71:AE72"/>
    <mergeCell ref="AF71:AF72"/>
    <mergeCell ref="AG71:AG72"/>
    <mergeCell ref="AH71:AH72"/>
    <mergeCell ref="W71:W72"/>
    <mergeCell ref="X71:X72"/>
    <mergeCell ref="Y71:Y72"/>
    <mergeCell ref="Z71:Z72"/>
    <mergeCell ref="AA71:AA72"/>
    <mergeCell ref="AB71:AB72"/>
    <mergeCell ref="S66:S67"/>
    <mergeCell ref="T66:T67"/>
    <mergeCell ref="U66:U67"/>
    <mergeCell ref="V66:V67"/>
    <mergeCell ref="W66:W67"/>
    <mergeCell ref="X66:X67"/>
    <mergeCell ref="Y66:Y67"/>
    <mergeCell ref="AL66:AL67"/>
    <mergeCell ref="AM66:AM67"/>
    <mergeCell ref="R71:R72"/>
    <mergeCell ref="S71:S72"/>
    <mergeCell ref="T71:T72"/>
    <mergeCell ref="U71:U72"/>
    <mergeCell ref="V71:V72"/>
    <mergeCell ref="AI68:AI69"/>
    <mergeCell ref="AJ68:AJ69"/>
    <mergeCell ref="AK68:AK69"/>
    <mergeCell ref="AL68:AL69"/>
    <mergeCell ref="AM68:AM69"/>
    <mergeCell ref="AC64:AC65"/>
    <mergeCell ref="AD64:AD65"/>
    <mergeCell ref="AE64:AE65"/>
    <mergeCell ref="AF64:AF65"/>
    <mergeCell ref="AG64:AG65"/>
    <mergeCell ref="V64:V65"/>
    <mergeCell ref="W64:W65"/>
    <mergeCell ref="X64:X65"/>
    <mergeCell ref="Y64:Y65"/>
    <mergeCell ref="Z64:Z65"/>
    <mergeCell ref="AA64:AA65"/>
    <mergeCell ref="AN66:AN67"/>
    <mergeCell ref="D67:I67"/>
    <mergeCell ref="Q68:Q69"/>
    <mergeCell ref="R68:R69"/>
    <mergeCell ref="S68:S69"/>
    <mergeCell ref="T68:T69"/>
    <mergeCell ref="U68:U69"/>
    <mergeCell ref="V68:V69"/>
    <mergeCell ref="AF66:AF67"/>
    <mergeCell ref="AG66:AG67"/>
    <mergeCell ref="AH66:AH67"/>
    <mergeCell ref="AI66:AI67"/>
    <mergeCell ref="AJ66:AJ67"/>
    <mergeCell ref="AK66:AK67"/>
    <mergeCell ref="Z66:Z67"/>
    <mergeCell ref="AA66:AA67"/>
    <mergeCell ref="AB66:AB67"/>
    <mergeCell ref="AC66:AC67"/>
    <mergeCell ref="AD66:AD67"/>
    <mergeCell ref="AE66:AE67"/>
    <mergeCell ref="R66:R67"/>
    <mergeCell ref="AN62:AN63"/>
    <mergeCell ref="Q64:Q65"/>
    <mergeCell ref="R64:R65"/>
    <mergeCell ref="S64:S65"/>
    <mergeCell ref="T64:T65"/>
    <mergeCell ref="U64:U65"/>
    <mergeCell ref="AD62:AD63"/>
    <mergeCell ref="AE62:AE63"/>
    <mergeCell ref="AF62:AF63"/>
    <mergeCell ref="AG62:AG63"/>
    <mergeCell ref="AH62:AH63"/>
    <mergeCell ref="AI62:AI63"/>
    <mergeCell ref="X62:X63"/>
    <mergeCell ref="Y62:Y63"/>
    <mergeCell ref="Z62:Z63"/>
    <mergeCell ref="AA62:AA63"/>
    <mergeCell ref="AB62:AB63"/>
    <mergeCell ref="AC62:AC63"/>
    <mergeCell ref="R62:R63"/>
    <mergeCell ref="S62:S63"/>
    <mergeCell ref="T62:T63"/>
    <mergeCell ref="U62:U63"/>
    <mergeCell ref="V62:V63"/>
    <mergeCell ref="W62:W63"/>
    <mergeCell ref="AN64:AN65"/>
    <mergeCell ref="AH64:AH65"/>
    <mergeCell ref="AI64:AI65"/>
    <mergeCell ref="AJ64:AJ65"/>
    <mergeCell ref="AK64:AK65"/>
    <mergeCell ref="AL64:AL65"/>
    <mergeCell ref="AM64:AM65"/>
    <mergeCell ref="AB64:AB65"/>
    <mergeCell ref="D61:I61"/>
    <mergeCell ref="J62:J74"/>
    <mergeCell ref="K62:K74"/>
    <mergeCell ref="L62:L74"/>
    <mergeCell ref="M62:M74"/>
    <mergeCell ref="N62:N74"/>
    <mergeCell ref="O62:O74"/>
    <mergeCell ref="P62:P74"/>
    <mergeCell ref="Q62:Q63"/>
    <mergeCell ref="AH52:AH53"/>
    <mergeCell ref="AI52:AI53"/>
    <mergeCell ref="AJ52:AJ53"/>
    <mergeCell ref="AK52:AK53"/>
    <mergeCell ref="AL52:AL53"/>
    <mergeCell ref="AM52:AM53"/>
    <mergeCell ref="AB52:AB53"/>
    <mergeCell ref="AC52:AC53"/>
    <mergeCell ref="AD52:AD53"/>
    <mergeCell ref="AE52:AE53"/>
    <mergeCell ref="AF52:AF53"/>
    <mergeCell ref="AG52:AG53"/>
    <mergeCell ref="V52:V53"/>
    <mergeCell ref="W52:W53"/>
    <mergeCell ref="X52:X53"/>
    <mergeCell ref="Y52:Y53"/>
    <mergeCell ref="Z52:Z53"/>
    <mergeCell ref="AA52:AA53"/>
    <mergeCell ref="AJ62:AJ63"/>
    <mergeCell ref="AK62:AK63"/>
    <mergeCell ref="AL62:AL63"/>
    <mergeCell ref="AM62:AM63"/>
    <mergeCell ref="Q66:Q67"/>
    <mergeCell ref="W44:W45"/>
    <mergeCell ref="AN46:AN47"/>
    <mergeCell ref="J49:J58"/>
    <mergeCell ref="K49:K58"/>
    <mergeCell ref="L49:L58"/>
    <mergeCell ref="M49:M58"/>
    <mergeCell ref="Q52:Q53"/>
    <mergeCell ref="R52:R53"/>
    <mergeCell ref="S52:S53"/>
    <mergeCell ref="T52:T53"/>
    <mergeCell ref="U52:U53"/>
    <mergeCell ref="AH46:AH47"/>
    <mergeCell ref="AI46:AI47"/>
    <mergeCell ref="AJ46:AJ47"/>
    <mergeCell ref="AK46:AK47"/>
    <mergeCell ref="AL46:AL47"/>
    <mergeCell ref="AM46:AM47"/>
    <mergeCell ref="AB46:AB47"/>
    <mergeCell ref="AC46:AC47"/>
    <mergeCell ref="AD46:AD47"/>
    <mergeCell ref="AE46:AE47"/>
    <mergeCell ref="AF46:AF47"/>
    <mergeCell ref="AG46:AG47"/>
    <mergeCell ref="V46:V47"/>
    <mergeCell ref="W46:W47"/>
    <mergeCell ref="X46:X47"/>
    <mergeCell ref="Y46:Y47"/>
    <mergeCell ref="Z46:Z47"/>
    <mergeCell ref="AA46:AA47"/>
    <mergeCell ref="AN52:AN53"/>
    <mergeCell ref="AL41:AL42"/>
    <mergeCell ref="AM41:AM42"/>
    <mergeCell ref="AN41:AN42"/>
    <mergeCell ref="AC41:AC42"/>
    <mergeCell ref="AD41:AD42"/>
    <mergeCell ref="AE41:AE42"/>
    <mergeCell ref="AF41:AF42"/>
    <mergeCell ref="AG41:AG42"/>
    <mergeCell ref="AH41:AH42"/>
    <mergeCell ref="W41:W42"/>
    <mergeCell ref="X41:X42"/>
    <mergeCell ref="Y41:Y42"/>
    <mergeCell ref="Z41:Z42"/>
    <mergeCell ref="AA41:AA42"/>
    <mergeCell ref="AB41:AB42"/>
    <mergeCell ref="AJ44:AJ45"/>
    <mergeCell ref="AK44:AK45"/>
    <mergeCell ref="AL44:AL45"/>
    <mergeCell ref="AM44:AM45"/>
    <mergeCell ref="AN44:AN45"/>
    <mergeCell ref="AD44:AD45"/>
    <mergeCell ref="AE44:AE45"/>
    <mergeCell ref="AF44:AF45"/>
    <mergeCell ref="AG44:AG45"/>
    <mergeCell ref="AH44:AH45"/>
    <mergeCell ref="AI44:AI45"/>
    <mergeCell ref="X44:X45"/>
    <mergeCell ref="Y44:Y45"/>
    <mergeCell ref="Z44:Z45"/>
    <mergeCell ref="AA44:AA45"/>
    <mergeCell ref="AB44:AB45"/>
    <mergeCell ref="AC44:AC45"/>
    <mergeCell ref="V41:V42"/>
    <mergeCell ref="AF39:AF40"/>
    <mergeCell ref="AG39:AG40"/>
    <mergeCell ref="AH39:AH40"/>
    <mergeCell ref="AI39:AI40"/>
    <mergeCell ref="AJ39:AJ40"/>
    <mergeCell ref="AK39:AK40"/>
    <mergeCell ref="Z39:Z40"/>
    <mergeCell ref="AA39:AA40"/>
    <mergeCell ref="AB39:AB40"/>
    <mergeCell ref="AC39:AC40"/>
    <mergeCell ref="AD39:AD40"/>
    <mergeCell ref="AE39:AE40"/>
    <mergeCell ref="L35:L47"/>
    <mergeCell ref="M35:M47"/>
    <mergeCell ref="N35:N47"/>
    <mergeCell ref="O35:O47"/>
    <mergeCell ref="P35:P47"/>
    <mergeCell ref="Q44:Q45"/>
    <mergeCell ref="AI41:AI42"/>
    <mergeCell ref="AJ41:AJ42"/>
    <mergeCell ref="AK41:AK42"/>
    <mergeCell ref="Q46:Q47"/>
    <mergeCell ref="R46:R47"/>
    <mergeCell ref="S46:S47"/>
    <mergeCell ref="T46:T47"/>
    <mergeCell ref="U46:U47"/>
    <mergeCell ref="R44:R45"/>
    <mergeCell ref="S44:S45"/>
    <mergeCell ref="T44:T45"/>
    <mergeCell ref="U44:U45"/>
    <mergeCell ref="V44:V45"/>
    <mergeCell ref="AL37:AL38"/>
    <mergeCell ref="AM37:AM38"/>
    <mergeCell ref="AB37:AB38"/>
    <mergeCell ref="AC37:AC38"/>
    <mergeCell ref="AD37:AD38"/>
    <mergeCell ref="AE37:AE38"/>
    <mergeCell ref="AF37:AF38"/>
    <mergeCell ref="AG37:AG38"/>
    <mergeCell ref="V37:V38"/>
    <mergeCell ref="W37:W38"/>
    <mergeCell ref="X37:X38"/>
    <mergeCell ref="Y37:Y38"/>
    <mergeCell ref="Z37:Z38"/>
    <mergeCell ref="AA37:AA38"/>
    <mergeCell ref="AL39:AL40"/>
    <mergeCell ref="AM39:AM40"/>
    <mergeCell ref="AN39:AN40"/>
    <mergeCell ref="AL35:AL36"/>
    <mergeCell ref="AM35:AM36"/>
    <mergeCell ref="AN35:AN36"/>
    <mergeCell ref="Q37:Q38"/>
    <mergeCell ref="R37:R38"/>
    <mergeCell ref="S37:S38"/>
    <mergeCell ref="T37:T38"/>
    <mergeCell ref="U37:U38"/>
    <mergeCell ref="AD35:AD36"/>
    <mergeCell ref="AE35:AE36"/>
    <mergeCell ref="AF35:AF36"/>
    <mergeCell ref="AG35:AG36"/>
    <mergeCell ref="AH35:AH36"/>
    <mergeCell ref="AI35:AI36"/>
    <mergeCell ref="X35:X36"/>
    <mergeCell ref="Y35:Y36"/>
    <mergeCell ref="Z35:Z36"/>
    <mergeCell ref="AA35:AA36"/>
    <mergeCell ref="AB35:AB36"/>
    <mergeCell ref="AC35:AC36"/>
    <mergeCell ref="R35:R36"/>
    <mergeCell ref="S35:S36"/>
    <mergeCell ref="T35:T36"/>
    <mergeCell ref="U35:U36"/>
    <mergeCell ref="V35:V36"/>
    <mergeCell ref="W35:W36"/>
    <mergeCell ref="Q35:Q36"/>
    <mergeCell ref="AN37:AN38"/>
    <mergeCell ref="AH37:AH38"/>
    <mergeCell ref="AI37:AI38"/>
    <mergeCell ref="AJ37:AJ38"/>
    <mergeCell ref="AK37:AK38"/>
    <mergeCell ref="D28:I28"/>
    <mergeCell ref="D29:I29"/>
    <mergeCell ref="D30:I30"/>
    <mergeCell ref="D34:I34"/>
    <mergeCell ref="J35:J47"/>
    <mergeCell ref="K35:K47"/>
    <mergeCell ref="C17:O18"/>
    <mergeCell ref="C21:M21"/>
    <mergeCell ref="C23:M23"/>
    <mergeCell ref="C26:C27"/>
    <mergeCell ref="D26:I27"/>
    <mergeCell ref="J26:J27"/>
    <mergeCell ref="K26:K27"/>
    <mergeCell ref="L26:M26"/>
    <mergeCell ref="N26:O26"/>
    <mergeCell ref="AJ35:AJ36"/>
    <mergeCell ref="AK35:AK36"/>
    <mergeCell ref="Q39:Q40"/>
    <mergeCell ref="R39:R40"/>
    <mergeCell ref="S39:S40"/>
    <mergeCell ref="T39:T40"/>
    <mergeCell ref="U39:U40"/>
    <mergeCell ref="V39:V40"/>
    <mergeCell ref="W39:W40"/>
    <mergeCell ref="X39:X40"/>
    <mergeCell ref="Y39:Y40"/>
    <mergeCell ref="D40:I40"/>
    <mergeCell ref="Q41:Q42"/>
    <mergeCell ref="R41:R42"/>
    <mergeCell ref="S41:S42"/>
    <mergeCell ref="T41:T42"/>
    <mergeCell ref="U41:U42"/>
  </mergeCells>
  <hyperlinks>
    <hyperlink ref="D550" r:id="rId1" xr:uid="{BB9CF699-2B58-4748-A327-4B7186A0E0E3}"/>
  </hyperlinks>
  <pageMargins left="0.23622047244094491" right="0.23622047244094491" top="0.74803149606299213" bottom="0.74803149606299213" header="0.31496062992125984" footer="0.31496062992125984"/>
  <pageSetup paperSize="9" scale="8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E987-3730-4475-93F7-153F28840C39}">
  <sheetPr codeName="Sheet1">
    <pageSetUpPr fitToPage="1"/>
  </sheetPr>
  <dimension ref="C4:DP406"/>
  <sheetViews>
    <sheetView topLeftCell="C27" zoomScale="50" zoomScaleNormal="53" workbookViewId="0">
      <selection activeCell="M33" sqref="M33"/>
    </sheetView>
  </sheetViews>
  <sheetFormatPr defaultRowHeight="14.45"/>
  <cols>
    <col min="3" max="3" width="5.28515625" bestFit="1" customWidth="1"/>
    <col min="4" max="4" width="18.5703125" customWidth="1"/>
    <col min="5" max="5" width="4.28515625" customWidth="1"/>
    <col min="6" max="6" width="4.5703125" customWidth="1"/>
    <col min="7" max="7" width="4.140625" customWidth="1"/>
    <col min="8" max="8" width="4.42578125" customWidth="1"/>
    <col min="9" max="9" width="3.5703125" customWidth="1"/>
    <col min="10" max="10" width="5.5703125" customWidth="1"/>
    <col min="11" max="12" width="4.85546875" customWidth="1"/>
    <col min="13" max="13" width="5.28515625" customWidth="1"/>
    <col min="14" max="15" width="5.28515625" bestFit="1" customWidth="1"/>
    <col min="16" max="16" width="5.7109375" bestFit="1" customWidth="1"/>
    <col min="17" max="17" width="5.28515625" bestFit="1" customWidth="1"/>
    <col min="18" max="18" width="5.85546875" customWidth="1"/>
    <col min="19" max="19" width="6.5703125" bestFit="1" customWidth="1"/>
    <col min="20" max="21" width="4.5703125" customWidth="1"/>
    <col min="22" max="22" width="5.85546875" customWidth="1"/>
    <col min="23" max="23" width="4.85546875" customWidth="1"/>
    <col min="24" max="24" width="6.140625" customWidth="1"/>
    <col min="25" max="25" width="13.7109375" bestFit="1" customWidth="1"/>
    <col min="26" max="26" width="6.5703125" customWidth="1"/>
    <col min="27" max="29" width="13.7109375" bestFit="1" customWidth="1"/>
    <col min="30" max="30" width="6.28515625" customWidth="1"/>
    <col min="31" max="31" width="7.28515625" customWidth="1"/>
    <col min="32" max="33" width="5.85546875" customWidth="1"/>
    <col min="34" max="34" width="5.85546875" style="840" customWidth="1"/>
    <col min="35" max="35" width="5.85546875" customWidth="1"/>
    <col min="36" max="36" width="5.5703125" customWidth="1"/>
    <col min="37" max="37" width="7.5703125" customWidth="1"/>
    <col min="38" max="38" width="8.42578125" customWidth="1"/>
    <col min="39" max="40" width="9.42578125" customWidth="1"/>
    <col min="41" max="41" width="9.85546875" customWidth="1"/>
    <col min="42" max="42" width="10.42578125" customWidth="1"/>
    <col min="43" max="43" width="12" bestFit="1" customWidth="1"/>
    <col min="44" max="44" width="8.85546875" customWidth="1"/>
    <col min="45" max="45" width="4.85546875" customWidth="1"/>
    <col min="46" max="47" width="12" bestFit="1" customWidth="1"/>
    <col min="48" max="48" width="10" customWidth="1"/>
    <col min="49" max="49" width="3.85546875" customWidth="1"/>
    <col min="50" max="50" width="6.85546875" bestFit="1" customWidth="1"/>
    <col min="51" max="51" width="4" customWidth="1"/>
    <col min="52" max="52" width="4.85546875" customWidth="1"/>
    <col min="53" max="53" width="10.140625" bestFit="1" customWidth="1"/>
    <col min="54" max="55" width="10" bestFit="1" customWidth="1"/>
    <col min="56" max="56" width="5.28515625" bestFit="1" customWidth="1"/>
    <col min="57" max="57" width="6.85546875" customWidth="1"/>
    <col min="58" max="59" width="5.28515625" bestFit="1" customWidth="1"/>
    <col min="60" max="60" width="5.5703125" customWidth="1"/>
    <col min="61" max="61" width="5.7109375" customWidth="1"/>
    <col min="62" max="63" width="5.28515625" bestFit="1" customWidth="1"/>
    <col min="64" max="64" width="6.42578125" customWidth="1"/>
    <col min="65" max="66" width="5.28515625" bestFit="1" customWidth="1"/>
    <col min="67" max="68" width="5.5703125" customWidth="1"/>
    <col min="69" max="69" width="7.140625" customWidth="1"/>
    <col min="70" max="70" width="5.42578125" customWidth="1"/>
    <col min="71" max="72" width="5.140625" customWidth="1"/>
    <col min="73" max="73" width="6.42578125" customWidth="1"/>
    <col min="74" max="74" width="9.140625" bestFit="1" customWidth="1"/>
    <col min="75" max="75" width="5.42578125" customWidth="1"/>
    <col min="76" max="77" width="6.85546875" customWidth="1"/>
    <col min="78" max="78" width="4.5703125" bestFit="1" customWidth="1"/>
    <col min="79" max="79" width="7.28515625" customWidth="1"/>
    <col min="80" max="80" width="7.42578125" customWidth="1"/>
    <col min="81" max="81" width="7.140625" customWidth="1"/>
    <col min="82" max="83" width="13.140625" bestFit="1" customWidth="1"/>
    <col min="84" max="85" width="14.42578125" bestFit="1" customWidth="1"/>
    <col min="86" max="88" width="9.85546875" bestFit="1" customWidth="1"/>
    <col min="89" max="89" width="5.28515625" bestFit="1" customWidth="1"/>
    <col min="90" max="90" width="6.28515625" customWidth="1"/>
    <col min="91" max="92" width="5.28515625" bestFit="1" customWidth="1"/>
    <col min="93" max="93" width="4.85546875" customWidth="1"/>
    <col min="94" max="94" width="5.140625" customWidth="1"/>
    <col min="95" max="95" width="4.7109375" bestFit="1" customWidth="1"/>
    <col min="96" max="96" width="6.5703125" bestFit="1" customWidth="1"/>
    <col min="97" max="97" width="8.85546875" bestFit="1" customWidth="1"/>
    <col min="98" max="99" width="4.5703125" bestFit="1" customWidth="1"/>
    <col min="100" max="100" width="5" customWidth="1"/>
    <col min="101" max="106" width="8.85546875" bestFit="1" customWidth="1"/>
    <col min="107" max="107" width="5.85546875" customWidth="1"/>
    <col min="108" max="108" width="7.28515625" customWidth="1"/>
    <col min="109" max="109" width="8.42578125" bestFit="1" customWidth="1"/>
    <col min="110" max="110" width="8.85546875" bestFit="1" customWidth="1"/>
    <col min="111" max="111" width="4.5703125" bestFit="1" customWidth="1"/>
    <col min="112" max="118" width="8.85546875" bestFit="1" customWidth="1"/>
  </cols>
  <sheetData>
    <row r="4" spans="3:120">
      <c r="BH4" t="s">
        <v>482</v>
      </c>
    </row>
    <row r="7" spans="3:120">
      <c r="AD7" s="3"/>
    </row>
    <row r="8" spans="3:120" ht="51.75" customHeight="1">
      <c r="C8" s="8" t="str">
        <f>"Zoning Area  AHU - " &amp; INT((ROW()-8)/20)+1 &amp; "  " &amp;IF(AQ10&gt;0,"Air-Conditioning System " &amp; IF(AH10="D","(DX)",IF(AH10="C","(Chilled Water)","")),IF(AND(N10="Amb",AQ10=0),"Ventilation System","Refer"))</f>
        <v>Zoning Area  AHU - 1  Air-Conditioning System (DX)</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39"/>
      <c r="AI8" s="8"/>
      <c r="AJ8" s="8"/>
      <c r="AK8" s="8"/>
      <c r="AL8" s="8"/>
      <c r="AM8" s="8"/>
      <c r="AN8" s="8"/>
      <c r="AO8" s="8"/>
      <c r="AP8" s="8"/>
      <c r="AQ8" s="8"/>
      <c r="AR8" s="8"/>
      <c r="AS8" s="9" t="s">
        <v>221</v>
      </c>
      <c r="AT8" s="10"/>
      <c r="AU8" s="10"/>
      <c r="AV8" s="11"/>
      <c r="AW8" s="9" t="s">
        <v>222</v>
      </c>
      <c r="AX8" s="10"/>
      <c r="AY8" s="10"/>
      <c r="AZ8" s="11"/>
      <c r="BA8" s="12" t="s">
        <v>483</v>
      </c>
      <c r="BB8" s="12"/>
      <c r="BC8" s="12"/>
      <c r="BD8" s="12"/>
      <c r="BE8" s="12"/>
      <c r="BF8" s="12"/>
      <c r="BG8" s="12"/>
      <c r="BH8" s="12"/>
      <c r="BI8" s="12"/>
      <c r="BJ8" s="12"/>
      <c r="BK8" s="12"/>
      <c r="BL8" s="12"/>
      <c r="BM8" s="12"/>
      <c r="BN8" s="12"/>
      <c r="BO8" s="12"/>
      <c r="BP8" s="12"/>
      <c r="BQ8" s="9" t="s">
        <v>484</v>
      </c>
      <c r="BR8" s="10"/>
      <c r="BS8" s="10"/>
      <c r="BT8" s="10"/>
      <c r="BU8" s="10"/>
      <c r="BV8" s="10"/>
      <c r="BW8" s="10"/>
      <c r="BX8" s="10"/>
      <c r="BY8" s="10"/>
      <c r="BZ8" s="11"/>
      <c r="CA8" s="9" t="s">
        <v>485</v>
      </c>
      <c r="CB8" s="10"/>
      <c r="CC8" s="10"/>
      <c r="CD8" s="10"/>
      <c r="CE8" s="9" t="s">
        <v>486</v>
      </c>
      <c r="CF8" s="10"/>
      <c r="CG8" s="11"/>
      <c r="CH8" s="12" t="s">
        <v>487</v>
      </c>
      <c r="CI8" s="12"/>
      <c r="CJ8" s="12"/>
      <c r="CK8" s="12"/>
      <c r="CL8" s="12"/>
      <c r="CM8" s="12"/>
      <c r="CN8" s="12"/>
      <c r="CO8" s="12"/>
      <c r="CP8" s="12"/>
      <c r="CQ8" s="12"/>
      <c r="CR8" s="12"/>
      <c r="CS8" s="12"/>
      <c r="CT8" s="12"/>
      <c r="CU8" s="12"/>
      <c r="CV8" s="12"/>
      <c r="CW8" s="12"/>
      <c r="CX8" s="9" t="s">
        <v>488</v>
      </c>
      <c r="CY8" s="10"/>
      <c r="CZ8" s="10"/>
      <c r="DA8" s="10"/>
      <c r="DB8" s="10"/>
      <c r="DC8" s="10"/>
      <c r="DD8" s="10"/>
      <c r="DE8" s="10"/>
      <c r="DF8" s="10"/>
      <c r="DG8" s="11"/>
      <c r="DH8" s="9" t="s">
        <v>489</v>
      </c>
      <c r="DI8" s="10"/>
      <c r="DJ8" s="10"/>
      <c r="DK8" s="10"/>
      <c r="DL8" s="9"/>
      <c r="DM8" s="10"/>
      <c r="DN8" s="11"/>
      <c r="DO8" s="1"/>
      <c r="DP8" s="1"/>
    </row>
    <row r="9" spans="3:120" ht="120" customHeight="1">
      <c r="C9" s="4" t="s">
        <v>164</v>
      </c>
      <c r="D9" s="5" t="s">
        <v>165</v>
      </c>
      <c r="E9" s="5" t="s">
        <v>166</v>
      </c>
      <c r="F9" s="5" t="s">
        <v>167</v>
      </c>
      <c r="G9" s="5" t="s">
        <v>168</v>
      </c>
      <c r="H9" s="5" t="s">
        <v>169</v>
      </c>
      <c r="I9" s="5" t="s">
        <v>170</v>
      </c>
      <c r="J9" s="5" t="s">
        <v>171</v>
      </c>
      <c r="K9" s="5" t="s">
        <v>172</v>
      </c>
      <c r="L9" s="5" t="s">
        <v>173</v>
      </c>
      <c r="M9" s="5" t="s">
        <v>174</v>
      </c>
      <c r="N9" s="5" t="s">
        <v>175</v>
      </c>
      <c r="O9" s="5" t="s">
        <v>176</v>
      </c>
      <c r="P9" s="5" t="s">
        <v>177</v>
      </c>
      <c r="Q9" s="5" t="s">
        <v>178</v>
      </c>
      <c r="R9" s="5" t="s">
        <v>199</v>
      </c>
      <c r="S9" s="5" t="s">
        <v>180</v>
      </c>
      <c r="T9" s="5" t="s">
        <v>223</v>
      </c>
      <c r="U9" s="5" t="s">
        <v>224</v>
      </c>
      <c r="V9" s="5" t="s">
        <v>199</v>
      </c>
      <c r="W9" s="5" t="s">
        <v>180</v>
      </c>
      <c r="X9" s="5" t="s">
        <v>225</v>
      </c>
      <c r="Y9" s="5" t="s">
        <v>226</v>
      </c>
      <c r="Z9" s="5" t="s">
        <v>227</v>
      </c>
      <c r="AA9" s="5" t="s">
        <v>228</v>
      </c>
      <c r="AB9" s="5" t="s">
        <v>229</v>
      </c>
      <c r="AC9" s="5" t="s">
        <v>230</v>
      </c>
      <c r="AD9" s="5" t="s">
        <v>231</v>
      </c>
      <c r="AE9" s="5" t="s">
        <v>232</v>
      </c>
      <c r="AF9" s="6" t="s">
        <v>233</v>
      </c>
      <c r="AG9" s="6" t="s">
        <v>234</v>
      </c>
      <c r="AH9" s="6" t="s">
        <v>235</v>
      </c>
      <c r="AI9" s="5" t="s">
        <v>236</v>
      </c>
      <c r="AJ9" s="5" t="s">
        <v>237</v>
      </c>
      <c r="AK9" s="5" t="s">
        <v>238</v>
      </c>
      <c r="AL9" s="5" t="s">
        <v>239</v>
      </c>
      <c r="AM9" s="5" t="s">
        <v>240</v>
      </c>
      <c r="AN9" s="5" t="s">
        <v>241</v>
      </c>
      <c r="AO9" s="5" t="s">
        <v>242</v>
      </c>
      <c r="AP9" s="5" t="s">
        <v>243</v>
      </c>
      <c r="AQ9" s="5" t="s">
        <v>244</v>
      </c>
      <c r="AR9" s="5" t="s">
        <v>245</v>
      </c>
      <c r="AS9" s="5" t="s">
        <v>246</v>
      </c>
      <c r="AT9" s="5" t="s">
        <v>247</v>
      </c>
      <c r="AU9" s="5" t="s">
        <v>248</v>
      </c>
      <c r="AV9" s="5" t="s">
        <v>249</v>
      </c>
      <c r="AW9" s="5" t="s">
        <v>250</v>
      </c>
      <c r="AX9" s="5" t="s">
        <v>251</v>
      </c>
      <c r="AY9" s="5" t="s">
        <v>252</v>
      </c>
      <c r="AZ9" s="5" t="s">
        <v>253</v>
      </c>
      <c r="BA9" s="5" t="s">
        <v>490</v>
      </c>
      <c r="BB9" s="5" t="s">
        <v>491</v>
      </c>
      <c r="BC9" s="5" t="s">
        <v>492</v>
      </c>
      <c r="BD9" s="5" t="s">
        <v>493</v>
      </c>
      <c r="BE9" s="5" t="s">
        <v>494</v>
      </c>
      <c r="BF9" s="5" t="s">
        <v>492</v>
      </c>
      <c r="BG9" s="5" t="s">
        <v>493</v>
      </c>
      <c r="BH9" s="5" t="s">
        <v>495</v>
      </c>
      <c r="BI9" s="5" t="s">
        <v>496</v>
      </c>
      <c r="BJ9" s="5" t="s">
        <v>492</v>
      </c>
      <c r="BK9" s="5" t="s">
        <v>493</v>
      </c>
      <c r="BL9" s="5" t="s">
        <v>497</v>
      </c>
      <c r="BM9" s="5" t="s">
        <v>492</v>
      </c>
      <c r="BN9" s="5" t="s">
        <v>493</v>
      </c>
      <c r="BO9" s="5" t="s">
        <v>495</v>
      </c>
      <c r="BP9" s="5" t="s">
        <v>498</v>
      </c>
      <c r="BQ9" s="5" t="s">
        <v>499</v>
      </c>
      <c r="BR9" s="5" t="s">
        <v>500</v>
      </c>
      <c r="BS9" s="5" t="s">
        <v>501</v>
      </c>
      <c r="BT9" s="5" t="s">
        <v>502</v>
      </c>
      <c r="BU9" s="5" t="s">
        <v>503</v>
      </c>
      <c r="BV9" s="5" t="s">
        <v>504</v>
      </c>
      <c r="BW9" s="5" t="s">
        <v>505</v>
      </c>
      <c r="BX9" s="5" t="s">
        <v>506</v>
      </c>
      <c r="BY9" s="5" t="s">
        <v>173</v>
      </c>
      <c r="BZ9" s="5" t="s">
        <v>174</v>
      </c>
      <c r="CA9" s="5" t="s">
        <v>503</v>
      </c>
      <c r="CB9" s="5" t="s">
        <v>507</v>
      </c>
      <c r="CC9" s="5" t="s">
        <v>173</v>
      </c>
      <c r="CD9" s="5" t="s">
        <v>508</v>
      </c>
      <c r="CE9" s="7" t="s">
        <v>509</v>
      </c>
      <c r="CF9" s="7" t="s">
        <v>510</v>
      </c>
      <c r="CG9" s="7" t="s">
        <v>511</v>
      </c>
      <c r="CH9" s="5" t="s">
        <v>512</v>
      </c>
      <c r="CI9" s="5" t="s">
        <v>513</v>
      </c>
      <c r="CJ9" s="5" t="s">
        <v>492</v>
      </c>
      <c r="CK9" s="5" t="s">
        <v>493</v>
      </c>
      <c r="CL9" s="5" t="s">
        <v>494</v>
      </c>
      <c r="CM9" s="5" t="s">
        <v>492</v>
      </c>
      <c r="CN9" s="5" t="s">
        <v>493</v>
      </c>
      <c r="CO9" s="5" t="s">
        <v>495</v>
      </c>
      <c r="CP9" s="5" t="s">
        <v>496</v>
      </c>
      <c r="CQ9" s="5" t="s">
        <v>492</v>
      </c>
      <c r="CR9" s="5" t="s">
        <v>493</v>
      </c>
      <c r="CS9" s="5" t="s">
        <v>497</v>
      </c>
      <c r="CT9" s="5" t="s">
        <v>492</v>
      </c>
      <c r="CU9" s="5" t="s">
        <v>493</v>
      </c>
      <c r="CV9" s="5" t="s">
        <v>495</v>
      </c>
      <c r="CW9" s="5" t="s">
        <v>498</v>
      </c>
      <c r="CX9" s="5" t="s">
        <v>499</v>
      </c>
      <c r="CY9" s="5" t="s">
        <v>500</v>
      </c>
      <c r="CZ9" s="5" t="s">
        <v>501</v>
      </c>
      <c r="DA9" s="5" t="s">
        <v>502</v>
      </c>
      <c r="DB9" s="5" t="s">
        <v>503</v>
      </c>
      <c r="DC9" s="5" t="s">
        <v>504</v>
      </c>
      <c r="DD9" s="5" t="s">
        <v>505</v>
      </c>
      <c r="DE9" s="5" t="s">
        <v>506</v>
      </c>
      <c r="DF9" s="5" t="s">
        <v>173</v>
      </c>
      <c r="DG9" s="5" t="s">
        <v>174</v>
      </c>
      <c r="DH9" s="5" t="s">
        <v>503</v>
      </c>
      <c r="DI9" s="5" t="s">
        <v>507</v>
      </c>
      <c r="DJ9" s="5" t="s">
        <v>173</v>
      </c>
      <c r="DK9" s="5" t="s">
        <v>508</v>
      </c>
      <c r="DL9" s="7" t="s">
        <v>509</v>
      </c>
      <c r="DM9" s="7" t="s">
        <v>510</v>
      </c>
      <c r="DN9" s="7" t="s">
        <v>511</v>
      </c>
      <c r="DO9" s="2"/>
      <c r="DP9" s="2"/>
    </row>
    <row r="10" spans="3:120" ht="18.600000000000001" customHeight="1">
      <c r="C10" s="13">
        <f>'Input BOD'!C10</f>
        <v>1</v>
      </c>
      <c r="D10" s="14" t="str">
        <f>'Input BOD'!D10</f>
        <v>Chandrashekar</v>
      </c>
      <c r="E10" s="14">
        <f>'Input BOD'!E10</f>
        <v>1</v>
      </c>
      <c r="F10" s="14">
        <f>'Input BOD'!F10</f>
        <v>1</v>
      </c>
      <c r="G10" s="14">
        <f>'Input BOD'!G10</f>
        <v>2</v>
      </c>
      <c r="H10" s="14">
        <f>'Input BOD'!H10</f>
        <v>1</v>
      </c>
      <c r="I10" s="14">
        <f>'Input BOD'!I10</f>
        <v>2</v>
      </c>
      <c r="J10" s="14">
        <f>'Input BOD'!J10</f>
        <v>1.75</v>
      </c>
      <c r="K10" s="14">
        <f>'Input BOD'!K10</f>
        <v>2</v>
      </c>
      <c r="L10" s="15">
        <f>'Input BOD'!L10</f>
        <v>0.1</v>
      </c>
      <c r="M10" s="15">
        <f>'Input BOD'!M10</f>
        <v>0</v>
      </c>
      <c r="N10" s="14">
        <v>24</v>
      </c>
      <c r="O10" s="14">
        <f>'Input BOD'!O10</f>
        <v>50</v>
      </c>
      <c r="P10" s="13">
        <f>'Input BOD'!P10</f>
        <v>41</v>
      </c>
      <c r="Q10" s="13">
        <f>'Input BOD'!Q10</f>
        <v>85</v>
      </c>
      <c r="R10" s="13" t="str">
        <f>'Input BOD'!R10</f>
        <v>Class100K</v>
      </c>
      <c r="S10" s="13">
        <f>'Input BOD'!S10</f>
        <v>12</v>
      </c>
      <c r="T10" s="13">
        <v>0</v>
      </c>
      <c r="U10" s="13">
        <v>100</v>
      </c>
      <c r="V10" s="13" t="str">
        <f>R10</f>
        <v>Class100K</v>
      </c>
      <c r="W10" s="13">
        <f>S10</f>
        <v>12</v>
      </c>
      <c r="X10" s="16">
        <f>E10*F10*10.76</f>
        <v>10.76</v>
      </c>
      <c r="Y10" s="16">
        <f>X10*G10*3.28</f>
        <v>70.585599999999999</v>
      </c>
      <c r="Z10" s="16">
        <f>Y10*S10/60</f>
        <v>14.11712</v>
      </c>
      <c r="AA10" s="16">
        <f>Z10*L10</f>
        <v>1.4117120000000001</v>
      </c>
      <c r="AB10" s="16">
        <f>IF(N10="Amb",Z10,Z10*M10)</f>
        <v>0</v>
      </c>
      <c r="AC10" s="16">
        <f>IF(ISNUMBER(N10), (AA10*0.075*60/2.20462)*BP10/7000, "Ambient")</f>
        <v>9.8307653762101654E-2</v>
      </c>
      <c r="AD10" s="16">
        <f>IF(ISNUMBER(N10), CEILING(CF10/(0.68*BP10),25), "Ambient")</f>
        <v>975</v>
      </c>
      <c r="AE10" s="16">
        <f>CEILING(MAX((Z10+AA10),AD10),25)</f>
        <v>975</v>
      </c>
      <c r="AF10" s="16">
        <f>CEILING(IF(OR($R10="ISO 6",$R10="GRADE B",$R10="1K",$R10=1000),AE10*1/175,IF(OR($R10="ISO 5",$R10="GRADE A",$R10=100),AE10*1/100,IF(OR($R10="ISO 7",$R10="GRADE C",$R10="10K",$R10=10000),$AE10*1/250,IF(OR($R10="ISO 8",$R10="GRADE D",$R10="100K",$R10=100000),$AE10*1/250,IF(OR($R10="NC",$R10="20 Micron",$R10="5 Micron",$R10="N C"),$AE10*1/350,0))))),2)</f>
        <v>0</v>
      </c>
      <c r="AG10" s="16">
        <f>IF(ISNUMBER(N10), CEILING(MAX(AI10,AJ10),0.5), "Ambient")</f>
        <v>3.5</v>
      </c>
      <c r="AH10" s="838" t="s">
        <v>84</v>
      </c>
      <c r="AI10" s="17">
        <f>IF(ISNUMBER(N10), CEILING(CE10/12000,0.5), "Ambient")</f>
        <v>2.5</v>
      </c>
      <c r="AJ10" s="17">
        <f>IF(ISNUMBER(N10),CEILING(AE10/(IF(AH10="C",400,300)),0.5), "Ambient")</f>
        <v>3.5</v>
      </c>
      <c r="AK10" s="891">
        <f>CEILING(SUM(AE10:AE25),250)</f>
        <v>15750</v>
      </c>
      <c r="AL10" s="18" t="s">
        <v>254</v>
      </c>
      <c r="AM10" s="889">
        <f>IF(
  ISNUMBER(N10),
  _xlfn.SWITCH(TRIM(UPPER(AR10)),
    "4", 150,
    "3", 125,
    "2", 110,
    "1", 100,
    125
  ),
  IF(
    ISTEXT(N10),
    _xlfn.SWITCH(TRIM(UPPER(AR10)),
      "5", 135,
      "4", 110,
      "3", 90,
      "2", 75,
      "1", 65,
      100)
  )
)</f>
        <v>125</v>
      </c>
      <c r="AN10" s="891">
        <f>IF(AK10&lt;=1300,200,IF(AK10&lt;=1600,225,IF(AK10&lt;=2100,250,IF(AK10&lt;=2700,280,IF(AK10&lt;=3450,315,IF(AK10&lt;=4250,355,IF(AK10&lt;=5250,400,IF(AK10&lt;=6750,450,IF(AK10&lt;=8500,500,IF(AK10&lt;=10750,560,IF(AK10&lt;=13500,630,IF(AK10&lt;=17000,710,IF(AK10&lt;=21500,800,IF(AK10&lt;=27000,900,IF(AK10&lt;=34000,1000,IF(AK10&lt;=43000,1120,IF(AK10&lt;=49000,1200,IF(AK10&lt;=68000,1450,"Refer"))))))))))))))))))</f>
        <v>710</v>
      </c>
      <c r="AO10" s="888">
        <f>IF(AK10*AM10/(6356*0.7*0.9*1.1*25.4)&lt;=1,1,IF(AK10*AM10/(6356*0.7*0.9*1.1*25.4)&lt;=1.5,1.5,IF(AK10*AM10/(6356*0.7*0.9*1.1*25.4)&lt;=2,2,IF(AK10*AM10/(6356*0.7*0.9*1.1*25.4)&lt;=3,3,IF(AK10*AM10/(6356*0.7*0.9*1.1*25.4)&lt;=5,5,IF(AK10*AM10/(6356*0.7*0.9*1.1*25.4)&lt;=7.5,7.5,IF(AK10*AM10/(6356*0.7*0.9*1.1*25.4)&lt;=10,10,IF(AK10*AM10/(6356*0.7*0.9*1.1*25.4)&lt;=12.5,12.5,IF(AK10*AM10/(6356*0.7*0.9*1.1*25.4)&lt;=15,15,IF(AK10*AM10/(6356*0.7*0.9*1.1*25.4)&lt;=20,20,IF(AK10*AM10/(6356*0.7*0.9*1.1*25.4)&lt;=25,25,IF(AK10*AM10/(6356*0.7*0.9*1.1*25.4)&lt;=30,30,IF(AK10*AM10/(6356*0.7*0.9*1.1*25.4)&lt;=40,40,IF(AK10*AM10/(6356*0.7*0.9*1.1*25.4)&lt;=50,50,IF(AK10*AM10/(6356*0.7*0.9*1.1*25.4)&lt;=60,60,IF(AK10*AM10/(6356*0.7*0.9*1.1*25.4)&lt;=75,75,"Refer"))))))))))))))))</f>
        <v>20</v>
      </c>
      <c r="AP10" s="891">
        <f>IF(AND(AQ10=0, N10="Amb"), "Amb",IF((AL11-250)*(AL13-150)*10.76/(1000*1000) &gt;= MAX(AI26,AJ26), 4,IF((AL11-250)*(AL13-150)*10.76*1.5/(1000*1000) &gt;= MAX(AI26,AJ26), 6,IF((AL11-250)*(AL13-150)*10.76*2/(1000*1000) &gt;= MAX(AI26,AJ26), 8, 0))
 )
)</f>
        <v>8</v>
      </c>
      <c r="AQ10" s="891">
        <f>AG26</f>
        <v>56</v>
      </c>
      <c r="AR10" s="889">
        <f>IF(ISNUMBER(N10),
  _xlfn.SWITCH(TRIM(UPPER(R10)),
    "ISO 9",3,"ISO 8",4,"GRADE D",4,"CLASS 100,000",4,"CLASS 100K",4,
    "ISO 7",3,"GRADE C",3,"CLASS 10,000",3,"CLASS 10K",3,
    "ISO 6",3,"CLASS 1,000",3,"CLASS 1K",3,
    "ISO 5",4,"GRADE A",4,"GRADE B",3,"CLASS 100",4,
    "ISO 4",4,"ISO 3",4,"ISO 2",4,"ISO 1",4,
    "NCV20",1,"NCV-10",2,"NCV-5",3,"NCV-1",4,
    "NCAC-10",1,"NCAC-5",2,"NCAC-1",3,
    3),
  IF(ISTEXT(N10),
    _xlfn.SWITCH(TRIM(UPPER(R10)),
      "ISO 9",3,"ISO 8",5,"GRADE D",5,"CLASS 100,000",5,"CLASS 100K",5,
      "ISO 7",4,"GRADE C",4,"CLASS 10,000",4,"CLASS 10K",4,
      "ISO 6",4,"CLASS 1,000",4,"CLASS 1K",4,
      "ISO 5",5,"GRADE A",5,"GRADE B",4,"CLASS 100",5,
      "ISO 4",5,"ISO 3",5,"ISO 2",5,"ISO 1",5,
      "NCV20",1,"NCV-10",2,"NCV-5",3,"NCV-1",4,
      "NCAC-10",1,"NCAC-5",2,"NCAC-1",3,
      3)
  )
)</f>
        <v>3</v>
      </c>
      <c r="AS10" s="888">
        <f>MAX(AI26,AJ26)*24/6</f>
        <v>224</v>
      </c>
      <c r="AT10" s="888">
        <f>AS10*0.06309</f>
        <v>14.132159999999999</v>
      </c>
      <c r="AU10" s="890">
        <v>2</v>
      </c>
      <c r="AV10" s="888">
        <f>SQRT((4*AS10*0.00006309)/(3.14*AU10))*1000</f>
        <v>94.875580610493984</v>
      </c>
      <c r="AW10" s="888"/>
      <c r="AX10" s="888"/>
      <c r="AY10" s="887"/>
      <c r="AZ10" s="888"/>
      <c r="BA10" s="17">
        <f>-CONVERT(N10,"C","F")+CONVERT((N10+8),"C","F")</f>
        <v>14.399999999999991</v>
      </c>
      <c r="BB10" s="17">
        <f>CONVERT(P10,"C","F")-CONVERT(N10,"C","F")</f>
        <v>30.599999999999994</v>
      </c>
      <c r="BC10" s="17">
        <f>N10+8</f>
        <v>32</v>
      </c>
      <c r="BD10" s="17">
        <f>BG10+35</f>
        <v>85</v>
      </c>
      <c r="BE10" s="17">
        <f>0.622*7000*(BD10/100)*(6.1078*10^((7.5*BC10)/(237.3+BC10)))/(1013.25-(6.1078*10^((7.5*BC10)/(237.3+BC10)))*BD10/100)</f>
        <v>180.86341983910182</v>
      </c>
      <c r="BF10" s="17">
        <f t="shared" ref="BF10:BF18" si="0">N10</f>
        <v>24</v>
      </c>
      <c r="BG10" s="17">
        <f t="shared" ref="BG10:BG18" si="1">O10</f>
        <v>50</v>
      </c>
      <c r="BH10" s="17">
        <f>0.622*7000*(BG10/100)*(6.1078*10^((7.5*BF10)/(237.3+BF10)))/(1013.25-(6.1078*10^((7.5*BF10)/(237.3+BF10)))*BG10/100)</f>
        <v>65.062647806544774</v>
      </c>
      <c r="BI10" s="17">
        <f>BE10-BH10</f>
        <v>115.80077203255705</v>
      </c>
      <c r="BJ10" s="17">
        <f t="shared" ref="BJ10:BJ18" si="2">P10</f>
        <v>41</v>
      </c>
      <c r="BK10" s="17">
        <f t="shared" ref="BK10:BK18" si="3">Q10</f>
        <v>85</v>
      </c>
      <c r="BL10" s="17">
        <f>0.622*7000*(BK10/100)*(6.1078*10^((7.5*BJ10)/(237.3+BJ10)))/(1013.25-(6.1078*10^((7.5*BJ10)/(237.3+BJ10)))*BK10/100)</f>
        <v>303.8770388845852</v>
      </c>
      <c r="BM10" s="17">
        <f>N10</f>
        <v>24</v>
      </c>
      <c r="BN10" s="17">
        <f>BG10</f>
        <v>50</v>
      </c>
      <c r="BO10" s="17">
        <f>0.622*7000*(BN10/100)*(6.1078*10^((7.5*BM10)/(237.3+BM10)))/(1013.25-(6.1078*10^((7.5*BM10)/(237.3+BM10)))*BN10/100)</f>
        <v>65.062647806544774</v>
      </c>
      <c r="BP10" s="17">
        <f>BL10-BO10</f>
        <v>238.81439107804044</v>
      </c>
      <c r="BQ10" s="17">
        <f>($E10*$G10*10.76*2+$F10*$G10*2*10.76)*$BB10*0.45</f>
        <v>1185.3215999999998</v>
      </c>
      <c r="BR10" s="17">
        <f>($E10*$G10*10.76*2+$F10*$G10*2*10.76)*$BA10*0.45</f>
        <v>557.79839999999967</v>
      </c>
      <c r="BS10" s="17">
        <f>($E10*$F10*10.76)*$BA10*0.45</f>
        <v>69.724799999999959</v>
      </c>
      <c r="BT10" s="17">
        <f>($E10*$F10*10.76)*$BB10*0.45</f>
        <v>148.16519999999997</v>
      </c>
      <c r="BU10" s="17">
        <f>$H10*285*1.08*$BB10</f>
        <v>9418.6799999999985</v>
      </c>
      <c r="BV10" s="17">
        <f>$I10*1000*3.412</f>
        <v>6824</v>
      </c>
      <c r="BW10" s="17">
        <f>$J10*$X10*3.412</f>
        <v>64.247959999999992</v>
      </c>
      <c r="BX10" s="17">
        <f>$K10*1.08*375*$BA10</f>
        <v>11663.999999999993</v>
      </c>
      <c r="BY10" s="17">
        <f>($AA10+$AB10)*1.08*$BB10</f>
        <v>46.654258175999999</v>
      </c>
      <c r="BZ10" s="17"/>
      <c r="CA10" s="17">
        <f>$H10*200*0.68*$BP10</f>
        <v>32478.7571866135</v>
      </c>
      <c r="CB10" s="17">
        <f>$K10*375*0.68*$BP10</f>
        <v>121795.33944980064</v>
      </c>
      <c r="CC10" s="17">
        <f>($AA10+$AB10)*0.68*$BP10</f>
        <v>229.25325632714262</v>
      </c>
      <c r="CD10" s="17">
        <f>($Z10-$AA10)*0.68*$BP10</f>
        <v>2063.2793069442837</v>
      </c>
      <c r="CE10" s="17">
        <f>$BQ10+$BU10+$BV10+$BW10+$BX10+$BY10</f>
        <v>29202.90381817599</v>
      </c>
      <c r="CF10" s="17">
        <f>$CA10+$CB10+$CC10+$CD10</f>
        <v>156566.62919968559</v>
      </c>
      <c r="CG10" s="17">
        <f>$CE10+$CF10</f>
        <v>185769.53301786157</v>
      </c>
      <c r="CH10" s="17">
        <f>CONVERT(N10,"C","F")-CONVERT((N10-8),"C","F")</f>
        <v>14.400000000000006</v>
      </c>
      <c r="CI10" s="17">
        <f>CONVERT(T10,"C","F")-CONVERT(N10,"C","F")</f>
        <v>-43.2</v>
      </c>
      <c r="CJ10" s="17">
        <f>CM10-8</f>
        <v>16</v>
      </c>
      <c r="CK10" s="17">
        <f>O10+40</f>
        <v>90</v>
      </c>
      <c r="CL10" s="17">
        <f>0.622*7000*(CK10/100)*(6.1078*10^((7.5*CJ10)/(237.3+CJ10)))/(1013.25-(6.1078*10^((7.5*CJ10)/(237.3+CJ10)))*CK10/100)</f>
        <v>71.46880726181422</v>
      </c>
      <c r="CM10" s="17">
        <f t="shared" ref="CM10:CM18" si="4">N10</f>
        <v>24</v>
      </c>
      <c r="CN10" s="17">
        <f t="shared" ref="CN10:CN18" si="5">O10</f>
        <v>50</v>
      </c>
      <c r="CO10" s="17">
        <f>0.622*7000*(CN10/100)*(6.1078*10^((7.5*CM10)/(237.3+CM10)))/(1013.25-(6.1078*10^((7.5*CM10)/(237.3+CM10)))*CN10/100)</f>
        <v>65.062647806544774</v>
      </c>
      <c r="CP10" s="17">
        <f>CL10-CO10</f>
        <v>6.4061594552694459</v>
      </c>
      <c r="CQ10" s="17">
        <f t="shared" ref="CQ10:CQ18" si="6">T10</f>
        <v>0</v>
      </c>
      <c r="CR10" s="17">
        <f t="shared" ref="CR10:CR18" si="7">U10</f>
        <v>100</v>
      </c>
      <c r="CS10" s="17">
        <f>0.622*7000*(CR10/100)*(6.1078*10^((7.5*CQ10)/(237.3+CQ10)))/(1013.25-(6.1078*10^((7.5*CQ10)/(237.3+CQ10)))*CR10/100)</f>
        <v>26.404773030064671</v>
      </c>
      <c r="CT10" s="17">
        <f>CM10</f>
        <v>24</v>
      </c>
      <c r="CU10" s="17">
        <f>O10</f>
        <v>50</v>
      </c>
      <c r="CV10" s="17">
        <f>0.622*7000*(CU10/100)*(6.1078*10^((7.5*CT10)/(237.3+CT10)))/(1013.25-(6.1078*10^((7.5*CT10)/(237.3+CT10)))*CU10/100)</f>
        <v>65.062647806544774</v>
      </c>
      <c r="CW10" s="17">
        <f>CS10-CV10</f>
        <v>-38.657874776480099</v>
      </c>
      <c r="CX10" s="17">
        <f t="shared" ref="CX10:CY25" si="8">($E10*$G10*10.76*2+$F10*$G10*2*10.76)*$CI10*0.45</f>
        <v>-1673.3951999999999</v>
      </c>
      <c r="CY10" s="17">
        <f t="shared" si="8"/>
        <v>-1673.3951999999999</v>
      </c>
      <c r="CZ10" s="17">
        <f>($E10*$F10*10.76)*$CH10*0.45</f>
        <v>69.724800000000016</v>
      </c>
      <c r="DA10" s="17">
        <f>($E10*$F10*10.76)*$CI10*0.45</f>
        <v>-209.17439999999999</v>
      </c>
      <c r="DB10" s="17">
        <f>$H10*285*1.08*$CI10</f>
        <v>-13296.960000000001</v>
      </c>
      <c r="DC10" s="17">
        <f>$I10*1000*3.412</f>
        <v>6824</v>
      </c>
      <c r="DD10" s="17">
        <f>$J10*$X10*3.412</f>
        <v>64.247959999999992</v>
      </c>
      <c r="DE10" s="17">
        <f>$K10*1.08*375*$CH10</f>
        <v>11664.000000000005</v>
      </c>
      <c r="DF10" s="17">
        <f>($AA10+$AB10)*1.08*$CI10</f>
        <v>-65.864835072000005</v>
      </c>
      <c r="DG10" s="17"/>
      <c r="DH10" s="17">
        <f>$H10*200*0.68*CW10</f>
        <v>-5257.4709696012933</v>
      </c>
      <c r="DI10" s="17">
        <f>$K10*375*0.68*CW10</f>
        <v>-19715.516136004851</v>
      </c>
      <c r="DJ10" s="17">
        <f>(AA10+AB10)*0.68*CW10</f>
        <v>-37.110174287188912</v>
      </c>
      <c r="DK10" s="17">
        <f>(Z10-AA10)*0.68*CP10</f>
        <v>55.347151322734128</v>
      </c>
      <c r="DL10" s="17">
        <f>CX10+DA10+CZ10+DB10+DC10+DD10+DE10+DF10</f>
        <v>3376.5783249280043</v>
      </c>
      <c r="DM10" s="17">
        <f>DH10+DI10+DJ10+DK10</f>
        <v>-24954.750128570602</v>
      </c>
      <c r="DN10" s="17">
        <f>DL10+DM10</f>
        <v>-21578.171803642599</v>
      </c>
    </row>
    <row r="11" spans="3:120" ht="18.600000000000001">
      <c r="C11" s="13">
        <f>'Input BOD'!C11</f>
        <v>2</v>
      </c>
      <c r="D11" s="14" t="str">
        <f>'Input BOD'!D11</f>
        <v>vijay bhasker</v>
      </c>
      <c r="E11" s="14">
        <f>'Input BOD'!E11</f>
        <v>1</v>
      </c>
      <c r="F11" s="14">
        <f>'Input BOD'!F11</f>
        <v>1</v>
      </c>
      <c r="G11" s="14">
        <f>'Input BOD'!G11</f>
        <v>2</v>
      </c>
      <c r="H11" s="14">
        <f>'Input BOD'!H11</f>
        <v>1</v>
      </c>
      <c r="I11" s="14">
        <f>'Input BOD'!I11</f>
        <v>2</v>
      </c>
      <c r="J11" s="14">
        <f>'Input BOD'!J11</f>
        <v>1.75</v>
      </c>
      <c r="K11" s="14">
        <f>'Input BOD'!K11</f>
        <v>2</v>
      </c>
      <c r="L11" s="15">
        <f>'Input BOD'!L11</f>
        <v>0.1</v>
      </c>
      <c r="M11" s="15">
        <f>'Input BOD'!M11</f>
        <v>0</v>
      </c>
      <c r="N11" s="14">
        <f>'Input BOD'!N11</f>
        <v>24</v>
      </c>
      <c r="O11" s="14">
        <f>'Input BOD'!O11</f>
        <v>50</v>
      </c>
      <c r="P11" s="13">
        <f>'Input BOD'!P11</f>
        <v>41</v>
      </c>
      <c r="Q11" s="13">
        <f>'Input BOD'!Q11</f>
        <v>85</v>
      </c>
      <c r="R11" s="13" t="str">
        <f>'Input BOD'!R11</f>
        <v>Class100K</v>
      </c>
      <c r="S11" s="13">
        <f>'Input BOD'!S11</f>
        <v>12</v>
      </c>
      <c r="T11" s="13">
        <v>0</v>
      </c>
      <c r="U11" s="13">
        <v>100</v>
      </c>
      <c r="V11" s="13" t="str">
        <f t="shared" ref="V11:V25" si="9">R11</f>
        <v>Class100K</v>
      </c>
      <c r="W11" s="13">
        <f t="shared" ref="W11:W18" si="10">S11</f>
        <v>12</v>
      </c>
      <c r="X11" s="16">
        <f t="shared" ref="X11:X18" si="11">E11*F11*10.76</f>
        <v>10.76</v>
      </c>
      <c r="Y11" s="16">
        <f t="shared" ref="Y11:Y18" si="12">X11*G11*3.28</f>
        <v>70.585599999999999</v>
      </c>
      <c r="Z11" s="16">
        <f t="shared" ref="Z11:Z18" si="13">Y11*S11/60</f>
        <v>14.11712</v>
      </c>
      <c r="AA11" s="16">
        <f t="shared" ref="AA11:AA18" si="14">Z11*L11</f>
        <v>1.4117120000000001</v>
      </c>
      <c r="AB11" s="16">
        <f t="shared" ref="AB11:AB25" si="15">IF(N11="Amb",Z11,Z11*M11)</f>
        <v>0</v>
      </c>
      <c r="AC11" s="16">
        <f t="shared" ref="AC11:AC18" si="16">IF(ISNUMBER(N11), (AA11*0.075*60/2.20462)*BP11/7000, "Ambient")</f>
        <v>9.8307653762101654E-2</v>
      </c>
      <c r="AD11" s="16">
        <f t="shared" ref="AD11:AD17" si="17">IF(ISNUMBER(N11), CEILING(CF11/(0.68*BP11),25), "Ambient")</f>
        <v>975</v>
      </c>
      <c r="AE11" s="16">
        <f t="shared" ref="AE11:AE18" si="18">CEILING(MAX((Z11+AA11),AD11),25)</f>
        <v>975</v>
      </c>
      <c r="AF11" s="16">
        <f t="shared" ref="AF11:AF25" si="19">CEILING(IF(OR($R11="ISO 6",$R11="GRADE B",$R11="1K",$R11=1000),AE11*1/175,IF(OR($R11="ISO 5",$R11="GRADE A",$R11=100),AE11*1/100,IF(OR($R11="ISO 7",$R11="GRADE C",$R11="10K",$R11=10000),$AE11*1/250,IF(OR($R11="ISO 8",$R11="GRADE D",$R11="100K",$R11=100000),$AE11*1/250,IF(OR($R11="NC",$R11="20 Micron",$R11="5 Micron",$R11="N C"),$AE11*1/350,0))))),2)</f>
        <v>0</v>
      </c>
      <c r="AG11" s="16">
        <f t="shared" ref="AG11:AG25" si="20">IF(ISNUMBER(N11), CEILING(MAX(AI11,AJ11),0.5), "Ambient")</f>
        <v>3.5</v>
      </c>
      <c r="AH11" s="838" t="str">
        <f>'Input BOD'!T11</f>
        <v>D</v>
      </c>
      <c r="AI11" s="17">
        <f t="shared" ref="AI11:AI18" si="21">IF(ISNUMBER(N11), CEILING(CE11/12000,0.5), "Ambient")</f>
        <v>2.5</v>
      </c>
      <c r="AJ11" s="17">
        <f t="shared" ref="AJ11:AJ25" si="22">IF(ISNUMBER(N11),CEILING(AE11/(IF(AH11="C",400,300)),0.5), "Ambient")</f>
        <v>3.5</v>
      </c>
      <c r="AK11" s="891"/>
      <c r="AL11" s="18">
        <f>IF(AK10&lt;=2000,950,(IF(AK10&lt;=3000,1150,(IF(AK10&lt;=8000,1550,(IF(AK10&lt;=10000,1750,(IF(AK10&lt;=18000,2050,(IF(AK10&lt;=32000,2900,(IF(AK10&lt;=40000,3600,4000)))))))))))))</f>
        <v>2050</v>
      </c>
      <c r="AM11" s="889"/>
      <c r="AN11" s="891"/>
      <c r="AO11" s="888"/>
      <c r="AP11" s="891"/>
      <c r="AQ11" s="891"/>
      <c r="AR11" s="889"/>
      <c r="AS11" s="888"/>
      <c r="AT11" s="888"/>
      <c r="AU11" s="890"/>
      <c r="AV11" s="888"/>
      <c r="AW11" s="888"/>
      <c r="AX11" s="888"/>
      <c r="AY11" s="887"/>
      <c r="AZ11" s="888"/>
      <c r="BA11" s="17">
        <f t="shared" ref="BA11:BA18" si="23">-CONVERT(N11,"C","F")+CONVERT((N11+8),"C","F")</f>
        <v>14.399999999999991</v>
      </c>
      <c r="BB11" s="17">
        <f t="shared" ref="BB11:BB18" si="24">CONVERT(P11,"C","F")-CONVERT(N11,"C","F")</f>
        <v>30.599999999999994</v>
      </c>
      <c r="BC11" s="17">
        <f t="shared" ref="BC11:BC18" si="25">BF11+8</f>
        <v>32</v>
      </c>
      <c r="BD11" s="17">
        <f t="shared" ref="BD11:BD18" si="26">BG11+35</f>
        <v>85</v>
      </c>
      <c r="BE11" s="17">
        <f t="shared" ref="BE11:BE18" si="27">0.622*7000*(BD11/100)*(6.1078*10^((7.5*BC11)/(237.3+BC11)))/(1013.25-(6.1078*10^((7.5*BC11)/(237.3+BC11)))*BD11/100)</f>
        <v>180.86341983910182</v>
      </c>
      <c r="BF11" s="17">
        <f t="shared" si="0"/>
        <v>24</v>
      </c>
      <c r="BG11" s="17">
        <f t="shared" si="1"/>
        <v>50</v>
      </c>
      <c r="BH11" s="17">
        <f t="shared" ref="BH11:BH18" si="28">0.622*7000*(BG11/100)*(6.1078*10^((7.5*BF11)/(237.3+BF11)))/(1013.25-(6.1078*10^((7.5*BF11)/(237.3+BF11)))*BG11/100)</f>
        <v>65.062647806544774</v>
      </c>
      <c r="BI11" s="17">
        <f t="shared" ref="BI11:BI18" si="29">BE11-BH11</f>
        <v>115.80077203255705</v>
      </c>
      <c r="BJ11" s="17">
        <f t="shared" si="2"/>
        <v>41</v>
      </c>
      <c r="BK11" s="17">
        <f t="shared" si="3"/>
        <v>85</v>
      </c>
      <c r="BL11" s="17">
        <f t="shared" ref="BL11:BL18" si="30">0.622*7000*(BK11/100)*(6.1078*10^((7.5*BJ11)/(237.3+BJ11)))/(1013.25-(6.1078*10^((7.5*BJ11)/(237.3+BJ11)))*BK11/100)</f>
        <v>303.8770388845852</v>
      </c>
      <c r="BM11" s="17">
        <f t="shared" ref="BM11:BN18" si="31">BF11</f>
        <v>24</v>
      </c>
      <c r="BN11" s="17">
        <f t="shared" si="31"/>
        <v>50</v>
      </c>
      <c r="BO11" s="17">
        <f t="shared" ref="BO11:BO18" si="32">0.622*7000*(BN11/100)*(6.1078*10^((7.5*BM11)/(237.3+BM11)))/(1013.25-(6.1078*10^((7.5*BM11)/(237.3+BM11)))*BN11/100)</f>
        <v>65.062647806544774</v>
      </c>
      <c r="BP11" s="17">
        <f t="shared" ref="BP11:BP18" si="33">BL11-BO11</f>
        <v>238.81439107804044</v>
      </c>
      <c r="BQ11" s="17">
        <f t="shared" ref="BQ11:BQ18" si="34">(E11*G11*10.76*2+F11*G11*2*10.76)*BB11*0.45</f>
        <v>1185.3215999999998</v>
      </c>
      <c r="BR11" s="17">
        <f t="shared" ref="BR11:BR18" si="35">(E11*G11*10.76*2+F11*G11*2*10.76)*BA11*0.45</f>
        <v>557.79839999999967</v>
      </c>
      <c r="BS11" s="17">
        <f t="shared" ref="BS11:BS18" si="36">(E11*F11*10.76)*BA11*0.45</f>
        <v>69.724799999999959</v>
      </c>
      <c r="BT11" s="17">
        <f t="shared" ref="BT11:BT18" si="37">(E11*F11*10.76)*BB11*0.45</f>
        <v>148.16519999999997</v>
      </c>
      <c r="BU11" s="17">
        <f t="shared" ref="BU11:BU18" si="38">H11*285*1.08*BB11</f>
        <v>9418.6799999999985</v>
      </c>
      <c r="BV11" s="17">
        <f t="shared" ref="BV11:BV18" si="39">I11*1000*3.412</f>
        <v>6824</v>
      </c>
      <c r="BW11" s="17">
        <f t="shared" ref="BW11:BW18" si="40">J11*X11*3.412</f>
        <v>64.247959999999992</v>
      </c>
      <c r="BX11" s="17">
        <f t="shared" ref="BX11:BX18" si="41">K11*1.08*375*BA11</f>
        <v>11663.999999999993</v>
      </c>
      <c r="BY11" s="17">
        <f t="shared" ref="BY11:BY18" si="42">(AA11+AB11)*1.08*BB11</f>
        <v>46.654258175999999</v>
      </c>
      <c r="BZ11" s="17"/>
      <c r="CA11" s="17">
        <f t="shared" ref="CA11:CA18" si="43">H11*200*0.68*BP11</f>
        <v>32478.7571866135</v>
      </c>
      <c r="CB11" s="17">
        <f t="shared" ref="CB11:CB18" si="44">K11*375*0.68*BP11</f>
        <v>121795.33944980064</v>
      </c>
      <c r="CC11" s="17">
        <f t="shared" ref="CC11:CC18" si="45">(AA11+AB11)*0.68*BP11</f>
        <v>229.25325632714262</v>
      </c>
      <c r="CD11" s="17">
        <f t="shared" ref="CD11:CD25" si="46">($Z11-$AA11)*0.68*$BP11</f>
        <v>2063.2793069442837</v>
      </c>
      <c r="CE11" s="17">
        <f t="shared" ref="CE11:CE25" si="47">$BQ11+$BU11+$BV11+$BW11+$BX11+$BY11</f>
        <v>29202.90381817599</v>
      </c>
      <c r="CF11" s="17">
        <f t="shared" ref="CF11:CF25" si="48">$CA11+$CB11+$CC11+$CD11</f>
        <v>156566.62919968559</v>
      </c>
      <c r="CG11" s="17">
        <f t="shared" ref="CG11:CG25" si="49">$CE11+$CF11</f>
        <v>185769.53301786157</v>
      </c>
      <c r="CH11" s="17">
        <f t="shared" ref="CH11:CH18" si="50">CONVERT(N11,"C","F")-CONVERT((N11-8),"C","F")</f>
        <v>14.400000000000006</v>
      </c>
      <c r="CI11" s="17">
        <f t="shared" ref="CI11:CI18" si="51">CONVERT(T11,"C","F")-CONVERT(N11,"C","F")</f>
        <v>-43.2</v>
      </c>
      <c r="CJ11" s="17">
        <f t="shared" ref="CJ11:CJ18" si="52">CM11-8</f>
        <v>16</v>
      </c>
      <c r="CK11" s="17">
        <f t="shared" ref="CK11:CK18" si="53">O11+40</f>
        <v>90</v>
      </c>
      <c r="CL11" s="17">
        <f t="shared" ref="CL11:CL18" si="54">0.622*7000*(CK11/100)*(6.1078*10^((7.5*CJ11)/(237.3+CJ11)))/(1013.25-(6.1078*10^((7.5*CJ11)/(237.3+CJ11)))*CK11/100)</f>
        <v>71.46880726181422</v>
      </c>
      <c r="CM11" s="17">
        <f t="shared" si="4"/>
        <v>24</v>
      </c>
      <c r="CN11" s="17">
        <f t="shared" si="5"/>
        <v>50</v>
      </c>
      <c r="CO11" s="17">
        <f t="shared" ref="CO11:CO18" si="55">0.622*7000*(CN11/100)*(6.1078*10^((7.5*CM11)/(237.3+CM11)))/(1013.25-(6.1078*10^((7.5*CM11)/(237.3+CM11)))*CN11/100)</f>
        <v>65.062647806544774</v>
      </c>
      <c r="CP11" s="17">
        <f t="shared" ref="CP11:CP18" si="56">CL11-CO11</f>
        <v>6.4061594552694459</v>
      </c>
      <c r="CQ11" s="17">
        <f t="shared" si="6"/>
        <v>0</v>
      </c>
      <c r="CR11" s="17">
        <f t="shared" si="7"/>
        <v>100</v>
      </c>
      <c r="CS11" s="17">
        <f t="shared" ref="CS11:CS18" si="57">0.622*7000*(CR11/100)*(6.1078*10^((7.5*CQ11)/(237.3+CQ11)))/(1013.25-(6.1078*10^((7.5*CQ11)/(237.3+CQ11)))*CR11/100)</f>
        <v>26.404773030064671</v>
      </c>
      <c r="CT11" s="17">
        <f t="shared" ref="CT11:CT18" si="58">CM11</f>
        <v>24</v>
      </c>
      <c r="CU11" s="17">
        <f t="shared" ref="CU11:CU18" si="59">O11</f>
        <v>50</v>
      </c>
      <c r="CV11" s="17">
        <f t="shared" ref="CV11:CV18" si="60">0.622*7000*(CU11/100)*(6.1078*10^((7.5*CT11)/(237.3+CT11)))/(1013.25-(6.1078*10^((7.5*CT11)/(237.3+CT11)))*CU11/100)</f>
        <v>65.062647806544774</v>
      </c>
      <c r="CW11" s="17">
        <f t="shared" ref="CW11:CW18" si="61">CS11-CV11</f>
        <v>-38.657874776480099</v>
      </c>
      <c r="CX11" s="17">
        <f t="shared" si="8"/>
        <v>-1673.3951999999999</v>
      </c>
      <c r="CY11" s="17">
        <f t="shared" si="8"/>
        <v>-1673.3951999999999</v>
      </c>
      <c r="CZ11" s="17">
        <f t="shared" ref="CZ11:CZ25" si="62">($E11*$F11*10.76)*$CH11*0.45</f>
        <v>69.724800000000016</v>
      </c>
      <c r="DA11" s="17">
        <f t="shared" ref="DA11:DA25" si="63">($E11*$F11*10.76)*$CI11*0.45</f>
        <v>-209.17439999999999</v>
      </c>
      <c r="DB11" s="17">
        <f t="shared" ref="DB11:DB25" si="64">$H11*285*1.08*$CI11</f>
        <v>-13296.960000000001</v>
      </c>
      <c r="DC11" s="17">
        <f t="shared" ref="DC11:DC25" si="65">$I11*1000*3.412</f>
        <v>6824</v>
      </c>
      <c r="DD11" s="17">
        <f t="shared" ref="DD11:DD25" si="66">$J11*$X11*3.412</f>
        <v>64.247959999999992</v>
      </c>
      <c r="DE11" s="17">
        <f t="shared" ref="DE11:DE25" si="67">$K11*1.08*375*$CH11</f>
        <v>11664.000000000005</v>
      </c>
      <c r="DF11" s="17">
        <f t="shared" ref="DF11:DF25" si="68">($AA11+$AB11)*1.08*$CI11</f>
        <v>-65.864835072000005</v>
      </c>
      <c r="DG11" s="17"/>
      <c r="DH11" s="17">
        <f t="shared" ref="DH11:DH18" si="69">$H11*200*0.68*CW11</f>
        <v>-5257.4709696012933</v>
      </c>
      <c r="DI11" s="17">
        <f t="shared" ref="DI11:DI18" si="70">$K11*375*0.68*CW11</f>
        <v>-19715.516136004851</v>
      </c>
      <c r="DJ11" s="17">
        <f t="shared" ref="DJ11:DJ18" si="71">(AA11+AB11)*0.68*CW11</f>
        <v>-37.110174287188912</v>
      </c>
      <c r="DK11" s="17">
        <f t="shared" ref="DK11:DK18" si="72">(Z11-AA11)*0.68*CP11</f>
        <v>55.347151322734128</v>
      </c>
      <c r="DL11" s="17">
        <f t="shared" ref="DL11:DL18" si="73">CX11+DA11+CZ11+DB11+DC11+DD11+DE11+DF11</f>
        <v>3376.5783249280043</v>
      </c>
      <c r="DM11" s="17">
        <f t="shared" ref="DM11:DM18" si="74">DH11+DI11+DJ11+DK11</f>
        <v>-24954.750128570602</v>
      </c>
      <c r="DN11" s="17">
        <f t="shared" ref="DN11:DN18" si="75">DL11+DM11</f>
        <v>-21578.171803642599</v>
      </c>
    </row>
    <row r="12" spans="3:120" ht="18.600000000000001">
      <c r="C12" s="13">
        <f>'Input BOD'!C12</f>
        <v>3</v>
      </c>
      <c r="D12" s="14" t="str">
        <f>'Input BOD'!D12</f>
        <v>nimma</v>
      </c>
      <c r="E12" s="14">
        <f>'Input BOD'!E12</f>
        <v>1</v>
      </c>
      <c r="F12" s="14">
        <f>'Input BOD'!F12</f>
        <v>1</v>
      </c>
      <c r="G12" s="14">
        <f>'Input BOD'!G12</f>
        <v>2</v>
      </c>
      <c r="H12" s="14">
        <f>'Input BOD'!H12</f>
        <v>1</v>
      </c>
      <c r="I12" s="14">
        <f>'Input BOD'!I12</f>
        <v>2</v>
      </c>
      <c r="J12" s="14">
        <f>'Input BOD'!J12</f>
        <v>1.75</v>
      </c>
      <c r="K12" s="14">
        <f>'Input BOD'!K12</f>
        <v>2</v>
      </c>
      <c r="L12" s="15">
        <f>'Input BOD'!L12</f>
        <v>0.1</v>
      </c>
      <c r="M12" s="15">
        <f>'Input BOD'!M12</f>
        <v>0</v>
      </c>
      <c r="N12" s="14">
        <f>'Input BOD'!N12</f>
        <v>24</v>
      </c>
      <c r="O12" s="14">
        <f>'Input BOD'!O12</f>
        <v>50</v>
      </c>
      <c r="P12" s="13">
        <f>'Input BOD'!P12</f>
        <v>41</v>
      </c>
      <c r="Q12" s="13">
        <f>'Input BOD'!Q12</f>
        <v>85</v>
      </c>
      <c r="R12" s="13" t="str">
        <f>'Input BOD'!R12</f>
        <v>Class100K</v>
      </c>
      <c r="S12" s="13">
        <f>'Input BOD'!S12</f>
        <v>12</v>
      </c>
      <c r="T12" s="13">
        <v>0</v>
      </c>
      <c r="U12" s="13">
        <v>100</v>
      </c>
      <c r="V12" s="13" t="str">
        <f t="shared" si="9"/>
        <v>Class100K</v>
      </c>
      <c r="W12" s="13">
        <f t="shared" si="10"/>
        <v>12</v>
      </c>
      <c r="X12" s="16">
        <f t="shared" si="11"/>
        <v>10.76</v>
      </c>
      <c r="Y12" s="16">
        <f t="shared" si="12"/>
        <v>70.585599999999999</v>
      </c>
      <c r="Z12" s="16">
        <f t="shared" si="13"/>
        <v>14.11712</v>
      </c>
      <c r="AA12" s="16">
        <f t="shared" si="14"/>
        <v>1.4117120000000001</v>
      </c>
      <c r="AB12" s="16">
        <f t="shared" si="15"/>
        <v>0</v>
      </c>
      <c r="AC12" s="16">
        <f t="shared" si="16"/>
        <v>9.8307653762101654E-2</v>
      </c>
      <c r="AD12" s="16">
        <f t="shared" si="17"/>
        <v>975</v>
      </c>
      <c r="AE12" s="16">
        <f t="shared" si="18"/>
        <v>975</v>
      </c>
      <c r="AF12" s="16">
        <f t="shared" si="19"/>
        <v>0</v>
      </c>
      <c r="AG12" s="16">
        <f t="shared" si="20"/>
        <v>3.5</v>
      </c>
      <c r="AH12" s="838" t="str">
        <f>'Input BOD'!T12</f>
        <v>D</v>
      </c>
      <c r="AI12" s="17">
        <f t="shared" si="21"/>
        <v>2.5</v>
      </c>
      <c r="AJ12" s="17">
        <f t="shared" si="22"/>
        <v>3.5</v>
      </c>
      <c r="AK12" s="891"/>
      <c r="AL12" s="18" t="s">
        <v>255</v>
      </c>
      <c r="AM12" s="889"/>
      <c r="AN12" s="891"/>
      <c r="AO12" s="888"/>
      <c r="AP12" s="891"/>
      <c r="AQ12" s="891"/>
      <c r="AR12" s="889"/>
      <c r="AS12" s="888"/>
      <c r="AT12" s="888"/>
      <c r="AU12" s="890"/>
      <c r="AV12" s="888"/>
      <c r="AW12" s="888"/>
      <c r="AX12" s="888"/>
      <c r="AY12" s="887"/>
      <c r="AZ12" s="888"/>
      <c r="BA12" s="17">
        <f t="shared" si="23"/>
        <v>14.399999999999991</v>
      </c>
      <c r="BB12" s="17">
        <f t="shared" si="24"/>
        <v>30.599999999999994</v>
      </c>
      <c r="BC12" s="17">
        <f t="shared" si="25"/>
        <v>32</v>
      </c>
      <c r="BD12" s="17">
        <f t="shared" si="26"/>
        <v>85</v>
      </c>
      <c r="BE12" s="17">
        <f t="shared" si="27"/>
        <v>180.86341983910182</v>
      </c>
      <c r="BF12" s="17">
        <f t="shared" si="0"/>
        <v>24</v>
      </c>
      <c r="BG12" s="17">
        <f t="shared" si="1"/>
        <v>50</v>
      </c>
      <c r="BH12" s="17">
        <f t="shared" si="28"/>
        <v>65.062647806544774</v>
      </c>
      <c r="BI12" s="17">
        <f t="shared" si="29"/>
        <v>115.80077203255705</v>
      </c>
      <c r="BJ12" s="17">
        <f t="shared" si="2"/>
        <v>41</v>
      </c>
      <c r="BK12" s="17">
        <f t="shared" si="3"/>
        <v>85</v>
      </c>
      <c r="BL12" s="17">
        <f t="shared" si="30"/>
        <v>303.8770388845852</v>
      </c>
      <c r="BM12" s="17">
        <f t="shared" si="31"/>
        <v>24</v>
      </c>
      <c r="BN12" s="17">
        <f t="shared" si="31"/>
        <v>50</v>
      </c>
      <c r="BO12" s="17">
        <f t="shared" si="32"/>
        <v>65.062647806544774</v>
      </c>
      <c r="BP12" s="17">
        <f t="shared" si="33"/>
        <v>238.81439107804044</v>
      </c>
      <c r="BQ12" s="17">
        <f t="shared" si="34"/>
        <v>1185.3215999999998</v>
      </c>
      <c r="BR12" s="17">
        <f t="shared" si="35"/>
        <v>557.79839999999967</v>
      </c>
      <c r="BS12" s="17">
        <f t="shared" si="36"/>
        <v>69.724799999999959</v>
      </c>
      <c r="BT12" s="17">
        <f t="shared" si="37"/>
        <v>148.16519999999997</v>
      </c>
      <c r="BU12" s="17">
        <f t="shared" si="38"/>
        <v>9418.6799999999985</v>
      </c>
      <c r="BV12" s="17">
        <f t="shared" si="39"/>
        <v>6824</v>
      </c>
      <c r="BW12" s="17">
        <f t="shared" si="40"/>
        <v>64.247959999999992</v>
      </c>
      <c r="BX12" s="17">
        <f t="shared" si="41"/>
        <v>11663.999999999993</v>
      </c>
      <c r="BY12" s="17">
        <f t="shared" si="42"/>
        <v>46.654258175999999</v>
      </c>
      <c r="BZ12" s="17"/>
      <c r="CA12" s="17">
        <f t="shared" si="43"/>
        <v>32478.7571866135</v>
      </c>
      <c r="CB12" s="17">
        <f t="shared" si="44"/>
        <v>121795.33944980064</v>
      </c>
      <c r="CC12" s="17">
        <f t="shared" si="45"/>
        <v>229.25325632714262</v>
      </c>
      <c r="CD12" s="17">
        <f t="shared" si="46"/>
        <v>2063.2793069442837</v>
      </c>
      <c r="CE12" s="17">
        <f t="shared" si="47"/>
        <v>29202.90381817599</v>
      </c>
      <c r="CF12" s="17">
        <f t="shared" si="48"/>
        <v>156566.62919968559</v>
      </c>
      <c r="CG12" s="17">
        <f t="shared" si="49"/>
        <v>185769.53301786157</v>
      </c>
      <c r="CH12" s="17">
        <f t="shared" si="50"/>
        <v>14.400000000000006</v>
      </c>
      <c r="CI12" s="17">
        <f t="shared" si="51"/>
        <v>-43.2</v>
      </c>
      <c r="CJ12" s="17">
        <f t="shared" si="52"/>
        <v>16</v>
      </c>
      <c r="CK12" s="17">
        <f t="shared" si="53"/>
        <v>90</v>
      </c>
      <c r="CL12" s="17">
        <f t="shared" si="54"/>
        <v>71.46880726181422</v>
      </c>
      <c r="CM12" s="17">
        <f t="shared" si="4"/>
        <v>24</v>
      </c>
      <c r="CN12" s="17">
        <f t="shared" si="5"/>
        <v>50</v>
      </c>
      <c r="CO12" s="17">
        <f t="shared" si="55"/>
        <v>65.062647806544774</v>
      </c>
      <c r="CP12" s="17">
        <f t="shared" si="56"/>
        <v>6.4061594552694459</v>
      </c>
      <c r="CQ12" s="17">
        <f t="shared" si="6"/>
        <v>0</v>
      </c>
      <c r="CR12" s="17">
        <f t="shared" si="7"/>
        <v>100</v>
      </c>
      <c r="CS12" s="17">
        <f t="shared" si="57"/>
        <v>26.404773030064671</v>
      </c>
      <c r="CT12" s="17">
        <f t="shared" si="58"/>
        <v>24</v>
      </c>
      <c r="CU12" s="17">
        <f t="shared" si="59"/>
        <v>50</v>
      </c>
      <c r="CV12" s="17">
        <f t="shared" si="60"/>
        <v>65.062647806544774</v>
      </c>
      <c r="CW12" s="17">
        <f t="shared" si="61"/>
        <v>-38.657874776480099</v>
      </c>
      <c r="CX12" s="17">
        <f t="shared" si="8"/>
        <v>-1673.3951999999999</v>
      </c>
      <c r="CY12" s="17">
        <f t="shared" si="8"/>
        <v>-1673.3951999999999</v>
      </c>
      <c r="CZ12" s="17">
        <f t="shared" si="62"/>
        <v>69.724800000000016</v>
      </c>
      <c r="DA12" s="17">
        <f t="shared" si="63"/>
        <v>-209.17439999999999</v>
      </c>
      <c r="DB12" s="17">
        <f t="shared" si="64"/>
        <v>-13296.960000000001</v>
      </c>
      <c r="DC12" s="17">
        <f t="shared" si="65"/>
        <v>6824</v>
      </c>
      <c r="DD12" s="17">
        <f t="shared" si="66"/>
        <v>64.247959999999992</v>
      </c>
      <c r="DE12" s="17">
        <f t="shared" si="67"/>
        <v>11664.000000000005</v>
      </c>
      <c r="DF12" s="17">
        <f t="shared" si="68"/>
        <v>-65.864835072000005</v>
      </c>
      <c r="DG12" s="17"/>
      <c r="DH12" s="17">
        <f t="shared" si="69"/>
        <v>-5257.4709696012933</v>
      </c>
      <c r="DI12" s="17">
        <f t="shared" si="70"/>
        <v>-19715.516136004851</v>
      </c>
      <c r="DJ12" s="17">
        <f t="shared" si="71"/>
        <v>-37.110174287188912</v>
      </c>
      <c r="DK12" s="17">
        <f t="shared" si="72"/>
        <v>55.347151322734128</v>
      </c>
      <c r="DL12" s="17">
        <f t="shared" si="73"/>
        <v>3376.5783249280043</v>
      </c>
      <c r="DM12" s="17">
        <f t="shared" si="74"/>
        <v>-24954.750128570602</v>
      </c>
      <c r="DN12" s="17">
        <f t="shared" si="75"/>
        <v>-21578.171803642599</v>
      </c>
    </row>
    <row r="13" spans="3:120" ht="18.600000000000001">
      <c r="C13" s="13">
        <f>'Input BOD'!C13</f>
        <v>4</v>
      </c>
      <c r="D13" s="14" t="str">
        <f>'Input BOD'!D13</f>
        <v>sahajanand</v>
      </c>
      <c r="E13" s="14">
        <f>'Input BOD'!E13</f>
        <v>1</v>
      </c>
      <c r="F13" s="14">
        <f>'Input BOD'!F13</f>
        <v>1</v>
      </c>
      <c r="G13" s="14">
        <f>'Input BOD'!G13</f>
        <v>2</v>
      </c>
      <c r="H13" s="14">
        <f>'Input BOD'!H13</f>
        <v>1</v>
      </c>
      <c r="I13" s="14">
        <f>'Input BOD'!I13</f>
        <v>2</v>
      </c>
      <c r="J13" s="14">
        <f>'Input BOD'!J13</f>
        <v>1.75</v>
      </c>
      <c r="K13" s="14">
        <f>'Input BOD'!K13</f>
        <v>2</v>
      </c>
      <c r="L13" s="15">
        <f>'Input BOD'!L13</f>
        <v>0.1</v>
      </c>
      <c r="M13" s="15">
        <f>'Input BOD'!M13</f>
        <v>0</v>
      </c>
      <c r="N13" s="14">
        <f>'Input BOD'!N13</f>
        <v>24</v>
      </c>
      <c r="O13" s="14">
        <f>'Input BOD'!O13</f>
        <v>50</v>
      </c>
      <c r="P13" s="13">
        <f>'Input BOD'!P13</f>
        <v>41</v>
      </c>
      <c r="Q13" s="13">
        <f>'Input BOD'!Q13</f>
        <v>85</v>
      </c>
      <c r="R13" s="13" t="str">
        <f>'Input BOD'!R13</f>
        <v>Class100K</v>
      </c>
      <c r="S13" s="13">
        <f>'Input BOD'!S13</f>
        <v>12</v>
      </c>
      <c r="T13" s="13">
        <v>0</v>
      </c>
      <c r="U13" s="13">
        <v>100</v>
      </c>
      <c r="V13" s="13" t="str">
        <f t="shared" si="9"/>
        <v>Class100K</v>
      </c>
      <c r="W13" s="13">
        <f t="shared" si="10"/>
        <v>12</v>
      </c>
      <c r="X13" s="16">
        <f t="shared" si="11"/>
        <v>10.76</v>
      </c>
      <c r="Y13" s="16">
        <f t="shared" si="12"/>
        <v>70.585599999999999</v>
      </c>
      <c r="Z13" s="16">
        <f t="shared" si="13"/>
        <v>14.11712</v>
      </c>
      <c r="AA13" s="16">
        <f t="shared" si="14"/>
        <v>1.4117120000000001</v>
      </c>
      <c r="AB13" s="16">
        <f t="shared" si="15"/>
        <v>0</v>
      </c>
      <c r="AC13" s="16">
        <f t="shared" si="16"/>
        <v>9.8307653762101654E-2</v>
      </c>
      <c r="AD13" s="16">
        <f t="shared" si="17"/>
        <v>975</v>
      </c>
      <c r="AE13" s="16">
        <f t="shared" si="18"/>
        <v>975</v>
      </c>
      <c r="AF13" s="16">
        <f t="shared" si="19"/>
        <v>0</v>
      </c>
      <c r="AG13" s="16">
        <f t="shared" si="20"/>
        <v>3.5</v>
      </c>
      <c r="AH13" s="838" t="str">
        <f>'Input BOD'!T13</f>
        <v>D</v>
      </c>
      <c r="AI13" s="17">
        <f t="shared" si="21"/>
        <v>2.5</v>
      </c>
      <c r="AJ13" s="17">
        <f t="shared" si="22"/>
        <v>3.5</v>
      </c>
      <c r="AK13" s="891"/>
      <c r="AL13" s="18">
        <f>IF(AK10&lt;=2000,950,(IF(AK10&lt;=4000,1100,(IF(AK10&lt;=6000,1200,(IF(AK10&lt;=10000,1550,(IF(AK10&lt;=15000,1750,(IF(AK10&lt;=24000,2050,(IF(AK10&lt;=40000,2900,3600)))))))))))))</f>
        <v>2050</v>
      </c>
      <c r="AM13" s="889"/>
      <c r="AN13" s="891"/>
      <c r="AO13" s="888"/>
      <c r="AP13" s="891"/>
      <c r="AQ13" s="891"/>
      <c r="AR13" s="889"/>
      <c r="AS13" s="888"/>
      <c r="AT13" s="888"/>
      <c r="AU13" s="890"/>
      <c r="AV13" s="888"/>
      <c r="AW13" s="888"/>
      <c r="AX13" s="888"/>
      <c r="AY13" s="887"/>
      <c r="AZ13" s="888"/>
      <c r="BA13" s="17">
        <f t="shared" si="23"/>
        <v>14.399999999999991</v>
      </c>
      <c r="BB13" s="17">
        <f t="shared" si="24"/>
        <v>30.599999999999994</v>
      </c>
      <c r="BC13" s="17">
        <f t="shared" si="25"/>
        <v>32</v>
      </c>
      <c r="BD13" s="17">
        <f t="shared" si="26"/>
        <v>85</v>
      </c>
      <c r="BE13" s="17">
        <f t="shared" si="27"/>
        <v>180.86341983910182</v>
      </c>
      <c r="BF13" s="17">
        <f t="shared" si="0"/>
        <v>24</v>
      </c>
      <c r="BG13" s="17">
        <f t="shared" si="1"/>
        <v>50</v>
      </c>
      <c r="BH13" s="17">
        <f t="shared" si="28"/>
        <v>65.062647806544774</v>
      </c>
      <c r="BI13" s="17">
        <f t="shared" si="29"/>
        <v>115.80077203255705</v>
      </c>
      <c r="BJ13" s="17">
        <f t="shared" si="2"/>
        <v>41</v>
      </c>
      <c r="BK13" s="17">
        <f t="shared" si="3"/>
        <v>85</v>
      </c>
      <c r="BL13" s="17">
        <f t="shared" si="30"/>
        <v>303.8770388845852</v>
      </c>
      <c r="BM13" s="17">
        <f t="shared" si="31"/>
        <v>24</v>
      </c>
      <c r="BN13" s="17">
        <f t="shared" si="31"/>
        <v>50</v>
      </c>
      <c r="BO13" s="17">
        <f t="shared" si="32"/>
        <v>65.062647806544774</v>
      </c>
      <c r="BP13" s="17">
        <f t="shared" si="33"/>
        <v>238.81439107804044</v>
      </c>
      <c r="BQ13" s="17">
        <f t="shared" si="34"/>
        <v>1185.3215999999998</v>
      </c>
      <c r="BR13" s="17">
        <f t="shared" si="35"/>
        <v>557.79839999999967</v>
      </c>
      <c r="BS13" s="17">
        <f t="shared" si="36"/>
        <v>69.724799999999959</v>
      </c>
      <c r="BT13" s="17">
        <f t="shared" si="37"/>
        <v>148.16519999999997</v>
      </c>
      <c r="BU13" s="17">
        <f t="shared" si="38"/>
        <v>9418.6799999999985</v>
      </c>
      <c r="BV13" s="17">
        <f t="shared" si="39"/>
        <v>6824</v>
      </c>
      <c r="BW13" s="17">
        <f t="shared" si="40"/>
        <v>64.247959999999992</v>
      </c>
      <c r="BX13" s="17">
        <f t="shared" si="41"/>
        <v>11663.999999999993</v>
      </c>
      <c r="BY13" s="17">
        <f t="shared" si="42"/>
        <v>46.654258175999999</v>
      </c>
      <c r="BZ13" s="17"/>
      <c r="CA13" s="17">
        <f t="shared" si="43"/>
        <v>32478.7571866135</v>
      </c>
      <c r="CB13" s="17">
        <f t="shared" si="44"/>
        <v>121795.33944980064</v>
      </c>
      <c r="CC13" s="17">
        <f t="shared" si="45"/>
        <v>229.25325632714262</v>
      </c>
      <c r="CD13" s="17">
        <f t="shared" si="46"/>
        <v>2063.2793069442837</v>
      </c>
      <c r="CE13" s="17">
        <f t="shared" si="47"/>
        <v>29202.90381817599</v>
      </c>
      <c r="CF13" s="17">
        <f t="shared" si="48"/>
        <v>156566.62919968559</v>
      </c>
      <c r="CG13" s="17">
        <f t="shared" si="49"/>
        <v>185769.53301786157</v>
      </c>
      <c r="CH13" s="17">
        <f t="shared" si="50"/>
        <v>14.400000000000006</v>
      </c>
      <c r="CI13" s="17">
        <f t="shared" si="51"/>
        <v>-43.2</v>
      </c>
      <c r="CJ13" s="17">
        <f t="shared" si="52"/>
        <v>16</v>
      </c>
      <c r="CK13" s="17">
        <f t="shared" si="53"/>
        <v>90</v>
      </c>
      <c r="CL13" s="17">
        <f t="shared" si="54"/>
        <v>71.46880726181422</v>
      </c>
      <c r="CM13" s="17">
        <f t="shared" si="4"/>
        <v>24</v>
      </c>
      <c r="CN13" s="17">
        <f t="shared" si="5"/>
        <v>50</v>
      </c>
      <c r="CO13" s="17">
        <f t="shared" si="55"/>
        <v>65.062647806544774</v>
      </c>
      <c r="CP13" s="17">
        <f t="shared" si="56"/>
        <v>6.4061594552694459</v>
      </c>
      <c r="CQ13" s="17">
        <f t="shared" si="6"/>
        <v>0</v>
      </c>
      <c r="CR13" s="17">
        <f t="shared" si="7"/>
        <v>100</v>
      </c>
      <c r="CS13" s="17">
        <f t="shared" si="57"/>
        <v>26.404773030064671</v>
      </c>
      <c r="CT13" s="17">
        <f t="shared" si="58"/>
        <v>24</v>
      </c>
      <c r="CU13" s="17">
        <f t="shared" si="59"/>
        <v>50</v>
      </c>
      <c r="CV13" s="17">
        <f t="shared" si="60"/>
        <v>65.062647806544774</v>
      </c>
      <c r="CW13" s="17">
        <f t="shared" si="61"/>
        <v>-38.657874776480099</v>
      </c>
      <c r="CX13" s="17">
        <f t="shared" si="8"/>
        <v>-1673.3951999999999</v>
      </c>
      <c r="CY13" s="17">
        <f t="shared" si="8"/>
        <v>-1673.3951999999999</v>
      </c>
      <c r="CZ13" s="17">
        <f t="shared" si="62"/>
        <v>69.724800000000016</v>
      </c>
      <c r="DA13" s="17">
        <f t="shared" si="63"/>
        <v>-209.17439999999999</v>
      </c>
      <c r="DB13" s="17">
        <f t="shared" si="64"/>
        <v>-13296.960000000001</v>
      </c>
      <c r="DC13" s="17">
        <f t="shared" si="65"/>
        <v>6824</v>
      </c>
      <c r="DD13" s="17">
        <f t="shared" si="66"/>
        <v>64.247959999999992</v>
      </c>
      <c r="DE13" s="17">
        <f t="shared" si="67"/>
        <v>11664.000000000005</v>
      </c>
      <c r="DF13" s="17">
        <f t="shared" si="68"/>
        <v>-65.864835072000005</v>
      </c>
      <c r="DG13" s="17"/>
      <c r="DH13" s="17">
        <f t="shared" si="69"/>
        <v>-5257.4709696012933</v>
      </c>
      <c r="DI13" s="17">
        <f t="shared" si="70"/>
        <v>-19715.516136004851</v>
      </c>
      <c r="DJ13" s="17">
        <f t="shared" si="71"/>
        <v>-37.110174287188912</v>
      </c>
      <c r="DK13" s="17">
        <f t="shared" si="72"/>
        <v>55.347151322734128</v>
      </c>
      <c r="DL13" s="17">
        <f t="shared" si="73"/>
        <v>3376.5783249280043</v>
      </c>
      <c r="DM13" s="17">
        <f t="shared" si="74"/>
        <v>-24954.750128570602</v>
      </c>
      <c r="DN13" s="17">
        <f t="shared" si="75"/>
        <v>-21578.171803642599</v>
      </c>
    </row>
    <row r="14" spans="3:120" ht="18.600000000000001">
      <c r="C14" s="13">
        <f>'Input BOD'!C14</f>
        <v>5</v>
      </c>
      <c r="D14" s="14" t="str">
        <f>'Input BOD'!D14</f>
        <v>xyz</v>
      </c>
      <c r="E14" s="14">
        <f>'Input BOD'!E14</f>
        <v>1</v>
      </c>
      <c r="F14" s="14">
        <f>'Input BOD'!F14</f>
        <v>1</v>
      </c>
      <c r="G14" s="14">
        <f>'Input BOD'!G14</f>
        <v>2</v>
      </c>
      <c r="H14" s="14">
        <f>'Input BOD'!H14</f>
        <v>1</v>
      </c>
      <c r="I14" s="14">
        <f>'Input BOD'!I14</f>
        <v>2</v>
      </c>
      <c r="J14" s="14">
        <f>'Input BOD'!J14</f>
        <v>1.75</v>
      </c>
      <c r="K14" s="14">
        <f>'Input BOD'!K14</f>
        <v>2</v>
      </c>
      <c r="L14" s="15">
        <f>'Input BOD'!L14</f>
        <v>0.1</v>
      </c>
      <c r="M14" s="15">
        <f>'Input BOD'!M14</f>
        <v>0</v>
      </c>
      <c r="N14" s="14">
        <f>'Input BOD'!N14</f>
        <v>24</v>
      </c>
      <c r="O14" s="14">
        <f>'Input BOD'!O14</f>
        <v>50</v>
      </c>
      <c r="P14" s="13">
        <f>'Input BOD'!P14</f>
        <v>41</v>
      </c>
      <c r="Q14" s="13">
        <f>'Input BOD'!Q14</f>
        <v>85</v>
      </c>
      <c r="R14" s="13" t="str">
        <f>'Input BOD'!R14</f>
        <v>Class100K</v>
      </c>
      <c r="S14" s="13">
        <f>'Input BOD'!S14</f>
        <v>12</v>
      </c>
      <c r="T14" s="13">
        <v>0</v>
      </c>
      <c r="U14" s="13">
        <v>100</v>
      </c>
      <c r="V14" s="13" t="str">
        <f t="shared" si="9"/>
        <v>Class100K</v>
      </c>
      <c r="W14" s="13">
        <f t="shared" si="10"/>
        <v>12</v>
      </c>
      <c r="X14" s="16">
        <f t="shared" si="11"/>
        <v>10.76</v>
      </c>
      <c r="Y14" s="16">
        <f t="shared" si="12"/>
        <v>70.585599999999999</v>
      </c>
      <c r="Z14" s="16">
        <f t="shared" si="13"/>
        <v>14.11712</v>
      </c>
      <c r="AA14" s="16">
        <f t="shared" si="14"/>
        <v>1.4117120000000001</v>
      </c>
      <c r="AB14" s="16">
        <f t="shared" si="15"/>
        <v>0</v>
      </c>
      <c r="AC14" s="16">
        <f t="shared" si="16"/>
        <v>9.8307653762101654E-2</v>
      </c>
      <c r="AD14" s="16">
        <f t="shared" si="17"/>
        <v>975</v>
      </c>
      <c r="AE14" s="16">
        <f t="shared" si="18"/>
        <v>975</v>
      </c>
      <c r="AF14" s="16">
        <f t="shared" si="19"/>
        <v>0</v>
      </c>
      <c r="AG14" s="16">
        <f t="shared" si="20"/>
        <v>3.5</v>
      </c>
      <c r="AH14" s="838" t="str">
        <f>'Input BOD'!T14</f>
        <v>D</v>
      </c>
      <c r="AI14" s="17">
        <f t="shared" si="21"/>
        <v>2.5</v>
      </c>
      <c r="AJ14" s="17">
        <f t="shared" si="22"/>
        <v>3.5</v>
      </c>
      <c r="AK14" s="891"/>
      <c r="AL14" s="18" t="s">
        <v>256</v>
      </c>
      <c r="AM14" s="889"/>
      <c r="AN14" s="891"/>
      <c r="AO14" s="888"/>
      <c r="AP14" s="891"/>
      <c r="AQ14" s="891"/>
      <c r="AR14" s="889"/>
      <c r="AS14" s="888"/>
      <c r="AT14" s="888"/>
      <c r="AU14" s="890"/>
      <c r="AV14" s="888"/>
      <c r="AW14" s="888"/>
      <c r="AX14" s="888"/>
      <c r="AY14" s="887"/>
      <c r="AZ14" s="888"/>
      <c r="BA14" s="17">
        <f t="shared" si="23"/>
        <v>14.399999999999991</v>
      </c>
      <c r="BB14" s="17">
        <f t="shared" si="24"/>
        <v>30.599999999999994</v>
      </c>
      <c r="BC14" s="17">
        <f t="shared" si="25"/>
        <v>32</v>
      </c>
      <c r="BD14" s="17">
        <f t="shared" si="26"/>
        <v>85</v>
      </c>
      <c r="BE14" s="17">
        <f t="shared" si="27"/>
        <v>180.86341983910182</v>
      </c>
      <c r="BF14" s="17">
        <f t="shared" si="0"/>
        <v>24</v>
      </c>
      <c r="BG14" s="17">
        <f t="shared" si="1"/>
        <v>50</v>
      </c>
      <c r="BH14" s="17">
        <f t="shared" si="28"/>
        <v>65.062647806544774</v>
      </c>
      <c r="BI14" s="17">
        <f t="shared" si="29"/>
        <v>115.80077203255705</v>
      </c>
      <c r="BJ14" s="17">
        <f t="shared" si="2"/>
        <v>41</v>
      </c>
      <c r="BK14" s="17">
        <f t="shared" si="3"/>
        <v>85</v>
      </c>
      <c r="BL14" s="17">
        <f t="shared" si="30"/>
        <v>303.8770388845852</v>
      </c>
      <c r="BM14" s="17">
        <f t="shared" si="31"/>
        <v>24</v>
      </c>
      <c r="BN14" s="17">
        <f t="shared" si="31"/>
        <v>50</v>
      </c>
      <c r="BO14" s="17">
        <f t="shared" si="32"/>
        <v>65.062647806544774</v>
      </c>
      <c r="BP14" s="17">
        <f t="shared" si="33"/>
        <v>238.81439107804044</v>
      </c>
      <c r="BQ14" s="17">
        <f t="shared" si="34"/>
        <v>1185.3215999999998</v>
      </c>
      <c r="BR14" s="17">
        <f t="shared" si="35"/>
        <v>557.79839999999967</v>
      </c>
      <c r="BS14" s="17">
        <f t="shared" si="36"/>
        <v>69.724799999999959</v>
      </c>
      <c r="BT14" s="17">
        <f t="shared" si="37"/>
        <v>148.16519999999997</v>
      </c>
      <c r="BU14" s="17">
        <f t="shared" si="38"/>
        <v>9418.6799999999985</v>
      </c>
      <c r="BV14" s="17">
        <f t="shared" si="39"/>
        <v>6824</v>
      </c>
      <c r="BW14" s="17">
        <f t="shared" si="40"/>
        <v>64.247959999999992</v>
      </c>
      <c r="BX14" s="17">
        <f t="shared" si="41"/>
        <v>11663.999999999993</v>
      </c>
      <c r="BY14" s="17">
        <f t="shared" si="42"/>
        <v>46.654258175999999</v>
      </c>
      <c r="BZ14" s="17"/>
      <c r="CA14" s="17">
        <f t="shared" si="43"/>
        <v>32478.7571866135</v>
      </c>
      <c r="CB14" s="17">
        <f t="shared" si="44"/>
        <v>121795.33944980064</v>
      </c>
      <c r="CC14" s="17">
        <f t="shared" si="45"/>
        <v>229.25325632714262</v>
      </c>
      <c r="CD14" s="17">
        <f t="shared" si="46"/>
        <v>2063.2793069442837</v>
      </c>
      <c r="CE14" s="17">
        <f t="shared" si="47"/>
        <v>29202.90381817599</v>
      </c>
      <c r="CF14" s="17">
        <f t="shared" si="48"/>
        <v>156566.62919968559</v>
      </c>
      <c r="CG14" s="17">
        <f t="shared" si="49"/>
        <v>185769.53301786157</v>
      </c>
      <c r="CH14" s="17">
        <f t="shared" si="50"/>
        <v>14.400000000000006</v>
      </c>
      <c r="CI14" s="17">
        <f t="shared" si="51"/>
        <v>-43.2</v>
      </c>
      <c r="CJ14" s="17">
        <f t="shared" si="52"/>
        <v>16</v>
      </c>
      <c r="CK14" s="17">
        <f t="shared" si="53"/>
        <v>90</v>
      </c>
      <c r="CL14" s="17">
        <f t="shared" si="54"/>
        <v>71.46880726181422</v>
      </c>
      <c r="CM14" s="17">
        <f t="shared" si="4"/>
        <v>24</v>
      </c>
      <c r="CN14" s="17">
        <f t="shared" si="5"/>
        <v>50</v>
      </c>
      <c r="CO14" s="17">
        <f t="shared" si="55"/>
        <v>65.062647806544774</v>
      </c>
      <c r="CP14" s="17">
        <f t="shared" si="56"/>
        <v>6.4061594552694459</v>
      </c>
      <c r="CQ14" s="17">
        <f t="shared" si="6"/>
        <v>0</v>
      </c>
      <c r="CR14" s="17">
        <f t="shared" si="7"/>
        <v>100</v>
      </c>
      <c r="CS14" s="17">
        <f t="shared" si="57"/>
        <v>26.404773030064671</v>
      </c>
      <c r="CT14" s="17">
        <f t="shared" si="58"/>
        <v>24</v>
      </c>
      <c r="CU14" s="17">
        <f t="shared" si="59"/>
        <v>50</v>
      </c>
      <c r="CV14" s="17">
        <f t="shared" si="60"/>
        <v>65.062647806544774</v>
      </c>
      <c r="CW14" s="17">
        <f t="shared" si="61"/>
        <v>-38.657874776480099</v>
      </c>
      <c r="CX14" s="17">
        <f t="shared" si="8"/>
        <v>-1673.3951999999999</v>
      </c>
      <c r="CY14" s="17">
        <f t="shared" si="8"/>
        <v>-1673.3951999999999</v>
      </c>
      <c r="CZ14" s="17">
        <f t="shared" si="62"/>
        <v>69.724800000000016</v>
      </c>
      <c r="DA14" s="17">
        <f t="shared" si="63"/>
        <v>-209.17439999999999</v>
      </c>
      <c r="DB14" s="17">
        <f t="shared" si="64"/>
        <v>-13296.960000000001</v>
      </c>
      <c r="DC14" s="17">
        <f t="shared" si="65"/>
        <v>6824</v>
      </c>
      <c r="DD14" s="17">
        <f t="shared" si="66"/>
        <v>64.247959999999992</v>
      </c>
      <c r="DE14" s="17">
        <f t="shared" si="67"/>
        <v>11664.000000000005</v>
      </c>
      <c r="DF14" s="17">
        <f t="shared" si="68"/>
        <v>-65.864835072000005</v>
      </c>
      <c r="DG14" s="17"/>
      <c r="DH14" s="17">
        <f t="shared" si="69"/>
        <v>-5257.4709696012933</v>
      </c>
      <c r="DI14" s="17">
        <f t="shared" si="70"/>
        <v>-19715.516136004851</v>
      </c>
      <c r="DJ14" s="17">
        <f t="shared" si="71"/>
        <v>-37.110174287188912</v>
      </c>
      <c r="DK14" s="17">
        <f t="shared" si="72"/>
        <v>55.347151322734128</v>
      </c>
      <c r="DL14" s="17">
        <f t="shared" si="73"/>
        <v>3376.5783249280043</v>
      </c>
      <c r="DM14" s="17">
        <f t="shared" si="74"/>
        <v>-24954.750128570602</v>
      </c>
      <c r="DN14" s="17">
        <f t="shared" si="75"/>
        <v>-21578.171803642599</v>
      </c>
    </row>
    <row r="15" spans="3:120" ht="18.600000000000001">
      <c r="C15" s="13">
        <f>'Input BOD'!C15</f>
        <v>6</v>
      </c>
      <c r="D15" s="14" t="str">
        <f>'Input BOD'!D15</f>
        <v>abc</v>
      </c>
      <c r="E15" s="14">
        <f>'Input BOD'!E15</f>
        <v>1</v>
      </c>
      <c r="F15" s="14">
        <f>'Input BOD'!F15</f>
        <v>1</v>
      </c>
      <c r="G15" s="14">
        <f>'Input BOD'!G15</f>
        <v>2</v>
      </c>
      <c r="H15" s="14">
        <f>'Input BOD'!H15</f>
        <v>1</v>
      </c>
      <c r="I15" s="14">
        <f>'Input BOD'!I15</f>
        <v>2</v>
      </c>
      <c r="J15" s="14">
        <f>'Input BOD'!J15</f>
        <v>1.75</v>
      </c>
      <c r="K15" s="14">
        <f>'Input BOD'!K15</f>
        <v>2</v>
      </c>
      <c r="L15" s="15">
        <f>'Input BOD'!L15</f>
        <v>0.1</v>
      </c>
      <c r="M15" s="15">
        <f>'Input BOD'!M15</f>
        <v>0</v>
      </c>
      <c r="N15" s="14">
        <f>'Input BOD'!N15</f>
        <v>24</v>
      </c>
      <c r="O15" s="14">
        <f>'Input BOD'!O15</f>
        <v>50</v>
      </c>
      <c r="P15" s="13">
        <f>'Input BOD'!P15</f>
        <v>41</v>
      </c>
      <c r="Q15" s="13">
        <f>'Input BOD'!Q15</f>
        <v>85</v>
      </c>
      <c r="R15" s="13" t="str">
        <f>'Input BOD'!R15</f>
        <v>Class100K</v>
      </c>
      <c r="S15" s="13">
        <f>'Input BOD'!S15</f>
        <v>12</v>
      </c>
      <c r="T15" s="13">
        <v>0</v>
      </c>
      <c r="U15" s="13">
        <v>100</v>
      </c>
      <c r="V15" s="13" t="str">
        <f t="shared" si="9"/>
        <v>Class100K</v>
      </c>
      <c r="W15" s="13">
        <f t="shared" si="10"/>
        <v>12</v>
      </c>
      <c r="X15" s="16">
        <f t="shared" si="11"/>
        <v>10.76</v>
      </c>
      <c r="Y15" s="16">
        <f t="shared" si="12"/>
        <v>70.585599999999999</v>
      </c>
      <c r="Z15" s="16">
        <f t="shared" si="13"/>
        <v>14.11712</v>
      </c>
      <c r="AA15" s="16">
        <f t="shared" si="14"/>
        <v>1.4117120000000001</v>
      </c>
      <c r="AB15" s="16">
        <f t="shared" si="15"/>
        <v>0</v>
      </c>
      <c r="AC15" s="16">
        <f t="shared" si="16"/>
        <v>9.8307653762101654E-2</v>
      </c>
      <c r="AD15" s="16">
        <f t="shared" si="17"/>
        <v>975</v>
      </c>
      <c r="AE15" s="16">
        <f t="shared" si="18"/>
        <v>975</v>
      </c>
      <c r="AF15" s="16">
        <f t="shared" si="19"/>
        <v>0</v>
      </c>
      <c r="AG15" s="16">
        <f t="shared" si="20"/>
        <v>3.5</v>
      </c>
      <c r="AH15" s="838" t="str">
        <f>'Input BOD'!T15</f>
        <v>D</v>
      </c>
      <c r="AI15" s="17">
        <f t="shared" si="21"/>
        <v>2.5</v>
      </c>
      <c r="AJ15" s="17">
        <f t="shared" si="22"/>
        <v>3.5</v>
      </c>
      <c r="AK15" s="891"/>
      <c r="AL15" s="18">
        <f>IF(AL19&lt;4000,AL19,AL19+400)</f>
        <v>5900</v>
      </c>
      <c r="AM15" s="889"/>
      <c r="AN15" s="891"/>
      <c r="AO15" s="888"/>
      <c r="AP15" s="891"/>
      <c r="AQ15" s="891"/>
      <c r="AR15" s="889"/>
      <c r="AS15" s="888"/>
      <c r="AT15" s="888"/>
      <c r="AU15" s="890"/>
      <c r="AV15" s="888"/>
      <c r="AW15" s="888"/>
      <c r="AX15" s="888"/>
      <c r="AY15" s="887"/>
      <c r="AZ15" s="888"/>
      <c r="BA15" s="17">
        <f t="shared" si="23"/>
        <v>14.399999999999991</v>
      </c>
      <c r="BB15" s="17">
        <f t="shared" si="24"/>
        <v>30.599999999999994</v>
      </c>
      <c r="BC15" s="17">
        <f t="shared" si="25"/>
        <v>32</v>
      </c>
      <c r="BD15" s="17">
        <f t="shared" si="26"/>
        <v>85</v>
      </c>
      <c r="BE15" s="17">
        <f t="shared" si="27"/>
        <v>180.86341983910182</v>
      </c>
      <c r="BF15" s="17">
        <f t="shared" si="0"/>
        <v>24</v>
      </c>
      <c r="BG15" s="17">
        <f t="shared" si="1"/>
        <v>50</v>
      </c>
      <c r="BH15" s="17">
        <f t="shared" si="28"/>
        <v>65.062647806544774</v>
      </c>
      <c r="BI15" s="17">
        <f t="shared" si="29"/>
        <v>115.80077203255705</v>
      </c>
      <c r="BJ15" s="17">
        <f t="shared" si="2"/>
        <v>41</v>
      </c>
      <c r="BK15" s="17">
        <f t="shared" si="3"/>
        <v>85</v>
      </c>
      <c r="BL15" s="17">
        <f t="shared" si="30"/>
        <v>303.8770388845852</v>
      </c>
      <c r="BM15" s="17">
        <f t="shared" si="31"/>
        <v>24</v>
      </c>
      <c r="BN15" s="17">
        <f t="shared" si="31"/>
        <v>50</v>
      </c>
      <c r="BO15" s="17">
        <f t="shared" si="32"/>
        <v>65.062647806544774</v>
      </c>
      <c r="BP15" s="17">
        <f t="shared" si="33"/>
        <v>238.81439107804044</v>
      </c>
      <c r="BQ15" s="17">
        <f t="shared" si="34"/>
        <v>1185.3215999999998</v>
      </c>
      <c r="BR15" s="17">
        <f t="shared" si="35"/>
        <v>557.79839999999967</v>
      </c>
      <c r="BS15" s="17">
        <f t="shared" si="36"/>
        <v>69.724799999999959</v>
      </c>
      <c r="BT15" s="17">
        <f t="shared" si="37"/>
        <v>148.16519999999997</v>
      </c>
      <c r="BU15" s="17">
        <f t="shared" si="38"/>
        <v>9418.6799999999985</v>
      </c>
      <c r="BV15" s="17">
        <f t="shared" si="39"/>
        <v>6824</v>
      </c>
      <c r="BW15" s="17">
        <f t="shared" si="40"/>
        <v>64.247959999999992</v>
      </c>
      <c r="BX15" s="17">
        <f t="shared" si="41"/>
        <v>11663.999999999993</v>
      </c>
      <c r="BY15" s="17">
        <f t="shared" si="42"/>
        <v>46.654258175999999</v>
      </c>
      <c r="BZ15" s="17"/>
      <c r="CA15" s="17">
        <f t="shared" si="43"/>
        <v>32478.7571866135</v>
      </c>
      <c r="CB15" s="17">
        <f t="shared" si="44"/>
        <v>121795.33944980064</v>
      </c>
      <c r="CC15" s="17">
        <f t="shared" si="45"/>
        <v>229.25325632714262</v>
      </c>
      <c r="CD15" s="17">
        <f t="shared" si="46"/>
        <v>2063.2793069442837</v>
      </c>
      <c r="CE15" s="17">
        <f t="shared" si="47"/>
        <v>29202.90381817599</v>
      </c>
      <c r="CF15" s="17">
        <f t="shared" si="48"/>
        <v>156566.62919968559</v>
      </c>
      <c r="CG15" s="17">
        <f t="shared" si="49"/>
        <v>185769.53301786157</v>
      </c>
      <c r="CH15" s="17">
        <f t="shared" si="50"/>
        <v>14.400000000000006</v>
      </c>
      <c r="CI15" s="17">
        <f t="shared" si="51"/>
        <v>-43.2</v>
      </c>
      <c r="CJ15" s="17">
        <f t="shared" si="52"/>
        <v>16</v>
      </c>
      <c r="CK15" s="17">
        <f t="shared" si="53"/>
        <v>90</v>
      </c>
      <c r="CL15" s="17">
        <f t="shared" si="54"/>
        <v>71.46880726181422</v>
      </c>
      <c r="CM15" s="17">
        <f t="shared" si="4"/>
        <v>24</v>
      </c>
      <c r="CN15" s="17">
        <f t="shared" si="5"/>
        <v>50</v>
      </c>
      <c r="CO15" s="17">
        <f t="shared" si="55"/>
        <v>65.062647806544774</v>
      </c>
      <c r="CP15" s="17">
        <f t="shared" si="56"/>
        <v>6.4061594552694459</v>
      </c>
      <c r="CQ15" s="17">
        <f t="shared" si="6"/>
        <v>0</v>
      </c>
      <c r="CR15" s="17">
        <f t="shared" si="7"/>
        <v>100</v>
      </c>
      <c r="CS15" s="17">
        <f t="shared" si="57"/>
        <v>26.404773030064671</v>
      </c>
      <c r="CT15" s="17">
        <f t="shared" si="58"/>
        <v>24</v>
      </c>
      <c r="CU15" s="17">
        <f t="shared" si="59"/>
        <v>50</v>
      </c>
      <c r="CV15" s="17">
        <f t="shared" si="60"/>
        <v>65.062647806544774</v>
      </c>
      <c r="CW15" s="17">
        <f t="shared" si="61"/>
        <v>-38.657874776480099</v>
      </c>
      <c r="CX15" s="17">
        <f t="shared" si="8"/>
        <v>-1673.3951999999999</v>
      </c>
      <c r="CY15" s="17">
        <f t="shared" si="8"/>
        <v>-1673.3951999999999</v>
      </c>
      <c r="CZ15" s="17">
        <f t="shared" si="62"/>
        <v>69.724800000000016</v>
      </c>
      <c r="DA15" s="17">
        <f t="shared" si="63"/>
        <v>-209.17439999999999</v>
      </c>
      <c r="DB15" s="17">
        <f t="shared" si="64"/>
        <v>-13296.960000000001</v>
      </c>
      <c r="DC15" s="17">
        <f t="shared" si="65"/>
        <v>6824</v>
      </c>
      <c r="DD15" s="17">
        <f t="shared" si="66"/>
        <v>64.247959999999992</v>
      </c>
      <c r="DE15" s="17">
        <f t="shared" si="67"/>
        <v>11664.000000000005</v>
      </c>
      <c r="DF15" s="17">
        <f t="shared" si="68"/>
        <v>-65.864835072000005</v>
      </c>
      <c r="DG15" s="17"/>
      <c r="DH15" s="17">
        <f t="shared" si="69"/>
        <v>-5257.4709696012933</v>
      </c>
      <c r="DI15" s="17">
        <f t="shared" si="70"/>
        <v>-19715.516136004851</v>
      </c>
      <c r="DJ15" s="17">
        <f t="shared" si="71"/>
        <v>-37.110174287188912</v>
      </c>
      <c r="DK15" s="17">
        <f t="shared" si="72"/>
        <v>55.347151322734128</v>
      </c>
      <c r="DL15" s="17">
        <f t="shared" si="73"/>
        <v>3376.5783249280043</v>
      </c>
      <c r="DM15" s="17">
        <f t="shared" si="74"/>
        <v>-24954.750128570602</v>
      </c>
      <c r="DN15" s="17">
        <f t="shared" si="75"/>
        <v>-21578.171803642599</v>
      </c>
    </row>
    <row r="16" spans="3:120" ht="18.600000000000001">
      <c r="C16" s="13">
        <f>'Input BOD'!C16</f>
        <v>7</v>
      </c>
      <c r="D16" s="14" t="str">
        <f>'Input BOD'!D16</f>
        <v>excel</v>
      </c>
      <c r="E16" s="14">
        <f>'Input BOD'!E16</f>
        <v>1</v>
      </c>
      <c r="F16" s="14">
        <f>'Input BOD'!F16</f>
        <v>1</v>
      </c>
      <c r="G16" s="14">
        <f>'Input BOD'!G16</f>
        <v>2</v>
      </c>
      <c r="H16" s="14">
        <f>'Input BOD'!H16</f>
        <v>1</v>
      </c>
      <c r="I16" s="14">
        <f>'Input BOD'!I16</f>
        <v>2</v>
      </c>
      <c r="J16" s="14">
        <f>'Input BOD'!J16</f>
        <v>1.75</v>
      </c>
      <c r="K16" s="14">
        <f>'Input BOD'!K16</f>
        <v>2</v>
      </c>
      <c r="L16" s="15">
        <f>'Input BOD'!L16</f>
        <v>0.1</v>
      </c>
      <c r="M16" s="15">
        <f>'Input BOD'!M16</f>
        <v>0</v>
      </c>
      <c r="N16" s="14">
        <f>'Input BOD'!N16</f>
        <v>24</v>
      </c>
      <c r="O16" s="14">
        <f>'Input BOD'!O16</f>
        <v>50</v>
      </c>
      <c r="P16" s="13">
        <f>'Input BOD'!P16</f>
        <v>41</v>
      </c>
      <c r="Q16" s="13">
        <f>'Input BOD'!Q16</f>
        <v>85</v>
      </c>
      <c r="R16" s="13" t="str">
        <f>'Input BOD'!R16</f>
        <v>Class100K</v>
      </c>
      <c r="S16" s="13">
        <f>'Input BOD'!S16</f>
        <v>12</v>
      </c>
      <c r="T16" s="13">
        <v>0</v>
      </c>
      <c r="U16" s="13">
        <v>100</v>
      </c>
      <c r="V16" s="13" t="str">
        <f t="shared" si="9"/>
        <v>Class100K</v>
      </c>
      <c r="W16" s="13">
        <f t="shared" si="10"/>
        <v>12</v>
      </c>
      <c r="X16" s="16">
        <f t="shared" si="11"/>
        <v>10.76</v>
      </c>
      <c r="Y16" s="16">
        <f t="shared" si="12"/>
        <v>70.585599999999999</v>
      </c>
      <c r="Z16" s="16">
        <f t="shared" si="13"/>
        <v>14.11712</v>
      </c>
      <c r="AA16" s="16">
        <f t="shared" si="14"/>
        <v>1.4117120000000001</v>
      </c>
      <c r="AB16" s="16">
        <f t="shared" si="15"/>
        <v>0</v>
      </c>
      <c r="AC16" s="16">
        <f t="shared" si="16"/>
        <v>9.8307653762101654E-2</v>
      </c>
      <c r="AD16" s="16">
        <f t="shared" si="17"/>
        <v>975</v>
      </c>
      <c r="AE16" s="16">
        <f t="shared" si="18"/>
        <v>975</v>
      </c>
      <c r="AF16" s="16">
        <f t="shared" si="19"/>
        <v>0</v>
      </c>
      <c r="AG16" s="16">
        <f t="shared" si="20"/>
        <v>3.5</v>
      </c>
      <c r="AH16" s="838" t="str">
        <f>'Input BOD'!T16</f>
        <v>D</v>
      </c>
      <c r="AI16" s="17">
        <f t="shared" si="21"/>
        <v>2.5</v>
      </c>
      <c r="AJ16" s="17">
        <f t="shared" si="22"/>
        <v>3.5</v>
      </c>
      <c r="AK16" s="891"/>
      <c r="AL16" s="18"/>
      <c r="AM16" s="889"/>
      <c r="AN16" s="891"/>
      <c r="AO16" s="888"/>
      <c r="AP16" s="891"/>
      <c r="AQ16" s="891"/>
      <c r="AR16" s="889"/>
      <c r="AS16" s="888"/>
      <c r="AT16" s="888"/>
      <c r="AU16" s="890"/>
      <c r="AV16" s="888"/>
      <c r="AW16" s="888"/>
      <c r="AX16" s="888"/>
      <c r="AY16" s="887"/>
      <c r="AZ16" s="888"/>
      <c r="BA16" s="17">
        <f t="shared" si="23"/>
        <v>14.399999999999991</v>
      </c>
      <c r="BB16" s="17">
        <f t="shared" si="24"/>
        <v>30.599999999999994</v>
      </c>
      <c r="BC16" s="17">
        <f t="shared" si="25"/>
        <v>32</v>
      </c>
      <c r="BD16" s="17">
        <f t="shared" si="26"/>
        <v>85</v>
      </c>
      <c r="BE16" s="17">
        <f t="shared" si="27"/>
        <v>180.86341983910182</v>
      </c>
      <c r="BF16" s="17">
        <f t="shared" si="0"/>
        <v>24</v>
      </c>
      <c r="BG16" s="17">
        <f t="shared" si="1"/>
        <v>50</v>
      </c>
      <c r="BH16" s="17">
        <f t="shared" si="28"/>
        <v>65.062647806544774</v>
      </c>
      <c r="BI16" s="17">
        <f t="shared" si="29"/>
        <v>115.80077203255705</v>
      </c>
      <c r="BJ16" s="17">
        <f t="shared" si="2"/>
        <v>41</v>
      </c>
      <c r="BK16" s="17">
        <f t="shared" si="3"/>
        <v>85</v>
      </c>
      <c r="BL16" s="17">
        <f t="shared" si="30"/>
        <v>303.8770388845852</v>
      </c>
      <c r="BM16" s="17">
        <f t="shared" si="31"/>
        <v>24</v>
      </c>
      <c r="BN16" s="17">
        <f t="shared" si="31"/>
        <v>50</v>
      </c>
      <c r="BO16" s="17">
        <f t="shared" si="32"/>
        <v>65.062647806544774</v>
      </c>
      <c r="BP16" s="17">
        <f t="shared" si="33"/>
        <v>238.81439107804044</v>
      </c>
      <c r="BQ16" s="17">
        <f t="shared" si="34"/>
        <v>1185.3215999999998</v>
      </c>
      <c r="BR16" s="17">
        <f t="shared" si="35"/>
        <v>557.79839999999967</v>
      </c>
      <c r="BS16" s="17">
        <f t="shared" si="36"/>
        <v>69.724799999999959</v>
      </c>
      <c r="BT16" s="17">
        <f t="shared" si="37"/>
        <v>148.16519999999997</v>
      </c>
      <c r="BU16" s="17">
        <f t="shared" si="38"/>
        <v>9418.6799999999985</v>
      </c>
      <c r="BV16" s="17">
        <f t="shared" si="39"/>
        <v>6824</v>
      </c>
      <c r="BW16" s="17">
        <f t="shared" si="40"/>
        <v>64.247959999999992</v>
      </c>
      <c r="BX16" s="17">
        <f t="shared" si="41"/>
        <v>11663.999999999993</v>
      </c>
      <c r="BY16" s="17">
        <f t="shared" si="42"/>
        <v>46.654258175999999</v>
      </c>
      <c r="BZ16" s="17"/>
      <c r="CA16" s="17">
        <f t="shared" si="43"/>
        <v>32478.7571866135</v>
      </c>
      <c r="CB16" s="17">
        <f t="shared" si="44"/>
        <v>121795.33944980064</v>
      </c>
      <c r="CC16" s="17">
        <f t="shared" si="45"/>
        <v>229.25325632714262</v>
      </c>
      <c r="CD16" s="17">
        <f t="shared" si="46"/>
        <v>2063.2793069442837</v>
      </c>
      <c r="CE16" s="17">
        <f t="shared" si="47"/>
        <v>29202.90381817599</v>
      </c>
      <c r="CF16" s="17">
        <f t="shared" si="48"/>
        <v>156566.62919968559</v>
      </c>
      <c r="CG16" s="17">
        <f t="shared" si="49"/>
        <v>185769.53301786157</v>
      </c>
      <c r="CH16" s="17">
        <f t="shared" si="50"/>
        <v>14.400000000000006</v>
      </c>
      <c r="CI16" s="17">
        <f t="shared" si="51"/>
        <v>-43.2</v>
      </c>
      <c r="CJ16" s="17">
        <f t="shared" si="52"/>
        <v>16</v>
      </c>
      <c r="CK16" s="17">
        <f t="shared" si="53"/>
        <v>90</v>
      </c>
      <c r="CL16" s="17">
        <f t="shared" si="54"/>
        <v>71.46880726181422</v>
      </c>
      <c r="CM16" s="17">
        <f t="shared" si="4"/>
        <v>24</v>
      </c>
      <c r="CN16" s="17">
        <f t="shared" si="5"/>
        <v>50</v>
      </c>
      <c r="CO16" s="17">
        <f t="shared" si="55"/>
        <v>65.062647806544774</v>
      </c>
      <c r="CP16" s="17">
        <f t="shared" si="56"/>
        <v>6.4061594552694459</v>
      </c>
      <c r="CQ16" s="17">
        <f t="shared" si="6"/>
        <v>0</v>
      </c>
      <c r="CR16" s="17">
        <f t="shared" si="7"/>
        <v>100</v>
      </c>
      <c r="CS16" s="17">
        <f t="shared" si="57"/>
        <v>26.404773030064671</v>
      </c>
      <c r="CT16" s="17">
        <f t="shared" si="58"/>
        <v>24</v>
      </c>
      <c r="CU16" s="17">
        <f t="shared" si="59"/>
        <v>50</v>
      </c>
      <c r="CV16" s="17">
        <f t="shared" si="60"/>
        <v>65.062647806544774</v>
      </c>
      <c r="CW16" s="17">
        <f t="shared" si="61"/>
        <v>-38.657874776480099</v>
      </c>
      <c r="CX16" s="17">
        <f t="shared" si="8"/>
        <v>-1673.3951999999999</v>
      </c>
      <c r="CY16" s="17">
        <f t="shared" si="8"/>
        <v>-1673.3951999999999</v>
      </c>
      <c r="CZ16" s="17">
        <f t="shared" si="62"/>
        <v>69.724800000000016</v>
      </c>
      <c r="DA16" s="17">
        <f t="shared" si="63"/>
        <v>-209.17439999999999</v>
      </c>
      <c r="DB16" s="17">
        <f t="shared" si="64"/>
        <v>-13296.960000000001</v>
      </c>
      <c r="DC16" s="17">
        <f t="shared" si="65"/>
        <v>6824</v>
      </c>
      <c r="DD16" s="17">
        <f t="shared" si="66"/>
        <v>64.247959999999992</v>
      </c>
      <c r="DE16" s="17">
        <f t="shared" si="67"/>
        <v>11664.000000000005</v>
      </c>
      <c r="DF16" s="17">
        <f t="shared" si="68"/>
        <v>-65.864835072000005</v>
      </c>
      <c r="DG16" s="17"/>
      <c r="DH16" s="17">
        <f t="shared" si="69"/>
        <v>-5257.4709696012933</v>
      </c>
      <c r="DI16" s="17">
        <f t="shared" si="70"/>
        <v>-19715.516136004851</v>
      </c>
      <c r="DJ16" s="17">
        <f t="shared" si="71"/>
        <v>-37.110174287188912</v>
      </c>
      <c r="DK16" s="17">
        <f t="shared" si="72"/>
        <v>55.347151322734128</v>
      </c>
      <c r="DL16" s="17">
        <f t="shared" si="73"/>
        <v>3376.5783249280043</v>
      </c>
      <c r="DM16" s="17">
        <f t="shared" si="74"/>
        <v>-24954.750128570602</v>
      </c>
      <c r="DN16" s="17">
        <f t="shared" si="75"/>
        <v>-21578.171803642599</v>
      </c>
    </row>
    <row r="17" spans="3:120" ht="18.600000000000001">
      <c r="C17" s="13">
        <f>'Input BOD'!C17</f>
        <v>8</v>
      </c>
      <c r="D17" s="14" t="str">
        <f>'Input BOD'!D17</f>
        <v>word</v>
      </c>
      <c r="E17" s="14">
        <f>'Input BOD'!E17</f>
        <v>1</v>
      </c>
      <c r="F17" s="14">
        <f>'Input BOD'!F17</f>
        <v>1</v>
      </c>
      <c r="G17" s="14">
        <f>'Input BOD'!G17</f>
        <v>2</v>
      </c>
      <c r="H17" s="14">
        <f>'Input BOD'!H17</f>
        <v>1</v>
      </c>
      <c r="I17" s="14">
        <f>'Input BOD'!I17</f>
        <v>2</v>
      </c>
      <c r="J17" s="14">
        <f>'Input BOD'!J17</f>
        <v>1.75</v>
      </c>
      <c r="K17" s="14">
        <f>'Input BOD'!K17</f>
        <v>2</v>
      </c>
      <c r="L17" s="15">
        <f>'Input BOD'!L17</f>
        <v>0.1</v>
      </c>
      <c r="M17" s="15">
        <f>'Input BOD'!M17</f>
        <v>0</v>
      </c>
      <c r="N17" s="14">
        <f>'Input BOD'!N17</f>
        <v>24</v>
      </c>
      <c r="O17" s="14">
        <f>'Input BOD'!O17</f>
        <v>50</v>
      </c>
      <c r="P17" s="13">
        <f>'Input BOD'!P17</f>
        <v>41</v>
      </c>
      <c r="Q17" s="13">
        <f>'Input BOD'!Q17</f>
        <v>85</v>
      </c>
      <c r="R17" s="13" t="str">
        <f>'Input BOD'!R17</f>
        <v>Class100K</v>
      </c>
      <c r="S17" s="13">
        <f>'Input BOD'!S17</f>
        <v>12</v>
      </c>
      <c r="T17" s="13">
        <v>0</v>
      </c>
      <c r="U17" s="13">
        <v>100</v>
      </c>
      <c r="V17" s="13" t="str">
        <f t="shared" si="9"/>
        <v>Class100K</v>
      </c>
      <c r="W17" s="13">
        <f t="shared" si="10"/>
        <v>12</v>
      </c>
      <c r="X17" s="16">
        <f t="shared" si="11"/>
        <v>10.76</v>
      </c>
      <c r="Y17" s="16">
        <f t="shared" si="12"/>
        <v>70.585599999999999</v>
      </c>
      <c r="Z17" s="16">
        <f t="shared" si="13"/>
        <v>14.11712</v>
      </c>
      <c r="AA17" s="16">
        <f t="shared" si="14"/>
        <v>1.4117120000000001</v>
      </c>
      <c r="AB17" s="16">
        <f t="shared" si="15"/>
        <v>0</v>
      </c>
      <c r="AC17" s="16">
        <f t="shared" si="16"/>
        <v>9.8307653762101654E-2</v>
      </c>
      <c r="AD17" s="16">
        <f t="shared" si="17"/>
        <v>975</v>
      </c>
      <c r="AE17" s="16">
        <f t="shared" si="18"/>
        <v>975</v>
      </c>
      <c r="AF17" s="16">
        <f t="shared" si="19"/>
        <v>0</v>
      </c>
      <c r="AG17" s="16">
        <f t="shared" si="20"/>
        <v>3.5</v>
      </c>
      <c r="AH17" s="838" t="str">
        <f>'Input BOD'!T17</f>
        <v>D</v>
      </c>
      <c r="AI17" s="17">
        <f t="shared" si="21"/>
        <v>2.5</v>
      </c>
      <c r="AJ17" s="17">
        <f t="shared" si="22"/>
        <v>3.5</v>
      </c>
      <c r="AK17" s="891"/>
      <c r="AL17" s="18"/>
      <c r="AM17" s="889"/>
      <c r="AN17" s="891"/>
      <c r="AO17" s="888"/>
      <c r="AP17" s="891"/>
      <c r="AQ17" s="891"/>
      <c r="AR17" s="889"/>
      <c r="AS17" s="888"/>
      <c r="AT17" s="888"/>
      <c r="AU17" s="890"/>
      <c r="AV17" s="888"/>
      <c r="AW17" s="888"/>
      <c r="AX17" s="888"/>
      <c r="AY17" s="887"/>
      <c r="AZ17" s="888"/>
      <c r="BA17" s="17">
        <f t="shared" si="23"/>
        <v>14.399999999999991</v>
      </c>
      <c r="BB17" s="17">
        <f t="shared" si="24"/>
        <v>30.599999999999994</v>
      </c>
      <c r="BC17" s="17">
        <f t="shared" si="25"/>
        <v>32</v>
      </c>
      <c r="BD17" s="17">
        <f t="shared" si="26"/>
        <v>85</v>
      </c>
      <c r="BE17" s="17">
        <f t="shared" si="27"/>
        <v>180.86341983910182</v>
      </c>
      <c r="BF17" s="17">
        <f t="shared" si="0"/>
        <v>24</v>
      </c>
      <c r="BG17" s="17">
        <f t="shared" si="1"/>
        <v>50</v>
      </c>
      <c r="BH17" s="17">
        <f t="shared" si="28"/>
        <v>65.062647806544774</v>
      </c>
      <c r="BI17" s="17">
        <f t="shared" si="29"/>
        <v>115.80077203255705</v>
      </c>
      <c r="BJ17" s="17">
        <f t="shared" si="2"/>
        <v>41</v>
      </c>
      <c r="BK17" s="17">
        <f t="shared" si="3"/>
        <v>85</v>
      </c>
      <c r="BL17" s="17">
        <f t="shared" si="30"/>
        <v>303.8770388845852</v>
      </c>
      <c r="BM17" s="17">
        <f t="shared" si="31"/>
        <v>24</v>
      </c>
      <c r="BN17" s="17">
        <f t="shared" si="31"/>
        <v>50</v>
      </c>
      <c r="BO17" s="17">
        <f t="shared" si="32"/>
        <v>65.062647806544774</v>
      </c>
      <c r="BP17" s="17">
        <f t="shared" si="33"/>
        <v>238.81439107804044</v>
      </c>
      <c r="BQ17" s="17">
        <f t="shared" si="34"/>
        <v>1185.3215999999998</v>
      </c>
      <c r="BR17" s="17">
        <f t="shared" si="35"/>
        <v>557.79839999999967</v>
      </c>
      <c r="BS17" s="17">
        <f t="shared" si="36"/>
        <v>69.724799999999959</v>
      </c>
      <c r="BT17" s="17">
        <f t="shared" si="37"/>
        <v>148.16519999999997</v>
      </c>
      <c r="BU17" s="17">
        <f t="shared" si="38"/>
        <v>9418.6799999999985</v>
      </c>
      <c r="BV17" s="17">
        <f t="shared" si="39"/>
        <v>6824</v>
      </c>
      <c r="BW17" s="17">
        <f t="shared" si="40"/>
        <v>64.247959999999992</v>
      </c>
      <c r="BX17" s="17">
        <f t="shared" si="41"/>
        <v>11663.999999999993</v>
      </c>
      <c r="BY17" s="17">
        <f t="shared" si="42"/>
        <v>46.654258175999999</v>
      </c>
      <c r="BZ17" s="17"/>
      <c r="CA17" s="17">
        <f t="shared" si="43"/>
        <v>32478.7571866135</v>
      </c>
      <c r="CB17" s="17">
        <f t="shared" si="44"/>
        <v>121795.33944980064</v>
      </c>
      <c r="CC17" s="17">
        <f t="shared" si="45"/>
        <v>229.25325632714262</v>
      </c>
      <c r="CD17" s="17">
        <f t="shared" si="46"/>
        <v>2063.2793069442837</v>
      </c>
      <c r="CE17" s="17">
        <f t="shared" si="47"/>
        <v>29202.90381817599</v>
      </c>
      <c r="CF17" s="17">
        <f t="shared" si="48"/>
        <v>156566.62919968559</v>
      </c>
      <c r="CG17" s="17">
        <f t="shared" si="49"/>
        <v>185769.53301786157</v>
      </c>
      <c r="CH17" s="17">
        <f t="shared" si="50"/>
        <v>14.400000000000006</v>
      </c>
      <c r="CI17" s="17">
        <f t="shared" si="51"/>
        <v>-43.2</v>
      </c>
      <c r="CJ17" s="17">
        <f t="shared" si="52"/>
        <v>16</v>
      </c>
      <c r="CK17" s="17">
        <f t="shared" si="53"/>
        <v>90</v>
      </c>
      <c r="CL17" s="17">
        <f t="shared" si="54"/>
        <v>71.46880726181422</v>
      </c>
      <c r="CM17" s="17">
        <f t="shared" si="4"/>
        <v>24</v>
      </c>
      <c r="CN17" s="17">
        <f t="shared" si="5"/>
        <v>50</v>
      </c>
      <c r="CO17" s="17">
        <f t="shared" si="55"/>
        <v>65.062647806544774</v>
      </c>
      <c r="CP17" s="17">
        <f t="shared" si="56"/>
        <v>6.4061594552694459</v>
      </c>
      <c r="CQ17" s="17">
        <f t="shared" si="6"/>
        <v>0</v>
      </c>
      <c r="CR17" s="17">
        <f t="shared" si="7"/>
        <v>100</v>
      </c>
      <c r="CS17" s="17">
        <f t="shared" si="57"/>
        <v>26.404773030064671</v>
      </c>
      <c r="CT17" s="17">
        <f t="shared" si="58"/>
        <v>24</v>
      </c>
      <c r="CU17" s="17">
        <f t="shared" si="59"/>
        <v>50</v>
      </c>
      <c r="CV17" s="17">
        <f t="shared" si="60"/>
        <v>65.062647806544774</v>
      </c>
      <c r="CW17" s="17">
        <f t="shared" si="61"/>
        <v>-38.657874776480099</v>
      </c>
      <c r="CX17" s="17">
        <f t="shared" si="8"/>
        <v>-1673.3951999999999</v>
      </c>
      <c r="CY17" s="17">
        <f t="shared" si="8"/>
        <v>-1673.3951999999999</v>
      </c>
      <c r="CZ17" s="17">
        <f t="shared" si="62"/>
        <v>69.724800000000016</v>
      </c>
      <c r="DA17" s="17">
        <f t="shared" si="63"/>
        <v>-209.17439999999999</v>
      </c>
      <c r="DB17" s="17">
        <f t="shared" si="64"/>
        <v>-13296.960000000001</v>
      </c>
      <c r="DC17" s="17">
        <f t="shared" si="65"/>
        <v>6824</v>
      </c>
      <c r="DD17" s="17">
        <f t="shared" si="66"/>
        <v>64.247959999999992</v>
      </c>
      <c r="DE17" s="17">
        <f t="shared" si="67"/>
        <v>11664.000000000005</v>
      </c>
      <c r="DF17" s="17">
        <f t="shared" si="68"/>
        <v>-65.864835072000005</v>
      </c>
      <c r="DG17" s="17"/>
      <c r="DH17" s="17">
        <f t="shared" si="69"/>
        <v>-5257.4709696012933</v>
      </c>
      <c r="DI17" s="17">
        <f t="shared" si="70"/>
        <v>-19715.516136004851</v>
      </c>
      <c r="DJ17" s="17">
        <f t="shared" si="71"/>
        <v>-37.110174287188912</v>
      </c>
      <c r="DK17" s="17">
        <f t="shared" si="72"/>
        <v>55.347151322734128</v>
      </c>
      <c r="DL17" s="17">
        <f t="shared" si="73"/>
        <v>3376.5783249280043</v>
      </c>
      <c r="DM17" s="17">
        <f t="shared" si="74"/>
        <v>-24954.750128570602</v>
      </c>
      <c r="DN17" s="17">
        <f t="shared" si="75"/>
        <v>-21578.171803642599</v>
      </c>
    </row>
    <row r="18" spans="3:120" ht="18.600000000000001">
      <c r="C18" s="13">
        <f>'Input BOD'!C18</f>
        <v>9</v>
      </c>
      <c r="D18" s="14" t="str">
        <f>'Input BOD'!D18</f>
        <v>java</v>
      </c>
      <c r="E18" s="14">
        <f>'Input BOD'!E18</f>
        <v>1</v>
      </c>
      <c r="F18" s="14">
        <f>'Input BOD'!F18</f>
        <v>1</v>
      </c>
      <c r="G18" s="14">
        <f>'Input BOD'!G18</f>
        <v>2</v>
      </c>
      <c r="H18" s="14">
        <f>'Input BOD'!H18</f>
        <v>1</v>
      </c>
      <c r="I18" s="14">
        <f>'Input BOD'!I18</f>
        <v>2</v>
      </c>
      <c r="J18" s="14">
        <f>'Input BOD'!J18</f>
        <v>1.75</v>
      </c>
      <c r="K18" s="14">
        <f>'Input BOD'!K18</f>
        <v>2</v>
      </c>
      <c r="L18" s="15">
        <f>'Input BOD'!L18</f>
        <v>0.1</v>
      </c>
      <c r="M18" s="15">
        <f>'Input BOD'!M18</f>
        <v>0</v>
      </c>
      <c r="N18" s="14">
        <f>'Input BOD'!N18</f>
        <v>24</v>
      </c>
      <c r="O18" s="14">
        <f>'Input BOD'!O18</f>
        <v>50</v>
      </c>
      <c r="P18" s="13">
        <f>'Input BOD'!P18</f>
        <v>41</v>
      </c>
      <c r="Q18" s="13">
        <f>'Input BOD'!Q18</f>
        <v>85</v>
      </c>
      <c r="R18" s="13" t="str">
        <f>'Input BOD'!R18</f>
        <v>Class100K</v>
      </c>
      <c r="S18" s="13">
        <f>'Input BOD'!S18</f>
        <v>12</v>
      </c>
      <c r="T18" s="13">
        <v>0</v>
      </c>
      <c r="U18" s="13">
        <v>100</v>
      </c>
      <c r="V18" s="13" t="str">
        <f t="shared" si="9"/>
        <v>Class100K</v>
      </c>
      <c r="W18" s="13">
        <f t="shared" si="10"/>
        <v>12</v>
      </c>
      <c r="X18" s="16">
        <f t="shared" si="11"/>
        <v>10.76</v>
      </c>
      <c r="Y18" s="16">
        <f t="shared" si="12"/>
        <v>70.585599999999999</v>
      </c>
      <c r="Z18" s="16">
        <f t="shared" si="13"/>
        <v>14.11712</v>
      </c>
      <c r="AA18" s="16">
        <f t="shared" si="14"/>
        <v>1.4117120000000001</v>
      </c>
      <c r="AB18" s="16">
        <f t="shared" si="15"/>
        <v>0</v>
      </c>
      <c r="AC18" s="16">
        <f t="shared" si="16"/>
        <v>9.8307653762101654E-2</v>
      </c>
      <c r="AD18" s="16">
        <f>IF(ISNUMBER(N18), CEILING(CF18/(0.68*BP18),25), "Ambient")</f>
        <v>975</v>
      </c>
      <c r="AE18" s="16">
        <f t="shared" si="18"/>
        <v>975</v>
      </c>
      <c r="AF18" s="16">
        <f t="shared" si="19"/>
        <v>0</v>
      </c>
      <c r="AG18" s="16">
        <f t="shared" si="20"/>
        <v>3.5</v>
      </c>
      <c r="AH18" s="838" t="str">
        <f>'Input BOD'!T18</f>
        <v>D</v>
      </c>
      <c r="AI18" s="17">
        <f t="shared" si="21"/>
        <v>2.5</v>
      </c>
      <c r="AJ18" s="17">
        <f t="shared" si="22"/>
        <v>3.5</v>
      </c>
      <c r="AK18" s="891"/>
      <c r="AL18" s="18"/>
      <c r="AM18" s="889"/>
      <c r="AN18" s="891"/>
      <c r="AO18" s="888"/>
      <c r="AP18" s="891"/>
      <c r="AQ18" s="891"/>
      <c r="AR18" s="889"/>
      <c r="AS18" s="888"/>
      <c r="AT18" s="888"/>
      <c r="AU18" s="890"/>
      <c r="AV18" s="888"/>
      <c r="AW18" s="888"/>
      <c r="AX18" s="888"/>
      <c r="AY18" s="887"/>
      <c r="AZ18" s="888"/>
      <c r="BA18" s="17">
        <f t="shared" si="23"/>
        <v>14.399999999999991</v>
      </c>
      <c r="BB18" s="17">
        <f t="shared" si="24"/>
        <v>30.599999999999994</v>
      </c>
      <c r="BC18" s="17">
        <f t="shared" si="25"/>
        <v>32</v>
      </c>
      <c r="BD18" s="17">
        <f t="shared" si="26"/>
        <v>85</v>
      </c>
      <c r="BE18" s="17">
        <f t="shared" si="27"/>
        <v>180.86341983910182</v>
      </c>
      <c r="BF18" s="17">
        <f t="shared" si="0"/>
        <v>24</v>
      </c>
      <c r="BG18" s="17">
        <f t="shared" si="1"/>
        <v>50</v>
      </c>
      <c r="BH18" s="17">
        <f t="shared" si="28"/>
        <v>65.062647806544774</v>
      </c>
      <c r="BI18" s="17">
        <f t="shared" si="29"/>
        <v>115.80077203255705</v>
      </c>
      <c r="BJ18" s="17">
        <f t="shared" si="2"/>
        <v>41</v>
      </c>
      <c r="BK18" s="17">
        <f t="shared" si="3"/>
        <v>85</v>
      </c>
      <c r="BL18" s="17">
        <f t="shared" si="30"/>
        <v>303.8770388845852</v>
      </c>
      <c r="BM18" s="17">
        <f t="shared" si="31"/>
        <v>24</v>
      </c>
      <c r="BN18" s="17">
        <f t="shared" si="31"/>
        <v>50</v>
      </c>
      <c r="BO18" s="17">
        <f t="shared" si="32"/>
        <v>65.062647806544774</v>
      </c>
      <c r="BP18" s="17">
        <f t="shared" si="33"/>
        <v>238.81439107804044</v>
      </c>
      <c r="BQ18" s="17">
        <f t="shared" si="34"/>
        <v>1185.3215999999998</v>
      </c>
      <c r="BR18" s="17">
        <f t="shared" si="35"/>
        <v>557.79839999999967</v>
      </c>
      <c r="BS18" s="17">
        <f t="shared" si="36"/>
        <v>69.724799999999959</v>
      </c>
      <c r="BT18" s="17">
        <f t="shared" si="37"/>
        <v>148.16519999999997</v>
      </c>
      <c r="BU18" s="17">
        <f t="shared" si="38"/>
        <v>9418.6799999999985</v>
      </c>
      <c r="BV18" s="17">
        <f t="shared" si="39"/>
        <v>6824</v>
      </c>
      <c r="BW18" s="17">
        <f t="shared" si="40"/>
        <v>64.247959999999992</v>
      </c>
      <c r="BX18" s="17">
        <f t="shared" si="41"/>
        <v>11663.999999999993</v>
      </c>
      <c r="BY18" s="17">
        <f t="shared" si="42"/>
        <v>46.654258175999999</v>
      </c>
      <c r="BZ18" s="17"/>
      <c r="CA18" s="17">
        <f t="shared" si="43"/>
        <v>32478.7571866135</v>
      </c>
      <c r="CB18" s="17">
        <f t="shared" si="44"/>
        <v>121795.33944980064</v>
      </c>
      <c r="CC18" s="17">
        <f t="shared" si="45"/>
        <v>229.25325632714262</v>
      </c>
      <c r="CD18" s="17">
        <f t="shared" si="46"/>
        <v>2063.2793069442837</v>
      </c>
      <c r="CE18" s="17">
        <f t="shared" si="47"/>
        <v>29202.90381817599</v>
      </c>
      <c r="CF18" s="17">
        <f t="shared" si="48"/>
        <v>156566.62919968559</v>
      </c>
      <c r="CG18" s="17">
        <f t="shared" si="49"/>
        <v>185769.53301786157</v>
      </c>
      <c r="CH18" s="17">
        <f t="shared" si="50"/>
        <v>14.400000000000006</v>
      </c>
      <c r="CI18" s="17">
        <f t="shared" si="51"/>
        <v>-43.2</v>
      </c>
      <c r="CJ18" s="17">
        <f t="shared" si="52"/>
        <v>16</v>
      </c>
      <c r="CK18" s="17">
        <f t="shared" si="53"/>
        <v>90</v>
      </c>
      <c r="CL18" s="17">
        <f t="shared" si="54"/>
        <v>71.46880726181422</v>
      </c>
      <c r="CM18" s="17">
        <f t="shared" si="4"/>
        <v>24</v>
      </c>
      <c r="CN18" s="17">
        <f t="shared" si="5"/>
        <v>50</v>
      </c>
      <c r="CO18" s="17">
        <f t="shared" si="55"/>
        <v>65.062647806544774</v>
      </c>
      <c r="CP18" s="17">
        <f t="shared" si="56"/>
        <v>6.4061594552694459</v>
      </c>
      <c r="CQ18" s="17">
        <f t="shared" si="6"/>
        <v>0</v>
      </c>
      <c r="CR18" s="17">
        <f t="shared" si="7"/>
        <v>100</v>
      </c>
      <c r="CS18" s="17">
        <f t="shared" si="57"/>
        <v>26.404773030064671</v>
      </c>
      <c r="CT18" s="17">
        <f t="shared" si="58"/>
        <v>24</v>
      </c>
      <c r="CU18" s="17">
        <f t="shared" si="59"/>
        <v>50</v>
      </c>
      <c r="CV18" s="17">
        <f t="shared" si="60"/>
        <v>65.062647806544774</v>
      </c>
      <c r="CW18" s="17">
        <f t="shared" si="61"/>
        <v>-38.657874776480099</v>
      </c>
      <c r="CX18" s="17">
        <f t="shared" si="8"/>
        <v>-1673.3951999999999</v>
      </c>
      <c r="CY18" s="17">
        <f t="shared" si="8"/>
        <v>-1673.3951999999999</v>
      </c>
      <c r="CZ18" s="17">
        <f t="shared" si="62"/>
        <v>69.724800000000016</v>
      </c>
      <c r="DA18" s="17">
        <f t="shared" si="63"/>
        <v>-209.17439999999999</v>
      </c>
      <c r="DB18" s="17">
        <f t="shared" si="64"/>
        <v>-13296.960000000001</v>
      </c>
      <c r="DC18" s="17">
        <f t="shared" si="65"/>
        <v>6824</v>
      </c>
      <c r="DD18" s="17">
        <f t="shared" si="66"/>
        <v>64.247959999999992</v>
      </c>
      <c r="DE18" s="17">
        <f t="shared" si="67"/>
        <v>11664.000000000005</v>
      </c>
      <c r="DF18" s="17">
        <f t="shared" si="68"/>
        <v>-65.864835072000005</v>
      </c>
      <c r="DG18" s="17"/>
      <c r="DH18" s="17">
        <f t="shared" si="69"/>
        <v>-5257.4709696012933</v>
      </c>
      <c r="DI18" s="17">
        <f t="shared" si="70"/>
        <v>-19715.516136004851</v>
      </c>
      <c r="DJ18" s="17">
        <f t="shared" si="71"/>
        <v>-37.110174287188912</v>
      </c>
      <c r="DK18" s="17">
        <f t="shared" si="72"/>
        <v>55.347151322734128</v>
      </c>
      <c r="DL18" s="17">
        <f t="shared" si="73"/>
        <v>3376.5783249280043</v>
      </c>
      <c r="DM18" s="17">
        <f t="shared" si="74"/>
        <v>-24954.750128570602</v>
      </c>
      <c r="DN18" s="17">
        <f t="shared" si="75"/>
        <v>-21578.171803642599</v>
      </c>
    </row>
    <row r="19" spans="3:120" ht="18.600000000000001">
      <c r="C19" s="13">
        <f>'Input BOD'!C19</f>
        <v>10</v>
      </c>
      <c r="D19" s="14">
        <f>'Input BOD'!D19</f>
        <v>12345</v>
      </c>
      <c r="E19" s="14">
        <f>'Input BOD'!E19</f>
        <v>1</v>
      </c>
      <c r="F19" s="14">
        <f>'Input BOD'!F19</f>
        <v>1</v>
      </c>
      <c r="G19" s="14">
        <f>'Input BOD'!G19</f>
        <v>2</v>
      </c>
      <c r="H19" s="14">
        <f>'Input BOD'!H19</f>
        <v>1</v>
      </c>
      <c r="I19" s="14">
        <f>'Input BOD'!I19</f>
        <v>2</v>
      </c>
      <c r="J19" s="14">
        <f>'Input BOD'!J19</f>
        <v>1.75</v>
      </c>
      <c r="K19" s="14">
        <f>'Input BOD'!K19</f>
        <v>2</v>
      </c>
      <c r="L19" s="15">
        <f>'Input BOD'!L19</f>
        <v>0.1</v>
      </c>
      <c r="M19" s="15">
        <f>'Input BOD'!M19</f>
        <v>0</v>
      </c>
      <c r="N19" s="14">
        <f>'Input BOD'!N19</f>
        <v>24</v>
      </c>
      <c r="O19" s="14">
        <f>'Input BOD'!O19</f>
        <v>50</v>
      </c>
      <c r="P19" s="13">
        <f>'Input BOD'!P19</f>
        <v>41</v>
      </c>
      <c r="Q19" s="13">
        <f>'Input BOD'!Q19</f>
        <v>85</v>
      </c>
      <c r="R19" s="13" t="str">
        <f>'Input BOD'!R19</f>
        <v>Class100K</v>
      </c>
      <c r="S19" s="13">
        <f>'Input BOD'!S19</f>
        <v>12</v>
      </c>
      <c r="T19" s="13">
        <v>0</v>
      </c>
      <c r="U19" s="13">
        <v>100</v>
      </c>
      <c r="V19" s="13" t="str">
        <f t="shared" si="9"/>
        <v>Class100K</v>
      </c>
      <c r="W19" s="13">
        <f t="shared" ref="W19:W25" si="76">S19</f>
        <v>12</v>
      </c>
      <c r="X19" s="16">
        <f t="shared" ref="X19:X25" si="77">E19*F19*10.76</f>
        <v>10.76</v>
      </c>
      <c r="Y19" s="16">
        <f t="shared" ref="Y19:Y25" si="78">X19*G19*3.28</f>
        <v>70.585599999999999</v>
      </c>
      <c r="Z19" s="16">
        <f t="shared" ref="Z19:Z25" si="79">Y19*S19/60</f>
        <v>14.11712</v>
      </c>
      <c r="AA19" s="16">
        <f t="shared" ref="AA19:AA25" si="80">Z19*L19</f>
        <v>1.4117120000000001</v>
      </c>
      <c r="AB19" s="16">
        <f t="shared" si="15"/>
        <v>0</v>
      </c>
      <c r="AC19" s="16">
        <f t="shared" ref="AC19:AC25" si="81">IF(ISNUMBER(N19), (AA19*0.075*60/2.20462)*BP19/7000, "Ambient")</f>
        <v>9.8307653762101654E-2</v>
      </c>
      <c r="AD19" s="16">
        <f t="shared" ref="AD19:AD25" si="82">IF(ISNUMBER(N19), CEILING(CF19/(0.68*BP19),25), "Ambient")</f>
        <v>975</v>
      </c>
      <c r="AE19" s="16">
        <f t="shared" ref="AE19:AE25" si="83">CEILING(MAX((Z19+AA19),AD19),25)</f>
        <v>975</v>
      </c>
      <c r="AF19" s="16">
        <f t="shared" si="19"/>
        <v>0</v>
      </c>
      <c r="AG19" s="16">
        <f t="shared" si="20"/>
        <v>3.5</v>
      </c>
      <c r="AH19" s="838" t="str">
        <f>'Input BOD'!T19</f>
        <v>D</v>
      </c>
      <c r="AI19" s="17">
        <f t="shared" ref="AI19:AI25" si="84">IF(ISNUMBER(N19), CEILING(CE19/12000,0.5), "Ambient")</f>
        <v>2.5</v>
      </c>
      <c r="AJ19" s="17">
        <f t="shared" si="22"/>
        <v>3.5</v>
      </c>
      <c r="AK19" s="891"/>
      <c r="AL19" s="174">
        <f>IF(AN10&lt;=280,1200,IF(AN10&lt;=315,1600,(IF(AN10=355,1650,(IF(AN10=400,1650,(IF(AN10=450,1700,(IF(AN10=500,1700,(IF(AN10=560,1800,(IF(AN10=630,2000,(IF(AN10=710,2200,2500))))))))))))))))+IF(AR10=2,1800,(IF(AR10=3,2300,(IF(AR10=4,3300,0)))))+IF(ISTEXT(AP10),0,IF(AP10&lt;=4,600,(IF(AP10&lt;=6,800,(IF(AP10&lt;=8,1000,0))))))</f>
        <v>5500</v>
      </c>
      <c r="AM19" s="889"/>
      <c r="AN19" s="891"/>
      <c r="AO19" s="888"/>
      <c r="AP19" s="891"/>
      <c r="AQ19" s="891"/>
      <c r="AR19" s="889"/>
      <c r="AS19" s="888"/>
      <c r="AT19" s="888"/>
      <c r="AU19" s="890"/>
      <c r="AV19" s="888"/>
      <c r="AW19" s="888"/>
      <c r="AX19" s="888"/>
      <c r="AY19" s="887"/>
      <c r="AZ19" s="888"/>
      <c r="BA19" s="17">
        <f t="shared" ref="BA19:BA25" si="85">-CONVERT(N19,"C","F")+CONVERT((N19+8),"C","F")</f>
        <v>14.399999999999991</v>
      </c>
      <c r="BB19" s="17">
        <f t="shared" ref="BB19:BB25" si="86">CONVERT(P19,"C","F")-CONVERT(N19,"C","F")</f>
        <v>30.599999999999994</v>
      </c>
      <c r="BC19" s="17">
        <f t="shared" ref="BC19:BC25" si="87">BF19+8</f>
        <v>32</v>
      </c>
      <c r="BD19" s="17">
        <f t="shared" ref="BD19:BD25" si="88">BG19+35</f>
        <v>85</v>
      </c>
      <c r="BE19" s="17">
        <f t="shared" ref="BE19:BE25" si="89">0.622*7000*(BD19/100)*(6.1078*10^((7.5*BC19)/(237.3+BC19)))/(1013.25-(6.1078*10^((7.5*BC19)/(237.3+BC19)))*BD19/100)</f>
        <v>180.86341983910182</v>
      </c>
      <c r="BF19" s="17">
        <f t="shared" ref="BF19:BF25" si="90">N19</f>
        <v>24</v>
      </c>
      <c r="BG19" s="17">
        <f t="shared" ref="BG19:BG25" si="91">O19</f>
        <v>50</v>
      </c>
      <c r="BH19" s="17">
        <f t="shared" ref="BH19:BH25" si="92">0.622*7000*(BG19/100)*(6.1078*10^((7.5*BF19)/(237.3+BF19)))/(1013.25-(6.1078*10^((7.5*BF19)/(237.3+BF19)))*BG19/100)</f>
        <v>65.062647806544774</v>
      </c>
      <c r="BI19" s="17">
        <f t="shared" ref="BI19:BI25" si="93">BE19-BH19</f>
        <v>115.80077203255705</v>
      </c>
      <c r="BJ19" s="17">
        <f t="shared" ref="BJ19:BJ25" si="94">P19</f>
        <v>41</v>
      </c>
      <c r="BK19" s="17">
        <f t="shared" ref="BK19:BK25" si="95">Q19</f>
        <v>85</v>
      </c>
      <c r="BL19" s="17">
        <f t="shared" ref="BL19:BL25" si="96">0.622*7000*(BK19/100)*(6.1078*10^((7.5*BJ19)/(237.3+BJ19)))/(1013.25-(6.1078*10^((7.5*BJ19)/(237.3+BJ19)))*BK19/100)</f>
        <v>303.8770388845852</v>
      </c>
      <c r="BM19" s="17">
        <f t="shared" ref="BM19:BM25" si="97">BF19</f>
        <v>24</v>
      </c>
      <c r="BN19" s="17">
        <f t="shared" ref="BN19:BN25" si="98">BG19</f>
        <v>50</v>
      </c>
      <c r="BO19" s="17">
        <f t="shared" ref="BO19:BO25" si="99">0.622*7000*(BN19/100)*(6.1078*10^((7.5*BM19)/(237.3+BM19)))/(1013.25-(6.1078*10^((7.5*BM19)/(237.3+BM19)))*BN19/100)</f>
        <v>65.062647806544774</v>
      </c>
      <c r="BP19" s="17">
        <f t="shared" ref="BP19:BP25" si="100">BL19-BO19</f>
        <v>238.81439107804044</v>
      </c>
      <c r="BQ19" s="17">
        <f t="shared" ref="BQ19:BQ25" si="101">(E19*G19*10.76*2+F19*G19*2*10.76)*BB19*0.45</f>
        <v>1185.3215999999998</v>
      </c>
      <c r="BR19" s="17">
        <f t="shared" ref="BR19:BR25" si="102">(E19*G19*10.76*2+F19*G19*2*10.76)*BA19*0.45</f>
        <v>557.79839999999967</v>
      </c>
      <c r="BS19" s="17">
        <f t="shared" ref="BS19:BS25" si="103">(E19*F19*10.76)*BA19*0.45</f>
        <v>69.724799999999959</v>
      </c>
      <c r="BT19" s="17">
        <f t="shared" ref="BT19:BT25" si="104">(E19*F19*10.76)*BB19*0.45</f>
        <v>148.16519999999997</v>
      </c>
      <c r="BU19" s="17">
        <f t="shared" ref="BU19:BU25" si="105">H19*285*1.08*BB19</f>
        <v>9418.6799999999985</v>
      </c>
      <c r="BV19" s="17">
        <f t="shared" ref="BV19:BV25" si="106">I19*1000*3.412</f>
        <v>6824</v>
      </c>
      <c r="BW19" s="17">
        <f t="shared" ref="BW19:BW25" si="107">J19*X19*3.412</f>
        <v>64.247959999999992</v>
      </c>
      <c r="BX19" s="17">
        <f t="shared" ref="BX19:BX25" si="108">K19*1.08*375*BA19</f>
        <v>11663.999999999993</v>
      </c>
      <c r="BY19" s="17">
        <f t="shared" ref="BY19:BY25" si="109">(AA19+AB19)*1.08*BB19</f>
        <v>46.654258175999999</v>
      </c>
      <c r="BZ19" s="17"/>
      <c r="CA19" s="17">
        <f t="shared" ref="CA19:CA25" si="110">H19*200*0.68*BP19</f>
        <v>32478.7571866135</v>
      </c>
      <c r="CB19" s="17">
        <f t="shared" ref="CB19:CB25" si="111">K19*375*0.68*BP19</f>
        <v>121795.33944980064</v>
      </c>
      <c r="CC19" s="17">
        <f t="shared" ref="CC19:CC25" si="112">(AA19+AB19)*0.68*BP19</f>
        <v>229.25325632714262</v>
      </c>
      <c r="CD19" s="17">
        <f t="shared" si="46"/>
        <v>2063.2793069442837</v>
      </c>
      <c r="CE19" s="17">
        <f t="shared" si="47"/>
        <v>29202.90381817599</v>
      </c>
      <c r="CF19" s="17">
        <f t="shared" si="48"/>
        <v>156566.62919968559</v>
      </c>
      <c r="CG19" s="17">
        <f t="shared" si="49"/>
        <v>185769.53301786157</v>
      </c>
      <c r="CH19" s="17">
        <f t="shared" ref="CH19:CH25" si="113">CONVERT(N19,"C","F")-CONVERT((N19-8),"C","F")</f>
        <v>14.400000000000006</v>
      </c>
      <c r="CI19" s="17">
        <f t="shared" ref="CI19:CI25" si="114">CONVERT(T19,"C","F")-CONVERT(N19,"C","F")</f>
        <v>-43.2</v>
      </c>
      <c r="CJ19" s="17">
        <f t="shared" ref="CJ19:CJ25" si="115">CM19-8</f>
        <v>16</v>
      </c>
      <c r="CK19" s="17">
        <f t="shared" ref="CK19:CK25" si="116">O19+40</f>
        <v>90</v>
      </c>
      <c r="CL19" s="17">
        <f t="shared" ref="CL19:CL25" si="117">0.622*7000*(CK19/100)*(6.1078*10^((7.5*CJ19)/(237.3+CJ19)))/(1013.25-(6.1078*10^((7.5*CJ19)/(237.3+CJ19)))*CK19/100)</f>
        <v>71.46880726181422</v>
      </c>
      <c r="CM19" s="17">
        <f t="shared" ref="CM19:CM25" si="118">N19</f>
        <v>24</v>
      </c>
      <c r="CN19" s="17">
        <f t="shared" ref="CN19:CN25" si="119">O19</f>
        <v>50</v>
      </c>
      <c r="CO19" s="17">
        <f t="shared" ref="CO19:CO25" si="120">0.622*7000*(CN19/100)*(6.1078*10^((7.5*CM19)/(237.3+CM19)))/(1013.25-(6.1078*10^((7.5*CM19)/(237.3+CM19)))*CN19/100)</f>
        <v>65.062647806544774</v>
      </c>
      <c r="CP19" s="17">
        <f t="shared" ref="CP19:CP25" si="121">CL19-CO19</f>
        <v>6.4061594552694459</v>
      </c>
      <c r="CQ19" s="17">
        <f t="shared" ref="CQ19:CQ25" si="122">T19</f>
        <v>0</v>
      </c>
      <c r="CR19" s="17">
        <f t="shared" ref="CR19:CR25" si="123">U19</f>
        <v>100</v>
      </c>
      <c r="CS19" s="17">
        <f t="shared" ref="CS19:CS25" si="124">0.622*7000*(CR19/100)*(6.1078*10^((7.5*CQ19)/(237.3+CQ19)))/(1013.25-(6.1078*10^((7.5*CQ19)/(237.3+CQ19)))*CR19/100)</f>
        <v>26.404773030064671</v>
      </c>
      <c r="CT19" s="17">
        <f t="shared" ref="CT19:CT25" si="125">CM19</f>
        <v>24</v>
      </c>
      <c r="CU19" s="17">
        <f t="shared" ref="CU19:CU25" si="126">O19</f>
        <v>50</v>
      </c>
      <c r="CV19" s="17">
        <f t="shared" ref="CV19:CV25" si="127">0.622*7000*(CU19/100)*(6.1078*10^((7.5*CT19)/(237.3+CT19)))/(1013.25-(6.1078*10^((7.5*CT19)/(237.3+CT19)))*CU19/100)</f>
        <v>65.062647806544774</v>
      </c>
      <c r="CW19" s="17">
        <f t="shared" ref="CW19:CW25" si="128">CS19-CV19</f>
        <v>-38.657874776480099</v>
      </c>
      <c r="CX19" s="17">
        <f t="shared" si="8"/>
        <v>-1673.3951999999999</v>
      </c>
      <c r="CY19" s="17">
        <f t="shared" si="8"/>
        <v>-1673.3951999999999</v>
      </c>
      <c r="CZ19" s="17">
        <f t="shared" si="62"/>
        <v>69.724800000000016</v>
      </c>
      <c r="DA19" s="17">
        <f t="shared" si="63"/>
        <v>-209.17439999999999</v>
      </c>
      <c r="DB19" s="17">
        <f t="shared" si="64"/>
        <v>-13296.960000000001</v>
      </c>
      <c r="DC19" s="17">
        <f t="shared" si="65"/>
        <v>6824</v>
      </c>
      <c r="DD19" s="17">
        <f t="shared" si="66"/>
        <v>64.247959999999992</v>
      </c>
      <c r="DE19" s="17">
        <f t="shared" si="67"/>
        <v>11664.000000000005</v>
      </c>
      <c r="DF19" s="17">
        <f t="shared" si="68"/>
        <v>-65.864835072000005</v>
      </c>
      <c r="DG19" s="17"/>
      <c r="DH19" s="17">
        <f t="shared" ref="DH19:DH25" si="129">$H19*200*0.68*CW19</f>
        <v>-5257.4709696012933</v>
      </c>
      <c r="DI19" s="17">
        <f t="shared" ref="DI19:DI25" si="130">$K19*375*0.68*CW19</f>
        <v>-19715.516136004851</v>
      </c>
      <c r="DJ19" s="17">
        <f t="shared" ref="DJ19:DJ25" si="131">(AA19+AB19)*0.68*CW19</f>
        <v>-37.110174287188912</v>
      </c>
      <c r="DK19" s="17">
        <f t="shared" ref="DK19:DK25" si="132">(Z19-AA19)*0.68*CP19</f>
        <v>55.347151322734128</v>
      </c>
      <c r="DL19" s="17">
        <f t="shared" ref="DL19:DL25" si="133">CX19+DA19+CZ19+DB19+DC19+DD19+DE19+DF19</f>
        <v>3376.5783249280043</v>
      </c>
      <c r="DM19" s="17">
        <f t="shared" ref="DM19:DM25" si="134">DH19+DI19+DJ19+DK19</f>
        <v>-24954.750128570602</v>
      </c>
      <c r="DN19" s="17">
        <f t="shared" ref="DN19:DN25" si="135">DL19+DM19</f>
        <v>-21578.171803642599</v>
      </c>
    </row>
    <row r="20" spans="3:120" ht="18.600000000000001">
      <c r="C20" s="13">
        <f>'Input BOD'!C20</f>
        <v>11</v>
      </c>
      <c r="D20" s="14" t="str">
        <f>'Input BOD'!D20</f>
        <v>cvdwvjvq</v>
      </c>
      <c r="E20" s="14">
        <f>'Input BOD'!E20</f>
        <v>1</v>
      </c>
      <c r="F20" s="14">
        <f>'Input BOD'!F20</f>
        <v>1</v>
      </c>
      <c r="G20" s="14">
        <f>'Input BOD'!G20</f>
        <v>2</v>
      </c>
      <c r="H20" s="14">
        <f>'Input BOD'!H20</f>
        <v>1</v>
      </c>
      <c r="I20" s="14">
        <f>'Input BOD'!I20</f>
        <v>2</v>
      </c>
      <c r="J20" s="14">
        <f>'Input BOD'!J20</f>
        <v>1.75</v>
      </c>
      <c r="K20" s="14">
        <f>'Input BOD'!K20</f>
        <v>2</v>
      </c>
      <c r="L20" s="15">
        <f>'Input BOD'!L20</f>
        <v>0.1</v>
      </c>
      <c r="M20" s="15">
        <f>'Input BOD'!M20</f>
        <v>0</v>
      </c>
      <c r="N20" s="14">
        <f>'Input BOD'!N20</f>
        <v>24</v>
      </c>
      <c r="O20" s="14">
        <f>'Input BOD'!O20</f>
        <v>50</v>
      </c>
      <c r="P20" s="13">
        <f>'Input BOD'!P20</f>
        <v>41</v>
      </c>
      <c r="Q20" s="13">
        <f>'Input BOD'!Q20</f>
        <v>85</v>
      </c>
      <c r="R20" s="13" t="str">
        <f>'Input BOD'!R20</f>
        <v>Class100K</v>
      </c>
      <c r="S20" s="13">
        <f>'Input BOD'!S20</f>
        <v>12</v>
      </c>
      <c r="T20" s="13">
        <v>0</v>
      </c>
      <c r="U20" s="13">
        <v>100</v>
      </c>
      <c r="V20" s="13" t="str">
        <f t="shared" si="9"/>
        <v>Class100K</v>
      </c>
      <c r="W20" s="13">
        <f t="shared" si="76"/>
        <v>12</v>
      </c>
      <c r="X20" s="16">
        <f t="shared" si="77"/>
        <v>10.76</v>
      </c>
      <c r="Y20" s="16">
        <f t="shared" si="78"/>
        <v>70.585599999999999</v>
      </c>
      <c r="Z20" s="16">
        <f t="shared" si="79"/>
        <v>14.11712</v>
      </c>
      <c r="AA20" s="16">
        <f t="shared" si="80"/>
        <v>1.4117120000000001</v>
      </c>
      <c r="AB20" s="16">
        <f t="shared" si="15"/>
        <v>0</v>
      </c>
      <c r="AC20" s="16">
        <f t="shared" si="81"/>
        <v>9.8307653762101654E-2</v>
      </c>
      <c r="AD20" s="16">
        <f t="shared" si="82"/>
        <v>975</v>
      </c>
      <c r="AE20" s="16">
        <f t="shared" si="83"/>
        <v>975</v>
      </c>
      <c r="AF20" s="16">
        <f t="shared" si="19"/>
        <v>0</v>
      </c>
      <c r="AG20" s="16">
        <f t="shared" si="20"/>
        <v>3.5</v>
      </c>
      <c r="AH20" s="838" t="str">
        <f>'Input BOD'!T20</f>
        <v>D</v>
      </c>
      <c r="AI20" s="17">
        <f t="shared" si="84"/>
        <v>2.5</v>
      </c>
      <c r="AJ20" s="17">
        <f t="shared" si="22"/>
        <v>3.5</v>
      </c>
      <c r="AK20" s="891"/>
      <c r="AL20" s="18"/>
      <c r="AM20" s="889"/>
      <c r="AN20" s="891"/>
      <c r="AO20" s="888"/>
      <c r="AP20" s="891"/>
      <c r="AQ20" s="891"/>
      <c r="AR20" s="889"/>
      <c r="AS20" s="888"/>
      <c r="AT20" s="888"/>
      <c r="AU20" s="890"/>
      <c r="AV20" s="888"/>
      <c r="AW20" s="888"/>
      <c r="AX20" s="888"/>
      <c r="AY20" s="887"/>
      <c r="AZ20" s="888"/>
      <c r="BA20" s="17">
        <f t="shared" si="85"/>
        <v>14.399999999999991</v>
      </c>
      <c r="BB20" s="17">
        <f t="shared" si="86"/>
        <v>30.599999999999994</v>
      </c>
      <c r="BC20" s="17">
        <f t="shared" si="87"/>
        <v>32</v>
      </c>
      <c r="BD20" s="17">
        <f t="shared" si="88"/>
        <v>85</v>
      </c>
      <c r="BE20" s="17">
        <f t="shared" si="89"/>
        <v>180.86341983910182</v>
      </c>
      <c r="BF20" s="17">
        <f t="shared" si="90"/>
        <v>24</v>
      </c>
      <c r="BG20" s="17">
        <f t="shared" si="91"/>
        <v>50</v>
      </c>
      <c r="BH20" s="17">
        <f t="shared" si="92"/>
        <v>65.062647806544774</v>
      </c>
      <c r="BI20" s="17">
        <f t="shared" si="93"/>
        <v>115.80077203255705</v>
      </c>
      <c r="BJ20" s="17">
        <f t="shared" si="94"/>
        <v>41</v>
      </c>
      <c r="BK20" s="17">
        <f t="shared" si="95"/>
        <v>85</v>
      </c>
      <c r="BL20" s="17">
        <f t="shared" si="96"/>
        <v>303.8770388845852</v>
      </c>
      <c r="BM20" s="17">
        <f t="shared" si="97"/>
        <v>24</v>
      </c>
      <c r="BN20" s="17">
        <f t="shared" si="98"/>
        <v>50</v>
      </c>
      <c r="BO20" s="17">
        <f t="shared" si="99"/>
        <v>65.062647806544774</v>
      </c>
      <c r="BP20" s="17">
        <f t="shared" si="100"/>
        <v>238.81439107804044</v>
      </c>
      <c r="BQ20" s="17">
        <f t="shared" si="101"/>
        <v>1185.3215999999998</v>
      </c>
      <c r="BR20" s="17">
        <f t="shared" si="102"/>
        <v>557.79839999999967</v>
      </c>
      <c r="BS20" s="17">
        <f t="shared" si="103"/>
        <v>69.724799999999959</v>
      </c>
      <c r="BT20" s="17">
        <f t="shared" si="104"/>
        <v>148.16519999999997</v>
      </c>
      <c r="BU20" s="17">
        <f t="shared" si="105"/>
        <v>9418.6799999999985</v>
      </c>
      <c r="BV20" s="17">
        <f t="shared" si="106"/>
        <v>6824</v>
      </c>
      <c r="BW20" s="17">
        <f t="shared" si="107"/>
        <v>64.247959999999992</v>
      </c>
      <c r="BX20" s="17">
        <f t="shared" si="108"/>
        <v>11663.999999999993</v>
      </c>
      <c r="BY20" s="17">
        <f t="shared" si="109"/>
        <v>46.654258175999999</v>
      </c>
      <c r="BZ20" s="17"/>
      <c r="CA20" s="17">
        <f t="shared" si="110"/>
        <v>32478.7571866135</v>
      </c>
      <c r="CB20" s="17">
        <f t="shared" si="111"/>
        <v>121795.33944980064</v>
      </c>
      <c r="CC20" s="17">
        <f t="shared" si="112"/>
        <v>229.25325632714262</v>
      </c>
      <c r="CD20" s="17">
        <f t="shared" si="46"/>
        <v>2063.2793069442837</v>
      </c>
      <c r="CE20" s="17">
        <f t="shared" si="47"/>
        <v>29202.90381817599</v>
      </c>
      <c r="CF20" s="17">
        <f t="shared" si="48"/>
        <v>156566.62919968559</v>
      </c>
      <c r="CG20" s="17">
        <f t="shared" si="49"/>
        <v>185769.53301786157</v>
      </c>
      <c r="CH20" s="17">
        <f t="shared" si="113"/>
        <v>14.400000000000006</v>
      </c>
      <c r="CI20" s="17">
        <f t="shared" si="114"/>
        <v>-43.2</v>
      </c>
      <c r="CJ20" s="17">
        <f t="shared" si="115"/>
        <v>16</v>
      </c>
      <c r="CK20" s="17">
        <f t="shared" si="116"/>
        <v>90</v>
      </c>
      <c r="CL20" s="17">
        <f t="shared" si="117"/>
        <v>71.46880726181422</v>
      </c>
      <c r="CM20" s="17">
        <f t="shared" si="118"/>
        <v>24</v>
      </c>
      <c r="CN20" s="17">
        <f t="shared" si="119"/>
        <v>50</v>
      </c>
      <c r="CO20" s="17">
        <f t="shared" si="120"/>
        <v>65.062647806544774</v>
      </c>
      <c r="CP20" s="17">
        <f t="shared" si="121"/>
        <v>6.4061594552694459</v>
      </c>
      <c r="CQ20" s="17">
        <f t="shared" si="122"/>
        <v>0</v>
      </c>
      <c r="CR20" s="17">
        <f t="shared" si="123"/>
        <v>100</v>
      </c>
      <c r="CS20" s="17">
        <f t="shared" si="124"/>
        <v>26.404773030064671</v>
      </c>
      <c r="CT20" s="17">
        <f t="shared" si="125"/>
        <v>24</v>
      </c>
      <c r="CU20" s="17">
        <f t="shared" si="126"/>
        <v>50</v>
      </c>
      <c r="CV20" s="17">
        <f t="shared" si="127"/>
        <v>65.062647806544774</v>
      </c>
      <c r="CW20" s="17">
        <f t="shared" si="128"/>
        <v>-38.657874776480099</v>
      </c>
      <c r="CX20" s="17">
        <f t="shared" si="8"/>
        <v>-1673.3951999999999</v>
      </c>
      <c r="CY20" s="17">
        <f t="shared" si="8"/>
        <v>-1673.3951999999999</v>
      </c>
      <c r="CZ20" s="17">
        <f t="shared" si="62"/>
        <v>69.724800000000016</v>
      </c>
      <c r="DA20" s="17">
        <f t="shared" si="63"/>
        <v>-209.17439999999999</v>
      </c>
      <c r="DB20" s="17">
        <f t="shared" si="64"/>
        <v>-13296.960000000001</v>
      </c>
      <c r="DC20" s="17">
        <f t="shared" si="65"/>
        <v>6824</v>
      </c>
      <c r="DD20" s="17">
        <f t="shared" si="66"/>
        <v>64.247959999999992</v>
      </c>
      <c r="DE20" s="17">
        <f t="shared" si="67"/>
        <v>11664.000000000005</v>
      </c>
      <c r="DF20" s="17">
        <f t="shared" si="68"/>
        <v>-65.864835072000005</v>
      </c>
      <c r="DG20" s="17"/>
      <c r="DH20" s="17">
        <f t="shared" si="129"/>
        <v>-5257.4709696012933</v>
      </c>
      <c r="DI20" s="17">
        <f t="shared" si="130"/>
        <v>-19715.516136004851</v>
      </c>
      <c r="DJ20" s="17">
        <f t="shared" si="131"/>
        <v>-37.110174287188912</v>
      </c>
      <c r="DK20" s="17">
        <f t="shared" si="132"/>
        <v>55.347151322734128</v>
      </c>
      <c r="DL20" s="17">
        <f t="shared" si="133"/>
        <v>3376.5783249280043</v>
      </c>
      <c r="DM20" s="17">
        <f t="shared" si="134"/>
        <v>-24954.750128570602</v>
      </c>
      <c r="DN20" s="17">
        <f t="shared" si="135"/>
        <v>-21578.171803642599</v>
      </c>
    </row>
    <row r="21" spans="3:120" ht="18.600000000000001">
      <c r="C21" s="13">
        <f>'Input BOD'!C21</f>
        <v>12</v>
      </c>
      <c r="D21" s="14" t="str">
        <f>'Input BOD'!D21</f>
        <v>jcvbbvk</v>
      </c>
      <c r="E21" s="14">
        <f>'Input BOD'!E21</f>
        <v>1</v>
      </c>
      <c r="F21" s="14">
        <f>'Input BOD'!F21</f>
        <v>1</v>
      </c>
      <c r="G21" s="14">
        <f>'Input BOD'!G21</f>
        <v>2</v>
      </c>
      <c r="H21" s="14">
        <f>'Input BOD'!H21</f>
        <v>1</v>
      </c>
      <c r="I21" s="14">
        <f>'Input BOD'!I21</f>
        <v>2</v>
      </c>
      <c r="J21" s="14">
        <f>'Input BOD'!J21</f>
        <v>1.75</v>
      </c>
      <c r="K21" s="14">
        <f>'Input BOD'!K21</f>
        <v>2</v>
      </c>
      <c r="L21" s="15">
        <f>'Input BOD'!L21</f>
        <v>0.1</v>
      </c>
      <c r="M21" s="15">
        <f>'Input BOD'!M21</f>
        <v>0</v>
      </c>
      <c r="N21" s="14">
        <f>'Input BOD'!N21</f>
        <v>24</v>
      </c>
      <c r="O21" s="14">
        <f>'Input BOD'!O21</f>
        <v>50</v>
      </c>
      <c r="P21" s="13">
        <f>'Input BOD'!P21</f>
        <v>41</v>
      </c>
      <c r="Q21" s="13">
        <f>'Input BOD'!Q21</f>
        <v>85</v>
      </c>
      <c r="R21" s="13" t="str">
        <f>'Input BOD'!R21</f>
        <v>Class100K</v>
      </c>
      <c r="S21" s="13">
        <f>'Input BOD'!S21</f>
        <v>12</v>
      </c>
      <c r="T21" s="13">
        <v>0</v>
      </c>
      <c r="U21" s="13">
        <v>100</v>
      </c>
      <c r="V21" s="13" t="str">
        <f t="shared" si="9"/>
        <v>Class100K</v>
      </c>
      <c r="W21" s="13">
        <f t="shared" si="76"/>
        <v>12</v>
      </c>
      <c r="X21" s="16">
        <f t="shared" si="77"/>
        <v>10.76</v>
      </c>
      <c r="Y21" s="16">
        <f t="shared" si="78"/>
        <v>70.585599999999999</v>
      </c>
      <c r="Z21" s="16">
        <f t="shared" si="79"/>
        <v>14.11712</v>
      </c>
      <c r="AA21" s="16">
        <f t="shared" si="80"/>
        <v>1.4117120000000001</v>
      </c>
      <c r="AB21" s="16">
        <f t="shared" si="15"/>
        <v>0</v>
      </c>
      <c r="AC21" s="16">
        <f t="shared" si="81"/>
        <v>9.8307653762101654E-2</v>
      </c>
      <c r="AD21" s="16">
        <f t="shared" si="82"/>
        <v>975</v>
      </c>
      <c r="AE21" s="16">
        <f t="shared" si="83"/>
        <v>975</v>
      </c>
      <c r="AF21" s="16">
        <f t="shared" si="19"/>
        <v>0</v>
      </c>
      <c r="AG21" s="16">
        <f t="shared" si="20"/>
        <v>3.5</v>
      </c>
      <c r="AH21" s="838" t="str">
        <f>'Input BOD'!T21</f>
        <v>D</v>
      </c>
      <c r="AI21" s="17">
        <f t="shared" si="84"/>
        <v>2.5</v>
      </c>
      <c r="AJ21" s="17">
        <f t="shared" si="22"/>
        <v>3.5</v>
      </c>
      <c r="AK21" s="891"/>
      <c r="AL21" s="18"/>
      <c r="AM21" s="889"/>
      <c r="AN21" s="891"/>
      <c r="AO21" s="888"/>
      <c r="AP21" s="891"/>
      <c r="AQ21" s="891"/>
      <c r="AR21" s="889"/>
      <c r="AS21" s="888"/>
      <c r="AT21" s="888"/>
      <c r="AU21" s="890"/>
      <c r="AV21" s="888"/>
      <c r="AW21" s="888"/>
      <c r="AX21" s="888"/>
      <c r="AY21" s="887"/>
      <c r="AZ21" s="888"/>
      <c r="BA21" s="17">
        <f t="shared" si="85"/>
        <v>14.399999999999991</v>
      </c>
      <c r="BB21" s="17">
        <f t="shared" si="86"/>
        <v>30.599999999999994</v>
      </c>
      <c r="BC21" s="17">
        <f t="shared" si="87"/>
        <v>32</v>
      </c>
      <c r="BD21" s="17">
        <f t="shared" si="88"/>
        <v>85</v>
      </c>
      <c r="BE21" s="17">
        <f t="shared" si="89"/>
        <v>180.86341983910182</v>
      </c>
      <c r="BF21" s="17">
        <f t="shared" si="90"/>
        <v>24</v>
      </c>
      <c r="BG21" s="17">
        <f t="shared" si="91"/>
        <v>50</v>
      </c>
      <c r="BH21" s="17">
        <f t="shared" si="92"/>
        <v>65.062647806544774</v>
      </c>
      <c r="BI21" s="17">
        <f t="shared" si="93"/>
        <v>115.80077203255705</v>
      </c>
      <c r="BJ21" s="17">
        <f t="shared" si="94"/>
        <v>41</v>
      </c>
      <c r="BK21" s="17">
        <f t="shared" si="95"/>
        <v>85</v>
      </c>
      <c r="BL21" s="17">
        <f t="shared" si="96"/>
        <v>303.8770388845852</v>
      </c>
      <c r="BM21" s="17">
        <f t="shared" si="97"/>
        <v>24</v>
      </c>
      <c r="BN21" s="17">
        <f t="shared" si="98"/>
        <v>50</v>
      </c>
      <c r="BO21" s="17">
        <f t="shared" si="99"/>
        <v>65.062647806544774</v>
      </c>
      <c r="BP21" s="17">
        <f t="shared" si="100"/>
        <v>238.81439107804044</v>
      </c>
      <c r="BQ21" s="17">
        <f t="shared" si="101"/>
        <v>1185.3215999999998</v>
      </c>
      <c r="BR21" s="17">
        <f t="shared" si="102"/>
        <v>557.79839999999967</v>
      </c>
      <c r="BS21" s="17">
        <f t="shared" si="103"/>
        <v>69.724799999999959</v>
      </c>
      <c r="BT21" s="17">
        <f t="shared" si="104"/>
        <v>148.16519999999997</v>
      </c>
      <c r="BU21" s="17">
        <f t="shared" si="105"/>
        <v>9418.6799999999985</v>
      </c>
      <c r="BV21" s="17">
        <f t="shared" si="106"/>
        <v>6824</v>
      </c>
      <c r="BW21" s="17">
        <f t="shared" si="107"/>
        <v>64.247959999999992</v>
      </c>
      <c r="BX21" s="17">
        <f t="shared" si="108"/>
        <v>11663.999999999993</v>
      </c>
      <c r="BY21" s="17">
        <f t="shared" si="109"/>
        <v>46.654258175999999</v>
      </c>
      <c r="BZ21" s="17"/>
      <c r="CA21" s="17">
        <f t="shared" si="110"/>
        <v>32478.7571866135</v>
      </c>
      <c r="CB21" s="17">
        <f t="shared" si="111"/>
        <v>121795.33944980064</v>
      </c>
      <c r="CC21" s="17">
        <f t="shared" si="112"/>
        <v>229.25325632714262</v>
      </c>
      <c r="CD21" s="17">
        <f t="shared" si="46"/>
        <v>2063.2793069442837</v>
      </c>
      <c r="CE21" s="17">
        <f t="shared" si="47"/>
        <v>29202.90381817599</v>
      </c>
      <c r="CF21" s="17">
        <f t="shared" si="48"/>
        <v>156566.62919968559</v>
      </c>
      <c r="CG21" s="17">
        <f t="shared" si="49"/>
        <v>185769.53301786157</v>
      </c>
      <c r="CH21" s="17">
        <f t="shared" si="113"/>
        <v>14.400000000000006</v>
      </c>
      <c r="CI21" s="17">
        <f t="shared" si="114"/>
        <v>-43.2</v>
      </c>
      <c r="CJ21" s="17">
        <f t="shared" si="115"/>
        <v>16</v>
      </c>
      <c r="CK21" s="17">
        <f t="shared" si="116"/>
        <v>90</v>
      </c>
      <c r="CL21" s="17">
        <f t="shared" si="117"/>
        <v>71.46880726181422</v>
      </c>
      <c r="CM21" s="17">
        <f t="shared" si="118"/>
        <v>24</v>
      </c>
      <c r="CN21" s="17">
        <f t="shared" si="119"/>
        <v>50</v>
      </c>
      <c r="CO21" s="17">
        <f t="shared" si="120"/>
        <v>65.062647806544774</v>
      </c>
      <c r="CP21" s="17">
        <f t="shared" si="121"/>
        <v>6.4061594552694459</v>
      </c>
      <c r="CQ21" s="17">
        <f t="shared" si="122"/>
        <v>0</v>
      </c>
      <c r="CR21" s="17">
        <f t="shared" si="123"/>
        <v>100</v>
      </c>
      <c r="CS21" s="17">
        <f t="shared" si="124"/>
        <v>26.404773030064671</v>
      </c>
      <c r="CT21" s="17">
        <f t="shared" si="125"/>
        <v>24</v>
      </c>
      <c r="CU21" s="17">
        <f t="shared" si="126"/>
        <v>50</v>
      </c>
      <c r="CV21" s="17">
        <f t="shared" si="127"/>
        <v>65.062647806544774</v>
      </c>
      <c r="CW21" s="17">
        <f t="shared" si="128"/>
        <v>-38.657874776480099</v>
      </c>
      <c r="CX21" s="17">
        <f t="shared" si="8"/>
        <v>-1673.3951999999999</v>
      </c>
      <c r="CY21" s="17">
        <f t="shared" si="8"/>
        <v>-1673.3951999999999</v>
      </c>
      <c r="CZ21" s="17">
        <f t="shared" si="62"/>
        <v>69.724800000000016</v>
      </c>
      <c r="DA21" s="17">
        <f t="shared" si="63"/>
        <v>-209.17439999999999</v>
      </c>
      <c r="DB21" s="17">
        <f t="shared" si="64"/>
        <v>-13296.960000000001</v>
      </c>
      <c r="DC21" s="17">
        <f t="shared" si="65"/>
        <v>6824</v>
      </c>
      <c r="DD21" s="17">
        <f t="shared" si="66"/>
        <v>64.247959999999992</v>
      </c>
      <c r="DE21" s="17">
        <f t="shared" si="67"/>
        <v>11664.000000000005</v>
      </c>
      <c r="DF21" s="17">
        <f t="shared" si="68"/>
        <v>-65.864835072000005</v>
      </c>
      <c r="DG21" s="17"/>
      <c r="DH21" s="17">
        <f t="shared" si="129"/>
        <v>-5257.4709696012933</v>
      </c>
      <c r="DI21" s="17">
        <f t="shared" si="130"/>
        <v>-19715.516136004851</v>
      </c>
      <c r="DJ21" s="17">
        <f t="shared" si="131"/>
        <v>-37.110174287188912</v>
      </c>
      <c r="DK21" s="17">
        <f t="shared" si="132"/>
        <v>55.347151322734128</v>
      </c>
      <c r="DL21" s="17">
        <f t="shared" si="133"/>
        <v>3376.5783249280043</v>
      </c>
      <c r="DM21" s="17">
        <f t="shared" si="134"/>
        <v>-24954.750128570602</v>
      </c>
      <c r="DN21" s="17">
        <f t="shared" si="135"/>
        <v>-21578.171803642599</v>
      </c>
    </row>
    <row r="22" spans="3:120" ht="18.600000000000001">
      <c r="C22" s="13">
        <f>'Input BOD'!C22</f>
        <v>13</v>
      </c>
      <c r="D22" s="14" t="str">
        <f>'Input BOD'!D22</f>
        <v xml:space="preserve"> vbwbvb</v>
      </c>
      <c r="E22" s="14">
        <f>'Input BOD'!E22</f>
        <v>1</v>
      </c>
      <c r="F22" s="14">
        <f>'Input BOD'!F22</f>
        <v>1</v>
      </c>
      <c r="G22" s="14">
        <f>'Input BOD'!G22</f>
        <v>2</v>
      </c>
      <c r="H22" s="14">
        <f>'Input BOD'!H22</f>
        <v>1</v>
      </c>
      <c r="I22" s="14">
        <f>'Input BOD'!I22</f>
        <v>2</v>
      </c>
      <c r="J22" s="14">
        <f>'Input BOD'!J22</f>
        <v>1.75</v>
      </c>
      <c r="K22" s="14">
        <f>'Input BOD'!K22</f>
        <v>2</v>
      </c>
      <c r="L22" s="15">
        <f>'Input BOD'!L22</f>
        <v>0.1</v>
      </c>
      <c r="M22" s="15">
        <f>'Input BOD'!M22</f>
        <v>0</v>
      </c>
      <c r="N22" s="14">
        <f>'Input BOD'!N22</f>
        <v>24</v>
      </c>
      <c r="O22" s="14">
        <f>'Input BOD'!O22</f>
        <v>50</v>
      </c>
      <c r="P22" s="13">
        <f>'Input BOD'!P22</f>
        <v>41</v>
      </c>
      <c r="Q22" s="13">
        <f>'Input BOD'!Q22</f>
        <v>85</v>
      </c>
      <c r="R22" s="13" t="str">
        <f>'Input BOD'!R22</f>
        <v>Class100K</v>
      </c>
      <c r="S22" s="13">
        <f>'Input BOD'!S22</f>
        <v>12</v>
      </c>
      <c r="T22" s="13">
        <v>0</v>
      </c>
      <c r="U22" s="13">
        <v>100</v>
      </c>
      <c r="V22" s="13" t="str">
        <f t="shared" si="9"/>
        <v>Class100K</v>
      </c>
      <c r="W22" s="13">
        <f t="shared" si="76"/>
        <v>12</v>
      </c>
      <c r="X22" s="16">
        <f t="shared" si="77"/>
        <v>10.76</v>
      </c>
      <c r="Y22" s="16">
        <f t="shared" si="78"/>
        <v>70.585599999999999</v>
      </c>
      <c r="Z22" s="16">
        <f t="shared" si="79"/>
        <v>14.11712</v>
      </c>
      <c r="AA22" s="16">
        <f t="shared" si="80"/>
        <v>1.4117120000000001</v>
      </c>
      <c r="AB22" s="16">
        <f t="shared" si="15"/>
        <v>0</v>
      </c>
      <c r="AC22" s="16">
        <f t="shared" si="81"/>
        <v>9.8307653762101654E-2</v>
      </c>
      <c r="AD22" s="16">
        <f t="shared" si="82"/>
        <v>975</v>
      </c>
      <c r="AE22" s="16">
        <f t="shared" si="83"/>
        <v>975</v>
      </c>
      <c r="AF22" s="16">
        <f t="shared" si="19"/>
        <v>0</v>
      </c>
      <c r="AG22" s="16">
        <f t="shared" si="20"/>
        <v>3.5</v>
      </c>
      <c r="AH22" s="838" t="str">
        <f>'Input BOD'!T22</f>
        <v>D</v>
      </c>
      <c r="AI22" s="17">
        <f t="shared" si="84"/>
        <v>2.5</v>
      </c>
      <c r="AJ22" s="17">
        <f t="shared" si="22"/>
        <v>3.5</v>
      </c>
      <c r="AK22" s="891"/>
      <c r="AL22" s="18"/>
      <c r="AM22" s="889"/>
      <c r="AN22" s="891"/>
      <c r="AO22" s="888"/>
      <c r="AP22" s="891"/>
      <c r="AQ22" s="891"/>
      <c r="AR22" s="889"/>
      <c r="AS22" s="888"/>
      <c r="AT22" s="888"/>
      <c r="AU22" s="890"/>
      <c r="AV22" s="888"/>
      <c r="AW22" s="888"/>
      <c r="AX22" s="888"/>
      <c r="AY22" s="887"/>
      <c r="AZ22" s="888"/>
      <c r="BA22" s="17">
        <f t="shared" si="85"/>
        <v>14.399999999999991</v>
      </c>
      <c r="BB22" s="17">
        <f t="shared" si="86"/>
        <v>30.599999999999994</v>
      </c>
      <c r="BC22" s="17">
        <f t="shared" si="87"/>
        <v>32</v>
      </c>
      <c r="BD22" s="17">
        <f t="shared" si="88"/>
        <v>85</v>
      </c>
      <c r="BE22" s="17">
        <f t="shared" si="89"/>
        <v>180.86341983910182</v>
      </c>
      <c r="BF22" s="17">
        <f t="shared" si="90"/>
        <v>24</v>
      </c>
      <c r="BG22" s="17">
        <f t="shared" si="91"/>
        <v>50</v>
      </c>
      <c r="BH22" s="17">
        <f t="shared" si="92"/>
        <v>65.062647806544774</v>
      </c>
      <c r="BI22" s="17">
        <f t="shared" si="93"/>
        <v>115.80077203255705</v>
      </c>
      <c r="BJ22" s="17">
        <f t="shared" si="94"/>
        <v>41</v>
      </c>
      <c r="BK22" s="17">
        <f t="shared" si="95"/>
        <v>85</v>
      </c>
      <c r="BL22" s="17">
        <f t="shared" si="96"/>
        <v>303.8770388845852</v>
      </c>
      <c r="BM22" s="17">
        <f t="shared" si="97"/>
        <v>24</v>
      </c>
      <c r="BN22" s="17">
        <f t="shared" si="98"/>
        <v>50</v>
      </c>
      <c r="BO22" s="17">
        <f t="shared" si="99"/>
        <v>65.062647806544774</v>
      </c>
      <c r="BP22" s="17">
        <f t="shared" si="100"/>
        <v>238.81439107804044</v>
      </c>
      <c r="BQ22" s="17">
        <f t="shared" si="101"/>
        <v>1185.3215999999998</v>
      </c>
      <c r="BR22" s="17">
        <f t="shared" si="102"/>
        <v>557.79839999999967</v>
      </c>
      <c r="BS22" s="17">
        <f t="shared" si="103"/>
        <v>69.724799999999959</v>
      </c>
      <c r="BT22" s="17">
        <f t="shared" si="104"/>
        <v>148.16519999999997</v>
      </c>
      <c r="BU22" s="17">
        <f t="shared" si="105"/>
        <v>9418.6799999999985</v>
      </c>
      <c r="BV22" s="17">
        <f t="shared" si="106"/>
        <v>6824</v>
      </c>
      <c r="BW22" s="17">
        <f t="shared" si="107"/>
        <v>64.247959999999992</v>
      </c>
      <c r="BX22" s="17">
        <f t="shared" si="108"/>
        <v>11663.999999999993</v>
      </c>
      <c r="BY22" s="17">
        <f t="shared" si="109"/>
        <v>46.654258175999999</v>
      </c>
      <c r="BZ22" s="17"/>
      <c r="CA22" s="17">
        <f t="shared" si="110"/>
        <v>32478.7571866135</v>
      </c>
      <c r="CB22" s="17">
        <f t="shared" si="111"/>
        <v>121795.33944980064</v>
      </c>
      <c r="CC22" s="17">
        <f t="shared" si="112"/>
        <v>229.25325632714262</v>
      </c>
      <c r="CD22" s="17">
        <f t="shared" si="46"/>
        <v>2063.2793069442837</v>
      </c>
      <c r="CE22" s="17">
        <f t="shared" si="47"/>
        <v>29202.90381817599</v>
      </c>
      <c r="CF22" s="17">
        <f t="shared" si="48"/>
        <v>156566.62919968559</v>
      </c>
      <c r="CG22" s="17">
        <f t="shared" si="49"/>
        <v>185769.53301786157</v>
      </c>
      <c r="CH22" s="17">
        <f t="shared" si="113"/>
        <v>14.400000000000006</v>
      </c>
      <c r="CI22" s="17">
        <f t="shared" si="114"/>
        <v>-43.2</v>
      </c>
      <c r="CJ22" s="17">
        <f t="shared" si="115"/>
        <v>16</v>
      </c>
      <c r="CK22" s="17">
        <f t="shared" si="116"/>
        <v>90</v>
      </c>
      <c r="CL22" s="17">
        <f t="shared" si="117"/>
        <v>71.46880726181422</v>
      </c>
      <c r="CM22" s="17">
        <f t="shared" si="118"/>
        <v>24</v>
      </c>
      <c r="CN22" s="17">
        <f t="shared" si="119"/>
        <v>50</v>
      </c>
      <c r="CO22" s="17">
        <f t="shared" si="120"/>
        <v>65.062647806544774</v>
      </c>
      <c r="CP22" s="17">
        <f t="shared" si="121"/>
        <v>6.4061594552694459</v>
      </c>
      <c r="CQ22" s="17">
        <f t="shared" si="122"/>
        <v>0</v>
      </c>
      <c r="CR22" s="17">
        <f t="shared" si="123"/>
        <v>100</v>
      </c>
      <c r="CS22" s="17">
        <f t="shared" si="124"/>
        <v>26.404773030064671</v>
      </c>
      <c r="CT22" s="17">
        <f t="shared" si="125"/>
        <v>24</v>
      </c>
      <c r="CU22" s="17">
        <f t="shared" si="126"/>
        <v>50</v>
      </c>
      <c r="CV22" s="17">
        <f t="shared" si="127"/>
        <v>65.062647806544774</v>
      </c>
      <c r="CW22" s="17">
        <f t="shared" si="128"/>
        <v>-38.657874776480099</v>
      </c>
      <c r="CX22" s="17">
        <f t="shared" si="8"/>
        <v>-1673.3951999999999</v>
      </c>
      <c r="CY22" s="17">
        <f t="shared" si="8"/>
        <v>-1673.3951999999999</v>
      </c>
      <c r="CZ22" s="17">
        <f t="shared" si="62"/>
        <v>69.724800000000016</v>
      </c>
      <c r="DA22" s="17">
        <f t="shared" si="63"/>
        <v>-209.17439999999999</v>
      </c>
      <c r="DB22" s="17">
        <f t="shared" si="64"/>
        <v>-13296.960000000001</v>
      </c>
      <c r="DC22" s="17">
        <f t="shared" si="65"/>
        <v>6824</v>
      </c>
      <c r="DD22" s="17">
        <f t="shared" si="66"/>
        <v>64.247959999999992</v>
      </c>
      <c r="DE22" s="17">
        <f t="shared" si="67"/>
        <v>11664.000000000005</v>
      </c>
      <c r="DF22" s="17">
        <f t="shared" si="68"/>
        <v>-65.864835072000005</v>
      </c>
      <c r="DG22" s="17"/>
      <c r="DH22" s="17">
        <f t="shared" si="129"/>
        <v>-5257.4709696012933</v>
      </c>
      <c r="DI22" s="17">
        <f t="shared" si="130"/>
        <v>-19715.516136004851</v>
      </c>
      <c r="DJ22" s="17">
        <f t="shared" si="131"/>
        <v>-37.110174287188912</v>
      </c>
      <c r="DK22" s="17">
        <f t="shared" si="132"/>
        <v>55.347151322734128</v>
      </c>
      <c r="DL22" s="17">
        <f t="shared" si="133"/>
        <v>3376.5783249280043</v>
      </c>
      <c r="DM22" s="17">
        <f t="shared" si="134"/>
        <v>-24954.750128570602</v>
      </c>
      <c r="DN22" s="17">
        <f t="shared" si="135"/>
        <v>-21578.171803642599</v>
      </c>
    </row>
    <row r="23" spans="3:120" ht="18.600000000000001">
      <c r="C23" s="13">
        <f>'Input BOD'!C23</f>
        <v>14</v>
      </c>
      <c r="D23" s="14" t="str">
        <f>'Input BOD'!D23</f>
        <v xml:space="preserve"> b cjvjvve</v>
      </c>
      <c r="E23" s="14">
        <f>'Input BOD'!E23</f>
        <v>1</v>
      </c>
      <c r="F23" s="14">
        <f>'Input BOD'!F23</f>
        <v>1</v>
      </c>
      <c r="G23" s="14">
        <f>'Input BOD'!G23</f>
        <v>2</v>
      </c>
      <c r="H23" s="14">
        <f>'Input BOD'!H23</f>
        <v>1</v>
      </c>
      <c r="I23" s="14">
        <f>'Input BOD'!I23</f>
        <v>2</v>
      </c>
      <c r="J23" s="14">
        <f>'Input BOD'!J23</f>
        <v>1.75</v>
      </c>
      <c r="K23" s="14">
        <f>'Input BOD'!K23</f>
        <v>2</v>
      </c>
      <c r="L23" s="15">
        <f>'Input BOD'!L23</f>
        <v>0.1</v>
      </c>
      <c r="M23" s="15">
        <f>'Input BOD'!M23</f>
        <v>0</v>
      </c>
      <c r="N23" s="14">
        <f>'Input BOD'!N23</f>
        <v>24</v>
      </c>
      <c r="O23" s="14">
        <f>'Input BOD'!O23</f>
        <v>50</v>
      </c>
      <c r="P23" s="13">
        <f>'Input BOD'!P23</f>
        <v>41</v>
      </c>
      <c r="Q23" s="13">
        <f>'Input BOD'!Q23</f>
        <v>85</v>
      </c>
      <c r="R23" s="13" t="str">
        <f>'Input BOD'!R23</f>
        <v>Class100K</v>
      </c>
      <c r="S23" s="13">
        <f>'Input BOD'!S23</f>
        <v>12</v>
      </c>
      <c r="T23" s="13">
        <v>0</v>
      </c>
      <c r="U23" s="13">
        <v>100</v>
      </c>
      <c r="V23" s="13" t="str">
        <f t="shared" si="9"/>
        <v>Class100K</v>
      </c>
      <c r="W23" s="13">
        <f t="shared" si="76"/>
        <v>12</v>
      </c>
      <c r="X23" s="16">
        <f t="shared" si="77"/>
        <v>10.76</v>
      </c>
      <c r="Y23" s="16">
        <f t="shared" si="78"/>
        <v>70.585599999999999</v>
      </c>
      <c r="Z23" s="16">
        <f t="shared" si="79"/>
        <v>14.11712</v>
      </c>
      <c r="AA23" s="16">
        <f t="shared" si="80"/>
        <v>1.4117120000000001</v>
      </c>
      <c r="AB23" s="16">
        <f t="shared" si="15"/>
        <v>0</v>
      </c>
      <c r="AC23" s="16">
        <f t="shared" si="81"/>
        <v>9.8307653762101654E-2</v>
      </c>
      <c r="AD23" s="16">
        <f t="shared" si="82"/>
        <v>975</v>
      </c>
      <c r="AE23" s="16">
        <f t="shared" si="83"/>
        <v>975</v>
      </c>
      <c r="AF23" s="16">
        <f t="shared" si="19"/>
        <v>0</v>
      </c>
      <c r="AG23" s="16">
        <f t="shared" si="20"/>
        <v>3.5</v>
      </c>
      <c r="AH23" s="838" t="str">
        <f>'Input BOD'!T23</f>
        <v>D</v>
      </c>
      <c r="AI23" s="17">
        <f t="shared" si="84"/>
        <v>2.5</v>
      </c>
      <c r="AJ23" s="17">
        <f t="shared" si="22"/>
        <v>3.5</v>
      </c>
      <c r="AK23" s="891"/>
      <c r="AL23" s="18"/>
      <c r="AM23" s="889"/>
      <c r="AN23" s="891"/>
      <c r="AO23" s="888"/>
      <c r="AP23" s="891"/>
      <c r="AQ23" s="891"/>
      <c r="AR23" s="889"/>
      <c r="AS23" s="888"/>
      <c r="AT23" s="888"/>
      <c r="AU23" s="890"/>
      <c r="AV23" s="888"/>
      <c r="AW23" s="888"/>
      <c r="AX23" s="888"/>
      <c r="AY23" s="887"/>
      <c r="AZ23" s="888"/>
      <c r="BA23" s="17">
        <f t="shared" si="85"/>
        <v>14.399999999999991</v>
      </c>
      <c r="BB23" s="17">
        <f t="shared" si="86"/>
        <v>30.599999999999994</v>
      </c>
      <c r="BC23" s="17">
        <f t="shared" si="87"/>
        <v>32</v>
      </c>
      <c r="BD23" s="17">
        <f t="shared" si="88"/>
        <v>85</v>
      </c>
      <c r="BE23" s="17">
        <f t="shared" si="89"/>
        <v>180.86341983910182</v>
      </c>
      <c r="BF23" s="17">
        <f t="shared" si="90"/>
        <v>24</v>
      </c>
      <c r="BG23" s="17">
        <f t="shared" si="91"/>
        <v>50</v>
      </c>
      <c r="BH23" s="17">
        <f t="shared" si="92"/>
        <v>65.062647806544774</v>
      </c>
      <c r="BI23" s="17">
        <f t="shared" si="93"/>
        <v>115.80077203255705</v>
      </c>
      <c r="BJ23" s="17">
        <f t="shared" si="94"/>
        <v>41</v>
      </c>
      <c r="BK23" s="17">
        <f t="shared" si="95"/>
        <v>85</v>
      </c>
      <c r="BL23" s="17">
        <f t="shared" si="96"/>
        <v>303.8770388845852</v>
      </c>
      <c r="BM23" s="17">
        <f t="shared" si="97"/>
        <v>24</v>
      </c>
      <c r="BN23" s="17">
        <f t="shared" si="98"/>
        <v>50</v>
      </c>
      <c r="BO23" s="17">
        <f t="shared" si="99"/>
        <v>65.062647806544774</v>
      </c>
      <c r="BP23" s="17">
        <f t="shared" si="100"/>
        <v>238.81439107804044</v>
      </c>
      <c r="BQ23" s="17">
        <f t="shared" si="101"/>
        <v>1185.3215999999998</v>
      </c>
      <c r="BR23" s="17">
        <f t="shared" si="102"/>
        <v>557.79839999999967</v>
      </c>
      <c r="BS23" s="17">
        <f t="shared" si="103"/>
        <v>69.724799999999959</v>
      </c>
      <c r="BT23" s="17">
        <f t="shared" si="104"/>
        <v>148.16519999999997</v>
      </c>
      <c r="BU23" s="17">
        <f t="shared" si="105"/>
        <v>9418.6799999999985</v>
      </c>
      <c r="BV23" s="17">
        <f t="shared" si="106"/>
        <v>6824</v>
      </c>
      <c r="BW23" s="17">
        <f t="shared" si="107"/>
        <v>64.247959999999992</v>
      </c>
      <c r="BX23" s="17">
        <f t="shared" si="108"/>
        <v>11663.999999999993</v>
      </c>
      <c r="BY23" s="17">
        <f t="shared" si="109"/>
        <v>46.654258175999999</v>
      </c>
      <c r="BZ23" s="17"/>
      <c r="CA23" s="17">
        <f t="shared" si="110"/>
        <v>32478.7571866135</v>
      </c>
      <c r="CB23" s="17">
        <f t="shared" si="111"/>
        <v>121795.33944980064</v>
      </c>
      <c r="CC23" s="17">
        <f t="shared" si="112"/>
        <v>229.25325632714262</v>
      </c>
      <c r="CD23" s="17">
        <f t="shared" si="46"/>
        <v>2063.2793069442837</v>
      </c>
      <c r="CE23" s="17">
        <f t="shared" si="47"/>
        <v>29202.90381817599</v>
      </c>
      <c r="CF23" s="17">
        <f t="shared" si="48"/>
        <v>156566.62919968559</v>
      </c>
      <c r="CG23" s="17">
        <f t="shared" si="49"/>
        <v>185769.53301786157</v>
      </c>
      <c r="CH23" s="17">
        <f t="shared" si="113"/>
        <v>14.400000000000006</v>
      </c>
      <c r="CI23" s="17">
        <f t="shared" si="114"/>
        <v>-43.2</v>
      </c>
      <c r="CJ23" s="17">
        <f t="shared" si="115"/>
        <v>16</v>
      </c>
      <c r="CK23" s="17">
        <f t="shared" si="116"/>
        <v>90</v>
      </c>
      <c r="CL23" s="17">
        <f t="shared" si="117"/>
        <v>71.46880726181422</v>
      </c>
      <c r="CM23" s="17">
        <f t="shared" si="118"/>
        <v>24</v>
      </c>
      <c r="CN23" s="17">
        <f t="shared" si="119"/>
        <v>50</v>
      </c>
      <c r="CO23" s="17">
        <f t="shared" si="120"/>
        <v>65.062647806544774</v>
      </c>
      <c r="CP23" s="17">
        <f t="shared" si="121"/>
        <v>6.4061594552694459</v>
      </c>
      <c r="CQ23" s="17">
        <f t="shared" si="122"/>
        <v>0</v>
      </c>
      <c r="CR23" s="17">
        <f t="shared" si="123"/>
        <v>100</v>
      </c>
      <c r="CS23" s="17">
        <f t="shared" si="124"/>
        <v>26.404773030064671</v>
      </c>
      <c r="CT23" s="17">
        <f t="shared" si="125"/>
        <v>24</v>
      </c>
      <c r="CU23" s="17">
        <f t="shared" si="126"/>
        <v>50</v>
      </c>
      <c r="CV23" s="17">
        <f t="shared" si="127"/>
        <v>65.062647806544774</v>
      </c>
      <c r="CW23" s="17">
        <f t="shared" si="128"/>
        <v>-38.657874776480099</v>
      </c>
      <c r="CX23" s="17">
        <f t="shared" si="8"/>
        <v>-1673.3951999999999</v>
      </c>
      <c r="CY23" s="17">
        <f t="shared" si="8"/>
        <v>-1673.3951999999999</v>
      </c>
      <c r="CZ23" s="17">
        <f t="shared" si="62"/>
        <v>69.724800000000016</v>
      </c>
      <c r="DA23" s="17">
        <f t="shared" si="63"/>
        <v>-209.17439999999999</v>
      </c>
      <c r="DB23" s="17">
        <f t="shared" si="64"/>
        <v>-13296.960000000001</v>
      </c>
      <c r="DC23" s="17">
        <f t="shared" si="65"/>
        <v>6824</v>
      </c>
      <c r="DD23" s="17">
        <f t="shared" si="66"/>
        <v>64.247959999999992</v>
      </c>
      <c r="DE23" s="17">
        <f t="shared" si="67"/>
        <v>11664.000000000005</v>
      </c>
      <c r="DF23" s="17">
        <f t="shared" si="68"/>
        <v>-65.864835072000005</v>
      </c>
      <c r="DG23" s="17"/>
      <c r="DH23" s="17">
        <f t="shared" si="129"/>
        <v>-5257.4709696012933</v>
      </c>
      <c r="DI23" s="17">
        <f t="shared" si="130"/>
        <v>-19715.516136004851</v>
      </c>
      <c r="DJ23" s="17">
        <f t="shared" si="131"/>
        <v>-37.110174287188912</v>
      </c>
      <c r="DK23" s="17">
        <f t="shared" si="132"/>
        <v>55.347151322734128</v>
      </c>
      <c r="DL23" s="17">
        <f t="shared" si="133"/>
        <v>3376.5783249280043</v>
      </c>
      <c r="DM23" s="17">
        <f t="shared" si="134"/>
        <v>-24954.750128570602</v>
      </c>
      <c r="DN23" s="17">
        <f t="shared" si="135"/>
        <v>-21578.171803642599</v>
      </c>
    </row>
    <row r="24" spans="3:120" ht="18.600000000000001">
      <c r="C24" s="13">
        <f>'Input BOD'!C24</f>
        <v>15</v>
      </c>
      <c r="D24" s="14" t="str">
        <f>'Input BOD'!D24</f>
        <v>ifhiuhfigi</v>
      </c>
      <c r="E24" s="14">
        <f>'Input BOD'!E24</f>
        <v>1</v>
      </c>
      <c r="F24" s="14">
        <f>'Input BOD'!F24</f>
        <v>1</v>
      </c>
      <c r="G24" s="14">
        <f>'Input BOD'!G24</f>
        <v>2</v>
      </c>
      <c r="H24" s="14">
        <f>'Input BOD'!H24</f>
        <v>1</v>
      </c>
      <c r="I24" s="14">
        <f>'Input BOD'!I24</f>
        <v>2</v>
      </c>
      <c r="J24" s="14">
        <f>'Input BOD'!J24</f>
        <v>1.75</v>
      </c>
      <c r="K24" s="14">
        <f>'Input BOD'!K24</f>
        <v>2</v>
      </c>
      <c r="L24" s="15">
        <f>'Input BOD'!L24</f>
        <v>0.1</v>
      </c>
      <c r="M24" s="15">
        <f>'Input BOD'!M24</f>
        <v>0</v>
      </c>
      <c r="N24" s="14">
        <f>'Input BOD'!N24</f>
        <v>24</v>
      </c>
      <c r="O24" s="14">
        <f>'Input BOD'!O24</f>
        <v>50</v>
      </c>
      <c r="P24" s="13">
        <f>'Input BOD'!P24</f>
        <v>41</v>
      </c>
      <c r="Q24" s="13">
        <f>'Input BOD'!Q24</f>
        <v>85</v>
      </c>
      <c r="R24" s="13" t="str">
        <f>'Input BOD'!R24</f>
        <v>Class100K</v>
      </c>
      <c r="S24" s="13">
        <f>'Input BOD'!S24</f>
        <v>12</v>
      </c>
      <c r="T24" s="13">
        <v>0</v>
      </c>
      <c r="U24" s="13">
        <v>100</v>
      </c>
      <c r="V24" s="13" t="str">
        <f t="shared" si="9"/>
        <v>Class100K</v>
      </c>
      <c r="W24" s="13">
        <f t="shared" si="76"/>
        <v>12</v>
      </c>
      <c r="X24" s="16">
        <f t="shared" si="77"/>
        <v>10.76</v>
      </c>
      <c r="Y24" s="16">
        <f t="shared" si="78"/>
        <v>70.585599999999999</v>
      </c>
      <c r="Z24" s="16">
        <f t="shared" si="79"/>
        <v>14.11712</v>
      </c>
      <c r="AA24" s="16">
        <f t="shared" si="80"/>
        <v>1.4117120000000001</v>
      </c>
      <c r="AB24" s="16">
        <f t="shared" si="15"/>
        <v>0</v>
      </c>
      <c r="AC24" s="16">
        <f t="shared" si="81"/>
        <v>9.8307653762101654E-2</v>
      </c>
      <c r="AD24" s="16">
        <f t="shared" si="82"/>
        <v>975</v>
      </c>
      <c r="AE24" s="16">
        <f t="shared" si="83"/>
        <v>975</v>
      </c>
      <c r="AF24" s="16">
        <f t="shared" si="19"/>
        <v>0</v>
      </c>
      <c r="AG24" s="16">
        <f t="shared" si="20"/>
        <v>3.5</v>
      </c>
      <c r="AH24" s="838" t="str">
        <f>'Input BOD'!T24</f>
        <v>D</v>
      </c>
      <c r="AI24" s="17">
        <f t="shared" si="84"/>
        <v>2.5</v>
      </c>
      <c r="AJ24" s="17">
        <f t="shared" si="22"/>
        <v>3.5</v>
      </c>
      <c r="AK24" s="891"/>
      <c r="AL24" s="18"/>
      <c r="AM24" s="889"/>
      <c r="AN24" s="891"/>
      <c r="AO24" s="888"/>
      <c r="AP24" s="891"/>
      <c r="AQ24" s="891"/>
      <c r="AR24" s="889"/>
      <c r="AS24" s="888"/>
      <c r="AT24" s="888"/>
      <c r="AU24" s="890"/>
      <c r="AV24" s="888"/>
      <c r="AW24" s="888"/>
      <c r="AX24" s="888"/>
      <c r="AY24" s="887"/>
      <c r="AZ24" s="888"/>
      <c r="BA24" s="17">
        <f t="shared" si="85"/>
        <v>14.399999999999991</v>
      </c>
      <c r="BB24" s="17">
        <f t="shared" si="86"/>
        <v>30.599999999999994</v>
      </c>
      <c r="BC24" s="17">
        <f t="shared" si="87"/>
        <v>32</v>
      </c>
      <c r="BD24" s="17">
        <f t="shared" si="88"/>
        <v>85</v>
      </c>
      <c r="BE24" s="17">
        <f t="shared" si="89"/>
        <v>180.86341983910182</v>
      </c>
      <c r="BF24" s="17">
        <f t="shared" si="90"/>
        <v>24</v>
      </c>
      <c r="BG24" s="17">
        <f t="shared" si="91"/>
        <v>50</v>
      </c>
      <c r="BH24" s="17">
        <f t="shared" si="92"/>
        <v>65.062647806544774</v>
      </c>
      <c r="BI24" s="17">
        <f t="shared" si="93"/>
        <v>115.80077203255705</v>
      </c>
      <c r="BJ24" s="17">
        <f t="shared" si="94"/>
        <v>41</v>
      </c>
      <c r="BK24" s="17">
        <f t="shared" si="95"/>
        <v>85</v>
      </c>
      <c r="BL24" s="17">
        <f t="shared" si="96"/>
        <v>303.8770388845852</v>
      </c>
      <c r="BM24" s="17">
        <f t="shared" si="97"/>
        <v>24</v>
      </c>
      <c r="BN24" s="17">
        <f t="shared" si="98"/>
        <v>50</v>
      </c>
      <c r="BO24" s="17">
        <f t="shared" si="99"/>
        <v>65.062647806544774</v>
      </c>
      <c r="BP24" s="17">
        <f t="shared" si="100"/>
        <v>238.81439107804044</v>
      </c>
      <c r="BQ24" s="17">
        <f t="shared" si="101"/>
        <v>1185.3215999999998</v>
      </c>
      <c r="BR24" s="17">
        <f t="shared" si="102"/>
        <v>557.79839999999967</v>
      </c>
      <c r="BS24" s="17">
        <f t="shared" si="103"/>
        <v>69.724799999999959</v>
      </c>
      <c r="BT24" s="17">
        <f t="shared" si="104"/>
        <v>148.16519999999997</v>
      </c>
      <c r="BU24" s="17">
        <f t="shared" si="105"/>
        <v>9418.6799999999985</v>
      </c>
      <c r="BV24" s="17">
        <f t="shared" si="106"/>
        <v>6824</v>
      </c>
      <c r="BW24" s="17">
        <f t="shared" si="107"/>
        <v>64.247959999999992</v>
      </c>
      <c r="BX24" s="17">
        <f t="shared" si="108"/>
        <v>11663.999999999993</v>
      </c>
      <c r="BY24" s="17">
        <f t="shared" si="109"/>
        <v>46.654258175999999</v>
      </c>
      <c r="BZ24" s="17"/>
      <c r="CA24" s="17">
        <f t="shared" si="110"/>
        <v>32478.7571866135</v>
      </c>
      <c r="CB24" s="17">
        <f t="shared" si="111"/>
        <v>121795.33944980064</v>
      </c>
      <c r="CC24" s="17">
        <f t="shared" si="112"/>
        <v>229.25325632714262</v>
      </c>
      <c r="CD24" s="17">
        <f t="shared" si="46"/>
        <v>2063.2793069442837</v>
      </c>
      <c r="CE24" s="17">
        <f t="shared" si="47"/>
        <v>29202.90381817599</v>
      </c>
      <c r="CF24" s="17">
        <f t="shared" si="48"/>
        <v>156566.62919968559</v>
      </c>
      <c r="CG24" s="17">
        <f t="shared" si="49"/>
        <v>185769.53301786157</v>
      </c>
      <c r="CH24" s="17">
        <f t="shared" si="113"/>
        <v>14.400000000000006</v>
      </c>
      <c r="CI24" s="17">
        <f t="shared" si="114"/>
        <v>-43.2</v>
      </c>
      <c r="CJ24" s="17">
        <f t="shared" si="115"/>
        <v>16</v>
      </c>
      <c r="CK24" s="17">
        <f t="shared" si="116"/>
        <v>90</v>
      </c>
      <c r="CL24" s="17">
        <f t="shared" si="117"/>
        <v>71.46880726181422</v>
      </c>
      <c r="CM24" s="17">
        <f t="shared" si="118"/>
        <v>24</v>
      </c>
      <c r="CN24" s="17">
        <f t="shared" si="119"/>
        <v>50</v>
      </c>
      <c r="CO24" s="17">
        <f t="shared" si="120"/>
        <v>65.062647806544774</v>
      </c>
      <c r="CP24" s="17">
        <f t="shared" si="121"/>
        <v>6.4061594552694459</v>
      </c>
      <c r="CQ24" s="17">
        <f t="shared" si="122"/>
        <v>0</v>
      </c>
      <c r="CR24" s="17">
        <f t="shared" si="123"/>
        <v>100</v>
      </c>
      <c r="CS24" s="17">
        <f t="shared" si="124"/>
        <v>26.404773030064671</v>
      </c>
      <c r="CT24" s="17">
        <f t="shared" si="125"/>
        <v>24</v>
      </c>
      <c r="CU24" s="17">
        <f t="shared" si="126"/>
        <v>50</v>
      </c>
      <c r="CV24" s="17">
        <f t="shared" si="127"/>
        <v>65.062647806544774</v>
      </c>
      <c r="CW24" s="17">
        <f t="shared" si="128"/>
        <v>-38.657874776480099</v>
      </c>
      <c r="CX24" s="17">
        <f t="shared" si="8"/>
        <v>-1673.3951999999999</v>
      </c>
      <c r="CY24" s="17">
        <f t="shared" si="8"/>
        <v>-1673.3951999999999</v>
      </c>
      <c r="CZ24" s="17">
        <f t="shared" si="62"/>
        <v>69.724800000000016</v>
      </c>
      <c r="DA24" s="17">
        <f t="shared" si="63"/>
        <v>-209.17439999999999</v>
      </c>
      <c r="DB24" s="17">
        <f t="shared" si="64"/>
        <v>-13296.960000000001</v>
      </c>
      <c r="DC24" s="17">
        <f t="shared" si="65"/>
        <v>6824</v>
      </c>
      <c r="DD24" s="17">
        <f t="shared" si="66"/>
        <v>64.247959999999992</v>
      </c>
      <c r="DE24" s="17">
        <f t="shared" si="67"/>
        <v>11664.000000000005</v>
      </c>
      <c r="DF24" s="17">
        <f t="shared" si="68"/>
        <v>-65.864835072000005</v>
      </c>
      <c r="DG24" s="17"/>
      <c r="DH24" s="17">
        <f t="shared" si="129"/>
        <v>-5257.4709696012933</v>
      </c>
      <c r="DI24" s="17">
        <f t="shared" si="130"/>
        <v>-19715.516136004851</v>
      </c>
      <c r="DJ24" s="17">
        <f t="shared" si="131"/>
        <v>-37.110174287188912</v>
      </c>
      <c r="DK24" s="17">
        <f t="shared" si="132"/>
        <v>55.347151322734128</v>
      </c>
      <c r="DL24" s="17">
        <f t="shared" si="133"/>
        <v>3376.5783249280043</v>
      </c>
      <c r="DM24" s="17">
        <f t="shared" si="134"/>
        <v>-24954.750128570602</v>
      </c>
      <c r="DN24" s="17">
        <f t="shared" si="135"/>
        <v>-21578.171803642599</v>
      </c>
    </row>
    <row r="25" spans="3:120" ht="18.600000000000001">
      <c r="C25" s="13">
        <f>'Input BOD'!C25</f>
        <v>16</v>
      </c>
      <c r="D25" s="14" t="str">
        <f>'Input BOD'!D25</f>
        <v>hbhwbfb</v>
      </c>
      <c r="E25" s="14">
        <f>'Input BOD'!E25</f>
        <v>1</v>
      </c>
      <c r="F25" s="14">
        <f>'Input BOD'!F25</f>
        <v>1</v>
      </c>
      <c r="G25" s="14">
        <f>'Input BOD'!G25</f>
        <v>2</v>
      </c>
      <c r="H25" s="14">
        <f>'Input BOD'!H25</f>
        <v>1</v>
      </c>
      <c r="I25" s="14">
        <f>'Input BOD'!I25</f>
        <v>2</v>
      </c>
      <c r="J25" s="14">
        <f>'Input BOD'!J25</f>
        <v>1.75</v>
      </c>
      <c r="K25" s="14">
        <f>'Input BOD'!K25</f>
        <v>2</v>
      </c>
      <c r="L25" s="15">
        <f>'Input BOD'!L25</f>
        <v>0.1</v>
      </c>
      <c r="M25" s="15">
        <f>'Input BOD'!M25</f>
        <v>0</v>
      </c>
      <c r="N25" s="14">
        <f>'Input BOD'!N25</f>
        <v>24</v>
      </c>
      <c r="O25" s="14">
        <f>'Input BOD'!O25</f>
        <v>50</v>
      </c>
      <c r="P25" s="13">
        <f>'Input BOD'!P25</f>
        <v>41</v>
      </c>
      <c r="Q25" s="13">
        <f>'Input BOD'!Q25</f>
        <v>85</v>
      </c>
      <c r="R25" s="13" t="str">
        <f>'Input BOD'!R25</f>
        <v>Class100K</v>
      </c>
      <c r="S25" s="13">
        <f>'Input BOD'!S25</f>
        <v>12</v>
      </c>
      <c r="T25" s="13">
        <v>0</v>
      </c>
      <c r="U25" s="13">
        <v>100</v>
      </c>
      <c r="V25" s="13" t="str">
        <f t="shared" si="9"/>
        <v>Class100K</v>
      </c>
      <c r="W25" s="13">
        <f t="shared" si="76"/>
        <v>12</v>
      </c>
      <c r="X25" s="16">
        <f t="shared" si="77"/>
        <v>10.76</v>
      </c>
      <c r="Y25" s="16">
        <f t="shared" si="78"/>
        <v>70.585599999999999</v>
      </c>
      <c r="Z25" s="16">
        <f t="shared" si="79"/>
        <v>14.11712</v>
      </c>
      <c r="AA25" s="16">
        <f t="shared" si="80"/>
        <v>1.4117120000000001</v>
      </c>
      <c r="AB25" s="16">
        <f t="shared" si="15"/>
        <v>0</v>
      </c>
      <c r="AC25" s="16">
        <f t="shared" si="81"/>
        <v>9.8307653762101654E-2</v>
      </c>
      <c r="AD25" s="16">
        <f t="shared" si="82"/>
        <v>975</v>
      </c>
      <c r="AE25" s="16">
        <f t="shared" si="83"/>
        <v>975</v>
      </c>
      <c r="AF25" s="16">
        <f t="shared" si="19"/>
        <v>0</v>
      </c>
      <c r="AG25" s="16">
        <f t="shared" si="20"/>
        <v>3.5</v>
      </c>
      <c r="AH25" s="838" t="str">
        <f>'Input BOD'!T25</f>
        <v>D</v>
      </c>
      <c r="AI25" s="17">
        <f t="shared" si="84"/>
        <v>2.5</v>
      </c>
      <c r="AJ25" s="17">
        <f t="shared" si="22"/>
        <v>3.5</v>
      </c>
      <c r="AK25" s="891"/>
      <c r="AL25" s="18"/>
      <c r="AM25" s="889"/>
      <c r="AN25" s="891"/>
      <c r="AO25" s="888"/>
      <c r="AP25" s="891"/>
      <c r="AQ25" s="891"/>
      <c r="AR25" s="889"/>
      <c r="AS25" s="888"/>
      <c r="AT25" s="888"/>
      <c r="AU25" s="890"/>
      <c r="AV25" s="888"/>
      <c r="AW25" s="888"/>
      <c r="AX25" s="888"/>
      <c r="AY25" s="887"/>
      <c r="AZ25" s="888"/>
      <c r="BA25" s="17">
        <f t="shared" si="85"/>
        <v>14.399999999999991</v>
      </c>
      <c r="BB25" s="17">
        <f t="shared" si="86"/>
        <v>30.599999999999994</v>
      </c>
      <c r="BC25" s="17">
        <f t="shared" si="87"/>
        <v>32</v>
      </c>
      <c r="BD25" s="17">
        <f t="shared" si="88"/>
        <v>85</v>
      </c>
      <c r="BE25" s="17">
        <f t="shared" si="89"/>
        <v>180.86341983910182</v>
      </c>
      <c r="BF25" s="17">
        <f t="shared" si="90"/>
        <v>24</v>
      </c>
      <c r="BG25" s="17">
        <f t="shared" si="91"/>
        <v>50</v>
      </c>
      <c r="BH25" s="17">
        <f t="shared" si="92"/>
        <v>65.062647806544774</v>
      </c>
      <c r="BI25" s="17">
        <f t="shared" si="93"/>
        <v>115.80077203255705</v>
      </c>
      <c r="BJ25" s="17">
        <f t="shared" si="94"/>
        <v>41</v>
      </c>
      <c r="BK25" s="17">
        <f t="shared" si="95"/>
        <v>85</v>
      </c>
      <c r="BL25" s="17">
        <f t="shared" si="96"/>
        <v>303.8770388845852</v>
      </c>
      <c r="BM25" s="17">
        <f t="shared" si="97"/>
        <v>24</v>
      </c>
      <c r="BN25" s="17">
        <f t="shared" si="98"/>
        <v>50</v>
      </c>
      <c r="BO25" s="17">
        <f t="shared" si="99"/>
        <v>65.062647806544774</v>
      </c>
      <c r="BP25" s="17">
        <f t="shared" si="100"/>
        <v>238.81439107804044</v>
      </c>
      <c r="BQ25" s="17">
        <f t="shared" si="101"/>
        <v>1185.3215999999998</v>
      </c>
      <c r="BR25" s="17">
        <f t="shared" si="102"/>
        <v>557.79839999999967</v>
      </c>
      <c r="BS25" s="17">
        <f t="shared" si="103"/>
        <v>69.724799999999959</v>
      </c>
      <c r="BT25" s="17">
        <f t="shared" si="104"/>
        <v>148.16519999999997</v>
      </c>
      <c r="BU25" s="17">
        <f t="shared" si="105"/>
        <v>9418.6799999999985</v>
      </c>
      <c r="BV25" s="17">
        <f t="shared" si="106"/>
        <v>6824</v>
      </c>
      <c r="BW25" s="17">
        <f t="shared" si="107"/>
        <v>64.247959999999992</v>
      </c>
      <c r="BX25" s="17">
        <f t="shared" si="108"/>
        <v>11663.999999999993</v>
      </c>
      <c r="BY25" s="17">
        <f t="shared" si="109"/>
        <v>46.654258175999999</v>
      </c>
      <c r="BZ25" s="17"/>
      <c r="CA25" s="17">
        <f t="shared" si="110"/>
        <v>32478.7571866135</v>
      </c>
      <c r="CB25" s="17">
        <f t="shared" si="111"/>
        <v>121795.33944980064</v>
      </c>
      <c r="CC25" s="17">
        <f t="shared" si="112"/>
        <v>229.25325632714262</v>
      </c>
      <c r="CD25" s="17">
        <f t="shared" si="46"/>
        <v>2063.2793069442837</v>
      </c>
      <c r="CE25" s="17">
        <f t="shared" si="47"/>
        <v>29202.90381817599</v>
      </c>
      <c r="CF25" s="17">
        <f t="shared" si="48"/>
        <v>156566.62919968559</v>
      </c>
      <c r="CG25" s="17">
        <f t="shared" si="49"/>
        <v>185769.53301786157</v>
      </c>
      <c r="CH25" s="17">
        <f t="shared" si="113"/>
        <v>14.400000000000006</v>
      </c>
      <c r="CI25" s="17">
        <f t="shared" si="114"/>
        <v>-43.2</v>
      </c>
      <c r="CJ25" s="17">
        <f t="shared" si="115"/>
        <v>16</v>
      </c>
      <c r="CK25" s="17">
        <f t="shared" si="116"/>
        <v>90</v>
      </c>
      <c r="CL25" s="17">
        <f t="shared" si="117"/>
        <v>71.46880726181422</v>
      </c>
      <c r="CM25" s="17">
        <f t="shared" si="118"/>
        <v>24</v>
      </c>
      <c r="CN25" s="17">
        <f t="shared" si="119"/>
        <v>50</v>
      </c>
      <c r="CO25" s="17">
        <f t="shared" si="120"/>
        <v>65.062647806544774</v>
      </c>
      <c r="CP25" s="17">
        <f t="shared" si="121"/>
        <v>6.4061594552694459</v>
      </c>
      <c r="CQ25" s="17">
        <f t="shared" si="122"/>
        <v>0</v>
      </c>
      <c r="CR25" s="17">
        <f t="shared" si="123"/>
        <v>100</v>
      </c>
      <c r="CS25" s="17">
        <f t="shared" si="124"/>
        <v>26.404773030064671</v>
      </c>
      <c r="CT25" s="17">
        <f t="shared" si="125"/>
        <v>24</v>
      </c>
      <c r="CU25" s="17">
        <f t="shared" si="126"/>
        <v>50</v>
      </c>
      <c r="CV25" s="17">
        <f t="shared" si="127"/>
        <v>65.062647806544774</v>
      </c>
      <c r="CW25" s="17">
        <f t="shared" si="128"/>
        <v>-38.657874776480099</v>
      </c>
      <c r="CX25" s="17">
        <f t="shared" si="8"/>
        <v>-1673.3951999999999</v>
      </c>
      <c r="CY25" s="17">
        <f t="shared" si="8"/>
        <v>-1673.3951999999999</v>
      </c>
      <c r="CZ25" s="17">
        <f t="shared" si="62"/>
        <v>69.724800000000016</v>
      </c>
      <c r="DA25" s="17">
        <f t="shared" si="63"/>
        <v>-209.17439999999999</v>
      </c>
      <c r="DB25" s="17">
        <f t="shared" si="64"/>
        <v>-13296.960000000001</v>
      </c>
      <c r="DC25" s="17">
        <f t="shared" si="65"/>
        <v>6824</v>
      </c>
      <c r="DD25" s="17">
        <f t="shared" si="66"/>
        <v>64.247959999999992</v>
      </c>
      <c r="DE25" s="17">
        <f t="shared" si="67"/>
        <v>11664.000000000005</v>
      </c>
      <c r="DF25" s="17">
        <f t="shared" si="68"/>
        <v>-65.864835072000005</v>
      </c>
      <c r="DG25" s="17"/>
      <c r="DH25" s="17">
        <f t="shared" si="129"/>
        <v>-5257.4709696012933</v>
      </c>
      <c r="DI25" s="17">
        <f t="shared" si="130"/>
        <v>-19715.516136004851</v>
      </c>
      <c r="DJ25" s="17">
        <f t="shared" si="131"/>
        <v>-37.110174287188912</v>
      </c>
      <c r="DK25" s="17">
        <f t="shared" si="132"/>
        <v>55.347151322734128</v>
      </c>
      <c r="DL25" s="17">
        <f t="shared" si="133"/>
        <v>3376.5783249280043</v>
      </c>
      <c r="DM25" s="17">
        <f t="shared" si="134"/>
        <v>-24954.750128570602</v>
      </c>
      <c r="DN25" s="17">
        <f t="shared" si="135"/>
        <v>-21578.171803642599</v>
      </c>
    </row>
    <row r="26" spans="3:120">
      <c r="C26" s="13" t="str">
        <f>IF(D26&lt;&gt;"",COUNTA($D$10:D26),"")</f>
        <v/>
      </c>
      <c r="D26" s="19"/>
      <c r="E26" s="19"/>
      <c r="F26" s="19"/>
      <c r="G26" s="19"/>
      <c r="H26" s="19"/>
      <c r="I26" s="19"/>
      <c r="J26" s="19"/>
      <c r="K26" s="19"/>
      <c r="L26" s="19"/>
      <c r="M26" s="19"/>
      <c r="N26" s="19"/>
      <c r="O26" s="19"/>
      <c r="P26" s="19"/>
      <c r="Q26" s="19"/>
      <c r="R26" s="19"/>
      <c r="S26" s="19"/>
      <c r="T26" s="19"/>
      <c r="U26" s="19"/>
      <c r="V26" s="19"/>
      <c r="W26" s="19"/>
      <c r="X26" s="20">
        <f>SUM(X10:X25)</f>
        <v>172.16</v>
      </c>
      <c r="Y26" s="20">
        <f t="shared" ref="Y26:AJ26" si="136">SUM(Y10:Y25)</f>
        <v>1129.3696</v>
      </c>
      <c r="Z26" s="20">
        <f t="shared" si="136"/>
        <v>225.87392</v>
      </c>
      <c r="AA26" s="20">
        <f t="shared" si="136"/>
        <v>22.587392000000005</v>
      </c>
      <c r="AB26" s="20">
        <f t="shared" si="136"/>
        <v>0</v>
      </c>
      <c r="AC26" s="20">
        <f t="shared" si="136"/>
        <v>1.5729224601936269</v>
      </c>
      <c r="AD26" s="20">
        <f t="shared" si="136"/>
        <v>15600</v>
      </c>
      <c r="AE26" s="20">
        <f t="shared" si="136"/>
        <v>15600</v>
      </c>
      <c r="AF26" s="20">
        <f t="shared" si="136"/>
        <v>0</v>
      </c>
      <c r="AG26" s="20">
        <f t="shared" si="136"/>
        <v>56</v>
      </c>
      <c r="AH26" s="841"/>
      <c r="AI26" s="20">
        <f t="shared" si="136"/>
        <v>40</v>
      </c>
      <c r="AJ26" s="20">
        <f t="shared" si="136"/>
        <v>56</v>
      </c>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2"/>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row>
    <row r="27" spans="3:120">
      <c r="C27" s="13" t="str">
        <f>IF(D27&lt;&gt;"",COUNTA($D$10:D27),"")</f>
        <v/>
      </c>
      <c r="D27" s="19"/>
      <c r="E27" s="19"/>
      <c r="F27" s="19"/>
      <c r="G27" s="19"/>
      <c r="H27" s="19"/>
      <c r="I27" s="19"/>
      <c r="J27" s="19"/>
      <c r="K27" s="19"/>
      <c r="L27" s="19"/>
      <c r="M27" s="19"/>
      <c r="N27" s="19"/>
      <c r="O27" s="19"/>
      <c r="P27" s="19"/>
      <c r="Q27" s="19"/>
      <c r="R27" s="19"/>
      <c r="S27" s="19"/>
      <c r="T27" s="19"/>
      <c r="U27" s="19"/>
      <c r="V27" s="19"/>
      <c r="W27" s="19"/>
      <c r="X27" s="21"/>
      <c r="Y27" s="21"/>
      <c r="Z27" s="21"/>
      <c r="AA27" s="21"/>
      <c r="AB27" s="21"/>
      <c r="AC27" s="21"/>
      <c r="AD27" s="21"/>
      <c r="AE27" s="21"/>
      <c r="AF27" s="21"/>
      <c r="AG27" s="21"/>
      <c r="AH27" s="842"/>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row>
    <row r="28" spans="3:120" ht="42" customHeight="1">
      <c r="C28" s="8" t="str">
        <f>"Zoning Area  AHU - " &amp; INT((ROW()-8)/20)+1 &amp; "  " &amp;IF(AQ30&gt;0,"Air-Conditioning System " &amp; IF(AH30="D","(DX)",IF(AH30="C","(Chilled Water)","")),IF(AND(N30="Amb",AQ30=0),"Ventilation System","Refer"))</f>
        <v>Zoning Area  AHU - 2  Air-Conditioning System (Chilled Water)</v>
      </c>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39"/>
      <c r="AI28" s="8"/>
      <c r="AJ28" s="8"/>
      <c r="AK28" s="8"/>
      <c r="AL28" s="8"/>
      <c r="AM28" s="8"/>
      <c r="AN28" s="8"/>
      <c r="AO28" s="8"/>
      <c r="AP28" s="8"/>
      <c r="AQ28" s="8"/>
      <c r="AR28" s="8"/>
      <c r="AS28" s="9" t="s">
        <v>221</v>
      </c>
      <c r="AT28" s="10"/>
      <c r="AU28" s="10"/>
      <c r="AV28" s="11"/>
      <c r="AW28" s="9" t="s">
        <v>222</v>
      </c>
      <c r="AX28" s="10"/>
      <c r="AY28" s="10"/>
      <c r="AZ28" s="11"/>
      <c r="BA28" s="12" t="s">
        <v>483</v>
      </c>
      <c r="BB28" s="12"/>
      <c r="BC28" s="12"/>
      <c r="BD28" s="12"/>
      <c r="BE28" s="12"/>
      <c r="BF28" s="12"/>
      <c r="BG28" s="12"/>
      <c r="BH28" s="12"/>
      <c r="BI28" s="12"/>
      <c r="BJ28" s="12"/>
      <c r="BK28" s="12"/>
      <c r="BL28" s="12"/>
      <c r="BM28" s="12"/>
      <c r="BN28" s="12"/>
      <c r="BO28" s="12"/>
      <c r="BP28" s="12"/>
      <c r="BQ28" s="9" t="s">
        <v>484</v>
      </c>
      <c r="BR28" s="10"/>
      <c r="BS28" s="10"/>
      <c r="BT28" s="10"/>
      <c r="BU28" s="10"/>
      <c r="BV28" s="10"/>
      <c r="BW28" s="10"/>
      <c r="BX28" s="10"/>
      <c r="BY28" s="10"/>
      <c r="BZ28" s="11"/>
      <c r="CA28" s="9" t="s">
        <v>485</v>
      </c>
      <c r="CB28" s="10"/>
      <c r="CC28" s="10"/>
      <c r="CD28" s="10"/>
      <c r="CE28" s="9" t="s">
        <v>486</v>
      </c>
      <c r="CF28" s="10"/>
      <c r="CG28" s="11"/>
      <c r="CH28" s="12" t="s">
        <v>487</v>
      </c>
      <c r="CI28" s="12"/>
      <c r="CJ28" s="12"/>
      <c r="CK28" s="12"/>
      <c r="CL28" s="12"/>
      <c r="CM28" s="12"/>
      <c r="CN28" s="12"/>
      <c r="CO28" s="12"/>
      <c r="CP28" s="12"/>
      <c r="CQ28" s="12"/>
      <c r="CR28" s="12"/>
      <c r="CS28" s="12"/>
      <c r="CT28" s="12"/>
      <c r="CU28" s="12"/>
      <c r="CV28" s="12"/>
      <c r="CW28" s="12"/>
      <c r="CX28" s="9" t="s">
        <v>488</v>
      </c>
      <c r="CY28" s="10"/>
      <c r="CZ28" s="10"/>
      <c r="DA28" s="10"/>
      <c r="DB28" s="10"/>
      <c r="DC28" s="10"/>
      <c r="DD28" s="10"/>
      <c r="DE28" s="10"/>
      <c r="DF28" s="10"/>
      <c r="DG28" s="11"/>
      <c r="DH28" s="9" t="s">
        <v>489</v>
      </c>
      <c r="DI28" s="10"/>
      <c r="DJ28" s="10"/>
      <c r="DK28" s="10"/>
      <c r="DL28" s="9"/>
      <c r="DM28" s="10"/>
      <c r="DN28" s="11"/>
      <c r="DO28" s="1"/>
      <c r="DP28" s="1"/>
    </row>
    <row r="29" spans="3:120" ht="120" customHeight="1">
      <c r="C29" s="13"/>
      <c r="D29" s="5" t="s">
        <v>165</v>
      </c>
      <c r="E29" s="5" t="s">
        <v>166</v>
      </c>
      <c r="F29" s="5" t="s">
        <v>167</v>
      </c>
      <c r="G29" s="5" t="s">
        <v>168</v>
      </c>
      <c r="H29" s="5" t="s">
        <v>169</v>
      </c>
      <c r="I29" s="5" t="s">
        <v>170</v>
      </c>
      <c r="J29" s="5" t="s">
        <v>171</v>
      </c>
      <c r="K29" s="5" t="s">
        <v>172</v>
      </c>
      <c r="L29" s="5" t="s">
        <v>173</v>
      </c>
      <c r="M29" s="5" t="s">
        <v>174</v>
      </c>
      <c r="N29" s="5" t="s">
        <v>175</v>
      </c>
      <c r="O29" s="5" t="s">
        <v>176</v>
      </c>
      <c r="P29" s="5" t="s">
        <v>177</v>
      </c>
      <c r="Q29" s="5" t="s">
        <v>178</v>
      </c>
      <c r="R29" s="5" t="s">
        <v>199</v>
      </c>
      <c r="S29" s="5" t="s">
        <v>180</v>
      </c>
      <c r="T29" s="5" t="s">
        <v>223</v>
      </c>
      <c r="U29" s="5" t="s">
        <v>224</v>
      </c>
      <c r="V29" s="5" t="s">
        <v>199</v>
      </c>
      <c r="W29" s="5" t="s">
        <v>180</v>
      </c>
      <c r="X29" s="5" t="s">
        <v>225</v>
      </c>
      <c r="Y29" s="5" t="s">
        <v>226</v>
      </c>
      <c r="Z29" s="5" t="s">
        <v>227</v>
      </c>
      <c r="AA29" s="5" t="s">
        <v>228</v>
      </c>
      <c r="AB29" s="5" t="s">
        <v>229</v>
      </c>
      <c r="AC29" s="5" t="s">
        <v>230</v>
      </c>
      <c r="AD29" s="5" t="s">
        <v>231</v>
      </c>
      <c r="AE29" s="5" t="s">
        <v>232</v>
      </c>
      <c r="AF29" s="6" t="s">
        <v>233</v>
      </c>
      <c r="AG29" s="6" t="s">
        <v>234</v>
      </c>
      <c r="AH29" s="6" t="s">
        <v>235</v>
      </c>
      <c r="AI29" s="5" t="s">
        <v>236</v>
      </c>
      <c r="AJ29" s="5" t="s">
        <v>237</v>
      </c>
      <c r="AK29" s="5" t="s">
        <v>238</v>
      </c>
      <c r="AL29" s="5" t="s">
        <v>239</v>
      </c>
      <c r="AM29" s="5" t="s">
        <v>240</v>
      </c>
      <c r="AN29" s="5" t="s">
        <v>241</v>
      </c>
      <c r="AO29" s="5" t="s">
        <v>242</v>
      </c>
      <c r="AP29" s="5" t="s">
        <v>243</v>
      </c>
      <c r="AQ29" s="5" t="s">
        <v>244</v>
      </c>
      <c r="AR29" s="5" t="s">
        <v>245</v>
      </c>
      <c r="AS29" s="5" t="s">
        <v>246</v>
      </c>
      <c r="AT29" s="5" t="s">
        <v>247</v>
      </c>
      <c r="AU29" s="5" t="s">
        <v>248</v>
      </c>
      <c r="AV29" s="5" t="s">
        <v>249</v>
      </c>
      <c r="AW29" s="5" t="s">
        <v>250</v>
      </c>
      <c r="AX29" s="5" t="s">
        <v>251</v>
      </c>
      <c r="AY29" s="5" t="s">
        <v>252</v>
      </c>
      <c r="AZ29" s="5" t="s">
        <v>253</v>
      </c>
      <c r="BA29" s="5" t="s">
        <v>490</v>
      </c>
      <c r="BB29" s="5" t="s">
        <v>491</v>
      </c>
      <c r="BC29" s="5" t="s">
        <v>492</v>
      </c>
      <c r="BD29" s="5" t="s">
        <v>493</v>
      </c>
      <c r="BE29" s="5" t="s">
        <v>494</v>
      </c>
      <c r="BF29" s="5" t="s">
        <v>492</v>
      </c>
      <c r="BG29" s="5" t="s">
        <v>493</v>
      </c>
      <c r="BH29" s="5" t="s">
        <v>495</v>
      </c>
      <c r="BI29" s="5" t="s">
        <v>496</v>
      </c>
      <c r="BJ29" s="5" t="s">
        <v>492</v>
      </c>
      <c r="BK29" s="5" t="s">
        <v>493</v>
      </c>
      <c r="BL29" s="5" t="s">
        <v>497</v>
      </c>
      <c r="BM29" s="5" t="s">
        <v>492</v>
      </c>
      <c r="BN29" s="5" t="s">
        <v>493</v>
      </c>
      <c r="BO29" s="5" t="s">
        <v>495</v>
      </c>
      <c r="BP29" s="5" t="s">
        <v>498</v>
      </c>
      <c r="BQ29" s="5" t="s">
        <v>499</v>
      </c>
      <c r="BR29" s="5" t="s">
        <v>500</v>
      </c>
      <c r="BS29" s="5" t="s">
        <v>501</v>
      </c>
      <c r="BT29" s="5" t="s">
        <v>502</v>
      </c>
      <c r="BU29" s="5" t="s">
        <v>503</v>
      </c>
      <c r="BV29" s="5" t="s">
        <v>504</v>
      </c>
      <c r="BW29" s="5" t="s">
        <v>505</v>
      </c>
      <c r="BX29" s="5" t="s">
        <v>506</v>
      </c>
      <c r="BY29" s="5" t="s">
        <v>173</v>
      </c>
      <c r="BZ29" s="5" t="s">
        <v>174</v>
      </c>
      <c r="CA29" s="5" t="s">
        <v>503</v>
      </c>
      <c r="CB29" s="5" t="s">
        <v>507</v>
      </c>
      <c r="CC29" s="5" t="s">
        <v>173</v>
      </c>
      <c r="CD29" s="5" t="s">
        <v>508</v>
      </c>
      <c r="CE29" s="7" t="s">
        <v>509</v>
      </c>
      <c r="CF29" s="7" t="s">
        <v>510</v>
      </c>
      <c r="CG29" s="7" t="s">
        <v>511</v>
      </c>
      <c r="CH29" s="5" t="s">
        <v>512</v>
      </c>
      <c r="CI29" s="5" t="s">
        <v>513</v>
      </c>
      <c r="CJ29" s="5" t="s">
        <v>492</v>
      </c>
      <c r="CK29" s="5" t="s">
        <v>493</v>
      </c>
      <c r="CL29" s="5" t="s">
        <v>494</v>
      </c>
      <c r="CM29" s="5" t="s">
        <v>492</v>
      </c>
      <c r="CN29" s="5" t="s">
        <v>493</v>
      </c>
      <c r="CO29" s="5" t="s">
        <v>495</v>
      </c>
      <c r="CP29" s="5" t="s">
        <v>496</v>
      </c>
      <c r="CQ29" s="5" t="s">
        <v>492</v>
      </c>
      <c r="CR29" s="5" t="s">
        <v>493</v>
      </c>
      <c r="CS29" s="5" t="s">
        <v>497</v>
      </c>
      <c r="CT29" s="5" t="s">
        <v>492</v>
      </c>
      <c r="CU29" s="5" t="s">
        <v>493</v>
      </c>
      <c r="CV29" s="5" t="s">
        <v>495</v>
      </c>
      <c r="CW29" s="5" t="s">
        <v>498</v>
      </c>
      <c r="CX29" s="5" t="s">
        <v>499</v>
      </c>
      <c r="CY29" s="5" t="s">
        <v>500</v>
      </c>
      <c r="CZ29" s="5" t="s">
        <v>501</v>
      </c>
      <c r="DA29" s="5" t="s">
        <v>502</v>
      </c>
      <c r="DB29" s="5" t="s">
        <v>503</v>
      </c>
      <c r="DC29" s="5" t="s">
        <v>504</v>
      </c>
      <c r="DD29" s="5" t="s">
        <v>505</v>
      </c>
      <c r="DE29" s="5" t="s">
        <v>506</v>
      </c>
      <c r="DF29" s="5" t="s">
        <v>173</v>
      </c>
      <c r="DG29" s="5" t="s">
        <v>174</v>
      </c>
      <c r="DH29" s="5" t="s">
        <v>503</v>
      </c>
      <c r="DI29" s="5" t="s">
        <v>507</v>
      </c>
      <c r="DJ29" s="5" t="s">
        <v>173</v>
      </c>
      <c r="DK29" s="5" t="s">
        <v>508</v>
      </c>
      <c r="DL29" s="7" t="s">
        <v>509</v>
      </c>
      <c r="DM29" s="7" t="s">
        <v>510</v>
      </c>
      <c r="DN29" s="7" t="s">
        <v>511</v>
      </c>
      <c r="DO29" s="2"/>
      <c r="DP29" s="2"/>
    </row>
    <row r="30" spans="3:120" ht="18.600000000000001" customHeight="1">
      <c r="C30" s="13">
        <f>IF(D30&lt;&gt;"",COUNTA($D$10:D30),"")</f>
        <v>18</v>
      </c>
      <c r="D30" s="14" t="s">
        <v>200</v>
      </c>
      <c r="E30" s="14">
        <v>3</v>
      </c>
      <c r="F30" s="14">
        <v>3</v>
      </c>
      <c r="G30" s="14">
        <v>2</v>
      </c>
      <c r="H30" s="14">
        <v>1</v>
      </c>
      <c r="I30" s="14">
        <v>2</v>
      </c>
      <c r="J30" s="14">
        <v>1.75</v>
      </c>
      <c r="K30" s="14">
        <v>3</v>
      </c>
      <c r="L30" s="15">
        <v>0.15</v>
      </c>
      <c r="M30" s="15">
        <v>0.1</v>
      </c>
      <c r="N30" s="14">
        <v>24</v>
      </c>
      <c r="O30" s="14">
        <v>50</v>
      </c>
      <c r="P30" s="13">
        <v>43.1</v>
      </c>
      <c r="Q30" s="13">
        <v>100</v>
      </c>
      <c r="R30" s="13" t="s">
        <v>17</v>
      </c>
      <c r="S30" s="13">
        <v>180</v>
      </c>
      <c r="T30" s="13">
        <v>-16.600000000000001</v>
      </c>
      <c r="U30" s="13">
        <v>8</v>
      </c>
      <c r="V30" s="13" t="str">
        <f>R30</f>
        <v>ISO 6</v>
      </c>
      <c r="W30" s="13">
        <f>S30</f>
        <v>180</v>
      </c>
      <c r="X30" s="16">
        <f>E30*F30*10.76</f>
        <v>96.84</v>
      </c>
      <c r="Y30" s="16">
        <f>X30*G30*3.28</f>
        <v>635.2704</v>
      </c>
      <c r="Z30" s="16">
        <f>Y30*S30/60</f>
        <v>1905.8112000000001</v>
      </c>
      <c r="AA30" s="16">
        <f>Z30*L30</f>
        <v>285.87168000000003</v>
      </c>
      <c r="AB30" s="16">
        <f>IF(N30="Amb",Z30,Z30*M30)</f>
        <v>190.58112000000003</v>
      </c>
      <c r="AC30" s="16">
        <f>IF(ISNUMBER(N30), (AA30*0.075*60/2.20462)*BP30/7000, "Ambient")</f>
        <v>28.596709683896371</v>
      </c>
      <c r="AD30" s="16">
        <f>IF(ISNUMBER(N30), CEILING(CF30/(0.68*BP30),25), "Ambient")</f>
        <v>3425</v>
      </c>
      <c r="AE30" s="16">
        <f>CEILING(MAX((Z30+AA30),AD30),25)</f>
        <v>3425</v>
      </c>
      <c r="AF30" s="16">
        <f>CEILING(IF(OR($R30="ISO 6",$R30="GRADE B",$R30="1K",$R30=1000),AE30*1/175,IF(OR($R30="ISO 5",$R30="GRADE A",$R30=100),AE30*1/100,IF(OR($R30="ISO 7",$R30="GRADE C",$R30="10K",$R30=10000),$AE30*1/250,IF(OR($R30="ISO 8",$R30="GRADE D",$R30="100K",$R30=100000),$AE30*1/250,IF(OR($R30="NC",$R30="20 Micron",$R30="5 Micron",$R30="N C"),$AE30*1/350,0))))),2)</f>
        <v>20</v>
      </c>
      <c r="AG30" s="16">
        <f>IF(ISNUMBER(N30), CEILING(MAX(AI30,AJ30),0.5), "Ambient")</f>
        <v>9</v>
      </c>
      <c r="AH30" s="838" t="s">
        <v>85</v>
      </c>
      <c r="AI30" s="17">
        <f>IF(ISNUMBER(N30), CEILING(CE30/12000,0.5), "Ambient")</f>
        <v>5</v>
      </c>
      <c r="AJ30" s="17">
        <f>IF(ISNUMBER(N30),CEILING(AE30/(IF(AH30="C",400,300)),0.5), "Ambient")</f>
        <v>9</v>
      </c>
      <c r="AK30" s="891">
        <f>CEILING(SUM(AE30:AE45),250)</f>
        <v>48500</v>
      </c>
      <c r="AL30" s="18" t="s">
        <v>254</v>
      </c>
      <c r="AM30" s="889">
        <v>150</v>
      </c>
      <c r="AN30" s="891">
        <f>IF(AK30&lt;=1300,200,IF(AK30&lt;=1600,225,IF(AK30&lt;=2100,250,IF(AK30&lt;=2700,280,IF(AK30&lt;=3450,315,IF(AK30&lt;=4250,355,IF(AK30&lt;=5250,400,IF(AK30&lt;=6750,450,IF(AK30&lt;=8500,500,IF(AK30&lt;=10750,560,IF(AK30&lt;=13500,630,IF(AK30&lt;=17000,710,IF(AK30&lt;=21500,800,IF(AK30&lt;=27000,900,IF(AK30&lt;=34000,1000,IF(AK30&lt;=43000,1120,IF(AK30&lt;=49000,1200,IF(AK30&lt;=68000,1450,"Refer"))))))))))))))))))</f>
        <v>1200</v>
      </c>
      <c r="AO30" s="888">
        <f>IF(AK30*AM30/(6356*0.7*0.9*1.1*25.4)&lt;=1,1,IF(AK30*AM30/(6356*0.7*0.9*1.1*25.4)&lt;=1.5,1.5,IF(AK30*AM30/(6356*0.7*0.9*1.1*25.4)&lt;=2,2,IF(AK30*AM30/(6356*0.7*0.9*1.1*25.4)&lt;=3,3,IF(AK30*AM30/(6356*0.7*0.9*1.1*25.4)&lt;=5,5,IF(AK30*AM30/(6356*0.7*0.9*1.1*25.4)&lt;=7.5,7.5,IF(AK30*AM30/(6356*0.7*0.9*1.1*25.4)&lt;=10,10,IF(AK30*AM30/(6356*0.7*0.9*1.1*25.4)&lt;=12.5,12.5,IF(AK30*AM30/(6356*0.7*0.9*1.1*25.4)&lt;=15,15,IF(AK30*AM30/(6356*0.7*0.9*1.1*25.4)&lt;=20,20,IF(AK30*AM30/(6356*0.7*0.9*1.1*25.4)&lt;=25,25,IF(AK30*AM30/(6356*0.7*0.9*1.1*25.4)&lt;=30,30,IF(AK30*AM30/(6356*0.7*0.9*1.1*25.4)&lt;=40,40,IF(AK30*AM30/(6356*0.7*0.9*1.1*25.4)&lt;=50,50,IF(AK30*AM30/(6356*0.7*0.9*1.1*25.4)&lt;=60,60,IF(AK30*AM30/(6356*0.7*0.9*1.1*25.4)&lt;=75,75,"Refer"))))))))))))))))</f>
        <v>75</v>
      </c>
      <c r="AP30" s="891">
        <f>IF(AND(AQ30=0, N30="Amb"), "Amb",IF((AL31-250)*(AL33-150)*10.76/(1000*1000) &gt;= MAX(AI46,AJ46), 4,IF((AL31-250)*(AL33-150)*10.76*1.5/(1000*1000) &gt;= MAX(AI46,AJ46), 6,IF((AL31-250)*(AL33-150)*10.76*2/(1000*1000) &gt;= MAX(AI46,AJ46), 8, 0))
 )
)</f>
        <v>4</v>
      </c>
      <c r="AQ30" s="891">
        <f>AG46</f>
        <v>124.5</v>
      </c>
      <c r="AR30" s="889">
        <f>_xlfn.SWITCH(TRIM(UPPER(R30)),"ISO 9", 3,"ISO 8", 4,"Grade D", 4,"Class 100,000", 4,"Class 100K", 4,"ISO 7", 3,"Grade C", 3,"Class 10,000", 3,"Class 10K", 3,"ISO 6", 3,"Class 1,000", 3,"Class 1K", 3,"ISO 5", 4,"Grade A", 4,"Grade B", 4,"Class 100", 4,"ISO 4", 3,"ISO 3", 4,"ISO 2", 4,"ISO 1", 4,"NCV20",1,"NCV-10",2,"NCV-5",3,"NCAC-10",1,"NCAC-5",2,"NCAC-1",3,3)</f>
        <v>3</v>
      </c>
      <c r="AS30" s="888">
        <f>MAX(AI46,AJ46)*24/6</f>
        <v>498</v>
      </c>
      <c r="AT30" s="888">
        <f>AS30*0.06309</f>
        <v>31.418819999999997</v>
      </c>
      <c r="AU30" s="890">
        <v>2</v>
      </c>
      <c r="AV30" s="888">
        <f>SQRT((4*AS30*0.00006309)/(3.14*AU30))*1000</f>
        <v>141.46373125697801</v>
      </c>
      <c r="AW30" s="888"/>
      <c r="AX30" s="888"/>
      <c r="AY30" s="887"/>
      <c r="AZ30" s="888"/>
      <c r="BA30" s="17">
        <f>-CONVERT(N30,"C","F")+CONVERT((N30+8),"C","F")</f>
        <v>14.399999999999991</v>
      </c>
      <c r="BB30" s="17">
        <f>CONVERT(P30,"C","F")-CONVERT(N30,"C","F")</f>
        <v>34.379999999999995</v>
      </c>
      <c r="BC30" s="17">
        <f>N30+8</f>
        <v>32</v>
      </c>
      <c r="BD30" s="17">
        <f>BG30+35</f>
        <v>85</v>
      </c>
      <c r="BE30" s="17">
        <f>0.622*7000*(BD30/100)*(6.1078*10^((7.5*BC30)/(237.3+BC30)))/(1013.25-(6.1078*10^((7.5*BC30)/(237.3+BC30)))*BD30/100)</f>
        <v>180.86341983910182</v>
      </c>
      <c r="BF30" s="17">
        <f>N30</f>
        <v>24</v>
      </c>
      <c r="BG30" s="17">
        <f>O30</f>
        <v>50</v>
      </c>
      <c r="BH30" s="17">
        <f>0.622*7000*(BG30/100)*(6.1078*10^((7.5*BF30)/(237.3+BF30)))/(1013.25-(6.1078*10^((7.5*BF30)/(237.3+BF30)))*BG30/100)</f>
        <v>65.062647806544774</v>
      </c>
      <c r="BI30" s="17">
        <f>BE30-BH30</f>
        <v>115.80077203255705</v>
      </c>
      <c r="BJ30" s="17">
        <f>P30</f>
        <v>43.1</v>
      </c>
      <c r="BK30" s="17">
        <f>Q30</f>
        <v>100</v>
      </c>
      <c r="BL30" s="17">
        <f>0.622*7000*(BK30/100)*(6.1078*10^((7.5*BJ30)/(237.3+BJ30)))/(1013.25-(6.1078*10^((7.5*BJ30)/(237.3+BJ30)))*BK30/100)</f>
        <v>408.11800181338162</v>
      </c>
      <c r="BM30" s="17">
        <f>N30</f>
        <v>24</v>
      </c>
      <c r="BN30" s="17">
        <f>BG30</f>
        <v>50</v>
      </c>
      <c r="BO30" s="17">
        <f>0.622*7000*(BN30/100)*(6.1078*10^((7.5*BM30)/(237.3+BM30)))/(1013.25-(6.1078*10^((7.5*BM30)/(237.3+BM30)))*BN30/100)</f>
        <v>65.062647806544774</v>
      </c>
      <c r="BP30" s="17">
        <f>BL30-BO30</f>
        <v>343.05535400683686</v>
      </c>
      <c r="BQ30" s="17">
        <f>($E30*$G30*10.76*2+$F30*$G30*2*10.76)*$BB30*0.45</f>
        <v>3995.2310400000001</v>
      </c>
      <c r="BR30" s="17">
        <f>($E30*$G30*10.76*2+$F30*$G30*2*10.76)*$BA30*0.45</f>
        <v>1673.3951999999992</v>
      </c>
      <c r="BS30" s="17">
        <f>($E30*$F30*10.76)*$BA30*0.45</f>
        <v>627.52319999999963</v>
      </c>
      <c r="BT30" s="17">
        <f>($E30*$F30*10.76)*$BB30*0.45</f>
        <v>1498.21164</v>
      </c>
      <c r="BU30" s="17">
        <f>$H30*285*1.08*$BB30</f>
        <v>10582.163999999999</v>
      </c>
      <c r="BV30" s="17">
        <f>$I30*1000*3.412</f>
        <v>6824</v>
      </c>
      <c r="BW30" s="17">
        <f>$J30*$X30*3.412</f>
        <v>578.23163999999997</v>
      </c>
      <c r="BX30" s="17">
        <f>$K30*1.08*375*$BA30</f>
        <v>17495.999999999989</v>
      </c>
      <c r="BY30" s="17">
        <f>($AA30+$AB30)*1.08*$BB30</f>
        <v>17690.883045119997</v>
      </c>
      <c r="BZ30" s="17"/>
      <c r="CA30" s="17">
        <f>$H30*200*0.68*$BP30</f>
        <v>46655.528144929813</v>
      </c>
      <c r="CB30" s="17">
        <f>$K30*375*0.68*$BP30</f>
        <v>262437.34581523022</v>
      </c>
      <c r="CC30" s="17">
        <f>($AA30+$AB30)*0.68*$BP30</f>
        <v>111145.78510065308</v>
      </c>
      <c r="CD30" s="17">
        <f>($Z30-$AA30)*0.68*$BP30</f>
        <v>377895.66934222053</v>
      </c>
      <c r="CE30" s="17">
        <f>$BQ30+$BU30+$BV30+$BW30+$BX30+$BY30</f>
        <v>57166.509725119984</v>
      </c>
      <c r="CF30" s="17">
        <f>$CA30+$CB30+$CC30+$CD30</f>
        <v>798134.32840303355</v>
      </c>
      <c r="CG30" s="17">
        <f>$CE30+$CF30</f>
        <v>855300.83812815358</v>
      </c>
      <c r="CH30" s="17">
        <f>CONVERT(N30,"C","F")-CONVERT((N30-8),"C","F")</f>
        <v>14.400000000000006</v>
      </c>
      <c r="CI30" s="17">
        <f>CONVERT(T30,"C","F")-CONVERT(N30,"C","F")</f>
        <v>-73.080000000000013</v>
      </c>
      <c r="CJ30" s="17">
        <f>CM30-8</f>
        <v>16</v>
      </c>
      <c r="CK30" s="17">
        <f>O30+40</f>
        <v>90</v>
      </c>
      <c r="CL30" s="17">
        <f>0.622*7000*(CK30/100)*(6.1078*10^((7.5*CJ30)/(237.3+CJ30)))/(1013.25-(6.1078*10^((7.5*CJ30)/(237.3+CJ30)))*CK30/100)</f>
        <v>71.46880726181422</v>
      </c>
      <c r="CM30" s="17">
        <f>N30</f>
        <v>24</v>
      </c>
      <c r="CN30" s="17">
        <f>O30</f>
        <v>50</v>
      </c>
      <c r="CO30" s="17">
        <f>0.622*7000*(CN30/100)*(6.1078*10^((7.5*CM30)/(237.3+CM30)))/(1013.25-(6.1078*10^((7.5*CM30)/(237.3+CM30)))*CN30/100)</f>
        <v>65.062647806544774</v>
      </c>
      <c r="CP30" s="17">
        <f>CL30-CO30</f>
        <v>6.4061594552694459</v>
      </c>
      <c r="CQ30" s="17">
        <f>T30</f>
        <v>-16.600000000000001</v>
      </c>
      <c r="CR30" s="17">
        <f>U30</f>
        <v>8</v>
      </c>
      <c r="CS30" s="17">
        <f>0.622*7000*(CR30/100)*(6.1078*10^((7.5*CQ30)/(237.3+CQ30)))/(1013.25-(6.1078*10^((7.5*CQ30)/(237.3+CQ30)))*CR30/100)</f>
        <v>0.57291417407581968</v>
      </c>
      <c r="CT30" s="17">
        <f>CM30</f>
        <v>24</v>
      </c>
      <c r="CU30" s="17">
        <f>O30</f>
        <v>50</v>
      </c>
      <c r="CV30" s="17">
        <f>0.622*7000*(CU30/100)*(6.1078*10^((7.5*CT30)/(237.3+CT30)))/(1013.25-(6.1078*10^((7.5*CT30)/(237.3+CT30)))*CU30/100)</f>
        <v>65.062647806544774</v>
      </c>
      <c r="CW30" s="17">
        <f>CS30-CV30</f>
        <v>-64.489733632468955</v>
      </c>
      <c r="CX30" s="17">
        <f t="shared" ref="CX30:CY45" si="137">($E30*$G30*10.76*2+$F30*$G30*2*10.76)*$CI30*0.45</f>
        <v>-8492.4806400000016</v>
      </c>
      <c r="CY30" s="17">
        <f t="shared" si="137"/>
        <v>-8492.4806400000016</v>
      </c>
      <c r="CZ30" s="17">
        <f>($E30*$F30*10.76)*$CH30*0.45</f>
        <v>627.52320000000032</v>
      </c>
      <c r="DA30" s="17">
        <f>($E30*$F30*10.76)*$CI30*0.45</f>
        <v>-3184.6802400000006</v>
      </c>
      <c r="DB30" s="17">
        <f>$H30*285*1.08*$CI30</f>
        <v>-22494.024000000005</v>
      </c>
      <c r="DC30" s="17">
        <f>$I30*1000*3.412</f>
        <v>6824</v>
      </c>
      <c r="DD30" s="17">
        <f>$J30*$X30*3.412</f>
        <v>578.23163999999997</v>
      </c>
      <c r="DE30" s="17">
        <f>$K30*1.08*375*$CH30</f>
        <v>17496.000000000007</v>
      </c>
      <c r="DF30" s="17">
        <f>($AA30+$AB30)*1.08*$CI30</f>
        <v>-37604.704273920004</v>
      </c>
      <c r="DG30" s="17"/>
      <c r="DH30" s="17">
        <f>$H30*200*0.68*CW30</f>
        <v>-8770.6037740157772</v>
      </c>
      <c r="DI30" s="17">
        <f>$K30*375*0.68*CW30</f>
        <v>-49334.646228838748</v>
      </c>
      <c r="DJ30" s="17">
        <f>(AA30+AB30)*0.68*CW30</f>
        <v>-20893.893629101924</v>
      </c>
      <c r="DK30" s="17">
        <f>(Z30-AA30)*0.68*CP30</f>
        <v>7056.7617936486013</v>
      </c>
      <c r="DL30" s="17">
        <f>CX30+DA30+CZ30+DB30+DC30+DD30+DE30+DF30</f>
        <v>-46250.134313920003</v>
      </c>
      <c r="DM30" s="17">
        <f>DH30+DI30+DJ30+DK30</f>
        <v>-71942.381838307847</v>
      </c>
      <c r="DN30" s="17">
        <f>DL30+DM30</f>
        <v>-118192.51615222785</v>
      </c>
    </row>
    <row r="31" spans="3:120" ht="18.600000000000001">
      <c r="C31" s="13">
        <f>IF(D31&lt;&gt;"",COUNTA($D$10:D31),"")</f>
        <v>19</v>
      </c>
      <c r="D31" s="14" t="s">
        <v>201</v>
      </c>
      <c r="E31" s="14">
        <v>1.8</v>
      </c>
      <c r="F31" s="14">
        <v>2.2000000000000002</v>
      </c>
      <c r="G31" s="14">
        <v>2.4</v>
      </c>
      <c r="H31" s="14">
        <v>2</v>
      </c>
      <c r="I31" s="14">
        <v>1</v>
      </c>
      <c r="J31" s="14">
        <v>1.75</v>
      </c>
      <c r="K31" s="14">
        <v>3</v>
      </c>
      <c r="L31" s="15">
        <v>0.1</v>
      </c>
      <c r="M31" s="15">
        <v>0</v>
      </c>
      <c r="N31" s="14">
        <v>24</v>
      </c>
      <c r="O31" s="14">
        <v>50</v>
      </c>
      <c r="P31" s="13">
        <v>45</v>
      </c>
      <c r="Q31" s="13">
        <v>85</v>
      </c>
      <c r="R31" s="13" t="s">
        <v>17</v>
      </c>
      <c r="S31" s="13">
        <v>160</v>
      </c>
      <c r="T31" s="13">
        <v>0</v>
      </c>
      <c r="U31" s="13">
        <v>100</v>
      </c>
      <c r="V31" s="13" t="str">
        <f t="shared" ref="V31:V45" si="138">R31</f>
        <v>ISO 6</v>
      </c>
      <c r="W31" s="13">
        <f t="shared" ref="W31:W45" si="139">S31</f>
        <v>160</v>
      </c>
      <c r="X31" s="16">
        <f t="shared" ref="X31:X45" si="140">E31*F31*10.76</f>
        <v>42.6096</v>
      </c>
      <c r="Y31" s="16">
        <f t="shared" ref="Y31:Y45" si="141">X31*G31*3.28</f>
        <v>335.4227712</v>
      </c>
      <c r="Z31" s="16">
        <f t="shared" ref="Z31:Z45" si="142">Y31*S31/60</f>
        <v>894.46072319999996</v>
      </c>
      <c r="AA31" s="16">
        <f t="shared" ref="AA31:AA45" si="143">Z31*L31</f>
        <v>89.446072319999999</v>
      </c>
      <c r="AB31" s="16">
        <f t="shared" ref="AB31:AB45" si="144">IF(N31="Amb",Z31,Z31*M31)</f>
        <v>0</v>
      </c>
      <c r="AC31" s="16">
        <f t="shared" ref="AC31:AC45" si="145">IF(ISNUMBER(N31), (AA31*0.075*60/2.20462)*BP31/7000, "Ambient")</f>
        <v>8.2283327481566815</v>
      </c>
      <c r="AD31" s="16">
        <f t="shared" ref="AD31:AD37" si="146">IF(ISNUMBER(N31), CEILING(CF31/(0.68*BP31),25), "Ambient")</f>
        <v>2425</v>
      </c>
      <c r="AE31" s="16">
        <f t="shared" ref="AE31:AE45" si="147">CEILING(MAX((Z31+AA31),AD31),25)</f>
        <v>2425</v>
      </c>
      <c r="AF31" s="16">
        <f t="shared" ref="AF31:AF45" si="148">CEILING(IF(OR($R31="ISO 6",$R31="GRADE B",$R31="1K",$R31=1000),AE31*1/175,IF(OR($R31="ISO 5",$R31="GRADE A",$R31=100),AE31*1/100,IF(OR($R31="ISO 7",$R31="GRADE C",$R31="10K",$R31=10000),$AE31*1/250,IF(OR($R31="ISO 8",$R31="GRADE D",$R31="100K",$R31=100000),$AE31*1/250,IF(OR($R31="NC",$R31="20 Micron",$R31="5 Micron",$R31="N C"),$AE31*1/350,0))))),2)</f>
        <v>14</v>
      </c>
      <c r="AG31" s="16">
        <f t="shared" ref="AG31:AG45" si="149">IF(ISNUMBER(N31), CEILING(MAX(AI31,AJ31),0.5), "Ambient")</f>
        <v>6.5</v>
      </c>
      <c r="AH31" s="838" t="s">
        <v>85</v>
      </c>
      <c r="AI31" s="17">
        <f t="shared" ref="AI31:AI45" si="150">IF(ISNUMBER(N31), CEILING(CE31/12000,0.5), "Ambient")</f>
        <v>4.5</v>
      </c>
      <c r="AJ31" s="17">
        <f t="shared" ref="AJ31:AJ45" si="151">IF(ISNUMBER(N31),CEILING(AE31/(IF(AH31="C",400,300)),0.5), "Ambient")</f>
        <v>6.5</v>
      </c>
      <c r="AK31" s="891"/>
      <c r="AL31" s="18">
        <f>IF(AK30&lt;=2000,950,(IF(AK30&lt;=3000,1150,(IF(AK30&lt;=8000,1550,(IF(AK30&lt;=10000,1750,(IF(AK30&lt;=18000,2050,(IF(AK30&lt;=32000,2900,(IF(AK30&lt;=40000,3600,4000)))))))))))))</f>
        <v>4000</v>
      </c>
      <c r="AM31" s="889"/>
      <c r="AN31" s="891"/>
      <c r="AO31" s="888"/>
      <c r="AP31" s="891"/>
      <c r="AQ31" s="891"/>
      <c r="AR31" s="889"/>
      <c r="AS31" s="888"/>
      <c r="AT31" s="888"/>
      <c r="AU31" s="890"/>
      <c r="AV31" s="888"/>
      <c r="AW31" s="888"/>
      <c r="AX31" s="888"/>
      <c r="AY31" s="887"/>
      <c r="AZ31" s="888"/>
      <c r="BA31" s="17">
        <f t="shared" ref="BA31:BA45" si="152">-CONVERT(N31,"C","F")+CONVERT((N31+8),"C","F")</f>
        <v>14.399999999999991</v>
      </c>
      <c r="BB31" s="17">
        <f t="shared" ref="BB31:BB45" si="153">CONVERT(P31,"C","F")-CONVERT(N31,"C","F")</f>
        <v>37.799999999999997</v>
      </c>
      <c r="BC31" s="17">
        <f t="shared" ref="BC31:BC45" si="154">BF31+8</f>
        <v>32</v>
      </c>
      <c r="BD31" s="17">
        <f t="shared" ref="BD31:BD45" si="155">BG31+35</f>
        <v>85</v>
      </c>
      <c r="BE31" s="17">
        <f t="shared" ref="BE31:BE45" si="156">0.622*7000*(BD31/100)*(6.1078*10^((7.5*BC31)/(237.3+BC31)))/(1013.25-(6.1078*10^((7.5*BC31)/(237.3+BC31)))*BD31/100)</f>
        <v>180.86341983910182</v>
      </c>
      <c r="BF31" s="17">
        <f t="shared" ref="BF31:BF45" si="157">N31</f>
        <v>24</v>
      </c>
      <c r="BG31" s="17">
        <f t="shared" ref="BG31:BG45" si="158">O31</f>
        <v>50</v>
      </c>
      <c r="BH31" s="17">
        <f t="shared" ref="BH31:BH45" si="159">0.622*7000*(BG31/100)*(6.1078*10^((7.5*BF31)/(237.3+BF31)))/(1013.25-(6.1078*10^((7.5*BF31)/(237.3+BF31)))*BG31/100)</f>
        <v>65.062647806544774</v>
      </c>
      <c r="BI31" s="17">
        <f t="shared" ref="BI31:BI45" si="160">BE31-BH31</f>
        <v>115.80077203255705</v>
      </c>
      <c r="BJ31" s="17">
        <f t="shared" ref="BJ31:BJ45" si="161">P31</f>
        <v>45</v>
      </c>
      <c r="BK31" s="17">
        <f t="shared" ref="BK31:BK45" si="162">Q31</f>
        <v>85</v>
      </c>
      <c r="BL31" s="17">
        <f t="shared" ref="BL31:BL45" si="163">0.622*7000*(BK31/100)*(6.1078*10^((7.5*BJ31)/(237.3+BJ31)))/(1013.25-(6.1078*10^((7.5*BJ31)/(237.3+BJ31)))*BK31/100)</f>
        <v>380.54120080897206</v>
      </c>
      <c r="BM31" s="17">
        <f t="shared" ref="BM31:BM45" si="164">BF31</f>
        <v>24</v>
      </c>
      <c r="BN31" s="17">
        <f t="shared" ref="BN31:BN45" si="165">BG31</f>
        <v>50</v>
      </c>
      <c r="BO31" s="17">
        <f t="shared" ref="BO31:BO45" si="166">0.622*7000*(BN31/100)*(6.1078*10^((7.5*BM31)/(237.3+BM31)))/(1013.25-(6.1078*10^((7.5*BM31)/(237.3+BM31)))*BN31/100)</f>
        <v>65.062647806544774</v>
      </c>
      <c r="BP31" s="17">
        <f t="shared" ref="BP31:BP45" si="167">BL31-BO31</f>
        <v>315.4785530024273</v>
      </c>
      <c r="BQ31" s="17">
        <f t="shared" ref="BQ31:BQ45" si="168">(E31*G31*10.76*2+F31*G31*2*10.76)*BB31*0.45</f>
        <v>3514.1299199999999</v>
      </c>
      <c r="BR31" s="17">
        <f t="shared" ref="BR31:BR45" si="169">(E31*G31*10.76*2+F31*G31*2*10.76)*BA31*0.45</f>
        <v>1338.7161599999993</v>
      </c>
      <c r="BS31" s="17">
        <f t="shared" ref="BS31:BS45" si="170">(E31*F31*10.76)*BA31*0.45</f>
        <v>276.11020799999983</v>
      </c>
      <c r="BT31" s="17">
        <f t="shared" ref="BT31:BT45" si="171">(E31*F31*10.76)*BB31*0.45</f>
        <v>724.78929599999992</v>
      </c>
      <c r="BU31" s="17">
        <f t="shared" ref="BU31:BU45" si="172">H31*285*1.08*BB31</f>
        <v>23269.68</v>
      </c>
      <c r="BV31" s="17">
        <f t="shared" ref="BV31:BV45" si="173">I31*1000*3.412</f>
        <v>3412</v>
      </c>
      <c r="BW31" s="17">
        <f t="shared" ref="BW31:BW45" si="174">J31*X31*3.412</f>
        <v>254.42192159999999</v>
      </c>
      <c r="BX31" s="17">
        <f t="shared" ref="BX31:BX45" si="175">K31*1.08*375*BA31</f>
        <v>17495.999999999989</v>
      </c>
      <c r="BY31" s="17">
        <f t="shared" ref="BY31:BY45" si="176">(AA31+AB31)*1.08*BB31</f>
        <v>3651.5464563916798</v>
      </c>
      <c r="BZ31" s="17"/>
      <c r="CA31" s="17">
        <f t="shared" ref="CA31:CA45" si="177">H31*200*0.68*BP31</f>
        <v>85810.166416660228</v>
      </c>
      <c r="CB31" s="17">
        <f t="shared" ref="CB31:CB45" si="178">K31*375*0.68*BP31</f>
        <v>241341.0930468569</v>
      </c>
      <c r="CC31" s="17">
        <f t="shared" ref="CC31:CC45" si="179">(AA31+AB31)*0.68*BP31</f>
        <v>19188.455877739565</v>
      </c>
      <c r="CD31" s="17">
        <f t="shared" ref="CD31:CD45" si="180">($Z31-$AA31)*0.68*$BP31</f>
        <v>172696.10289965611</v>
      </c>
      <c r="CE31" s="17">
        <f t="shared" ref="CE31:CE45" si="181">$BQ31+$BU31+$BV31+$BW31+$BX31+$BY31</f>
        <v>51597.778297991674</v>
      </c>
      <c r="CF31" s="17">
        <f t="shared" ref="CF31:CF45" si="182">$CA31+$CB31+$CC31+$CD31</f>
        <v>519035.81824091281</v>
      </c>
      <c r="CG31" s="17">
        <f t="shared" ref="CG31:CG45" si="183">$CE31+$CF31</f>
        <v>570633.59653890447</v>
      </c>
      <c r="CH31" s="17">
        <f t="shared" ref="CH31:CH45" si="184">CONVERT(N31,"C","F")-CONVERT((N31-8),"C","F")</f>
        <v>14.400000000000006</v>
      </c>
      <c r="CI31" s="17">
        <f t="shared" ref="CI31:CI45" si="185">CONVERT(T31,"C","F")-CONVERT(N31,"C","F")</f>
        <v>-43.2</v>
      </c>
      <c r="CJ31" s="17">
        <f t="shared" ref="CJ31:CJ45" si="186">CM31-8</f>
        <v>16</v>
      </c>
      <c r="CK31" s="17">
        <f t="shared" ref="CK31:CK45" si="187">O31+40</f>
        <v>90</v>
      </c>
      <c r="CL31" s="17">
        <f t="shared" ref="CL31:CL45" si="188">0.622*7000*(CK31/100)*(6.1078*10^((7.5*CJ31)/(237.3+CJ31)))/(1013.25-(6.1078*10^((7.5*CJ31)/(237.3+CJ31)))*CK31/100)</f>
        <v>71.46880726181422</v>
      </c>
      <c r="CM31" s="17">
        <f t="shared" ref="CM31:CM45" si="189">N31</f>
        <v>24</v>
      </c>
      <c r="CN31" s="17">
        <f t="shared" ref="CN31:CN45" si="190">O31</f>
        <v>50</v>
      </c>
      <c r="CO31" s="17">
        <f t="shared" ref="CO31:CO45" si="191">0.622*7000*(CN31/100)*(6.1078*10^((7.5*CM31)/(237.3+CM31)))/(1013.25-(6.1078*10^((7.5*CM31)/(237.3+CM31)))*CN31/100)</f>
        <v>65.062647806544774</v>
      </c>
      <c r="CP31" s="17">
        <f t="shared" ref="CP31:CP45" si="192">CL31-CO31</f>
        <v>6.4061594552694459</v>
      </c>
      <c r="CQ31" s="17">
        <f t="shared" ref="CQ31:CQ45" si="193">T31</f>
        <v>0</v>
      </c>
      <c r="CR31" s="17">
        <f t="shared" ref="CR31:CR45" si="194">U31</f>
        <v>100</v>
      </c>
      <c r="CS31" s="17">
        <f t="shared" ref="CS31:CS45" si="195">0.622*7000*(CR31/100)*(6.1078*10^((7.5*CQ31)/(237.3+CQ31)))/(1013.25-(6.1078*10^((7.5*CQ31)/(237.3+CQ31)))*CR31/100)</f>
        <v>26.404773030064671</v>
      </c>
      <c r="CT31" s="17">
        <f t="shared" ref="CT31:CT45" si="196">CM31</f>
        <v>24</v>
      </c>
      <c r="CU31" s="17">
        <f t="shared" ref="CU31:CU45" si="197">O31</f>
        <v>50</v>
      </c>
      <c r="CV31" s="17">
        <f t="shared" ref="CV31:CV45" si="198">0.622*7000*(CU31/100)*(6.1078*10^((7.5*CT31)/(237.3+CT31)))/(1013.25-(6.1078*10^((7.5*CT31)/(237.3+CT31)))*CU31/100)</f>
        <v>65.062647806544774</v>
      </c>
      <c r="CW31" s="17">
        <f t="shared" ref="CW31:CW45" si="199">CS31-CV31</f>
        <v>-38.657874776480099</v>
      </c>
      <c r="CX31" s="17">
        <f t="shared" si="137"/>
        <v>-4016.1484800000003</v>
      </c>
      <c r="CY31" s="17">
        <f t="shared" si="137"/>
        <v>-4016.1484800000003</v>
      </c>
      <c r="CZ31" s="17">
        <f t="shared" ref="CZ31:CZ45" si="200">($E31*$F31*10.76)*$CH31*0.45</f>
        <v>276.11020800000011</v>
      </c>
      <c r="DA31" s="17">
        <f t="shared" ref="DA31:DA45" si="201">($E31*$F31*10.76)*$CI31*0.45</f>
        <v>-828.33062400000006</v>
      </c>
      <c r="DB31" s="17">
        <f t="shared" ref="DB31:DB45" si="202">$H31*285*1.08*$CI31</f>
        <v>-26593.920000000002</v>
      </c>
      <c r="DC31" s="17">
        <f t="shared" ref="DC31:DC45" si="203">$I31*1000*3.412</f>
        <v>3412</v>
      </c>
      <c r="DD31" s="17">
        <f t="shared" ref="DD31:DD45" si="204">$J31*$X31*3.412</f>
        <v>254.42192159999999</v>
      </c>
      <c r="DE31" s="17">
        <f t="shared" ref="DE31:DE45" si="205">$K31*1.08*375*$CH31</f>
        <v>17496.000000000007</v>
      </c>
      <c r="DF31" s="17">
        <f t="shared" ref="DF31:DF45" si="206">($AA31+$AB31)*1.08*$CI31</f>
        <v>-4173.1959501619203</v>
      </c>
      <c r="DG31" s="17"/>
      <c r="DH31" s="17">
        <f t="shared" ref="DH31:DH45" si="207">$H31*200*0.68*CW31</f>
        <v>-10514.941939202587</v>
      </c>
      <c r="DI31" s="17">
        <f t="shared" ref="DI31:DI45" si="208">$K31*375*0.68*CW31</f>
        <v>-29573.274204007277</v>
      </c>
      <c r="DJ31" s="17">
        <f t="shared" ref="DJ31:DJ45" si="209">(AA31+AB31)*0.68*CW31</f>
        <v>-2351.3006428362892</v>
      </c>
      <c r="DK31" s="17">
        <f t="shared" ref="DK31:DK45" si="210">(Z31-AA31)*0.68*CP31</f>
        <v>3506.7955078084342</v>
      </c>
      <c r="DL31" s="17">
        <f t="shared" ref="DL31:DL45" si="211">CX31+DA31+CZ31+DB31+DC31+DD31+DE31+DF31</f>
        <v>-14173.062924561917</v>
      </c>
      <c r="DM31" s="17">
        <f t="shared" ref="DM31:DM45" si="212">DH31+DI31+DJ31+DK31</f>
        <v>-38932.721278237717</v>
      </c>
      <c r="DN31" s="17">
        <f t="shared" ref="DN31:DN45" si="213">DL31+DM31</f>
        <v>-53105.784202799638</v>
      </c>
    </row>
    <row r="32" spans="3:120" ht="18.600000000000001">
      <c r="C32" s="13">
        <f>IF(D32&lt;&gt;"",COUNTA($D$10:D32),"")</f>
        <v>20</v>
      </c>
      <c r="D32" s="14" t="s">
        <v>202</v>
      </c>
      <c r="E32" s="14">
        <v>1.5</v>
      </c>
      <c r="F32" s="14">
        <v>2.8</v>
      </c>
      <c r="G32" s="14">
        <v>2.4</v>
      </c>
      <c r="H32" s="14">
        <v>2</v>
      </c>
      <c r="I32" s="14">
        <v>3</v>
      </c>
      <c r="J32" s="14">
        <v>1.75</v>
      </c>
      <c r="K32" s="14">
        <v>3</v>
      </c>
      <c r="L32" s="15">
        <v>0.1</v>
      </c>
      <c r="M32" s="15">
        <v>0</v>
      </c>
      <c r="N32" s="14">
        <v>24</v>
      </c>
      <c r="O32" s="14">
        <v>50</v>
      </c>
      <c r="P32" s="13">
        <v>45</v>
      </c>
      <c r="Q32" s="13">
        <v>85</v>
      </c>
      <c r="R32" s="13" t="s">
        <v>17</v>
      </c>
      <c r="S32" s="13">
        <v>160</v>
      </c>
      <c r="T32" s="13">
        <v>0</v>
      </c>
      <c r="U32" s="13">
        <v>100</v>
      </c>
      <c r="V32" s="13" t="str">
        <f t="shared" si="138"/>
        <v>ISO 6</v>
      </c>
      <c r="W32" s="13">
        <f t="shared" si="139"/>
        <v>160</v>
      </c>
      <c r="X32" s="16">
        <f t="shared" si="140"/>
        <v>45.191999999999993</v>
      </c>
      <c r="Y32" s="16">
        <f t="shared" si="141"/>
        <v>355.75142399999993</v>
      </c>
      <c r="Z32" s="16">
        <f t="shared" si="142"/>
        <v>948.67046399999992</v>
      </c>
      <c r="AA32" s="16">
        <f t="shared" si="143"/>
        <v>94.867046399999992</v>
      </c>
      <c r="AB32" s="16">
        <f t="shared" si="144"/>
        <v>0</v>
      </c>
      <c r="AC32" s="16">
        <f t="shared" si="145"/>
        <v>8.7270195813782987</v>
      </c>
      <c r="AD32" s="16">
        <f t="shared" si="146"/>
        <v>2475</v>
      </c>
      <c r="AE32" s="16">
        <f t="shared" si="147"/>
        <v>2475</v>
      </c>
      <c r="AF32" s="16">
        <f t="shared" si="148"/>
        <v>16</v>
      </c>
      <c r="AG32" s="16">
        <f t="shared" si="149"/>
        <v>6.5</v>
      </c>
      <c r="AH32" s="838" t="s">
        <v>85</v>
      </c>
      <c r="AI32" s="17">
        <f t="shared" si="150"/>
        <v>5</v>
      </c>
      <c r="AJ32" s="17">
        <f t="shared" si="151"/>
        <v>6.5</v>
      </c>
      <c r="AK32" s="891"/>
      <c r="AL32" s="18" t="s">
        <v>255</v>
      </c>
      <c r="AM32" s="889"/>
      <c r="AN32" s="891"/>
      <c r="AO32" s="888"/>
      <c r="AP32" s="891"/>
      <c r="AQ32" s="891"/>
      <c r="AR32" s="889"/>
      <c r="AS32" s="888"/>
      <c r="AT32" s="888"/>
      <c r="AU32" s="890"/>
      <c r="AV32" s="888"/>
      <c r="AW32" s="888"/>
      <c r="AX32" s="888"/>
      <c r="AY32" s="887"/>
      <c r="AZ32" s="888"/>
      <c r="BA32" s="17">
        <f t="shared" si="152"/>
        <v>14.399999999999991</v>
      </c>
      <c r="BB32" s="17">
        <f t="shared" si="153"/>
        <v>37.799999999999997</v>
      </c>
      <c r="BC32" s="17">
        <f t="shared" si="154"/>
        <v>32</v>
      </c>
      <c r="BD32" s="17">
        <f t="shared" si="155"/>
        <v>85</v>
      </c>
      <c r="BE32" s="17">
        <f t="shared" si="156"/>
        <v>180.86341983910182</v>
      </c>
      <c r="BF32" s="17">
        <f t="shared" si="157"/>
        <v>24</v>
      </c>
      <c r="BG32" s="17">
        <f t="shared" si="158"/>
        <v>50</v>
      </c>
      <c r="BH32" s="17">
        <f t="shared" si="159"/>
        <v>65.062647806544774</v>
      </c>
      <c r="BI32" s="17">
        <f t="shared" si="160"/>
        <v>115.80077203255705</v>
      </c>
      <c r="BJ32" s="17">
        <f t="shared" si="161"/>
        <v>45</v>
      </c>
      <c r="BK32" s="17">
        <f t="shared" si="162"/>
        <v>85</v>
      </c>
      <c r="BL32" s="17">
        <f t="shared" si="163"/>
        <v>380.54120080897206</v>
      </c>
      <c r="BM32" s="17">
        <f t="shared" si="164"/>
        <v>24</v>
      </c>
      <c r="BN32" s="17">
        <f t="shared" si="165"/>
        <v>50</v>
      </c>
      <c r="BO32" s="17">
        <f t="shared" si="166"/>
        <v>65.062647806544774</v>
      </c>
      <c r="BP32" s="17">
        <f t="shared" si="167"/>
        <v>315.4785530024273</v>
      </c>
      <c r="BQ32" s="17">
        <f t="shared" si="168"/>
        <v>3777.6896639999995</v>
      </c>
      <c r="BR32" s="17">
        <f t="shared" si="169"/>
        <v>1439.1198719999991</v>
      </c>
      <c r="BS32" s="17">
        <f t="shared" si="170"/>
        <v>292.84415999999976</v>
      </c>
      <c r="BT32" s="17">
        <f t="shared" si="171"/>
        <v>768.71591999999987</v>
      </c>
      <c r="BU32" s="17">
        <f t="shared" si="172"/>
        <v>23269.68</v>
      </c>
      <c r="BV32" s="17">
        <f t="shared" si="173"/>
        <v>10236</v>
      </c>
      <c r="BW32" s="17">
        <f t="shared" si="174"/>
        <v>269.84143199999994</v>
      </c>
      <c r="BX32" s="17">
        <f t="shared" si="175"/>
        <v>17495.999999999989</v>
      </c>
      <c r="BY32" s="17">
        <f t="shared" si="176"/>
        <v>3872.8523022335999</v>
      </c>
      <c r="BZ32" s="17"/>
      <c r="CA32" s="17">
        <f t="shared" si="177"/>
        <v>85810.166416660228</v>
      </c>
      <c r="CB32" s="17">
        <f t="shared" si="178"/>
        <v>241341.0930468569</v>
      </c>
      <c r="CC32" s="17">
        <f t="shared" si="179"/>
        <v>20351.392597602571</v>
      </c>
      <c r="CD32" s="17">
        <f t="shared" si="180"/>
        <v>183162.5333784231</v>
      </c>
      <c r="CE32" s="17">
        <f t="shared" si="181"/>
        <v>58922.063398233586</v>
      </c>
      <c r="CF32" s="17">
        <f t="shared" si="182"/>
        <v>530665.18543954275</v>
      </c>
      <c r="CG32" s="17">
        <f t="shared" si="183"/>
        <v>589587.24883777637</v>
      </c>
      <c r="CH32" s="17">
        <f t="shared" si="184"/>
        <v>14.400000000000006</v>
      </c>
      <c r="CI32" s="17">
        <f t="shared" si="185"/>
        <v>-43.2</v>
      </c>
      <c r="CJ32" s="17">
        <f t="shared" si="186"/>
        <v>16</v>
      </c>
      <c r="CK32" s="17">
        <f t="shared" si="187"/>
        <v>90</v>
      </c>
      <c r="CL32" s="17">
        <f t="shared" si="188"/>
        <v>71.46880726181422</v>
      </c>
      <c r="CM32" s="17">
        <f t="shared" si="189"/>
        <v>24</v>
      </c>
      <c r="CN32" s="17">
        <f t="shared" si="190"/>
        <v>50</v>
      </c>
      <c r="CO32" s="17">
        <f t="shared" si="191"/>
        <v>65.062647806544774</v>
      </c>
      <c r="CP32" s="17">
        <f t="shared" si="192"/>
        <v>6.4061594552694459</v>
      </c>
      <c r="CQ32" s="17">
        <f t="shared" si="193"/>
        <v>0</v>
      </c>
      <c r="CR32" s="17">
        <f t="shared" si="194"/>
        <v>100</v>
      </c>
      <c r="CS32" s="17">
        <f t="shared" si="195"/>
        <v>26.404773030064671</v>
      </c>
      <c r="CT32" s="17">
        <f t="shared" si="196"/>
        <v>24</v>
      </c>
      <c r="CU32" s="17">
        <f t="shared" si="197"/>
        <v>50</v>
      </c>
      <c r="CV32" s="17">
        <f t="shared" si="198"/>
        <v>65.062647806544774</v>
      </c>
      <c r="CW32" s="17">
        <f t="shared" si="199"/>
        <v>-38.657874776480099</v>
      </c>
      <c r="CX32" s="17">
        <f t="shared" si="137"/>
        <v>-4317.3596159999997</v>
      </c>
      <c r="CY32" s="17">
        <f t="shared" si="137"/>
        <v>-4317.3596159999997</v>
      </c>
      <c r="CZ32" s="17">
        <f t="shared" si="200"/>
        <v>292.8441600000001</v>
      </c>
      <c r="DA32" s="17">
        <f t="shared" si="201"/>
        <v>-878.53247999999996</v>
      </c>
      <c r="DB32" s="17">
        <f t="shared" si="202"/>
        <v>-26593.920000000002</v>
      </c>
      <c r="DC32" s="17">
        <f t="shared" si="203"/>
        <v>10236</v>
      </c>
      <c r="DD32" s="17">
        <f t="shared" si="204"/>
        <v>269.84143199999994</v>
      </c>
      <c r="DE32" s="17">
        <f t="shared" si="205"/>
        <v>17496.000000000007</v>
      </c>
      <c r="DF32" s="17">
        <f t="shared" si="206"/>
        <v>-4426.1169168384004</v>
      </c>
      <c r="DG32" s="17"/>
      <c r="DH32" s="17">
        <f t="shared" si="207"/>
        <v>-10514.941939202587</v>
      </c>
      <c r="DI32" s="17">
        <f t="shared" si="208"/>
        <v>-29573.274204007277</v>
      </c>
      <c r="DJ32" s="17">
        <f t="shared" si="209"/>
        <v>-2493.8037120990948</v>
      </c>
      <c r="DK32" s="17">
        <f t="shared" si="210"/>
        <v>3719.3285688877327</v>
      </c>
      <c r="DL32" s="17">
        <f t="shared" si="211"/>
        <v>-7921.2434208383929</v>
      </c>
      <c r="DM32" s="17">
        <f t="shared" si="212"/>
        <v>-38862.691286421228</v>
      </c>
      <c r="DN32" s="17">
        <f t="shared" si="213"/>
        <v>-46783.934707259621</v>
      </c>
    </row>
    <row r="33" spans="3:120" ht="18.600000000000001">
      <c r="C33" s="13">
        <f>IF(D33&lt;&gt;"",COUNTA($D$10:D33),"")</f>
        <v>21</v>
      </c>
      <c r="D33" s="14" t="s">
        <v>203</v>
      </c>
      <c r="E33" s="14">
        <v>2.1</v>
      </c>
      <c r="F33" s="14">
        <v>3.5</v>
      </c>
      <c r="G33" s="14">
        <v>2.4</v>
      </c>
      <c r="H33" s="14">
        <v>0</v>
      </c>
      <c r="I33" s="14">
        <v>1</v>
      </c>
      <c r="J33" s="14">
        <v>1.75</v>
      </c>
      <c r="K33" s="14">
        <v>3</v>
      </c>
      <c r="L33" s="15">
        <v>0.1</v>
      </c>
      <c r="M33" s="15">
        <v>0</v>
      </c>
      <c r="N33" s="14">
        <v>24</v>
      </c>
      <c r="O33" s="14">
        <v>50</v>
      </c>
      <c r="P33" s="13">
        <v>45</v>
      </c>
      <c r="Q33" s="13">
        <v>85</v>
      </c>
      <c r="R33" s="13" t="s">
        <v>17</v>
      </c>
      <c r="S33" s="13">
        <v>160</v>
      </c>
      <c r="T33" s="13">
        <v>0</v>
      </c>
      <c r="U33" s="13">
        <v>100</v>
      </c>
      <c r="V33" s="13" t="str">
        <f t="shared" si="138"/>
        <v>ISO 6</v>
      </c>
      <c r="W33" s="13">
        <f t="shared" si="139"/>
        <v>160</v>
      </c>
      <c r="X33" s="16">
        <f t="shared" si="140"/>
        <v>79.085999999999999</v>
      </c>
      <c r="Y33" s="16">
        <f t="shared" si="141"/>
        <v>622.56499199999996</v>
      </c>
      <c r="Z33" s="16">
        <f t="shared" si="142"/>
        <v>1660.1733119999999</v>
      </c>
      <c r="AA33" s="16">
        <f t="shared" si="143"/>
        <v>166.0173312</v>
      </c>
      <c r="AB33" s="16">
        <f t="shared" si="144"/>
        <v>0</v>
      </c>
      <c r="AC33" s="16">
        <f t="shared" si="145"/>
        <v>15.272284267412026</v>
      </c>
      <c r="AD33" s="16">
        <f t="shared" si="146"/>
        <v>2800</v>
      </c>
      <c r="AE33" s="16">
        <f t="shared" si="147"/>
        <v>2800</v>
      </c>
      <c r="AF33" s="16">
        <f t="shared" si="148"/>
        <v>16</v>
      </c>
      <c r="AG33" s="16">
        <f t="shared" si="149"/>
        <v>7</v>
      </c>
      <c r="AH33" s="838" t="s">
        <v>85</v>
      </c>
      <c r="AI33" s="17">
        <f t="shared" si="150"/>
        <v>3</v>
      </c>
      <c r="AJ33" s="17">
        <f t="shared" si="151"/>
        <v>7</v>
      </c>
      <c r="AK33" s="891"/>
      <c r="AL33" s="18">
        <f>IF(AK30&lt;=2000,950,(IF(AK30&lt;=4000,1100,(IF(AK30&lt;=6000,1250,(IF(AK30&lt;=10000,1550,(IF(AK30&lt;=15000,1750,(IF(AK30&lt;=24000,2050,(IF(AK30&lt;=40000,2900,3600)))))))))))))</f>
        <v>3600</v>
      </c>
      <c r="AM33" s="889"/>
      <c r="AN33" s="891"/>
      <c r="AO33" s="888"/>
      <c r="AP33" s="891"/>
      <c r="AQ33" s="891"/>
      <c r="AR33" s="889"/>
      <c r="AS33" s="888"/>
      <c r="AT33" s="888"/>
      <c r="AU33" s="890"/>
      <c r="AV33" s="888"/>
      <c r="AW33" s="888"/>
      <c r="AX33" s="888"/>
      <c r="AY33" s="887"/>
      <c r="AZ33" s="888"/>
      <c r="BA33" s="17">
        <f t="shared" si="152"/>
        <v>14.399999999999991</v>
      </c>
      <c r="BB33" s="17">
        <f t="shared" si="153"/>
        <v>37.799999999999997</v>
      </c>
      <c r="BC33" s="17">
        <f t="shared" si="154"/>
        <v>32</v>
      </c>
      <c r="BD33" s="17">
        <f t="shared" si="155"/>
        <v>85</v>
      </c>
      <c r="BE33" s="17">
        <f t="shared" si="156"/>
        <v>180.86341983910182</v>
      </c>
      <c r="BF33" s="17">
        <f t="shared" si="157"/>
        <v>24</v>
      </c>
      <c r="BG33" s="17">
        <f t="shared" si="158"/>
        <v>50</v>
      </c>
      <c r="BH33" s="17">
        <f t="shared" si="159"/>
        <v>65.062647806544774</v>
      </c>
      <c r="BI33" s="17">
        <f t="shared" si="160"/>
        <v>115.80077203255705</v>
      </c>
      <c r="BJ33" s="17">
        <f t="shared" si="161"/>
        <v>45</v>
      </c>
      <c r="BK33" s="17">
        <f t="shared" si="162"/>
        <v>85</v>
      </c>
      <c r="BL33" s="17">
        <f t="shared" si="163"/>
        <v>380.54120080897206</v>
      </c>
      <c r="BM33" s="17">
        <f t="shared" si="164"/>
        <v>24</v>
      </c>
      <c r="BN33" s="17">
        <f t="shared" si="165"/>
        <v>50</v>
      </c>
      <c r="BO33" s="17">
        <f t="shared" si="166"/>
        <v>65.062647806544774</v>
      </c>
      <c r="BP33" s="17">
        <f t="shared" si="167"/>
        <v>315.4785530024273</v>
      </c>
      <c r="BQ33" s="17">
        <f t="shared" si="168"/>
        <v>4919.7818879999995</v>
      </c>
      <c r="BR33" s="17">
        <f t="shared" si="169"/>
        <v>1874.2026239999989</v>
      </c>
      <c r="BS33" s="17">
        <f t="shared" si="170"/>
        <v>512.47727999999972</v>
      </c>
      <c r="BT33" s="17">
        <f t="shared" si="171"/>
        <v>1345.2528599999998</v>
      </c>
      <c r="BU33" s="17">
        <f t="shared" si="172"/>
        <v>0</v>
      </c>
      <c r="BV33" s="17">
        <f t="shared" si="173"/>
        <v>3412</v>
      </c>
      <c r="BW33" s="17">
        <f t="shared" si="174"/>
        <v>472.22250599999995</v>
      </c>
      <c r="BX33" s="17">
        <f t="shared" si="175"/>
        <v>17495.999999999989</v>
      </c>
      <c r="BY33" s="17">
        <f t="shared" si="176"/>
        <v>6777.4915289088003</v>
      </c>
      <c r="BZ33" s="17"/>
      <c r="CA33" s="17">
        <f t="shared" si="177"/>
        <v>0</v>
      </c>
      <c r="CB33" s="17">
        <f t="shared" si="178"/>
        <v>241341.0930468569</v>
      </c>
      <c r="CC33" s="17">
        <f t="shared" si="179"/>
        <v>35614.937045804494</v>
      </c>
      <c r="CD33" s="17">
        <f t="shared" si="180"/>
        <v>320534.43341224047</v>
      </c>
      <c r="CE33" s="17">
        <f t="shared" si="181"/>
        <v>33077.495922908791</v>
      </c>
      <c r="CF33" s="17">
        <f t="shared" si="182"/>
        <v>597490.46350490185</v>
      </c>
      <c r="CG33" s="17">
        <f t="shared" si="183"/>
        <v>630567.95942781062</v>
      </c>
      <c r="CH33" s="17">
        <f t="shared" si="184"/>
        <v>14.400000000000006</v>
      </c>
      <c r="CI33" s="17">
        <f t="shared" si="185"/>
        <v>-43.2</v>
      </c>
      <c r="CJ33" s="17">
        <f t="shared" si="186"/>
        <v>16</v>
      </c>
      <c r="CK33" s="17">
        <f t="shared" si="187"/>
        <v>90</v>
      </c>
      <c r="CL33" s="17">
        <f t="shared" si="188"/>
        <v>71.46880726181422</v>
      </c>
      <c r="CM33" s="17">
        <f t="shared" si="189"/>
        <v>24</v>
      </c>
      <c r="CN33" s="17">
        <f t="shared" si="190"/>
        <v>50</v>
      </c>
      <c r="CO33" s="17">
        <f t="shared" si="191"/>
        <v>65.062647806544774</v>
      </c>
      <c r="CP33" s="17">
        <f t="shared" si="192"/>
        <v>6.4061594552694459</v>
      </c>
      <c r="CQ33" s="17">
        <f t="shared" si="193"/>
        <v>0</v>
      </c>
      <c r="CR33" s="17">
        <f t="shared" si="194"/>
        <v>100</v>
      </c>
      <c r="CS33" s="17">
        <f t="shared" si="195"/>
        <v>26.404773030064671</v>
      </c>
      <c r="CT33" s="17">
        <f t="shared" si="196"/>
        <v>24</v>
      </c>
      <c r="CU33" s="17">
        <f t="shared" si="197"/>
        <v>50</v>
      </c>
      <c r="CV33" s="17">
        <f t="shared" si="198"/>
        <v>65.062647806544774</v>
      </c>
      <c r="CW33" s="17">
        <f t="shared" si="199"/>
        <v>-38.657874776480099</v>
      </c>
      <c r="CX33" s="17">
        <f t="shared" si="137"/>
        <v>-5622.6078720000005</v>
      </c>
      <c r="CY33" s="17">
        <f t="shared" si="137"/>
        <v>-5622.6078720000005</v>
      </c>
      <c r="CZ33" s="17">
        <f t="shared" si="200"/>
        <v>512.47728000000018</v>
      </c>
      <c r="DA33" s="17">
        <f t="shared" si="201"/>
        <v>-1537.4318400000002</v>
      </c>
      <c r="DB33" s="17">
        <f t="shared" si="202"/>
        <v>0</v>
      </c>
      <c r="DC33" s="17">
        <f t="shared" si="203"/>
        <v>3412</v>
      </c>
      <c r="DD33" s="17">
        <f t="shared" si="204"/>
        <v>472.22250599999995</v>
      </c>
      <c r="DE33" s="17">
        <f t="shared" si="205"/>
        <v>17496.000000000007</v>
      </c>
      <c r="DF33" s="17">
        <f t="shared" si="206"/>
        <v>-7745.7046044672006</v>
      </c>
      <c r="DG33" s="17"/>
      <c r="DH33" s="17">
        <f t="shared" si="207"/>
        <v>0</v>
      </c>
      <c r="DI33" s="17">
        <f t="shared" si="208"/>
        <v>-29573.274204007277</v>
      </c>
      <c r="DJ33" s="17">
        <f t="shared" si="209"/>
        <v>-4364.1564961734157</v>
      </c>
      <c r="DK33" s="17">
        <f t="shared" si="210"/>
        <v>6508.824995553533</v>
      </c>
      <c r="DL33" s="17">
        <f t="shared" si="211"/>
        <v>6986.9554695328061</v>
      </c>
      <c r="DM33" s="17">
        <f t="shared" si="212"/>
        <v>-27428.605704627164</v>
      </c>
      <c r="DN33" s="17">
        <f t="shared" si="213"/>
        <v>-20441.650235094356</v>
      </c>
    </row>
    <row r="34" spans="3:120" ht="18.600000000000001">
      <c r="C34" s="13">
        <f>IF(D34&lt;&gt;"",COUNTA($D$10:D34),"")</f>
        <v>22</v>
      </c>
      <c r="D34" s="14" t="s">
        <v>204</v>
      </c>
      <c r="E34" s="14">
        <v>2.7</v>
      </c>
      <c r="F34" s="14">
        <v>4</v>
      </c>
      <c r="G34" s="14">
        <v>2.4</v>
      </c>
      <c r="H34" s="14">
        <v>2</v>
      </c>
      <c r="I34" s="14">
        <v>1</v>
      </c>
      <c r="J34" s="14">
        <v>1.75</v>
      </c>
      <c r="K34" s="14">
        <v>3</v>
      </c>
      <c r="L34" s="15">
        <v>0.1</v>
      </c>
      <c r="M34" s="15">
        <v>0</v>
      </c>
      <c r="N34" s="14">
        <v>24</v>
      </c>
      <c r="O34" s="14">
        <v>50</v>
      </c>
      <c r="P34" s="13">
        <v>45</v>
      </c>
      <c r="Q34" s="13">
        <v>85</v>
      </c>
      <c r="R34" s="13" t="s">
        <v>17</v>
      </c>
      <c r="S34" s="13">
        <v>160</v>
      </c>
      <c r="T34" s="13">
        <v>0</v>
      </c>
      <c r="U34" s="13">
        <v>100</v>
      </c>
      <c r="V34" s="13" t="str">
        <f t="shared" si="138"/>
        <v>ISO 6</v>
      </c>
      <c r="W34" s="13">
        <f t="shared" si="139"/>
        <v>160</v>
      </c>
      <c r="X34" s="16">
        <f t="shared" si="140"/>
        <v>116.208</v>
      </c>
      <c r="Y34" s="16">
        <f t="shared" si="141"/>
        <v>914.78937599999995</v>
      </c>
      <c r="Z34" s="16">
        <f t="shared" si="142"/>
        <v>2439.4383359999997</v>
      </c>
      <c r="AA34" s="16">
        <f t="shared" si="143"/>
        <v>243.94383359999998</v>
      </c>
      <c r="AB34" s="16">
        <f t="shared" si="144"/>
        <v>0</v>
      </c>
      <c r="AC34" s="16">
        <f t="shared" si="145"/>
        <v>22.440907494972773</v>
      </c>
      <c r="AD34" s="16">
        <f t="shared" si="146"/>
        <v>3975</v>
      </c>
      <c r="AE34" s="16">
        <f t="shared" si="147"/>
        <v>3975</v>
      </c>
      <c r="AF34" s="16">
        <f t="shared" si="148"/>
        <v>24</v>
      </c>
      <c r="AG34" s="16">
        <f t="shared" si="149"/>
        <v>10</v>
      </c>
      <c r="AH34" s="838" t="s">
        <v>85</v>
      </c>
      <c r="AI34" s="17">
        <f t="shared" si="150"/>
        <v>5.5</v>
      </c>
      <c r="AJ34" s="17">
        <f t="shared" si="151"/>
        <v>10</v>
      </c>
      <c r="AK34" s="891"/>
      <c r="AL34" s="18" t="s">
        <v>256</v>
      </c>
      <c r="AM34" s="889"/>
      <c r="AN34" s="891"/>
      <c r="AO34" s="888"/>
      <c r="AP34" s="891"/>
      <c r="AQ34" s="891"/>
      <c r="AR34" s="889"/>
      <c r="AS34" s="888"/>
      <c r="AT34" s="888"/>
      <c r="AU34" s="890"/>
      <c r="AV34" s="888"/>
      <c r="AW34" s="888"/>
      <c r="AX34" s="888"/>
      <c r="AY34" s="887"/>
      <c r="AZ34" s="888"/>
      <c r="BA34" s="17">
        <f t="shared" si="152"/>
        <v>14.399999999999991</v>
      </c>
      <c r="BB34" s="17">
        <f t="shared" si="153"/>
        <v>37.799999999999997</v>
      </c>
      <c r="BC34" s="17">
        <f t="shared" si="154"/>
        <v>32</v>
      </c>
      <c r="BD34" s="17">
        <f t="shared" si="155"/>
        <v>85</v>
      </c>
      <c r="BE34" s="17">
        <f t="shared" si="156"/>
        <v>180.86341983910182</v>
      </c>
      <c r="BF34" s="17">
        <f t="shared" si="157"/>
        <v>24</v>
      </c>
      <c r="BG34" s="17">
        <f t="shared" si="158"/>
        <v>50</v>
      </c>
      <c r="BH34" s="17">
        <f t="shared" si="159"/>
        <v>65.062647806544774</v>
      </c>
      <c r="BI34" s="17">
        <f t="shared" si="160"/>
        <v>115.80077203255705</v>
      </c>
      <c r="BJ34" s="17">
        <f t="shared" si="161"/>
        <v>45</v>
      </c>
      <c r="BK34" s="17">
        <f t="shared" si="162"/>
        <v>85</v>
      </c>
      <c r="BL34" s="17">
        <f t="shared" si="163"/>
        <v>380.54120080897206</v>
      </c>
      <c r="BM34" s="17">
        <f t="shared" si="164"/>
        <v>24</v>
      </c>
      <c r="BN34" s="17">
        <f t="shared" si="165"/>
        <v>50</v>
      </c>
      <c r="BO34" s="17">
        <f t="shared" si="166"/>
        <v>65.062647806544774</v>
      </c>
      <c r="BP34" s="17">
        <f t="shared" si="167"/>
        <v>315.4785530024273</v>
      </c>
      <c r="BQ34" s="17">
        <f t="shared" si="168"/>
        <v>5886.1676159999997</v>
      </c>
      <c r="BR34" s="17">
        <f t="shared" si="169"/>
        <v>2242.3495679999987</v>
      </c>
      <c r="BS34" s="17">
        <f t="shared" si="170"/>
        <v>753.02783999999963</v>
      </c>
      <c r="BT34" s="17">
        <f t="shared" si="171"/>
        <v>1976.6980799999997</v>
      </c>
      <c r="BU34" s="17">
        <f t="shared" si="172"/>
        <v>23269.68</v>
      </c>
      <c r="BV34" s="17">
        <f t="shared" si="173"/>
        <v>3412</v>
      </c>
      <c r="BW34" s="17">
        <f t="shared" si="174"/>
        <v>693.87796800000001</v>
      </c>
      <c r="BX34" s="17">
        <f t="shared" si="175"/>
        <v>17495.999999999989</v>
      </c>
      <c r="BY34" s="17">
        <f t="shared" si="176"/>
        <v>9958.7630628863972</v>
      </c>
      <c r="BZ34" s="17"/>
      <c r="CA34" s="17">
        <f t="shared" si="177"/>
        <v>85810.166416660228</v>
      </c>
      <c r="CB34" s="17">
        <f t="shared" si="178"/>
        <v>241341.0930468569</v>
      </c>
      <c r="CC34" s="17">
        <f t="shared" si="179"/>
        <v>52332.152393835175</v>
      </c>
      <c r="CD34" s="17">
        <f t="shared" si="180"/>
        <v>470989.37154451659</v>
      </c>
      <c r="CE34" s="17">
        <f t="shared" si="181"/>
        <v>60716.488646886384</v>
      </c>
      <c r="CF34" s="17">
        <f t="shared" si="182"/>
        <v>850472.78340186889</v>
      </c>
      <c r="CG34" s="17">
        <f t="shared" si="183"/>
        <v>911189.27204875532</v>
      </c>
      <c r="CH34" s="17">
        <f t="shared" si="184"/>
        <v>14.400000000000006</v>
      </c>
      <c r="CI34" s="17">
        <f t="shared" si="185"/>
        <v>-43.2</v>
      </c>
      <c r="CJ34" s="17">
        <f t="shared" si="186"/>
        <v>16</v>
      </c>
      <c r="CK34" s="17">
        <f t="shared" si="187"/>
        <v>90</v>
      </c>
      <c r="CL34" s="17">
        <f t="shared" si="188"/>
        <v>71.46880726181422</v>
      </c>
      <c r="CM34" s="17">
        <f t="shared" si="189"/>
        <v>24</v>
      </c>
      <c r="CN34" s="17">
        <f t="shared" si="190"/>
        <v>50</v>
      </c>
      <c r="CO34" s="17">
        <f t="shared" si="191"/>
        <v>65.062647806544774</v>
      </c>
      <c r="CP34" s="17">
        <f t="shared" si="192"/>
        <v>6.4061594552694459</v>
      </c>
      <c r="CQ34" s="17">
        <f t="shared" si="193"/>
        <v>0</v>
      </c>
      <c r="CR34" s="17">
        <f t="shared" si="194"/>
        <v>100</v>
      </c>
      <c r="CS34" s="17">
        <f t="shared" si="195"/>
        <v>26.404773030064671</v>
      </c>
      <c r="CT34" s="17">
        <f t="shared" si="196"/>
        <v>24</v>
      </c>
      <c r="CU34" s="17">
        <f t="shared" si="197"/>
        <v>50</v>
      </c>
      <c r="CV34" s="17">
        <f t="shared" si="198"/>
        <v>65.062647806544774</v>
      </c>
      <c r="CW34" s="17">
        <f t="shared" si="199"/>
        <v>-38.657874776480099</v>
      </c>
      <c r="CX34" s="17">
        <f t="shared" si="137"/>
        <v>-6727.0487040000007</v>
      </c>
      <c r="CY34" s="17">
        <f t="shared" si="137"/>
        <v>-6727.0487040000007</v>
      </c>
      <c r="CZ34" s="17">
        <f t="shared" si="200"/>
        <v>753.02784000000031</v>
      </c>
      <c r="DA34" s="17">
        <f t="shared" si="201"/>
        <v>-2259.0835200000006</v>
      </c>
      <c r="DB34" s="17">
        <f t="shared" si="202"/>
        <v>-26593.920000000002</v>
      </c>
      <c r="DC34" s="17">
        <f t="shared" si="203"/>
        <v>3412</v>
      </c>
      <c r="DD34" s="17">
        <f t="shared" si="204"/>
        <v>693.87796800000001</v>
      </c>
      <c r="DE34" s="17">
        <f t="shared" si="205"/>
        <v>17496.000000000007</v>
      </c>
      <c r="DF34" s="17">
        <f t="shared" si="206"/>
        <v>-11381.443500441599</v>
      </c>
      <c r="DG34" s="17"/>
      <c r="DH34" s="17">
        <f t="shared" si="207"/>
        <v>-10514.941939202587</v>
      </c>
      <c r="DI34" s="17">
        <f t="shared" si="208"/>
        <v>-29573.274204007277</v>
      </c>
      <c r="DJ34" s="17">
        <f t="shared" si="209"/>
        <v>-6412.6381168262433</v>
      </c>
      <c r="DK34" s="17">
        <f t="shared" si="210"/>
        <v>9563.9877485684556</v>
      </c>
      <c r="DL34" s="17">
        <f t="shared" si="211"/>
        <v>-24606.589916441597</v>
      </c>
      <c r="DM34" s="17">
        <f t="shared" si="212"/>
        <v>-36936.866511467655</v>
      </c>
      <c r="DN34" s="17">
        <f t="shared" si="213"/>
        <v>-61543.456427909252</v>
      </c>
    </row>
    <row r="35" spans="3:120" ht="18.600000000000001">
      <c r="C35" s="13">
        <f>IF(D35&lt;&gt;"",COUNTA($D$10:D35),"")</f>
        <v>23</v>
      </c>
      <c r="D35" s="14" t="s">
        <v>205</v>
      </c>
      <c r="E35" s="14">
        <v>3.8</v>
      </c>
      <c r="F35" s="14">
        <v>4.2</v>
      </c>
      <c r="G35" s="14">
        <v>2.4</v>
      </c>
      <c r="H35" s="14">
        <v>3</v>
      </c>
      <c r="I35" s="14">
        <v>3</v>
      </c>
      <c r="J35" s="14">
        <v>1.75</v>
      </c>
      <c r="K35" s="14">
        <v>3</v>
      </c>
      <c r="L35" s="15">
        <v>0.1</v>
      </c>
      <c r="M35" s="15">
        <v>0</v>
      </c>
      <c r="N35" s="14">
        <v>24</v>
      </c>
      <c r="O35" s="14">
        <v>50</v>
      </c>
      <c r="P35" s="13">
        <v>45</v>
      </c>
      <c r="Q35" s="13">
        <v>85</v>
      </c>
      <c r="R35" s="13" t="s">
        <v>17</v>
      </c>
      <c r="S35" s="13">
        <v>160</v>
      </c>
      <c r="T35" s="13">
        <v>0</v>
      </c>
      <c r="U35" s="13">
        <v>100</v>
      </c>
      <c r="V35" s="13" t="str">
        <f t="shared" si="138"/>
        <v>ISO 6</v>
      </c>
      <c r="W35" s="13">
        <f t="shared" si="139"/>
        <v>160</v>
      </c>
      <c r="X35" s="16">
        <f t="shared" si="140"/>
        <v>171.72959999999998</v>
      </c>
      <c r="Y35" s="16">
        <f t="shared" si="141"/>
        <v>1351.8554111999997</v>
      </c>
      <c r="Z35" s="16">
        <f t="shared" si="142"/>
        <v>3604.9477631999994</v>
      </c>
      <c r="AA35" s="16">
        <f t="shared" si="143"/>
        <v>360.49477631999997</v>
      </c>
      <c r="AB35" s="16">
        <f t="shared" si="144"/>
        <v>0</v>
      </c>
      <c r="AC35" s="16">
        <f t="shared" si="145"/>
        <v>33.162674409237539</v>
      </c>
      <c r="AD35" s="16">
        <f t="shared" si="146"/>
        <v>5350</v>
      </c>
      <c r="AE35" s="16">
        <f t="shared" si="147"/>
        <v>5350</v>
      </c>
      <c r="AF35" s="16">
        <f t="shared" si="148"/>
        <v>32</v>
      </c>
      <c r="AG35" s="16">
        <f t="shared" si="149"/>
        <v>13.5</v>
      </c>
      <c r="AH35" s="838" t="s">
        <v>85</v>
      </c>
      <c r="AI35" s="17">
        <f t="shared" si="150"/>
        <v>7.5</v>
      </c>
      <c r="AJ35" s="17">
        <f t="shared" si="151"/>
        <v>13.5</v>
      </c>
      <c r="AK35" s="891"/>
      <c r="AL35" s="18">
        <f>IF(AL39&lt;4000,AL39,AL39+400)</f>
        <v>5800</v>
      </c>
      <c r="AM35" s="889"/>
      <c r="AN35" s="891"/>
      <c r="AO35" s="888"/>
      <c r="AP35" s="891"/>
      <c r="AQ35" s="891"/>
      <c r="AR35" s="889"/>
      <c r="AS35" s="888"/>
      <c r="AT35" s="888"/>
      <c r="AU35" s="890"/>
      <c r="AV35" s="888"/>
      <c r="AW35" s="888"/>
      <c r="AX35" s="888"/>
      <c r="AY35" s="887"/>
      <c r="AZ35" s="888"/>
      <c r="BA35" s="17">
        <f t="shared" si="152"/>
        <v>14.399999999999991</v>
      </c>
      <c r="BB35" s="17">
        <f t="shared" si="153"/>
        <v>37.799999999999997</v>
      </c>
      <c r="BC35" s="17">
        <f t="shared" si="154"/>
        <v>32</v>
      </c>
      <c r="BD35" s="17">
        <f t="shared" si="155"/>
        <v>85</v>
      </c>
      <c r="BE35" s="17">
        <f t="shared" si="156"/>
        <v>180.86341983910182</v>
      </c>
      <c r="BF35" s="17">
        <f t="shared" si="157"/>
        <v>24</v>
      </c>
      <c r="BG35" s="17">
        <f t="shared" si="158"/>
        <v>50</v>
      </c>
      <c r="BH35" s="17">
        <f t="shared" si="159"/>
        <v>65.062647806544774</v>
      </c>
      <c r="BI35" s="17">
        <f t="shared" si="160"/>
        <v>115.80077203255705</v>
      </c>
      <c r="BJ35" s="17">
        <f t="shared" si="161"/>
        <v>45</v>
      </c>
      <c r="BK35" s="17">
        <f t="shared" si="162"/>
        <v>85</v>
      </c>
      <c r="BL35" s="17">
        <f t="shared" si="163"/>
        <v>380.54120080897206</v>
      </c>
      <c r="BM35" s="17">
        <f t="shared" si="164"/>
        <v>24</v>
      </c>
      <c r="BN35" s="17">
        <f t="shared" si="165"/>
        <v>50</v>
      </c>
      <c r="BO35" s="17">
        <f t="shared" si="166"/>
        <v>65.062647806544774</v>
      </c>
      <c r="BP35" s="17">
        <f t="shared" si="167"/>
        <v>315.4785530024273</v>
      </c>
      <c r="BQ35" s="17">
        <f t="shared" si="168"/>
        <v>7028.2598399999997</v>
      </c>
      <c r="BR35" s="17">
        <f t="shared" si="169"/>
        <v>2677.4323199999981</v>
      </c>
      <c r="BS35" s="17">
        <f t="shared" si="170"/>
        <v>1112.8078079999991</v>
      </c>
      <c r="BT35" s="17">
        <f t="shared" si="171"/>
        <v>2921.1204959999995</v>
      </c>
      <c r="BU35" s="17">
        <f t="shared" si="172"/>
        <v>34904.520000000004</v>
      </c>
      <c r="BV35" s="17">
        <f t="shared" si="173"/>
        <v>10236</v>
      </c>
      <c r="BW35" s="17">
        <f t="shared" si="174"/>
        <v>1025.3974415999999</v>
      </c>
      <c r="BX35" s="17">
        <f t="shared" si="175"/>
        <v>17495.999999999989</v>
      </c>
      <c r="BY35" s="17">
        <f t="shared" si="176"/>
        <v>14716.838748487678</v>
      </c>
      <c r="BZ35" s="17"/>
      <c r="CA35" s="17">
        <f t="shared" si="177"/>
        <v>128715.24962499036</v>
      </c>
      <c r="CB35" s="17">
        <f t="shared" si="178"/>
        <v>241341.0930468569</v>
      </c>
      <c r="CC35" s="17">
        <f t="shared" si="179"/>
        <v>77335.291870889763</v>
      </c>
      <c r="CD35" s="17">
        <f t="shared" si="180"/>
        <v>696017.62683800783</v>
      </c>
      <c r="CE35" s="17">
        <f t="shared" si="181"/>
        <v>85407.01603008766</v>
      </c>
      <c r="CF35" s="17">
        <f t="shared" si="182"/>
        <v>1143409.2613807449</v>
      </c>
      <c r="CG35" s="17">
        <f t="shared" si="183"/>
        <v>1228816.2774108325</v>
      </c>
      <c r="CH35" s="17">
        <f t="shared" si="184"/>
        <v>14.400000000000006</v>
      </c>
      <c r="CI35" s="17">
        <f t="shared" si="185"/>
        <v>-43.2</v>
      </c>
      <c r="CJ35" s="17">
        <f t="shared" si="186"/>
        <v>16</v>
      </c>
      <c r="CK35" s="17">
        <f t="shared" si="187"/>
        <v>90</v>
      </c>
      <c r="CL35" s="17">
        <f t="shared" si="188"/>
        <v>71.46880726181422</v>
      </c>
      <c r="CM35" s="17">
        <f t="shared" si="189"/>
        <v>24</v>
      </c>
      <c r="CN35" s="17">
        <f t="shared" si="190"/>
        <v>50</v>
      </c>
      <c r="CO35" s="17">
        <f t="shared" si="191"/>
        <v>65.062647806544774</v>
      </c>
      <c r="CP35" s="17">
        <f t="shared" si="192"/>
        <v>6.4061594552694459</v>
      </c>
      <c r="CQ35" s="17">
        <f t="shared" si="193"/>
        <v>0</v>
      </c>
      <c r="CR35" s="17">
        <f t="shared" si="194"/>
        <v>100</v>
      </c>
      <c r="CS35" s="17">
        <f t="shared" si="195"/>
        <v>26.404773030064671</v>
      </c>
      <c r="CT35" s="17">
        <f t="shared" si="196"/>
        <v>24</v>
      </c>
      <c r="CU35" s="17">
        <f t="shared" si="197"/>
        <v>50</v>
      </c>
      <c r="CV35" s="17">
        <f t="shared" si="198"/>
        <v>65.062647806544774</v>
      </c>
      <c r="CW35" s="17">
        <f t="shared" si="199"/>
        <v>-38.657874776480099</v>
      </c>
      <c r="CX35" s="17">
        <f t="shared" si="137"/>
        <v>-8032.2969600000006</v>
      </c>
      <c r="CY35" s="17">
        <f t="shared" si="137"/>
        <v>-8032.2969600000006</v>
      </c>
      <c r="CZ35" s="17">
        <f t="shared" si="200"/>
        <v>1112.8078080000003</v>
      </c>
      <c r="DA35" s="17">
        <f t="shared" si="201"/>
        <v>-3338.4234240000001</v>
      </c>
      <c r="DB35" s="17">
        <f t="shared" si="202"/>
        <v>-39890.880000000005</v>
      </c>
      <c r="DC35" s="17">
        <f t="shared" si="203"/>
        <v>10236</v>
      </c>
      <c r="DD35" s="17">
        <f t="shared" si="204"/>
        <v>1025.3974415999999</v>
      </c>
      <c r="DE35" s="17">
        <f t="shared" si="205"/>
        <v>17496.000000000007</v>
      </c>
      <c r="DF35" s="17">
        <f t="shared" si="206"/>
        <v>-16819.244283985921</v>
      </c>
      <c r="DG35" s="17"/>
      <c r="DH35" s="17">
        <f t="shared" si="207"/>
        <v>-15772.412908803883</v>
      </c>
      <c r="DI35" s="17">
        <f t="shared" si="208"/>
        <v>-29573.274204007277</v>
      </c>
      <c r="DJ35" s="17">
        <f t="shared" si="209"/>
        <v>-9476.4541059765597</v>
      </c>
      <c r="DK35" s="17">
        <f t="shared" si="210"/>
        <v>14133.448561773384</v>
      </c>
      <c r="DL35" s="17">
        <f t="shared" si="211"/>
        <v>-38210.639418385923</v>
      </c>
      <c r="DM35" s="17">
        <f t="shared" si="212"/>
        <v>-40688.692657014341</v>
      </c>
      <c r="DN35" s="17">
        <f t="shared" si="213"/>
        <v>-78899.332075400263</v>
      </c>
    </row>
    <row r="36" spans="3:120" ht="18.600000000000001">
      <c r="C36" s="13">
        <f>IF(D36&lt;&gt;"",COUNTA($D$10:D36),"")</f>
        <v>24</v>
      </c>
      <c r="D36" s="14" t="s">
        <v>206</v>
      </c>
      <c r="E36" s="14">
        <v>3.1</v>
      </c>
      <c r="F36" s="14">
        <v>2.6</v>
      </c>
      <c r="G36" s="14">
        <v>2.4</v>
      </c>
      <c r="H36" s="14">
        <v>2</v>
      </c>
      <c r="I36" s="14">
        <v>1</v>
      </c>
      <c r="J36" s="14">
        <v>1.75</v>
      </c>
      <c r="K36" s="14">
        <v>3</v>
      </c>
      <c r="L36" s="15">
        <v>0.1</v>
      </c>
      <c r="M36" s="15">
        <v>0</v>
      </c>
      <c r="N36" s="14">
        <v>24</v>
      </c>
      <c r="O36" s="14">
        <v>50</v>
      </c>
      <c r="P36" s="13">
        <v>45</v>
      </c>
      <c r="Q36" s="13">
        <v>85</v>
      </c>
      <c r="R36" s="13" t="s">
        <v>17</v>
      </c>
      <c r="S36" s="13">
        <v>160</v>
      </c>
      <c r="T36" s="13">
        <v>0</v>
      </c>
      <c r="U36" s="13">
        <v>100</v>
      </c>
      <c r="V36" s="13" t="str">
        <f t="shared" si="138"/>
        <v>ISO 6</v>
      </c>
      <c r="W36" s="13">
        <f t="shared" si="139"/>
        <v>160</v>
      </c>
      <c r="X36" s="16">
        <f t="shared" si="140"/>
        <v>86.7256</v>
      </c>
      <c r="Y36" s="16">
        <f t="shared" si="141"/>
        <v>682.70392319999996</v>
      </c>
      <c r="Z36" s="16">
        <f t="shared" si="142"/>
        <v>1820.5437951999997</v>
      </c>
      <c r="AA36" s="16">
        <f t="shared" si="143"/>
        <v>182.05437952</v>
      </c>
      <c r="AB36" s="16">
        <f t="shared" si="144"/>
        <v>0</v>
      </c>
      <c r="AC36" s="16">
        <f t="shared" si="145"/>
        <v>16.747566149025975</v>
      </c>
      <c r="AD36" s="16">
        <f t="shared" si="146"/>
        <v>3350</v>
      </c>
      <c r="AE36" s="16">
        <f t="shared" si="147"/>
        <v>3350</v>
      </c>
      <c r="AF36" s="16">
        <f t="shared" si="148"/>
        <v>20</v>
      </c>
      <c r="AG36" s="16">
        <f t="shared" si="149"/>
        <v>8.5</v>
      </c>
      <c r="AH36" s="838" t="s">
        <v>85</v>
      </c>
      <c r="AI36" s="17">
        <f t="shared" si="150"/>
        <v>5</v>
      </c>
      <c r="AJ36" s="17">
        <f t="shared" si="151"/>
        <v>8.5</v>
      </c>
      <c r="AK36" s="891"/>
      <c r="AL36" s="18"/>
      <c r="AM36" s="889"/>
      <c r="AN36" s="891"/>
      <c r="AO36" s="888"/>
      <c r="AP36" s="891"/>
      <c r="AQ36" s="891"/>
      <c r="AR36" s="889"/>
      <c r="AS36" s="888"/>
      <c r="AT36" s="888"/>
      <c r="AU36" s="890"/>
      <c r="AV36" s="888"/>
      <c r="AW36" s="888"/>
      <c r="AX36" s="888"/>
      <c r="AY36" s="887"/>
      <c r="AZ36" s="888"/>
      <c r="BA36" s="17">
        <f t="shared" si="152"/>
        <v>14.399999999999991</v>
      </c>
      <c r="BB36" s="17">
        <f t="shared" si="153"/>
        <v>37.799999999999997</v>
      </c>
      <c r="BC36" s="17">
        <f t="shared" si="154"/>
        <v>32</v>
      </c>
      <c r="BD36" s="17">
        <f t="shared" si="155"/>
        <v>85</v>
      </c>
      <c r="BE36" s="17">
        <f t="shared" si="156"/>
        <v>180.86341983910182</v>
      </c>
      <c r="BF36" s="17">
        <f t="shared" si="157"/>
        <v>24</v>
      </c>
      <c r="BG36" s="17">
        <f t="shared" si="158"/>
        <v>50</v>
      </c>
      <c r="BH36" s="17">
        <f t="shared" si="159"/>
        <v>65.062647806544774</v>
      </c>
      <c r="BI36" s="17">
        <f t="shared" si="160"/>
        <v>115.80077203255705</v>
      </c>
      <c r="BJ36" s="17">
        <f t="shared" si="161"/>
        <v>45</v>
      </c>
      <c r="BK36" s="17">
        <f t="shared" si="162"/>
        <v>85</v>
      </c>
      <c r="BL36" s="17">
        <f t="shared" si="163"/>
        <v>380.54120080897206</v>
      </c>
      <c r="BM36" s="17">
        <f t="shared" si="164"/>
        <v>24</v>
      </c>
      <c r="BN36" s="17">
        <f t="shared" si="165"/>
        <v>50</v>
      </c>
      <c r="BO36" s="17">
        <f t="shared" si="166"/>
        <v>65.062647806544774</v>
      </c>
      <c r="BP36" s="17">
        <f t="shared" si="167"/>
        <v>315.4785530024273</v>
      </c>
      <c r="BQ36" s="17">
        <f t="shared" si="168"/>
        <v>5007.6351359999999</v>
      </c>
      <c r="BR36" s="17">
        <f t="shared" si="169"/>
        <v>1907.670527999999</v>
      </c>
      <c r="BS36" s="17">
        <f t="shared" si="170"/>
        <v>561.98188799999969</v>
      </c>
      <c r="BT36" s="17">
        <f t="shared" si="171"/>
        <v>1475.202456</v>
      </c>
      <c r="BU36" s="17">
        <f t="shared" si="172"/>
        <v>23269.68</v>
      </c>
      <c r="BV36" s="17">
        <f t="shared" si="173"/>
        <v>3412</v>
      </c>
      <c r="BW36" s="17">
        <f t="shared" si="174"/>
        <v>517.83855759999994</v>
      </c>
      <c r="BX36" s="17">
        <f t="shared" si="175"/>
        <v>17495.999999999989</v>
      </c>
      <c r="BY36" s="17">
        <f t="shared" si="176"/>
        <v>7432.1879895244801</v>
      </c>
      <c r="BZ36" s="17"/>
      <c r="CA36" s="17">
        <f t="shared" si="177"/>
        <v>85810.166416660228</v>
      </c>
      <c r="CB36" s="17">
        <f t="shared" si="178"/>
        <v>241341.0930468569</v>
      </c>
      <c r="CC36" s="17">
        <f t="shared" si="179"/>
        <v>39055.291508732545</v>
      </c>
      <c r="CD36" s="17">
        <f t="shared" si="180"/>
        <v>351497.6235785929</v>
      </c>
      <c r="CE36" s="17">
        <f t="shared" si="181"/>
        <v>57135.341683124469</v>
      </c>
      <c r="CF36" s="17">
        <f t="shared" si="182"/>
        <v>717704.17455084249</v>
      </c>
      <c r="CG36" s="17">
        <f t="shared" si="183"/>
        <v>774839.51623396692</v>
      </c>
      <c r="CH36" s="17">
        <f t="shared" si="184"/>
        <v>14.400000000000006</v>
      </c>
      <c r="CI36" s="17">
        <f t="shared" si="185"/>
        <v>-43.2</v>
      </c>
      <c r="CJ36" s="17">
        <f t="shared" si="186"/>
        <v>16</v>
      </c>
      <c r="CK36" s="17">
        <f t="shared" si="187"/>
        <v>90</v>
      </c>
      <c r="CL36" s="17">
        <f t="shared" si="188"/>
        <v>71.46880726181422</v>
      </c>
      <c r="CM36" s="17">
        <f t="shared" si="189"/>
        <v>24</v>
      </c>
      <c r="CN36" s="17">
        <f t="shared" si="190"/>
        <v>50</v>
      </c>
      <c r="CO36" s="17">
        <f t="shared" si="191"/>
        <v>65.062647806544774</v>
      </c>
      <c r="CP36" s="17">
        <f t="shared" si="192"/>
        <v>6.4061594552694459</v>
      </c>
      <c r="CQ36" s="17">
        <f t="shared" si="193"/>
        <v>0</v>
      </c>
      <c r="CR36" s="17">
        <f t="shared" si="194"/>
        <v>100</v>
      </c>
      <c r="CS36" s="17">
        <f t="shared" si="195"/>
        <v>26.404773030064671</v>
      </c>
      <c r="CT36" s="17">
        <f t="shared" si="196"/>
        <v>24</v>
      </c>
      <c r="CU36" s="17">
        <f t="shared" si="197"/>
        <v>50</v>
      </c>
      <c r="CV36" s="17">
        <f t="shared" si="198"/>
        <v>65.062647806544774</v>
      </c>
      <c r="CW36" s="17">
        <f t="shared" si="199"/>
        <v>-38.657874776480099</v>
      </c>
      <c r="CX36" s="17">
        <f t="shared" si="137"/>
        <v>-5723.0115840000008</v>
      </c>
      <c r="CY36" s="17">
        <f t="shared" si="137"/>
        <v>-5723.0115840000008</v>
      </c>
      <c r="CZ36" s="17">
        <f t="shared" si="200"/>
        <v>561.98188800000014</v>
      </c>
      <c r="DA36" s="17">
        <f t="shared" si="201"/>
        <v>-1685.9456640000001</v>
      </c>
      <c r="DB36" s="17">
        <f t="shared" si="202"/>
        <v>-26593.920000000002</v>
      </c>
      <c r="DC36" s="17">
        <f t="shared" si="203"/>
        <v>3412</v>
      </c>
      <c r="DD36" s="17">
        <f t="shared" si="204"/>
        <v>517.83855759999994</v>
      </c>
      <c r="DE36" s="17">
        <f t="shared" si="205"/>
        <v>17496.000000000007</v>
      </c>
      <c r="DF36" s="17">
        <f t="shared" si="206"/>
        <v>-8493.9291308851207</v>
      </c>
      <c r="DG36" s="17"/>
      <c r="DH36" s="17">
        <f t="shared" si="207"/>
        <v>-10514.941939202587</v>
      </c>
      <c r="DI36" s="17">
        <f t="shared" si="208"/>
        <v>-29573.274204007277</v>
      </c>
      <c r="DJ36" s="17">
        <f t="shared" si="209"/>
        <v>-4785.7280760758813</v>
      </c>
      <c r="DK36" s="17">
        <f t="shared" si="210"/>
        <v>7137.5686345797913</v>
      </c>
      <c r="DL36" s="17">
        <f t="shared" si="211"/>
        <v>-20508.985933285116</v>
      </c>
      <c r="DM36" s="17">
        <f t="shared" si="212"/>
        <v>-37736.375584705951</v>
      </c>
      <c r="DN36" s="17">
        <f t="shared" si="213"/>
        <v>-58245.36151799107</v>
      </c>
    </row>
    <row r="37" spans="3:120" ht="18.600000000000001">
      <c r="C37" s="13">
        <f>IF(D37&lt;&gt;"",COUNTA($D$10:D37),"")</f>
        <v>25</v>
      </c>
      <c r="D37" s="14" t="s">
        <v>207</v>
      </c>
      <c r="E37" s="14">
        <v>1.9</v>
      </c>
      <c r="F37" s="14">
        <v>2.4</v>
      </c>
      <c r="G37" s="14">
        <v>2.4</v>
      </c>
      <c r="H37" s="14">
        <v>3</v>
      </c>
      <c r="I37" s="14">
        <v>2</v>
      </c>
      <c r="J37" s="14">
        <v>1.75</v>
      </c>
      <c r="K37" s="14">
        <v>3</v>
      </c>
      <c r="L37" s="15">
        <v>0.1</v>
      </c>
      <c r="M37" s="15">
        <v>0</v>
      </c>
      <c r="N37" s="14">
        <v>24</v>
      </c>
      <c r="O37" s="14">
        <v>50</v>
      </c>
      <c r="P37" s="13">
        <v>45</v>
      </c>
      <c r="Q37" s="13">
        <v>85</v>
      </c>
      <c r="R37" s="13" t="s">
        <v>17</v>
      </c>
      <c r="S37" s="13">
        <v>160</v>
      </c>
      <c r="T37" s="13">
        <v>0</v>
      </c>
      <c r="U37" s="13">
        <v>100</v>
      </c>
      <c r="V37" s="13" t="str">
        <f t="shared" si="138"/>
        <v>ISO 6</v>
      </c>
      <c r="W37" s="13">
        <f t="shared" si="139"/>
        <v>160</v>
      </c>
      <c r="X37" s="16">
        <f t="shared" si="140"/>
        <v>49.065599999999996</v>
      </c>
      <c r="Y37" s="16">
        <f t="shared" si="141"/>
        <v>386.24440319999997</v>
      </c>
      <c r="Z37" s="16">
        <f t="shared" si="142"/>
        <v>1029.9850751999998</v>
      </c>
      <c r="AA37" s="16">
        <f t="shared" si="143"/>
        <v>102.99850751999998</v>
      </c>
      <c r="AB37" s="16">
        <f t="shared" si="144"/>
        <v>0</v>
      </c>
      <c r="AC37" s="16">
        <f t="shared" si="145"/>
        <v>9.4750498312107254</v>
      </c>
      <c r="AD37" s="16">
        <f t="shared" si="146"/>
        <v>2775</v>
      </c>
      <c r="AE37" s="16">
        <f t="shared" si="147"/>
        <v>2775</v>
      </c>
      <c r="AF37" s="16">
        <f t="shared" si="148"/>
        <v>16</v>
      </c>
      <c r="AG37" s="16">
        <f t="shared" si="149"/>
        <v>7</v>
      </c>
      <c r="AH37" s="838" t="s">
        <v>85</v>
      </c>
      <c r="AI37" s="17">
        <f t="shared" si="150"/>
        <v>6</v>
      </c>
      <c r="AJ37" s="17">
        <f t="shared" si="151"/>
        <v>7</v>
      </c>
      <c r="AK37" s="891"/>
      <c r="AL37" s="18"/>
      <c r="AM37" s="889"/>
      <c r="AN37" s="891"/>
      <c r="AO37" s="888"/>
      <c r="AP37" s="891"/>
      <c r="AQ37" s="891"/>
      <c r="AR37" s="889"/>
      <c r="AS37" s="888"/>
      <c r="AT37" s="888"/>
      <c r="AU37" s="890"/>
      <c r="AV37" s="888"/>
      <c r="AW37" s="888"/>
      <c r="AX37" s="888"/>
      <c r="AY37" s="887"/>
      <c r="AZ37" s="888"/>
      <c r="BA37" s="17">
        <f t="shared" si="152"/>
        <v>14.399999999999991</v>
      </c>
      <c r="BB37" s="17">
        <f t="shared" si="153"/>
        <v>37.799999999999997</v>
      </c>
      <c r="BC37" s="17">
        <f t="shared" si="154"/>
        <v>32</v>
      </c>
      <c r="BD37" s="17">
        <f t="shared" si="155"/>
        <v>85</v>
      </c>
      <c r="BE37" s="17">
        <f t="shared" si="156"/>
        <v>180.86341983910182</v>
      </c>
      <c r="BF37" s="17">
        <f t="shared" si="157"/>
        <v>24</v>
      </c>
      <c r="BG37" s="17">
        <f t="shared" si="158"/>
        <v>50</v>
      </c>
      <c r="BH37" s="17">
        <f t="shared" si="159"/>
        <v>65.062647806544774</v>
      </c>
      <c r="BI37" s="17">
        <f t="shared" si="160"/>
        <v>115.80077203255705</v>
      </c>
      <c r="BJ37" s="17">
        <f t="shared" si="161"/>
        <v>45</v>
      </c>
      <c r="BK37" s="17">
        <f t="shared" si="162"/>
        <v>85</v>
      </c>
      <c r="BL37" s="17">
        <f t="shared" si="163"/>
        <v>380.54120080897206</v>
      </c>
      <c r="BM37" s="17">
        <f t="shared" si="164"/>
        <v>24</v>
      </c>
      <c r="BN37" s="17">
        <f t="shared" si="165"/>
        <v>50</v>
      </c>
      <c r="BO37" s="17">
        <f t="shared" si="166"/>
        <v>65.062647806544774</v>
      </c>
      <c r="BP37" s="17">
        <f t="shared" si="167"/>
        <v>315.4785530024273</v>
      </c>
      <c r="BQ37" s="17">
        <f t="shared" si="168"/>
        <v>3777.6896639999995</v>
      </c>
      <c r="BR37" s="17">
        <f t="shared" si="169"/>
        <v>1439.1198719999991</v>
      </c>
      <c r="BS37" s="17">
        <f t="shared" si="170"/>
        <v>317.94508799999977</v>
      </c>
      <c r="BT37" s="17">
        <f t="shared" si="171"/>
        <v>834.6058559999999</v>
      </c>
      <c r="BU37" s="17">
        <f t="shared" si="172"/>
        <v>34904.520000000004</v>
      </c>
      <c r="BV37" s="17">
        <f t="shared" si="173"/>
        <v>6824</v>
      </c>
      <c r="BW37" s="17">
        <f t="shared" si="174"/>
        <v>292.97069759999994</v>
      </c>
      <c r="BX37" s="17">
        <f t="shared" si="175"/>
        <v>17495.999999999989</v>
      </c>
      <c r="BY37" s="17">
        <f t="shared" si="176"/>
        <v>4204.8110709964794</v>
      </c>
      <c r="BZ37" s="17"/>
      <c r="CA37" s="17">
        <f t="shared" si="177"/>
        <v>128715.24962499036</v>
      </c>
      <c r="CB37" s="17">
        <f t="shared" si="178"/>
        <v>241341.0930468569</v>
      </c>
      <c r="CC37" s="17">
        <f t="shared" si="179"/>
        <v>22095.797677397073</v>
      </c>
      <c r="CD37" s="17">
        <f t="shared" si="180"/>
        <v>198862.17909657364</v>
      </c>
      <c r="CE37" s="17">
        <f t="shared" si="181"/>
        <v>67499.991432596478</v>
      </c>
      <c r="CF37" s="17">
        <f t="shared" si="182"/>
        <v>591014.31944581796</v>
      </c>
      <c r="CG37" s="17">
        <f t="shared" si="183"/>
        <v>658514.31087841443</v>
      </c>
      <c r="CH37" s="17">
        <f t="shared" si="184"/>
        <v>14.400000000000006</v>
      </c>
      <c r="CI37" s="17">
        <f t="shared" si="185"/>
        <v>-43.2</v>
      </c>
      <c r="CJ37" s="17">
        <f t="shared" si="186"/>
        <v>16</v>
      </c>
      <c r="CK37" s="17">
        <f t="shared" si="187"/>
        <v>90</v>
      </c>
      <c r="CL37" s="17">
        <f t="shared" si="188"/>
        <v>71.46880726181422</v>
      </c>
      <c r="CM37" s="17">
        <f t="shared" si="189"/>
        <v>24</v>
      </c>
      <c r="CN37" s="17">
        <f t="shared" si="190"/>
        <v>50</v>
      </c>
      <c r="CO37" s="17">
        <f t="shared" si="191"/>
        <v>65.062647806544774</v>
      </c>
      <c r="CP37" s="17">
        <f t="shared" si="192"/>
        <v>6.4061594552694459</v>
      </c>
      <c r="CQ37" s="17">
        <f t="shared" si="193"/>
        <v>0</v>
      </c>
      <c r="CR37" s="17">
        <f t="shared" si="194"/>
        <v>100</v>
      </c>
      <c r="CS37" s="17">
        <f t="shared" si="195"/>
        <v>26.404773030064671</v>
      </c>
      <c r="CT37" s="17">
        <f t="shared" si="196"/>
        <v>24</v>
      </c>
      <c r="CU37" s="17">
        <f t="shared" si="197"/>
        <v>50</v>
      </c>
      <c r="CV37" s="17">
        <f t="shared" si="198"/>
        <v>65.062647806544774</v>
      </c>
      <c r="CW37" s="17">
        <f t="shared" si="199"/>
        <v>-38.657874776480099</v>
      </c>
      <c r="CX37" s="17">
        <f t="shared" si="137"/>
        <v>-4317.3596159999997</v>
      </c>
      <c r="CY37" s="17">
        <f t="shared" si="137"/>
        <v>-4317.3596159999997</v>
      </c>
      <c r="CZ37" s="17">
        <f t="shared" si="200"/>
        <v>317.94508800000011</v>
      </c>
      <c r="DA37" s="17">
        <f t="shared" si="201"/>
        <v>-953.83526399999994</v>
      </c>
      <c r="DB37" s="17">
        <f t="shared" si="202"/>
        <v>-39890.880000000005</v>
      </c>
      <c r="DC37" s="17">
        <f t="shared" si="203"/>
        <v>6824</v>
      </c>
      <c r="DD37" s="17">
        <f t="shared" si="204"/>
        <v>292.97069759999994</v>
      </c>
      <c r="DE37" s="17">
        <f t="shared" si="205"/>
        <v>17496.000000000007</v>
      </c>
      <c r="DF37" s="17">
        <f t="shared" si="206"/>
        <v>-4805.4983668531195</v>
      </c>
      <c r="DG37" s="17"/>
      <c r="DH37" s="17">
        <f t="shared" si="207"/>
        <v>-15772.412908803883</v>
      </c>
      <c r="DI37" s="17">
        <f t="shared" si="208"/>
        <v>-29573.274204007277</v>
      </c>
      <c r="DJ37" s="17">
        <f t="shared" si="209"/>
        <v>-2707.5583159933021</v>
      </c>
      <c r="DK37" s="17">
        <f t="shared" si="210"/>
        <v>4038.1281605066811</v>
      </c>
      <c r="DL37" s="17">
        <f t="shared" si="211"/>
        <v>-25036.657461253119</v>
      </c>
      <c r="DM37" s="17">
        <f t="shared" si="212"/>
        <v>-44015.117268297778</v>
      </c>
      <c r="DN37" s="17">
        <f t="shared" si="213"/>
        <v>-69051.774729550903</v>
      </c>
    </row>
    <row r="38" spans="3:120" ht="18.600000000000001">
      <c r="C38" s="13">
        <f>IF(D38&lt;&gt;"",COUNTA($D$10:D38),"")</f>
        <v>26</v>
      </c>
      <c r="D38" s="14" t="s">
        <v>208</v>
      </c>
      <c r="E38" s="14">
        <v>3</v>
      </c>
      <c r="F38" s="14">
        <v>2.9</v>
      </c>
      <c r="G38" s="14">
        <v>2.4</v>
      </c>
      <c r="H38" s="14">
        <v>2</v>
      </c>
      <c r="I38" s="14">
        <v>1</v>
      </c>
      <c r="J38" s="14">
        <v>1.75</v>
      </c>
      <c r="K38" s="14">
        <v>3</v>
      </c>
      <c r="L38" s="15">
        <v>0.1</v>
      </c>
      <c r="M38" s="15">
        <v>0</v>
      </c>
      <c r="N38" s="14">
        <v>24</v>
      </c>
      <c r="O38" s="14">
        <v>50</v>
      </c>
      <c r="P38" s="13">
        <v>45</v>
      </c>
      <c r="Q38" s="13">
        <v>85</v>
      </c>
      <c r="R38" s="13" t="s">
        <v>17</v>
      </c>
      <c r="S38" s="13">
        <v>160</v>
      </c>
      <c r="T38" s="13">
        <v>0</v>
      </c>
      <c r="U38" s="13">
        <v>100</v>
      </c>
      <c r="V38" s="13" t="str">
        <f t="shared" si="138"/>
        <v>ISO 6</v>
      </c>
      <c r="W38" s="13">
        <f t="shared" si="139"/>
        <v>160</v>
      </c>
      <c r="X38" s="16">
        <f t="shared" si="140"/>
        <v>93.611999999999995</v>
      </c>
      <c r="Y38" s="16">
        <f t="shared" si="141"/>
        <v>736.91366399999993</v>
      </c>
      <c r="Z38" s="16">
        <f t="shared" si="142"/>
        <v>1965.1031039999996</v>
      </c>
      <c r="AA38" s="16">
        <f t="shared" si="143"/>
        <v>196.51031039999998</v>
      </c>
      <c r="AB38" s="16">
        <f t="shared" si="144"/>
        <v>0</v>
      </c>
      <c r="AC38" s="16">
        <f t="shared" si="145"/>
        <v>18.077397704283623</v>
      </c>
      <c r="AD38" s="16">
        <f>IF(ISNUMBER(N38), CEILING(CF38/(0.68*BP38),25), "Ambient")</f>
        <v>3500</v>
      </c>
      <c r="AE38" s="16">
        <f t="shared" si="147"/>
        <v>3500</v>
      </c>
      <c r="AF38" s="16">
        <f t="shared" si="148"/>
        <v>20</v>
      </c>
      <c r="AG38" s="16">
        <f t="shared" si="149"/>
        <v>9</v>
      </c>
      <c r="AH38" s="838" t="s">
        <v>85</v>
      </c>
      <c r="AI38" s="17">
        <f t="shared" si="150"/>
        <v>5</v>
      </c>
      <c r="AJ38" s="17">
        <f t="shared" si="151"/>
        <v>9</v>
      </c>
      <c r="AK38" s="891"/>
      <c r="AL38" s="18"/>
      <c r="AM38" s="889"/>
      <c r="AN38" s="891"/>
      <c r="AO38" s="888"/>
      <c r="AP38" s="891"/>
      <c r="AQ38" s="891"/>
      <c r="AR38" s="889"/>
      <c r="AS38" s="888"/>
      <c r="AT38" s="888"/>
      <c r="AU38" s="890"/>
      <c r="AV38" s="888"/>
      <c r="AW38" s="888"/>
      <c r="AX38" s="888"/>
      <c r="AY38" s="887"/>
      <c r="AZ38" s="888"/>
      <c r="BA38" s="17">
        <f t="shared" si="152"/>
        <v>14.399999999999991</v>
      </c>
      <c r="BB38" s="17">
        <f t="shared" si="153"/>
        <v>37.799999999999997</v>
      </c>
      <c r="BC38" s="17">
        <f t="shared" si="154"/>
        <v>32</v>
      </c>
      <c r="BD38" s="17">
        <f t="shared" si="155"/>
        <v>85</v>
      </c>
      <c r="BE38" s="17">
        <f t="shared" si="156"/>
        <v>180.86341983910182</v>
      </c>
      <c r="BF38" s="17">
        <f t="shared" si="157"/>
        <v>24</v>
      </c>
      <c r="BG38" s="17">
        <f t="shared" si="158"/>
        <v>50</v>
      </c>
      <c r="BH38" s="17">
        <f t="shared" si="159"/>
        <v>65.062647806544774</v>
      </c>
      <c r="BI38" s="17">
        <f t="shared" si="160"/>
        <v>115.80077203255705</v>
      </c>
      <c r="BJ38" s="17">
        <f t="shared" si="161"/>
        <v>45</v>
      </c>
      <c r="BK38" s="17">
        <f t="shared" si="162"/>
        <v>85</v>
      </c>
      <c r="BL38" s="17">
        <f t="shared" si="163"/>
        <v>380.54120080897206</v>
      </c>
      <c r="BM38" s="17">
        <f t="shared" si="164"/>
        <v>24</v>
      </c>
      <c r="BN38" s="17">
        <f t="shared" si="165"/>
        <v>50</v>
      </c>
      <c r="BO38" s="17">
        <f t="shared" si="166"/>
        <v>65.062647806544774</v>
      </c>
      <c r="BP38" s="17">
        <f t="shared" si="167"/>
        <v>315.4785530024273</v>
      </c>
      <c r="BQ38" s="17">
        <f t="shared" si="168"/>
        <v>5183.3416319999997</v>
      </c>
      <c r="BR38" s="17">
        <f t="shared" si="169"/>
        <v>1974.6063359999991</v>
      </c>
      <c r="BS38" s="17">
        <f t="shared" si="170"/>
        <v>606.60575999999958</v>
      </c>
      <c r="BT38" s="17">
        <f t="shared" si="171"/>
        <v>1592.3401199999998</v>
      </c>
      <c r="BU38" s="17">
        <f t="shared" si="172"/>
        <v>23269.68</v>
      </c>
      <c r="BV38" s="17">
        <f t="shared" si="173"/>
        <v>3412</v>
      </c>
      <c r="BW38" s="17">
        <f t="shared" si="174"/>
        <v>558.95725199999993</v>
      </c>
      <c r="BX38" s="17">
        <f t="shared" si="175"/>
        <v>17495.999999999989</v>
      </c>
      <c r="BY38" s="17">
        <f t="shared" si="176"/>
        <v>8022.3369117695993</v>
      </c>
      <c r="BZ38" s="17"/>
      <c r="CA38" s="17">
        <f t="shared" si="177"/>
        <v>85810.166416660228</v>
      </c>
      <c r="CB38" s="17">
        <f t="shared" si="178"/>
        <v>241341.0930468569</v>
      </c>
      <c r="CC38" s="17">
        <f t="shared" si="179"/>
        <v>42156.456095033886</v>
      </c>
      <c r="CD38" s="17">
        <f t="shared" si="180"/>
        <v>379408.10485530499</v>
      </c>
      <c r="CE38" s="17">
        <f t="shared" si="181"/>
        <v>57942.315795769588</v>
      </c>
      <c r="CF38" s="17">
        <f t="shared" si="182"/>
        <v>748715.82041385607</v>
      </c>
      <c r="CG38" s="17">
        <f t="shared" si="183"/>
        <v>806658.13620962563</v>
      </c>
      <c r="CH38" s="17">
        <f t="shared" si="184"/>
        <v>14.400000000000006</v>
      </c>
      <c r="CI38" s="17">
        <f t="shared" si="185"/>
        <v>-43.2</v>
      </c>
      <c r="CJ38" s="17">
        <f t="shared" si="186"/>
        <v>16</v>
      </c>
      <c r="CK38" s="17">
        <f t="shared" si="187"/>
        <v>90</v>
      </c>
      <c r="CL38" s="17">
        <f t="shared" si="188"/>
        <v>71.46880726181422</v>
      </c>
      <c r="CM38" s="17">
        <f t="shared" si="189"/>
        <v>24</v>
      </c>
      <c r="CN38" s="17">
        <f t="shared" si="190"/>
        <v>50</v>
      </c>
      <c r="CO38" s="17">
        <f t="shared" si="191"/>
        <v>65.062647806544774</v>
      </c>
      <c r="CP38" s="17">
        <f t="shared" si="192"/>
        <v>6.4061594552694459</v>
      </c>
      <c r="CQ38" s="17">
        <f t="shared" si="193"/>
        <v>0</v>
      </c>
      <c r="CR38" s="17">
        <f t="shared" si="194"/>
        <v>100</v>
      </c>
      <c r="CS38" s="17">
        <f t="shared" si="195"/>
        <v>26.404773030064671</v>
      </c>
      <c r="CT38" s="17">
        <f t="shared" si="196"/>
        <v>24</v>
      </c>
      <c r="CU38" s="17">
        <f t="shared" si="197"/>
        <v>50</v>
      </c>
      <c r="CV38" s="17">
        <f t="shared" si="198"/>
        <v>65.062647806544774</v>
      </c>
      <c r="CW38" s="17">
        <f t="shared" si="199"/>
        <v>-38.657874776480099</v>
      </c>
      <c r="CX38" s="17">
        <f t="shared" si="137"/>
        <v>-5923.8190080000013</v>
      </c>
      <c r="CY38" s="17">
        <f t="shared" si="137"/>
        <v>-5923.8190080000013</v>
      </c>
      <c r="CZ38" s="17">
        <f t="shared" si="200"/>
        <v>606.60576000000026</v>
      </c>
      <c r="DA38" s="17">
        <f t="shared" si="201"/>
        <v>-1819.81728</v>
      </c>
      <c r="DB38" s="17">
        <f t="shared" si="202"/>
        <v>-26593.920000000002</v>
      </c>
      <c r="DC38" s="17">
        <f t="shared" si="203"/>
        <v>3412</v>
      </c>
      <c r="DD38" s="17">
        <f t="shared" si="204"/>
        <v>558.95725199999993</v>
      </c>
      <c r="DE38" s="17">
        <f t="shared" si="205"/>
        <v>17496.000000000007</v>
      </c>
      <c r="DF38" s="17">
        <f t="shared" si="206"/>
        <v>-9168.3850420224007</v>
      </c>
      <c r="DG38" s="17"/>
      <c r="DH38" s="17">
        <f t="shared" si="207"/>
        <v>-10514.941939202587</v>
      </c>
      <c r="DI38" s="17">
        <f t="shared" si="208"/>
        <v>-29573.274204007277</v>
      </c>
      <c r="DJ38" s="17">
        <f t="shared" si="209"/>
        <v>-5165.7362607766954</v>
      </c>
      <c r="DK38" s="17">
        <f t="shared" si="210"/>
        <v>7704.323464124589</v>
      </c>
      <c r="DL38" s="17">
        <f t="shared" si="211"/>
        <v>-21432.378318022395</v>
      </c>
      <c r="DM38" s="17">
        <f t="shared" si="212"/>
        <v>-37549.628939861977</v>
      </c>
      <c r="DN38" s="17">
        <f t="shared" si="213"/>
        <v>-58982.007257884368</v>
      </c>
    </row>
    <row r="39" spans="3:120" ht="18.600000000000001">
      <c r="C39" s="13">
        <f>IF(D39&lt;&gt;"",COUNTA($D$10:D39),"")</f>
        <v>27</v>
      </c>
      <c r="D39" s="14" t="s">
        <v>209</v>
      </c>
      <c r="E39" s="14">
        <v>2.4</v>
      </c>
      <c r="F39" s="14">
        <v>2</v>
      </c>
      <c r="G39" s="14">
        <v>2.4</v>
      </c>
      <c r="H39" s="14">
        <v>2</v>
      </c>
      <c r="I39" s="14">
        <v>1</v>
      </c>
      <c r="J39" s="14">
        <v>1.75</v>
      </c>
      <c r="K39" s="14">
        <v>3</v>
      </c>
      <c r="L39" s="15">
        <v>0.1</v>
      </c>
      <c r="M39" s="15">
        <v>0</v>
      </c>
      <c r="N39" s="14">
        <v>24</v>
      </c>
      <c r="O39" s="14">
        <v>50</v>
      </c>
      <c r="P39" s="13">
        <v>45</v>
      </c>
      <c r="Q39" s="13">
        <v>85</v>
      </c>
      <c r="R39" s="13" t="s">
        <v>17</v>
      </c>
      <c r="S39" s="13">
        <v>160</v>
      </c>
      <c r="T39" s="13">
        <v>0</v>
      </c>
      <c r="U39" s="13">
        <v>100</v>
      </c>
      <c r="V39" s="13" t="str">
        <f t="shared" si="138"/>
        <v>ISO 6</v>
      </c>
      <c r="W39" s="13">
        <f t="shared" si="139"/>
        <v>160</v>
      </c>
      <c r="X39" s="16">
        <f t="shared" si="140"/>
        <v>51.647999999999996</v>
      </c>
      <c r="Y39" s="16">
        <f t="shared" si="141"/>
        <v>406.57305599999995</v>
      </c>
      <c r="Z39" s="16">
        <f t="shared" si="142"/>
        <v>1084.1948159999999</v>
      </c>
      <c r="AA39" s="16">
        <f t="shared" si="143"/>
        <v>108.4194816</v>
      </c>
      <c r="AB39" s="16">
        <f t="shared" si="144"/>
        <v>0</v>
      </c>
      <c r="AC39" s="16">
        <f t="shared" si="145"/>
        <v>9.9737366644323426</v>
      </c>
      <c r="AD39" s="16">
        <f t="shared" ref="AD39:AD45" si="214">IF(ISNUMBER(N39), CEILING(CF39/(0.68*BP39),25), "Ambient")</f>
        <v>2625</v>
      </c>
      <c r="AE39" s="16">
        <f t="shared" si="147"/>
        <v>2625</v>
      </c>
      <c r="AF39" s="16">
        <f t="shared" si="148"/>
        <v>16</v>
      </c>
      <c r="AG39" s="16">
        <f t="shared" si="149"/>
        <v>7</v>
      </c>
      <c r="AH39" s="838" t="s">
        <v>85</v>
      </c>
      <c r="AI39" s="17">
        <f t="shared" si="150"/>
        <v>4.5</v>
      </c>
      <c r="AJ39" s="17">
        <f t="shared" si="151"/>
        <v>7</v>
      </c>
      <c r="AK39" s="891"/>
      <c r="AL39" s="174">
        <f>IF(AN30&lt;=315,1600,(IF(AN30=355,1650,(IF(AN30=400,1650,(IF(AN30=450,1700,(IF(AN30=500,1700,(IF(AN30=560,1800,(IF(AN30=630,2000,(IF(AN30=710,2200,2500)))))))))))))))+IF(AR30=2,1800,(IF(AR30=3,2300,(IF(AR30=4,3300,0)))))+IF(AP30&lt;=4,600,(IF(AP30&lt;=6,800,(IF(AP30&lt;=8,1000,1200)))))</f>
        <v>5400</v>
      </c>
      <c r="AM39" s="889"/>
      <c r="AN39" s="891"/>
      <c r="AO39" s="888"/>
      <c r="AP39" s="891"/>
      <c r="AQ39" s="891"/>
      <c r="AR39" s="889"/>
      <c r="AS39" s="888"/>
      <c r="AT39" s="888"/>
      <c r="AU39" s="890"/>
      <c r="AV39" s="888"/>
      <c r="AW39" s="888"/>
      <c r="AX39" s="888"/>
      <c r="AY39" s="887"/>
      <c r="AZ39" s="888"/>
      <c r="BA39" s="17">
        <f t="shared" si="152"/>
        <v>14.399999999999991</v>
      </c>
      <c r="BB39" s="17">
        <f t="shared" si="153"/>
        <v>37.799999999999997</v>
      </c>
      <c r="BC39" s="17">
        <f t="shared" si="154"/>
        <v>32</v>
      </c>
      <c r="BD39" s="17">
        <f t="shared" si="155"/>
        <v>85</v>
      </c>
      <c r="BE39" s="17">
        <f t="shared" si="156"/>
        <v>180.86341983910182</v>
      </c>
      <c r="BF39" s="17">
        <f t="shared" si="157"/>
        <v>24</v>
      </c>
      <c r="BG39" s="17">
        <f t="shared" si="158"/>
        <v>50</v>
      </c>
      <c r="BH39" s="17">
        <f t="shared" si="159"/>
        <v>65.062647806544774</v>
      </c>
      <c r="BI39" s="17">
        <f t="shared" si="160"/>
        <v>115.80077203255705</v>
      </c>
      <c r="BJ39" s="17">
        <f t="shared" si="161"/>
        <v>45</v>
      </c>
      <c r="BK39" s="17">
        <f t="shared" si="162"/>
        <v>85</v>
      </c>
      <c r="BL39" s="17">
        <f t="shared" si="163"/>
        <v>380.54120080897206</v>
      </c>
      <c r="BM39" s="17">
        <f t="shared" si="164"/>
        <v>24</v>
      </c>
      <c r="BN39" s="17">
        <f t="shared" si="165"/>
        <v>50</v>
      </c>
      <c r="BO39" s="17">
        <f t="shared" si="166"/>
        <v>65.062647806544774</v>
      </c>
      <c r="BP39" s="17">
        <f t="shared" si="167"/>
        <v>315.4785530024273</v>
      </c>
      <c r="BQ39" s="17">
        <f t="shared" si="168"/>
        <v>3865.5429119999999</v>
      </c>
      <c r="BR39" s="17">
        <f t="shared" si="169"/>
        <v>1472.5877759999992</v>
      </c>
      <c r="BS39" s="17">
        <f t="shared" si="170"/>
        <v>334.67903999999976</v>
      </c>
      <c r="BT39" s="17">
        <f t="shared" si="171"/>
        <v>878.53247999999996</v>
      </c>
      <c r="BU39" s="17">
        <f t="shared" si="172"/>
        <v>23269.68</v>
      </c>
      <c r="BV39" s="17">
        <f t="shared" si="173"/>
        <v>3412</v>
      </c>
      <c r="BW39" s="17">
        <f t="shared" si="174"/>
        <v>308.39020799999997</v>
      </c>
      <c r="BX39" s="17">
        <f t="shared" si="175"/>
        <v>17495.999999999989</v>
      </c>
      <c r="BY39" s="17">
        <f t="shared" si="176"/>
        <v>4426.1169168383994</v>
      </c>
      <c r="BZ39" s="17"/>
      <c r="CA39" s="17">
        <f t="shared" si="177"/>
        <v>85810.166416660228</v>
      </c>
      <c r="CB39" s="17">
        <f t="shared" si="178"/>
        <v>241341.0930468569</v>
      </c>
      <c r="CC39" s="17">
        <f t="shared" si="179"/>
        <v>23258.734397260079</v>
      </c>
      <c r="CD39" s="17">
        <f t="shared" si="180"/>
        <v>209328.6095753407</v>
      </c>
      <c r="CE39" s="17">
        <f t="shared" si="181"/>
        <v>52777.730036838395</v>
      </c>
      <c r="CF39" s="17">
        <f t="shared" si="182"/>
        <v>559738.60343611788</v>
      </c>
      <c r="CG39" s="17">
        <f t="shared" si="183"/>
        <v>612516.33347295632</v>
      </c>
      <c r="CH39" s="17">
        <f t="shared" si="184"/>
        <v>14.400000000000006</v>
      </c>
      <c r="CI39" s="17">
        <f t="shared" si="185"/>
        <v>-43.2</v>
      </c>
      <c r="CJ39" s="17">
        <f t="shared" si="186"/>
        <v>16</v>
      </c>
      <c r="CK39" s="17">
        <f t="shared" si="187"/>
        <v>90</v>
      </c>
      <c r="CL39" s="17">
        <f t="shared" si="188"/>
        <v>71.46880726181422</v>
      </c>
      <c r="CM39" s="17">
        <f t="shared" si="189"/>
        <v>24</v>
      </c>
      <c r="CN39" s="17">
        <f t="shared" si="190"/>
        <v>50</v>
      </c>
      <c r="CO39" s="17">
        <f t="shared" si="191"/>
        <v>65.062647806544774</v>
      </c>
      <c r="CP39" s="17">
        <f t="shared" si="192"/>
        <v>6.4061594552694459</v>
      </c>
      <c r="CQ39" s="17">
        <f t="shared" si="193"/>
        <v>0</v>
      </c>
      <c r="CR39" s="17">
        <f t="shared" si="194"/>
        <v>100</v>
      </c>
      <c r="CS39" s="17">
        <f t="shared" si="195"/>
        <v>26.404773030064671</v>
      </c>
      <c r="CT39" s="17">
        <f t="shared" si="196"/>
        <v>24</v>
      </c>
      <c r="CU39" s="17">
        <f t="shared" si="197"/>
        <v>50</v>
      </c>
      <c r="CV39" s="17">
        <f t="shared" si="198"/>
        <v>65.062647806544774</v>
      </c>
      <c r="CW39" s="17">
        <f t="shared" si="199"/>
        <v>-38.657874776480099</v>
      </c>
      <c r="CX39" s="17">
        <f t="shared" si="137"/>
        <v>-4417.7633280000009</v>
      </c>
      <c r="CY39" s="17">
        <f t="shared" si="137"/>
        <v>-4417.7633280000009</v>
      </c>
      <c r="CZ39" s="17">
        <f t="shared" si="200"/>
        <v>334.67904000000016</v>
      </c>
      <c r="DA39" s="17">
        <f t="shared" si="201"/>
        <v>-1004.0371200000001</v>
      </c>
      <c r="DB39" s="17">
        <f t="shared" si="202"/>
        <v>-26593.920000000002</v>
      </c>
      <c r="DC39" s="17">
        <f t="shared" si="203"/>
        <v>3412</v>
      </c>
      <c r="DD39" s="17">
        <f t="shared" si="204"/>
        <v>308.39020799999997</v>
      </c>
      <c r="DE39" s="17">
        <f t="shared" si="205"/>
        <v>17496.000000000007</v>
      </c>
      <c r="DF39" s="17">
        <f t="shared" si="206"/>
        <v>-5058.4193335296004</v>
      </c>
      <c r="DG39" s="17"/>
      <c r="DH39" s="17">
        <f t="shared" si="207"/>
        <v>-10514.941939202587</v>
      </c>
      <c r="DI39" s="17">
        <f t="shared" si="208"/>
        <v>-29573.274204007277</v>
      </c>
      <c r="DJ39" s="17">
        <f t="shared" si="209"/>
        <v>-2850.0613852561082</v>
      </c>
      <c r="DK39" s="17">
        <f t="shared" si="210"/>
        <v>4250.6612215859805</v>
      </c>
      <c r="DL39" s="17">
        <f t="shared" si="211"/>
        <v>-15523.070533529597</v>
      </c>
      <c r="DM39" s="17">
        <f t="shared" si="212"/>
        <v>-38687.616306879994</v>
      </c>
      <c r="DN39" s="17">
        <f t="shared" si="213"/>
        <v>-54210.686840409588</v>
      </c>
    </row>
    <row r="40" spans="3:120" ht="18.600000000000001">
      <c r="C40" s="13">
        <f>IF(D40&lt;&gt;"",COUNTA($D$10:D40),"")</f>
        <v>28</v>
      </c>
      <c r="D40" s="14" t="s">
        <v>210</v>
      </c>
      <c r="E40" s="14">
        <v>2.1</v>
      </c>
      <c r="F40" s="14">
        <v>1.8</v>
      </c>
      <c r="G40" s="14">
        <v>2.4</v>
      </c>
      <c r="H40" s="14">
        <v>2</v>
      </c>
      <c r="I40" s="14">
        <v>1</v>
      </c>
      <c r="J40" s="14">
        <v>1.75</v>
      </c>
      <c r="K40" s="14">
        <v>3</v>
      </c>
      <c r="L40" s="15">
        <v>0.1</v>
      </c>
      <c r="M40" s="15">
        <v>0</v>
      </c>
      <c r="N40" s="14">
        <v>24</v>
      </c>
      <c r="O40" s="14">
        <v>50</v>
      </c>
      <c r="P40" s="13">
        <v>45</v>
      </c>
      <c r="Q40" s="13">
        <v>85</v>
      </c>
      <c r="R40" s="13" t="s">
        <v>17</v>
      </c>
      <c r="S40" s="13">
        <v>160</v>
      </c>
      <c r="T40" s="13">
        <v>0</v>
      </c>
      <c r="U40" s="13">
        <v>100</v>
      </c>
      <c r="V40" s="13" t="str">
        <f t="shared" si="138"/>
        <v>ISO 6</v>
      </c>
      <c r="W40" s="13">
        <f t="shared" si="139"/>
        <v>160</v>
      </c>
      <c r="X40" s="16">
        <f t="shared" si="140"/>
        <v>40.672800000000002</v>
      </c>
      <c r="Y40" s="16">
        <f t="shared" si="141"/>
        <v>320.17628159999998</v>
      </c>
      <c r="Z40" s="16">
        <f t="shared" si="142"/>
        <v>853.80341759999999</v>
      </c>
      <c r="AA40" s="16">
        <f t="shared" si="143"/>
        <v>85.380341760000007</v>
      </c>
      <c r="AB40" s="16">
        <f t="shared" si="144"/>
        <v>0</v>
      </c>
      <c r="AC40" s="16">
        <f t="shared" si="145"/>
        <v>7.8543176232404699</v>
      </c>
      <c r="AD40" s="16">
        <f t="shared" si="214"/>
        <v>2400</v>
      </c>
      <c r="AE40" s="16">
        <f t="shared" si="147"/>
        <v>2400</v>
      </c>
      <c r="AF40" s="16">
        <f t="shared" si="148"/>
        <v>14</v>
      </c>
      <c r="AG40" s="16">
        <f t="shared" si="149"/>
        <v>6</v>
      </c>
      <c r="AH40" s="838" t="s">
        <v>85</v>
      </c>
      <c r="AI40" s="17">
        <f t="shared" si="150"/>
        <v>4.5</v>
      </c>
      <c r="AJ40" s="17">
        <f t="shared" si="151"/>
        <v>6</v>
      </c>
      <c r="AK40" s="891"/>
      <c r="AL40" s="18"/>
      <c r="AM40" s="889"/>
      <c r="AN40" s="891"/>
      <c r="AO40" s="888"/>
      <c r="AP40" s="891"/>
      <c r="AQ40" s="891"/>
      <c r="AR40" s="889"/>
      <c r="AS40" s="888"/>
      <c r="AT40" s="888"/>
      <c r="AU40" s="890"/>
      <c r="AV40" s="888"/>
      <c r="AW40" s="888"/>
      <c r="AX40" s="888"/>
      <c r="AY40" s="887"/>
      <c r="AZ40" s="888"/>
      <c r="BA40" s="17">
        <f t="shared" si="152"/>
        <v>14.399999999999991</v>
      </c>
      <c r="BB40" s="17">
        <f t="shared" si="153"/>
        <v>37.799999999999997</v>
      </c>
      <c r="BC40" s="17">
        <f t="shared" si="154"/>
        <v>32</v>
      </c>
      <c r="BD40" s="17">
        <f t="shared" si="155"/>
        <v>85</v>
      </c>
      <c r="BE40" s="17">
        <f t="shared" si="156"/>
        <v>180.86341983910182</v>
      </c>
      <c r="BF40" s="17">
        <f t="shared" si="157"/>
        <v>24</v>
      </c>
      <c r="BG40" s="17">
        <f t="shared" si="158"/>
        <v>50</v>
      </c>
      <c r="BH40" s="17">
        <f t="shared" si="159"/>
        <v>65.062647806544774</v>
      </c>
      <c r="BI40" s="17">
        <f t="shared" si="160"/>
        <v>115.80077203255705</v>
      </c>
      <c r="BJ40" s="17">
        <f t="shared" si="161"/>
        <v>45</v>
      </c>
      <c r="BK40" s="17">
        <f t="shared" si="162"/>
        <v>85</v>
      </c>
      <c r="BL40" s="17">
        <f t="shared" si="163"/>
        <v>380.54120080897206</v>
      </c>
      <c r="BM40" s="17">
        <f t="shared" si="164"/>
        <v>24</v>
      </c>
      <c r="BN40" s="17">
        <f t="shared" si="165"/>
        <v>50</v>
      </c>
      <c r="BO40" s="17">
        <f t="shared" si="166"/>
        <v>65.062647806544774</v>
      </c>
      <c r="BP40" s="17">
        <f t="shared" si="167"/>
        <v>315.4785530024273</v>
      </c>
      <c r="BQ40" s="17">
        <f t="shared" si="168"/>
        <v>3426.2766719999995</v>
      </c>
      <c r="BR40" s="17">
        <f t="shared" si="169"/>
        <v>1305.2482559999992</v>
      </c>
      <c r="BS40" s="17">
        <f t="shared" si="170"/>
        <v>263.55974399999985</v>
      </c>
      <c r="BT40" s="17">
        <f t="shared" si="171"/>
        <v>691.84432800000002</v>
      </c>
      <c r="BU40" s="17">
        <f t="shared" si="172"/>
        <v>23269.68</v>
      </c>
      <c r="BV40" s="17">
        <f t="shared" si="173"/>
        <v>3412</v>
      </c>
      <c r="BW40" s="17">
        <f t="shared" si="174"/>
        <v>242.85728880000002</v>
      </c>
      <c r="BX40" s="17">
        <f t="shared" si="175"/>
        <v>17495.999999999989</v>
      </c>
      <c r="BY40" s="17">
        <f t="shared" si="176"/>
        <v>3485.5670720102398</v>
      </c>
      <c r="BZ40" s="17"/>
      <c r="CA40" s="17">
        <f t="shared" si="177"/>
        <v>85810.166416660228</v>
      </c>
      <c r="CB40" s="17">
        <f t="shared" si="178"/>
        <v>241341.0930468569</v>
      </c>
      <c r="CC40" s="17">
        <f t="shared" si="179"/>
        <v>18316.253337842314</v>
      </c>
      <c r="CD40" s="17">
        <f t="shared" si="180"/>
        <v>164846.28004058084</v>
      </c>
      <c r="CE40" s="17">
        <f t="shared" si="181"/>
        <v>51332.381032810234</v>
      </c>
      <c r="CF40" s="17">
        <f t="shared" si="182"/>
        <v>510313.79284194025</v>
      </c>
      <c r="CG40" s="17">
        <f t="shared" si="183"/>
        <v>561646.1738747505</v>
      </c>
      <c r="CH40" s="17">
        <f t="shared" si="184"/>
        <v>14.400000000000006</v>
      </c>
      <c r="CI40" s="17">
        <f t="shared" si="185"/>
        <v>-43.2</v>
      </c>
      <c r="CJ40" s="17">
        <f t="shared" si="186"/>
        <v>16</v>
      </c>
      <c r="CK40" s="17">
        <f t="shared" si="187"/>
        <v>90</v>
      </c>
      <c r="CL40" s="17">
        <f t="shared" si="188"/>
        <v>71.46880726181422</v>
      </c>
      <c r="CM40" s="17">
        <f t="shared" si="189"/>
        <v>24</v>
      </c>
      <c r="CN40" s="17">
        <f t="shared" si="190"/>
        <v>50</v>
      </c>
      <c r="CO40" s="17">
        <f t="shared" si="191"/>
        <v>65.062647806544774</v>
      </c>
      <c r="CP40" s="17">
        <f t="shared" si="192"/>
        <v>6.4061594552694459</v>
      </c>
      <c r="CQ40" s="17">
        <f t="shared" si="193"/>
        <v>0</v>
      </c>
      <c r="CR40" s="17">
        <f t="shared" si="194"/>
        <v>100</v>
      </c>
      <c r="CS40" s="17">
        <f t="shared" si="195"/>
        <v>26.404773030064671</v>
      </c>
      <c r="CT40" s="17">
        <f t="shared" si="196"/>
        <v>24</v>
      </c>
      <c r="CU40" s="17">
        <f t="shared" si="197"/>
        <v>50</v>
      </c>
      <c r="CV40" s="17">
        <f t="shared" si="198"/>
        <v>65.062647806544774</v>
      </c>
      <c r="CW40" s="17">
        <f t="shared" si="199"/>
        <v>-38.657874776480099</v>
      </c>
      <c r="CX40" s="17">
        <f t="shared" si="137"/>
        <v>-3915.744768</v>
      </c>
      <c r="CY40" s="17">
        <f t="shared" si="137"/>
        <v>-3915.744768</v>
      </c>
      <c r="CZ40" s="17">
        <f t="shared" si="200"/>
        <v>263.55974400000014</v>
      </c>
      <c r="DA40" s="17">
        <f t="shared" si="201"/>
        <v>-790.67923200000007</v>
      </c>
      <c r="DB40" s="17">
        <f t="shared" si="202"/>
        <v>-26593.920000000002</v>
      </c>
      <c r="DC40" s="17">
        <f t="shared" si="203"/>
        <v>3412</v>
      </c>
      <c r="DD40" s="17">
        <f t="shared" si="204"/>
        <v>242.85728880000002</v>
      </c>
      <c r="DE40" s="17">
        <f t="shared" si="205"/>
        <v>17496.000000000007</v>
      </c>
      <c r="DF40" s="17">
        <f t="shared" si="206"/>
        <v>-3983.5052251545608</v>
      </c>
      <c r="DG40" s="17"/>
      <c r="DH40" s="17">
        <f t="shared" si="207"/>
        <v>-10514.941939202587</v>
      </c>
      <c r="DI40" s="17">
        <f t="shared" si="208"/>
        <v>-29573.274204007277</v>
      </c>
      <c r="DJ40" s="17">
        <f t="shared" si="209"/>
        <v>-2244.4233408891855</v>
      </c>
      <c r="DK40" s="17">
        <f t="shared" si="210"/>
        <v>3347.39571199896</v>
      </c>
      <c r="DL40" s="17">
        <f t="shared" si="211"/>
        <v>-13869.432192354554</v>
      </c>
      <c r="DM40" s="17">
        <f t="shared" si="212"/>
        <v>-38985.243772100097</v>
      </c>
      <c r="DN40" s="17">
        <f t="shared" si="213"/>
        <v>-52854.675964454655</v>
      </c>
    </row>
    <row r="41" spans="3:120" ht="18.600000000000001">
      <c r="C41" s="13">
        <f>IF(D41&lt;&gt;"",COUNTA($D$10:D41),"")</f>
        <v>29</v>
      </c>
      <c r="D41" s="14" t="s">
        <v>211</v>
      </c>
      <c r="E41" s="14">
        <v>1.8</v>
      </c>
      <c r="F41" s="14">
        <v>1.9</v>
      </c>
      <c r="G41" s="14">
        <v>2.4</v>
      </c>
      <c r="H41" s="14">
        <v>2</v>
      </c>
      <c r="I41" s="14">
        <v>1</v>
      </c>
      <c r="J41" s="14">
        <v>1.75</v>
      </c>
      <c r="K41" s="14">
        <v>3</v>
      </c>
      <c r="L41" s="15">
        <v>0.1</v>
      </c>
      <c r="M41" s="15">
        <v>0</v>
      </c>
      <c r="N41" s="14">
        <v>24</v>
      </c>
      <c r="O41" s="14">
        <v>50</v>
      </c>
      <c r="P41" s="13">
        <v>45</v>
      </c>
      <c r="Q41" s="13">
        <v>85</v>
      </c>
      <c r="R41" s="13" t="s">
        <v>17</v>
      </c>
      <c r="S41" s="13">
        <v>160</v>
      </c>
      <c r="T41" s="13">
        <v>0</v>
      </c>
      <c r="U41" s="13">
        <v>100</v>
      </c>
      <c r="V41" s="13" t="str">
        <f t="shared" si="138"/>
        <v>ISO 6</v>
      </c>
      <c r="W41" s="13">
        <f t="shared" si="139"/>
        <v>160</v>
      </c>
      <c r="X41" s="16">
        <f t="shared" si="140"/>
        <v>36.799199999999999</v>
      </c>
      <c r="Y41" s="16">
        <f t="shared" si="141"/>
        <v>289.68330239999995</v>
      </c>
      <c r="Z41" s="16">
        <f t="shared" si="142"/>
        <v>772.48880639999993</v>
      </c>
      <c r="AA41" s="16">
        <f t="shared" si="143"/>
        <v>77.248880639999996</v>
      </c>
      <c r="AB41" s="16">
        <f t="shared" si="144"/>
        <v>0</v>
      </c>
      <c r="AC41" s="16">
        <f t="shared" si="145"/>
        <v>7.1062873734080432</v>
      </c>
      <c r="AD41" s="16">
        <f t="shared" si="214"/>
        <v>2300</v>
      </c>
      <c r="AE41" s="16">
        <f t="shared" si="147"/>
        <v>2300</v>
      </c>
      <c r="AF41" s="16">
        <f t="shared" si="148"/>
        <v>14</v>
      </c>
      <c r="AG41" s="16">
        <f t="shared" si="149"/>
        <v>6</v>
      </c>
      <c r="AH41" s="838" t="s">
        <v>85</v>
      </c>
      <c r="AI41" s="17">
        <f t="shared" si="150"/>
        <v>4.5</v>
      </c>
      <c r="AJ41" s="17">
        <f t="shared" si="151"/>
        <v>6</v>
      </c>
      <c r="AK41" s="891"/>
      <c r="AL41" s="18"/>
      <c r="AM41" s="889"/>
      <c r="AN41" s="891"/>
      <c r="AO41" s="888"/>
      <c r="AP41" s="891"/>
      <c r="AQ41" s="891"/>
      <c r="AR41" s="889"/>
      <c r="AS41" s="888"/>
      <c r="AT41" s="888"/>
      <c r="AU41" s="890"/>
      <c r="AV41" s="888"/>
      <c r="AW41" s="888"/>
      <c r="AX41" s="888"/>
      <c r="AY41" s="887"/>
      <c r="AZ41" s="888"/>
      <c r="BA41" s="17">
        <f t="shared" si="152"/>
        <v>14.399999999999991</v>
      </c>
      <c r="BB41" s="17">
        <f t="shared" si="153"/>
        <v>37.799999999999997</v>
      </c>
      <c r="BC41" s="17">
        <f t="shared" si="154"/>
        <v>32</v>
      </c>
      <c r="BD41" s="17">
        <f t="shared" si="155"/>
        <v>85</v>
      </c>
      <c r="BE41" s="17">
        <f t="shared" si="156"/>
        <v>180.86341983910182</v>
      </c>
      <c r="BF41" s="17">
        <f t="shared" si="157"/>
        <v>24</v>
      </c>
      <c r="BG41" s="17">
        <f t="shared" si="158"/>
        <v>50</v>
      </c>
      <c r="BH41" s="17">
        <f t="shared" si="159"/>
        <v>65.062647806544774</v>
      </c>
      <c r="BI41" s="17">
        <f t="shared" si="160"/>
        <v>115.80077203255705</v>
      </c>
      <c r="BJ41" s="17">
        <f t="shared" si="161"/>
        <v>45</v>
      </c>
      <c r="BK41" s="17">
        <f t="shared" si="162"/>
        <v>85</v>
      </c>
      <c r="BL41" s="17">
        <f t="shared" si="163"/>
        <v>380.54120080897206</v>
      </c>
      <c r="BM41" s="17">
        <f t="shared" si="164"/>
        <v>24</v>
      </c>
      <c r="BN41" s="17">
        <f t="shared" si="165"/>
        <v>50</v>
      </c>
      <c r="BO41" s="17">
        <f t="shared" si="166"/>
        <v>65.062647806544774</v>
      </c>
      <c r="BP41" s="17">
        <f t="shared" si="167"/>
        <v>315.4785530024273</v>
      </c>
      <c r="BQ41" s="17">
        <f t="shared" si="168"/>
        <v>3250.5701760000002</v>
      </c>
      <c r="BR41" s="17">
        <f t="shared" si="169"/>
        <v>1238.3124479999992</v>
      </c>
      <c r="BS41" s="17">
        <f t="shared" si="170"/>
        <v>238.45881599999987</v>
      </c>
      <c r="BT41" s="17">
        <f t="shared" si="171"/>
        <v>625.95439199999998</v>
      </c>
      <c r="BU41" s="17">
        <f t="shared" si="172"/>
        <v>23269.68</v>
      </c>
      <c r="BV41" s="17">
        <f t="shared" si="173"/>
        <v>3412</v>
      </c>
      <c r="BW41" s="17">
        <f t="shared" si="174"/>
        <v>219.7280232</v>
      </c>
      <c r="BX41" s="17">
        <f t="shared" si="175"/>
        <v>17495.999999999989</v>
      </c>
      <c r="BY41" s="17">
        <f t="shared" si="176"/>
        <v>3153.6083032473598</v>
      </c>
      <c r="BZ41" s="17"/>
      <c r="CA41" s="17">
        <f t="shared" si="177"/>
        <v>85810.166416660228</v>
      </c>
      <c r="CB41" s="17">
        <f t="shared" si="178"/>
        <v>241341.0930468569</v>
      </c>
      <c r="CC41" s="17">
        <f t="shared" si="179"/>
        <v>16571.848258047805</v>
      </c>
      <c r="CD41" s="17">
        <f t="shared" si="180"/>
        <v>149146.63432243024</v>
      </c>
      <c r="CE41" s="17">
        <f t="shared" si="181"/>
        <v>50801.586502447353</v>
      </c>
      <c r="CF41" s="17">
        <f t="shared" si="182"/>
        <v>492869.74204399518</v>
      </c>
      <c r="CG41" s="17">
        <f t="shared" si="183"/>
        <v>543671.32854644256</v>
      </c>
      <c r="CH41" s="17">
        <f t="shared" si="184"/>
        <v>14.400000000000006</v>
      </c>
      <c r="CI41" s="17">
        <f t="shared" si="185"/>
        <v>-43.2</v>
      </c>
      <c r="CJ41" s="17">
        <f t="shared" si="186"/>
        <v>16</v>
      </c>
      <c r="CK41" s="17">
        <f t="shared" si="187"/>
        <v>90</v>
      </c>
      <c r="CL41" s="17">
        <f t="shared" si="188"/>
        <v>71.46880726181422</v>
      </c>
      <c r="CM41" s="17">
        <f t="shared" si="189"/>
        <v>24</v>
      </c>
      <c r="CN41" s="17">
        <f t="shared" si="190"/>
        <v>50</v>
      </c>
      <c r="CO41" s="17">
        <f t="shared" si="191"/>
        <v>65.062647806544774</v>
      </c>
      <c r="CP41" s="17">
        <f t="shared" si="192"/>
        <v>6.4061594552694459</v>
      </c>
      <c r="CQ41" s="17">
        <f t="shared" si="193"/>
        <v>0</v>
      </c>
      <c r="CR41" s="17">
        <f t="shared" si="194"/>
        <v>100</v>
      </c>
      <c r="CS41" s="17">
        <f t="shared" si="195"/>
        <v>26.404773030064671</v>
      </c>
      <c r="CT41" s="17">
        <f t="shared" si="196"/>
        <v>24</v>
      </c>
      <c r="CU41" s="17">
        <f t="shared" si="197"/>
        <v>50</v>
      </c>
      <c r="CV41" s="17">
        <f t="shared" si="198"/>
        <v>65.062647806544774</v>
      </c>
      <c r="CW41" s="17">
        <f t="shared" si="199"/>
        <v>-38.657874776480099</v>
      </c>
      <c r="CX41" s="17">
        <f t="shared" si="137"/>
        <v>-3714.9373440000004</v>
      </c>
      <c r="CY41" s="17">
        <f t="shared" si="137"/>
        <v>-3714.9373440000004</v>
      </c>
      <c r="CZ41" s="17">
        <f t="shared" si="200"/>
        <v>238.45881600000007</v>
      </c>
      <c r="DA41" s="17">
        <f t="shared" si="201"/>
        <v>-715.3764480000001</v>
      </c>
      <c r="DB41" s="17">
        <f t="shared" si="202"/>
        <v>-26593.920000000002</v>
      </c>
      <c r="DC41" s="17">
        <f t="shared" si="203"/>
        <v>3412</v>
      </c>
      <c r="DD41" s="17">
        <f t="shared" si="204"/>
        <v>219.7280232</v>
      </c>
      <c r="DE41" s="17">
        <f t="shared" si="205"/>
        <v>17496.000000000007</v>
      </c>
      <c r="DF41" s="17">
        <f t="shared" si="206"/>
        <v>-3604.1237751398403</v>
      </c>
      <c r="DG41" s="17"/>
      <c r="DH41" s="17">
        <f t="shared" si="207"/>
        <v>-10514.941939202587</v>
      </c>
      <c r="DI41" s="17">
        <f t="shared" si="208"/>
        <v>-29573.274204007277</v>
      </c>
      <c r="DJ41" s="17">
        <f t="shared" si="209"/>
        <v>-2030.6687369949768</v>
      </c>
      <c r="DK41" s="17">
        <f t="shared" si="210"/>
        <v>3028.5961203800107</v>
      </c>
      <c r="DL41" s="17">
        <f t="shared" si="211"/>
        <v>-13262.170727939832</v>
      </c>
      <c r="DM41" s="17">
        <f t="shared" si="212"/>
        <v>-39090.288759824834</v>
      </c>
      <c r="DN41" s="17">
        <f t="shared" si="213"/>
        <v>-52352.459487764667</v>
      </c>
    </row>
    <row r="42" spans="3:120" ht="18.600000000000001">
      <c r="C42" s="13">
        <f>IF(D42&lt;&gt;"",COUNTA($D$10:D42),"")</f>
        <v>30</v>
      </c>
      <c r="D42" s="14" t="s">
        <v>212</v>
      </c>
      <c r="E42" s="14">
        <v>1.9</v>
      </c>
      <c r="F42" s="14">
        <v>2</v>
      </c>
      <c r="G42" s="14">
        <v>2.4</v>
      </c>
      <c r="H42" s="14">
        <v>2</v>
      </c>
      <c r="I42" s="14">
        <v>1</v>
      </c>
      <c r="J42" s="14">
        <v>1.75</v>
      </c>
      <c r="K42" s="14">
        <v>3</v>
      </c>
      <c r="L42" s="15">
        <v>0.1</v>
      </c>
      <c r="M42" s="15">
        <v>0</v>
      </c>
      <c r="N42" s="14">
        <v>24</v>
      </c>
      <c r="O42" s="14">
        <v>50</v>
      </c>
      <c r="P42" s="13">
        <v>45</v>
      </c>
      <c r="Q42" s="13">
        <v>85</v>
      </c>
      <c r="R42" s="13" t="s">
        <v>17</v>
      </c>
      <c r="S42" s="13">
        <v>160</v>
      </c>
      <c r="T42" s="13">
        <v>0</v>
      </c>
      <c r="U42" s="13">
        <v>100</v>
      </c>
      <c r="V42" s="13" t="str">
        <f t="shared" si="138"/>
        <v>ISO 6</v>
      </c>
      <c r="W42" s="13">
        <f t="shared" si="139"/>
        <v>160</v>
      </c>
      <c r="X42" s="16">
        <f t="shared" si="140"/>
        <v>40.887999999999998</v>
      </c>
      <c r="Y42" s="16">
        <f t="shared" si="141"/>
        <v>321.87033599999995</v>
      </c>
      <c r="Z42" s="16">
        <f t="shared" si="142"/>
        <v>858.32089599999983</v>
      </c>
      <c r="AA42" s="16">
        <f t="shared" si="143"/>
        <v>85.832089599999989</v>
      </c>
      <c r="AB42" s="16">
        <f t="shared" si="144"/>
        <v>0</v>
      </c>
      <c r="AC42" s="16">
        <f t="shared" si="145"/>
        <v>7.8958748593422712</v>
      </c>
      <c r="AD42" s="16">
        <f t="shared" si="214"/>
        <v>2400</v>
      </c>
      <c r="AE42" s="16">
        <f t="shared" si="147"/>
        <v>2400</v>
      </c>
      <c r="AF42" s="16">
        <f t="shared" si="148"/>
        <v>14</v>
      </c>
      <c r="AG42" s="16">
        <f t="shared" si="149"/>
        <v>6</v>
      </c>
      <c r="AH42" s="838" t="s">
        <v>85</v>
      </c>
      <c r="AI42" s="17">
        <f t="shared" si="150"/>
        <v>4.5</v>
      </c>
      <c r="AJ42" s="17">
        <f t="shared" si="151"/>
        <v>6</v>
      </c>
      <c r="AK42" s="891"/>
      <c r="AL42" s="18"/>
      <c r="AM42" s="889"/>
      <c r="AN42" s="891"/>
      <c r="AO42" s="888"/>
      <c r="AP42" s="891"/>
      <c r="AQ42" s="891"/>
      <c r="AR42" s="889"/>
      <c r="AS42" s="888"/>
      <c r="AT42" s="888"/>
      <c r="AU42" s="890"/>
      <c r="AV42" s="888"/>
      <c r="AW42" s="888"/>
      <c r="AX42" s="888"/>
      <c r="AY42" s="887"/>
      <c r="AZ42" s="888"/>
      <c r="BA42" s="17">
        <f t="shared" si="152"/>
        <v>14.399999999999991</v>
      </c>
      <c r="BB42" s="17">
        <f t="shared" si="153"/>
        <v>37.799999999999997</v>
      </c>
      <c r="BC42" s="17">
        <f t="shared" si="154"/>
        <v>32</v>
      </c>
      <c r="BD42" s="17">
        <f t="shared" si="155"/>
        <v>85</v>
      </c>
      <c r="BE42" s="17">
        <f t="shared" si="156"/>
        <v>180.86341983910182</v>
      </c>
      <c r="BF42" s="17">
        <f t="shared" si="157"/>
        <v>24</v>
      </c>
      <c r="BG42" s="17">
        <f t="shared" si="158"/>
        <v>50</v>
      </c>
      <c r="BH42" s="17">
        <f t="shared" si="159"/>
        <v>65.062647806544774</v>
      </c>
      <c r="BI42" s="17">
        <f t="shared" si="160"/>
        <v>115.80077203255705</v>
      </c>
      <c r="BJ42" s="17">
        <f t="shared" si="161"/>
        <v>45</v>
      </c>
      <c r="BK42" s="17">
        <f t="shared" si="162"/>
        <v>85</v>
      </c>
      <c r="BL42" s="17">
        <f t="shared" si="163"/>
        <v>380.54120080897206</v>
      </c>
      <c r="BM42" s="17">
        <f t="shared" si="164"/>
        <v>24</v>
      </c>
      <c r="BN42" s="17">
        <f t="shared" si="165"/>
        <v>50</v>
      </c>
      <c r="BO42" s="17">
        <f t="shared" si="166"/>
        <v>65.062647806544774</v>
      </c>
      <c r="BP42" s="17">
        <f t="shared" si="167"/>
        <v>315.4785530024273</v>
      </c>
      <c r="BQ42" s="17">
        <f t="shared" si="168"/>
        <v>3426.2766719999991</v>
      </c>
      <c r="BR42" s="17">
        <f t="shared" si="169"/>
        <v>1305.2482559999989</v>
      </c>
      <c r="BS42" s="17">
        <f t="shared" si="170"/>
        <v>264.95423999999986</v>
      </c>
      <c r="BT42" s="17">
        <f t="shared" si="171"/>
        <v>695.50487999999984</v>
      </c>
      <c r="BU42" s="17">
        <f t="shared" si="172"/>
        <v>23269.68</v>
      </c>
      <c r="BV42" s="17">
        <f t="shared" si="173"/>
        <v>3412</v>
      </c>
      <c r="BW42" s="17">
        <f t="shared" si="174"/>
        <v>244.142248</v>
      </c>
      <c r="BX42" s="17">
        <f t="shared" si="175"/>
        <v>17495.999999999989</v>
      </c>
      <c r="BY42" s="17">
        <f t="shared" si="176"/>
        <v>3504.0092258303994</v>
      </c>
      <c r="BZ42" s="17"/>
      <c r="CA42" s="17">
        <f t="shared" si="177"/>
        <v>85810.166416660228</v>
      </c>
      <c r="CB42" s="17">
        <f t="shared" si="178"/>
        <v>241341.0930468569</v>
      </c>
      <c r="CC42" s="17">
        <f t="shared" si="179"/>
        <v>18413.164731164226</v>
      </c>
      <c r="CD42" s="17">
        <f t="shared" si="180"/>
        <v>165718.48258047801</v>
      </c>
      <c r="CE42" s="17">
        <f t="shared" si="181"/>
        <v>51352.108145830389</v>
      </c>
      <c r="CF42" s="17">
        <f t="shared" si="182"/>
        <v>511282.90677515935</v>
      </c>
      <c r="CG42" s="17">
        <f t="shared" si="183"/>
        <v>562635.01492098975</v>
      </c>
      <c r="CH42" s="17">
        <f t="shared" si="184"/>
        <v>14.400000000000006</v>
      </c>
      <c r="CI42" s="17">
        <f t="shared" si="185"/>
        <v>-43.2</v>
      </c>
      <c r="CJ42" s="17">
        <f t="shared" si="186"/>
        <v>16</v>
      </c>
      <c r="CK42" s="17">
        <f t="shared" si="187"/>
        <v>90</v>
      </c>
      <c r="CL42" s="17">
        <f t="shared" si="188"/>
        <v>71.46880726181422</v>
      </c>
      <c r="CM42" s="17">
        <f t="shared" si="189"/>
        <v>24</v>
      </c>
      <c r="CN42" s="17">
        <f t="shared" si="190"/>
        <v>50</v>
      </c>
      <c r="CO42" s="17">
        <f t="shared" si="191"/>
        <v>65.062647806544774</v>
      </c>
      <c r="CP42" s="17">
        <f t="shared" si="192"/>
        <v>6.4061594552694459</v>
      </c>
      <c r="CQ42" s="17">
        <f t="shared" si="193"/>
        <v>0</v>
      </c>
      <c r="CR42" s="17">
        <f t="shared" si="194"/>
        <v>100</v>
      </c>
      <c r="CS42" s="17">
        <f t="shared" si="195"/>
        <v>26.404773030064671</v>
      </c>
      <c r="CT42" s="17">
        <f t="shared" si="196"/>
        <v>24</v>
      </c>
      <c r="CU42" s="17">
        <f t="shared" si="197"/>
        <v>50</v>
      </c>
      <c r="CV42" s="17">
        <f t="shared" si="198"/>
        <v>65.062647806544774</v>
      </c>
      <c r="CW42" s="17">
        <f t="shared" si="199"/>
        <v>-38.657874776480099</v>
      </c>
      <c r="CX42" s="17">
        <f t="shared" si="137"/>
        <v>-3915.744768</v>
      </c>
      <c r="CY42" s="17">
        <f t="shared" si="137"/>
        <v>-3915.744768</v>
      </c>
      <c r="CZ42" s="17">
        <f t="shared" si="200"/>
        <v>264.95424000000008</v>
      </c>
      <c r="DA42" s="17">
        <f t="shared" si="201"/>
        <v>-794.86271999999997</v>
      </c>
      <c r="DB42" s="17">
        <f t="shared" si="202"/>
        <v>-26593.920000000002</v>
      </c>
      <c r="DC42" s="17">
        <f t="shared" si="203"/>
        <v>3412</v>
      </c>
      <c r="DD42" s="17">
        <f t="shared" si="204"/>
        <v>244.142248</v>
      </c>
      <c r="DE42" s="17">
        <f t="shared" si="205"/>
        <v>17496.000000000007</v>
      </c>
      <c r="DF42" s="17">
        <f t="shared" si="206"/>
        <v>-4004.5819723775999</v>
      </c>
      <c r="DG42" s="17"/>
      <c r="DH42" s="17">
        <f t="shared" si="207"/>
        <v>-10514.941939202587</v>
      </c>
      <c r="DI42" s="17">
        <f t="shared" si="208"/>
        <v>-29573.274204007277</v>
      </c>
      <c r="DJ42" s="17">
        <f t="shared" si="209"/>
        <v>-2256.2985966610854</v>
      </c>
      <c r="DK42" s="17">
        <f t="shared" si="210"/>
        <v>3365.1068004222338</v>
      </c>
      <c r="DL42" s="17">
        <f t="shared" si="211"/>
        <v>-13892.012972377594</v>
      </c>
      <c r="DM42" s="17">
        <f t="shared" si="212"/>
        <v>-38979.40793944872</v>
      </c>
      <c r="DN42" s="17">
        <f t="shared" si="213"/>
        <v>-52871.42091182631</v>
      </c>
    </row>
    <row r="43" spans="3:120" ht="18.600000000000001">
      <c r="C43" s="13">
        <f>IF(D43&lt;&gt;"",COUNTA($D$10:D43),"")</f>
        <v>31</v>
      </c>
      <c r="D43" s="14" t="s">
        <v>213</v>
      </c>
      <c r="E43" s="14">
        <v>2.2999999999999998</v>
      </c>
      <c r="F43" s="14">
        <v>2.2000000000000002</v>
      </c>
      <c r="G43" s="14">
        <v>2.4</v>
      </c>
      <c r="H43" s="14">
        <v>2</v>
      </c>
      <c r="I43" s="14">
        <v>1</v>
      </c>
      <c r="J43" s="14">
        <v>1.75</v>
      </c>
      <c r="K43" s="14">
        <v>3</v>
      </c>
      <c r="L43" s="15">
        <v>0.1</v>
      </c>
      <c r="M43" s="15">
        <v>0</v>
      </c>
      <c r="N43" s="14">
        <v>24</v>
      </c>
      <c r="O43" s="14">
        <v>50</v>
      </c>
      <c r="P43" s="13">
        <v>45</v>
      </c>
      <c r="Q43" s="13">
        <v>85</v>
      </c>
      <c r="R43" s="13" t="s">
        <v>17</v>
      </c>
      <c r="S43" s="13">
        <v>160</v>
      </c>
      <c r="T43" s="13">
        <v>0</v>
      </c>
      <c r="U43" s="13">
        <v>100</v>
      </c>
      <c r="V43" s="13" t="str">
        <f t="shared" si="138"/>
        <v>ISO 6</v>
      </c>
      <c r="W43" s="13">
        <f t="shared" si="139"/>
        <v>160</v>
      </c>
      <c r="X43" s="16">
        <f t="shared" si="140"/>
        <v>54.445599999999992</v>
      </c>
      <c r="Y43" s="16">
        <f t="shared" si="141"/>
        <v>428.59576319999991</v>
      </c>
      <c r="Z43" s="16">
        <f t="shared" si="142"/>
        <v>1142.9220351999998</v>
      </c>
      <c r="AA43" s="16">
        <f t="shared" si="143"/>
        <v>114.29220351999999</v>
      </c>
      <c r="AB43" s="16">
        <f t="shared" si="144"/>
        <v>0</v>
      </c>
      <c r="AC43" s="16">
        <f t="shared" si="145"/>
        <v>10.51398073375576</v>
      </c>
      <c r="AD43" s="16">
        <f t="shared" si="214"/>
        <v>2675</v>
      </c>
      <c r="AE43" s="16">
        <f t="shared" si="147"/>
        <v>2675</v>
      </c>
      <c r="AF43" s="16">
        <f t="shared" si="148"/>
        <v>16</v>
      </c>
      <c r="AG43" s="16">
        <f t="shared" si="149"/>
        <v>7</v>
      </c>
      <c r="AH43" s="838" t="s">
        <v>85</v>
      </c>
      <c r="AI43" s="17">
        <f t="shared" si="150"/>
        <v>4.5</v>
      </c>
      <c r="AJ43" s="17">
        <f t="shared" si="151"/>
        <v>7</v>
      </c>
      <c r="AK43" s="891"/>
      <c r="AL43" s="18"/>
      <c r="AM43" s="889"/>
      <c r="AN43" s="891"/>
      <c r="AO43" s="888"/>
      <c r="AP43" s="891"/>
      <c r="AQ43" s="891"/>
      <c r="AR43" s="889"/>
      <c r="AS43" s="888"/>
      <c r="AT43" s="888"/>
      <c r="AU43" s="890"/>
      <c r="AV43" s="888"/>
      <c r="AW43" s="888"/>
      <c r="AX43" s="888"/>
      <c r="AY43" s="887"/>
      <c r="AZ43" s="888"/>
      <c r="BA43" s="17">
        <f t="shared" si="152"/>
        <v>14.399999999999991</v>
      </c>
      <c r="BB43" s="17">
        <f t="shared" si="153"/>
        <v>37.799999999999997</v>
      </c>
      <c r="BC43" s="17">
        <f t="shared" si="154"/>
        <v>32</v>
      </c>
      <c r="BD43" s="17">
        <f t="shared" si="155"/>
        <v>85</v>
      </c>
      <c r="BE43" s="17">
        <f t="shared" si="156"/>
        <v>180.86341983910182</v>
      </c>
      <c r="BF43" s="17">
        <f t="shared" si="157"/>
        <v>24</v>
      </c>
      <c r="BG43" s="17">
        <f t="shared" si="158"/>
        <v>50</v>
      </c>
      <c r="BH43" s="17">
        <f t="shared" si="159"/>
        <v>65.062647806544774</v>
      </c>
      <c r="BI43" s="17">
        <f t="shared" si="160"/>
        <v>115.80077203255705</v>
      </c>
      <c r="BJ43" s="17">
        <f t="shared" si="161"/>
        <v>45</v>
      </c>
      <c r="BK43" s="17">
        <f t="shared" si="162"/>
        <v>85</v>
      </c>
      <c r="BL43" s="17">
        <f t="shared" si="163"/>
        <v>380.54120080897206</v>
      </c>
      <c r="BM43" s="17">
        <f t="shared" si="164"/>
        <v>24</v>
      </c>
      <c r="BN43" s="17">
        <f t="shared" si="165"/>
        <v>50</v>
      </c>
      <c r="BO43" s="17">
        <f t="shared" si="166"/>
        <v>65.062647806544774</v>
      </c>
      <c r="BP43" s="17">
        <f t="shared" si="167"/>
        <v>315.4785530024273</v>
      </c>
      <c r="BQ43" s="17">
        <f t="shared" si="168"/>
        <v>3953.3961599999993</v>
      </c>
      <c r="BR43" s="17">
        <f t="shared" si="169"/>
        <v>1506.0556799999993</v>
      </c>
      <c r="BS43" s="17">
        <f t="shared" si="170"/>
        <v>352.80748799999975</v>
      </c>
      <c r="BT43" s="17">
        <f t="shared" si="171"/>
        <v>926.11965599999974</v>
      </c>
      <c r="BU43" s="17">
        <f t="shared" si="172"/>
        <v>23269.68</v>
      </c>
      <c r="BV43" s="17">
        <f t="shared" si="173"/>
        <v>3412</v>
      </c>
      <c r="BW43" s="17">
        <f t="shared" si="174"/>
        <v>325.0946775999999</v>
      </c>
      <c r="BX43" s="17">
        <f t="shared" si="175"/>
        <v>17495.999999999989</v>
      </c>
      <c r="BY43" s="17">
        <f t="shared" si="176"/>
        <v>4665.8649165004799</v>
      </c>
      <c r="BZ43" s="17"/>
      <c r="CA43" s="17">
        <f t="shared" si="177"/>
        <v>85810.166416660228</v>
      </c>
      <c r="CB43" s="17">
        <f t="shared" si="178"/>
        <v>241341.0930468569</v>
      </c>
      <c r="CC43" s="17">
        <f t="shared" si="179"/>
        <v>24518.582510444998</v>
      </c>
      <c r="CD43" s="17">
        <f t="shared" si="180"/>
        <v>220667.24259400499</v>
      </c>
      <c r="CE43" s="17">
        <f t="shared" si="181"/>
        <v>53122.035754100471</v>
      </c>
      <c r="CF43" s="17">
        <f t="shared" si="182"/>
        <v>572337.0845679671</v>
      </c>
      <c r="CG43" s="17">
        <f t="shared" si="183"/>
        <v>625459.12032206752</v>
      </c>
      <c r="CH43" s="17">
        <f t="shared" si="184"/>
        <v>14.400000000000006</v>
      </c>
      <c r="CI43" s="17">
        <f t="shared" si="185"/>
        <v>-43.2</v>
      </c>
      <c r="CJ43" s="17">
        <f t="shared" si="186"/>
        <v>16</v>
      </c>
      <c r="CK43" s="17">
        <f t="shared" si="187"/>
        <v>90</v>
      </c>
      <c r="CL43" s="17">
        <f t="shared" si="188"/>
        <v>71.46880726181422</v>
      </c>
      <c r="CM43" s="17">
        <f t="shared" si="189"/>
        <v>24</v>
      </c>
      <c r="CN43" s="17">
        <f t="shared" si="190"/>
        <v>50</v>
      </c>
      <c r="CO43" s="17">
        <f t="shared" si="191"/>
        <v>65.062647806544774</v>
      </c>
      <c r="CP43" s="17">
        <f t="shared" si="192"/>
        <v>6.4061594552694459</v>
      </c>
      <c r="CQ43" s="17">
        <f t="shared" si="193"/>
        <v>0</v>
      </c>
      <c r="CR43" s="17">
        <f t="shared" si="194"/>
        <v>100</v>
      </c>
      <c r="CS43" s="17">
        <f t="shared" si="195"/>
        <v>26.404773030064671</v>
      </c>
      <c r="CT43" s="17">
        <f t="shared" si="196"/>
        <v>24</v>
      </c>
      <c r="CU43" s="17">
        <f t="shared" si="197"/>
        <v>50</v>
      </c>
      <c r="CV43" s="17">
        <f t="shared" si="198"/>
        <v>65.062647806544774</v>
      </c>
      <c r="CW43" s="17">
        <f t="shared" si="199"/>
        <v>-38.657874776480099</v>
      </c>
      <c r="CX43" s="17">
        <f t="shared" si="137"/>
        <v>-4518.1670400000012</v>
      </c>
      <c r="CY43" s="17">
        <f t="shared" si="137"/>
        <v>-4518.1670400000012</v>
      </c>
      <c r="CZ43" s="17">
        <f t="shared" si="200"/>
        <v>352.80748800000009</v>
      </c>
      <c r="DA43" s="17">
        <f t="shared" si="201"/>
        <v>-1058.422464</v>
      </c>
      <c r="DB43" s="17">
        <f t="shared" si="202"/>
        <v>-26593.920000000002</v>
      </c>
      <c r="DC43" s="17">
        <f t="shared" si="203"/>
        <v>3412</v>
      </c>
      <c r="DD43" s="17">
        <f t="shared" si="204"/>
        <v>325.0946775999999</v>
      </c>
      <c r="DE43" s="17">
        <f t="shared" si="205"/>
        <v>17496.000000000007</v>
      </c>
      <c r="DF43" s="17">
        <f t="shared" si="206"/>
        <v>-5332.4170474291204</v>
      </c>
      <c r="DG43" s="17"/>
      <c r="DH43" s="17">
        <f t="shared" si="207"/>
        <v>-10514.941939202587</v>
      </c>
      <c r="DI43" s="17">
        <f t="shared" si="208"/>
        <v>-29573.274204007277</v>
      </c>
      <c r="DJ43" s="17">
        <f t="shared" si="209"/>
        <v>-3004.4397102908138</v>
      </c>
      <c r="DK43" s="17">
        <f t="shared" si="210"/>
        <v>4480.9053710885537</v>
      </c>
      <c r="DL43" s="17">
        <f t="shared" si="211"/>
        <v>-15917.024385829118</v>
      </c>
      <c r="DM43" s="17">
        <f t="shared" si="212"/>
        <v>-38611.750482412121</v>
      </c>
      <c r="DN43" s="17">
        <f t="shared" si="213"/>
        <v>-54528.774868241235</v>
      </c>
    </row>
    <row r="44" spans="3:120" ht="18.600000000000001">
      <c r="C44" s="13">
        <f>IF(D44&lt;&gt;"",COUNTA($D$10:D44),"")</f>
        <v>32</v>
      </c>
      <c r="D44" s="14" t="s">
        <v>214</v>
      </c>
      <c r="E44" s="14">
        <v>2.2000000000000002</v>
      </c>
      <c r="F44" s="14">
        <v>2.8</v>
      </c>
      <c r="G44" s="14">
        <v>2.4</v>
      </c>
      <c r="H44" s="14">
        <v>2</v>
      </c>
      <c r="I44" s="14">
        <v>1</v>
      </c>
      <c r="J44" s="14">
        <v>1.75</v>
      </c>
      <c r="K44" s="14">
        <v>3</v>
      </c>
      <c r="L44" s="15">
        <v>0.1</v>
      </c>
      <c r="M44" s="15">
        <v>0</v>
      </c>
      <c r="N44" s="14">
        <v>24</v>
      </c>
      <c r="O44" s="14">
        <v>50</v>
      </c>
      <c r="P44" s="13">
        <v>45</v>
      </c>
      <c r="Q44" s="13">
        <v>85</v>
      </c>
      <c r="R44" s="13" t="s">
        <v>17</v>
      </c>
      <c r="S44" s="13">
        <v>160</v>
      </c>
      <c r="T44" s="13">
        <v>0</v>
      </c>
      <c r="U44" s="13">
        <v>100</v>
      </c>
      <c r="V44" s="13" t="str">
        <f t="shared" si="138"/>
        <v>ISO 6</v>
      </c>
      <c r="W44" s="13">
        <f t="shared" si="139"/>
        <v>160</v>
      </c>
      <c r="X44" s="16">
        <f t="shared" si="140"/>
        <v>66.281599999999997</v>
      </c>
      <c r="Y44" s="16">
        <f t="shared" si="141"/>
        <v>521.76875519999999</v>
      </c>
      <c r="Z44" s="16">
        <f t="shared" si="142"/>
        <v>1391.3833471999999</v>
      </c>
      <c r="AA44" s="16">
        <f t="shared" si="143"/>
        <v>139.13833471999999</v>
      </c>
      <c r="AB44" s="16">
        <f t="shared" si="144"/>
        <v>0</v>
      </c>
      <c r="AC44" s="16">
        <f t="shared" si="145"/>
        <v>12.799628719354839</v>
      </c>
      <c r="AD44" s="16">
        <f t="shared" si="214"/>
        <v>2925</v>
      </c>
      <c r="AE44" s="16">
        <f t="shared" si="147"/>
        <v>2925</v>
      </c>
      <c r="AF44" s="16">
        <f t="shared" si="148"/>
        <v>18</v>
      </c>
      <c r="AG44" s="16">
        <f t="shared" si="149"/>
        <v>7.5</v>
      </c>
      <c r="AH44" s="838" t="s">
        <v>85</v>
      </c>
      <c r="AI44" s="17">
        <f t="shared" si="150"/>
        <v>5</v>
      </c>
      <c r="AJ44" s="17">
        <f t="shared" si="151"/>
        <v>7.5</v>
      </c>
      <c r="AK44" s="891"/>
      <c r="AL44" s="18"/>
      <c r="AM44" s="889"/>
      <c r="AN44" s="891"/>
      <c r="AO44" s="888"/>
      <c r="AP44" s="891"/>
      <c r="AQ44" s="891"/>
      <c r="AR44" s="889"/>
      <c r="AS44" s="888"/>
      <c r="AT44" s="888"/>
      <c r="AU44" s="890"/>
      <c r="AV44" s="888"/>
      <c r="AW44" s="888"/>
      <c r="AX44" s="888"/>
      <c r="AY44" s="887"/>
      <c r="AZ44" s="888"/>
      <c r="BA44" s="17">
        <f t="shared" si="152"/>
        <v>14.399999999999991</v>
      </c>
      <c r="BB44" s="17">
        <f t="shared" si="153"/>
        <v>37.799999999999997</v>
      </c>
      <c r="BC44" s="17">
        <f t="shared" si="154"/>
        <v>32</v>
      </c>
      <c r="BD44" s="17">
        <f t="shared" si="155"/>
        <v>85</v>
      </c>
      <c r="BE44" s="17">
        <f t="shared" si="156"/>
        <v>180.86341983910182</v>
      </c>
      <c r="BF44" s="17">
        <f t="shared" si="157"/>
        <v>24</v>
      </c>
      <c r="BG44" s="17">
        <f t="shared" si="158"/>
        <v>50</v>
      </c>
      <c r="BH44" s="17">
        <f t="shared" si="159"/>
        <v>65.062647806544774</v>
      </c>
      <c r="BI44" s="17">
        <f t="shared" si="160"/>
        <v>115.80077203255705</v>
      </c>
      <c r="BJ44" s="17">
        <f t="shared" si="161"/>
        <v>45</v>
      </c>
      <c r="BK44" s="17">
        <f t="shared" si="162"/>
        <v>85</v>
      </c>
      <c r="BL44" s="17">
        <f t="shared" si="163"/>
        <v>380.54120080897206</v>
      </c>
      <c r="BM44" s="17">
        <f t="shared" si="164"/>
        <v>24</v>
      </c>
      <c r="BN44" s="17">
        <f t="shared" si="165"/>
        <v>50</v>
      </c>
      <c r="BO44" s="17">
        <f t="shared" si="166"/>
        <v>65.062647806544774</v>
      </c>
      <c r="BP44" s="17">
        <f t="shared" si="167"/>
        <v>315.4785530024273</v>
      </c>
      <c r="BQ44" s="17">
        <f t="shared" si="168"/>
        <v>4392.6624000000002</v>
      </c>
      <c r="BR44" s="17">
        <f t="shared" si="169"/>
        <v>1673.3951999999992</v>
      </c>
      <c r="BS44" s="17">
        <f t="shared" si="170"/>
        <v>429.50476799999973</v>
      </c>
      <c r="BT44" s="17">
        <f t="shared" si="171"/>
        <v>1127.4500159999998</v>
      </c>
      <c r="BU44" s="17">
        <f t="shared" si="172"/>
        <v>23269.68</v>
      </c>
      <c r="BV44" s="17">
        <f t="shared" si="173"/>
        <v>3412</v>
      </c>
      <c r="BW44" s="17">
        <f t="shared" si="174"/>
        <v>395.76743359999995</v>
      </c>
      <c r="BX44" s="17">
        <f t="shared" si="175"/>
        <v>17495.999999999989</v>
      </c>
      <c r="BY44" s="17">
        <f t="shared" si="176"/>
        <v>5680.1833766092795</v>
      </c>
      <c r="BZ44" s="17"/>
      <c r="CA44" s="17">
        <f t="shared" si="177"/>
        <v>85810.166416660228</v>
      </c>
      <c r="CB44" s="17">
        <f t="shared" si="178"/>
        <v>241341.0930468569</v>
      </c>
      <c r="CC44" s="17">
        <f t="shared" si="179"/>
        <v>29848.709143150434</v>
      </c>
      <c r="CD44" s="17">
        <f t="shared" si="180"/>
        <v>268638.38228835387</v>
      </c>
      <c r="CE44" s="17">
        <f t="shared" si="181"/>
        <v>54646.293210209267</v>
      </c>
      <c r="CF44" s="17">
        <f t="shared" si="182"/>
        <v>625638.35089502134</v>
      </c>
      <c r="CG44" s="17">
        <f t="shared" si="183"/>
        <v>680284.64410523057</v>
      </c>
      <c r="CH44" s="17">
        <f t="shared" si="184"/>
        <v>14.400000000000006</v>
      </c>
      <c r="CI44" s="17">
        <f t="shared" si="185"/>
        <v>-43.2</v>
      </c>
      <c r="CJ44" s="17">
        <f t="shared" si="186"/>
        <v>16</v>
      </c>
      <c r="CK44" s="17">
        <f t="shared" si="187"/>
        <v>90</v>
      </c>
      <c r="CL44" s="17">
        <f t="shared" si="188"/>
        <v>71.46880726181422</v>
      </c>
      <c r="CM44" s="17">
        <f t="shared" si="189"/>
        <v>24</v>
      </c>
      <c r="CN44" s="17">
        <f t="shared" si="190"/>
        <v>50</v>
      </c>
      <c r="CO44" s="17">
        <f t="shared" si="191"/>
        <v>65.062647806544774</v>
      </c>
      <c r="CP44" s="17">
        <f t="shared" si="192"/>
        <v>6.4061594552694459</v>
      </c>
      <c r="CQ44" s="17">
        <f t="shared" si="193"/>
        <v>0</v>
      </c>
      <c r="CR44" s="17">
        <f t="shared" si="194"/>
        <v>100</v>
      </c>
      <c r="CS44" s="17">
        <f t="shared" si="195"/>
        <v>26.404773030064671</v>
      </c>
      <c r="CT44" s="17">
        <f t="shared" si="196"/>
        <v>24</v>
      </c>
      <c r="CU44" s="17">
        <f t="shared" si="197"/>
        <v>50</v>
      </c>
      <c r="CV44" s="17">
        <f t="shared" si="198"/>
        <v>65.062647806544774</v>
      </c>
      <c r="CW44" s="17">
        <f t="shared" si="199"/>
        <v>-38.657874776480099</v>
      </c>
      <c r="CX44" s="17">
        <f t="shared" si="137"/>
        <v>-5020.1856000000007</v>
      </c>
      <c r="CY44" s="17">
        <f t="shared" si="137"/>
        <v>-5020.1856000000007</v>
      </c>
      <c r="CZ44" s="17">
        <f t="shared" si="200"/>
        <v>429.50476800000018</v>
      </c>
      <c r="DA44" s="17">
        <f t="shared" si="201"/>
        <v>-1288.514304</v>
      </c>
      <c r="DB44" s="17">
        <f t="shared" si="202"/>
        <v>-26593.920000000002</v>
      </c>
      <c r="DC44" s="17">
        <f t="shared" si="203"/>
        <v>3412</v>
      </c>
      <c r="DD44" s="17">
        <f t="shared" si="204"/>
        <v>395.76743359999995</v>
      </c>
      <c r="DE44" s="17">
        <f t="shared" si="205"/>
        <v>17496.000000000007</v>
      </c>
      <c r="DF44" s="17">
        <f t="shared" si="206"/>
        <v>-6491.6381446963205</v>
      </c>
      <c r="DG44" s="17"/>
      <c r="DH44" s="17">
        <f t="shared" si="207"/>
        <v>-10514.941939202587</v>
      </c>
      <c r="DI44" s="17">
        <f t="shared" si="208"/>
        <v>-29573.274204007277</v>
      </c>
      <c r="DJ44" s="17">
        <f t="shared" si="209"/>
        <v>-3657.5787777453388</v>
      </c>
      <c r="DK44" s="17">
        <f t="shared" si="210"/>
        <v>5455.0152343686741</v>
      </c>
      <c r="DL44" s="17">
        <f t="shared" si="211"/>
        <v>-17660.985847096319</v>
      </c>
      <c r="DM44" s="17">
        <f t="shared" si="212"/>
        <v>-38290.779686586531</v>
      </c>
      <c r="DN44" s="17">
        <f t="shared" si="213"/>
        <v>-55951.765533682847</v>
      </c>
    </row>
    <row r="45" spans="3:120" ht="18.600000000000001">
      <c r="C45" s="13">
        <f>IF(D45&lt;&gt;"",COUNTA($D$10:D45),"")</f>
        <v>33</v>
      </c>
      <c r="D45" s="14" t="s">
        <v>215</v>
      </c>
      <c r="E45" s="14">
        <v>2.8</v>
      </c>
      <c r="F45" s="14">
        <v>2.4</v>
      </c>
      <c r="G45" s="14">
        <v>2.4</v>
      </c>
      <c r="H45" s="14">
        <v>2</v>
      </c>
      <c r="I45" s="14">
        <v>1</v>
      </c>
      <c r="J45" s="14">
        <v>1.75</v>
      </c>
      <c r="K45" s="14">
        <v>3</v>
      </c>
      <c r="L45" s="15">
        <v>0.1</v>
      </c>
      <c r="M45" s="15">
        <v>0</v>
      </c>
      <c r="N45" s="14">
        <v>24</v>
      </c>
      <c r="O45" s="14">
        <v>50</v>
      </c>
      <c r="P45" s="13">
        <v>45</v>
      </c>
      <c r="Q45" s="13">
        <v>85</v>
      </c>
      <c r="R45" s="13" t="s">
        <v>17</v>
      </c>
      <c r="S45" s="13">
        <v>160</v>
      </c>
      <c r="T45" s="13">
        <v>0</v>
      </c>
      <c r="U45" s="13">
        <v>100</v>
      </c>
      <c r="V45" s="13" t="str">
        <f t="shared" si="138"/>
        <v>ISO 6</v>
      </c>
      <c r="W45" s="13">
        <f t="shared" si="139"/>
        <v>160</v>
      </c>
      <c r="X45" s="16">
        <f t="shared" si="140"/>
        <v>72.307199999999995</v>
      </c>
      <c r="Y45" s="16">
        <f t="shared" si="141"/>
        <v>569.20227839999995</v>
      </c>
      <c r="Z45" s="16">
        <f t="shared" si="142"/>
        <v>1517.8727423999999</v>
      </c>
      <c r="AA45" s="16">
        <f t="shared" si="143"/>
        <v>151.78727423999999</v>
      </c>
      <c r="AB45" s="16">
        <f t="shared" si="144"/>
        <v>0</v>
      </c>
      <c r="AC45" s="16">
        <f t="shared" si="145"/>
        <v>13.963231330205279</v>
      </c>
      <c r="AD45" s="16">
        <f t="shared" si="214"/>
        <v>3050</v>
      </c>
      <c r="AE45" s="16">
        <f t="shared" si="147"/>
        <v>3050</v>
      </c>
      <c r="AF45" s="16">
        <f t="shared" si="148"/>
        <v>18</v>
      </c>
      <c r="AG45" s="16">
        <f t="shared" si="149"/>
        <v>8</v>
      </c>
      <c r="AH45" s="838" t="s">
        <v>85</v>
      </c>
      <c r="AI45" s="17">
        <f t="shared" si="150"/>
        <v>5</v>
      </c>
      <c r="AJ45" s="17">
        <f t="shared" si="151"/>
        <v>8</v>
      </c>
      <c r="AK45" s="891"/>
      <c r="AL45" s="18"/>
      <c r="AM45" s="889"/>
      <c r="AN45" s="891"/>
      <c r="AO45" s="888"/>
      <c r="AP45" s="891"/>
      <c r="AQ45" s="891"/>
      <c r="AR45" s="889"/>
      <c r="AS45" s="888"/>
      <c r="AT45" s="888"/>
      <c r="AU45" s="890"/>
      <c r="AV45" s="888"/>
      <c r="AW45" s="888"/>
      <c r="AX45" s="888"/>
      <c r="AY45" s="887"/>
      <c r="AZ45" s="888"/>
      <c r="BA45" s="17">
        <f t="shared" si="152"/>
        <v>14.399999999999991</v>
      </c>
      <c r="BB45" s="17">
        <f t="shared" si="153"/>
        <v>37.799999999999997</v>
      </c>
      <c r="BC45" s="17">
        <f t="shared" si="154"/>
        <v>32</v>
      </c>
      <c r="BD45" s="17">
        <f t="shared" si="155"/>
        <v>85</v>
      </c>
      <c r="BE45" s="17">
        <f t="shared" si="156"/>
        <v>180.86341983910182</v>
      </c>
      <c r="BF45" s="17">
        <f t="shared" si="157"/>
        <v>24</v>
      </c>
      <c r="BG45" s="17">
        <f t="shared" si="158"/>
        <v>50</v>
      </c>
      <c r="BH45" s="17">
        <f t="shared" si="159"/>
        <v>65.062647806544774</v>
      </c>
      <c r="BI45" s="17">
        <f t="shared" si="160"/>
        <v>115.80077203255705</v>
      </c>
      <c r="BJ45" s="17">
        <f t="shared" si="161"/>
        <v>45</v>
      </c>
      <c r="BK45" s="17">
        <f t="shared" si="162"/>
        <v>85</v>
      </c>
      <c r="BL45" s="17">
        <f t="shared" si="163"/>
        <v>380.54120080897206</v>
      </c>
      <c r="BM45" s="17">
        <f t="shared" si="164"/>
        <v>24</v>
      </c>
      <c r="BN45" s="17">
        <f t="shared" si="165"/>
        <v>50</v>
      </c>
      <c r="BO45" s="17">
        <f t="shared" si="166"/>
        <v>65.062647806544774</v>
      </c>
      <c r="BP45" s="17">
        <f t="shared" si="167"/>
        <v>315.4785530024273</v>
      </c>
      <c r="BQ45" s="17">
        <f t="shared" si="168"/>
        <v>4568.368895999999</v>
      </c>
      <c r="BR45" s="17">
        <f t="shared" si="169"/>
        <v>1740.331007999999</v>
      </c>
      <c r="BS45" s="17">
        <f t="shared" si="170"/>
        <v>468.55065599999972</v>
      </c>
      <c r="BT45" s="17">
        <f t="shared" si="171"/>
        <v>1229.9454719999999</v>
      </c>
      <c r="BU45" s="17">
        <f t="shared" si="172"/>
        <v>23269.68</v>
      </c>
      <c r="BV45" s="17">
        <f t="shared" si="173"/>
        <v>3412</v>
      </c>
      <c r="BW45" s="17">
        <f t="shared" si="174"/>
        <v>431.74629119999997</v>
      </c>
      <c r="BX45" s="17">
        <f t="shared" si="175"/>
        <v>17495.999999999989</v>
      </c>
      <c r="BY45" s="17">
        <f t="shared" si="176"/>
        <v>6196.5636835737596</v>
      </c>
      <c r="BZ45" s="17"/>
      <c r="CA45" s="17">
        <f t="shared" si="177"/>
        <v>85810.166416660228</v>
      </c>
      <c r="CB45" s="17">
        <f t="shared" si="178"/>
        <v>241341.0930468569</v>
      </c>
      <c r="CC45" s="17">
        <f t="shared" si="179"/>
        <v>32562.228156164107</v>
      </c>
      <c r="CD45" s="17">
        <f t="shared" si="180"/>
        <v>293060.05340547697</v>
      </c>
      <c r="CE45" s="17">
        <f t="shared" si="181"/>
        <v>55374.358870773751</v>
      </c>
      <c r="CF45" s="17">
        <f t="shared" si="182"/>
        <v>652773.54102515825</v>
      </c>
      <c r="CG45" s="17">
        <f t="shared" si="183"/>
        <v>708147.89989593206</v>
      </c>
      <c r="CH45" s="17">
        <f t="shared" si="184"/>
        <v>14.400000000000006</v>
      </c>
      <c r="CI45" s="17">
        <f t="shared" si="185"/>
        <v>-43.2</v>
      </c>
      <c r="CJ45" s="17">
        <f t="shared" si="186"/>
        <v>16</v>
      </c>
      <c r="CK45" s="17">
        <f t="shared" si="187"/>
        <v>90</v>
      </c>
      <c r="CL45" s="17">
        <f t="shared" si="188"/>
        <v>71.46880726181422</v>
      </c>
      <c r="CM45" s="17">
        <f t="shared" si="189"/>
        <v>24</v>
      </c>
      <c r="CN45" s="17">
        <f t="shared" si="190"/>
        <v>50</v>
      </c>
      <c r="CO45" s="17">
        <f t="shared" si="191"/>
        <v>65.062647806544774</v>
      </c>
      <c r="CP45" s="17">
        <f t="shared" si="192"/>
        <v>6.4061594552694459</v>
      </c>
      <c r="CQ45" s="17">
        <f t="shared" si="193"/>
        <v>0</v>
      </c>
      <c r="CR45" s="17">
        <f t="shared" si="194"/>
        <v>100</v>
      </c>
      <c r="CS45" s="17">
        <f t="shared" si="195"/>
        <v>26.404773030064671</v>
      </c>
      <c r="CT45" s="17">
        <f t="shared" si="196"/>
        <v>24</v>
      </c>
      <c r="CU45" s="17">
        <f t="shared" si="197"/>
        <v>50</v>
      </c>
      <c r="CV45" s="17">
        <f t="shared" si="198"/>
        <v>65.062647806544774</v>
      </c>
      <c r="CW45" s="17">
        <f t="shared" si="199"/>
        <v>-38.657874776480099</v>
      </c>
      <c r="CX45" s="17">
        <f t="shared" si="137"/>
        <v>-5220.9930240000003</v>
      </c>
      <c r="CY45" s="17">
        <f t="shared" si="137"/>
        <v>-5220.9930240000003</v>
      </c>
      <c r="CZ45" s="17">
        <f t="shared" si="200"/>
        <v>468.55065600000012</v>
      </c>
      <c r="DA45" s="17">
        <f t="shared" si="201"/>
        <v>-1405.6519680000001</v>
      </c>
      <c r="DB45" s="17">
        <f t="shared" si="202"/>
        <v>-26593.920000000002</v>
      </c>
      <c r="DC45" s="17">
        <f t="shared" si="203"/>
        <v>3412</v>
      </c>
      <c r="DD45" s="17">
        <f t="shared" si="204"/>
        <v>431.74629119999997</v>
      </c>
      <c r="DE45" s="17">
        <f t="shared" si="205"/>
        <v>17496.000000000007</v>
      </c>
      <c r="DF45" s="17">
        <f t="shared" si="206"/>
        <v>-7081.7870669414406</v>
      </c>
      <c r="DG45" s="17"/>
      <c r="DH45" s="17">
        <f t="shared" si="207"/>
        <v>-10514.941939202587</v>
      </c>
      <c r="DI45" s="17">
        <f t="shared" si="208"/>
        <v>-29573.274204007277</v>
      </c>
      <c r="DJ45" s="17">
        <f t="shared" si="209"/>
        <v>-3990.0859393585511</v>
      </c>
      <c r="DK45" s="17">
        <f t="shared" si="210"/>
        <v>5950.9257102203728</v>
      </c>
      <c r="DL45" s="17">
        <f t="shared" si="211"/>
        <v>-18494.055111741432</v>
      </c>
      <c r="DM45" s="17">
        <f t="shared" si="212"/>
        <v>-38127.376372348044</v>
      </c>
      <c r="DN45" s="17">
        <f t="shared" si="213"/>
        <v>-56621.43148408948</v>
      </c>
    </row>
    <row r="46" spans="3:120">
      <c r="C46" s="13" t="str">
        <f>IF(D46&lt;&gt;"",COUNTA($D$10:D46),"")</f>
        <v/>
      </c>
      <c r="D46" s="19"/>
      <c r="E46" s="19"/>
      <c r="F46" s="19"/>
      <c r="G46" s="19"/>
      <c r="H46" s="19"/>
      <c r="I46" s="19"/>
      <c r="J46" s="19"/>
      <c r="K46" s="19"/>
      <c r="L46" s="19"/>
      <c r="M46" s="19"/>
      <c r="N46" s="19"/>
      <c r="O46" s="19"/>
      <c r="P46" s="19"/>
      <c r="Q46" s="19"/>
      <c r="R46" s="19"/>
      <c r="S46" s="19"/>
      <c r="T46" s="19"/>
      <c r="U46" s="19"/>
      <c r="V46" s="19"/>
      <c r="W46" s="19"/>
      <c r="X46" s="20">
        <f>SUM(X30:X45)</f>
        <v>1144.1108000000002</v>
      </c>
      <c r="Y46" s="20">
        <f t="shared" ref="Y46" si="215">SUM(Y30:Y45)</f>
        <v>8879.3861375999986</v>
      </c>
      <c r="Z46" s="20">
        <f t="shared" ref="Z46" si="216">SUM(Z30:Z45)</f>
        <v>23890.119833600002</v>
      </c>
      <c r="AA46" s="20">
        <f t="shared" ref="AA46" si="217">SUM(AA30:AA45)</f>
        <v>2484.3025433599992</v>
      </c>
      <c r="AB46" s="20">
        <f t="shared" ref="AB46" si="218">SUM(AB30:AB45)</f>
        <v>190.58112000000003</v>
      </c>
      <c r="AC46" s="20">
        <f t="shared" ref="AC46" si="219">SUM(AC30:AC45)</f>
        <v>230.83499917331301</v>
      </c>
      <c r="AD46" s="20">
        <f t="shared" ref="AD46" si="220">SUM(AD30:AD45)</f>
        <v>48450</v>
      </c>
      <c r="AE46" s="20">
        <f t="shared" ref="AE46" si="221">SUM(AE30:AE45)</f>
        <v>48450</v>
      </c>
      <c r="AF46" s="20">
        <f t="shared" ref="AF46" si="222">SUM(AF30:AF45)</f>
        <v>288</v>
      </c>
      <c r="AG46" s="20">
        <f t="shared" ref="AG46" si="223">SUM(AG30:AG45)</f>
        <v>124.5</v>
      </c>
      <c r="AH46" s="841"/>
      <c r="AI46" s="20">
        <f t="shared" ref="AI46" si="224">SUM(AI30:AI45)</f>
        <v>79</v>
      </c>
      <c r="AJ46" s="20">
        <f t="shared" ref="AJ46" si="225">SUM(AJ30:AJ45)</f>
        <v>124.5</v>
      </c>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2"/>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row>
    <row r="47" spans="3:120">
      <c r="C47" s="13" t="str">
        <f>IF(D47&lt;&gt;"",COUNTA($D$10:D47),"")</f>
        <v/>
      </c>
    </row>
    <row r="48" spans="3:120" ht="29.1">
      <c r="C48" s="8" t="str">
        <f>"Zoning Area  AHU - " &amp; INT((ROW()-8)/20)+1 &amp; "  " &amp;IF(AQ50&gt;0,"Air-Conditioning System " &amp; IF(AH50="D","(DX)",IF(AH50="C","(Chilled Water)","")),IF(AND(N50="Amb",AQ50=0),"Ventilation System","Refer"))</f>
        <v>Zoning Area  AHU - 3  Air-Conditioning System (DX)</v>
      </c>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39"/>
      <c r="AI48" s="8"/>
      <c r="AJ48" s="8"/>
      <c r="AK48" s="8"/>
      <c r="AL48" s="8"/>
      <c r="AM48" s="8"/>
      <c r="AN48" s="8"/>
      <c r="AO48" s="8"/>
      <c r="AP48" s="8"/>
      <c r="AQ48" s="8"/>
      <c r="AR48" s="8"/>
      <c r="AS48" s="9" t="s">
        <v>221</v>
      </c>
      <c r="AT48" s="10"/>
      <c r="AU48" s="10"/>
      <c r="AV48" s="11"/>
      <c r="AW48" s="9" t="s">
        <v>222</v>
      </c>
      <c r="AX48" s="10"/>
      <c r="AY48" s="10"/>
      <c r="AZ48" s="11"/>
      <c r="BA48" s="12" t="s">
        <v>483</v>
      </c>
      <c r="BB48" s="12"/>
      <c r="BC48" s="12"/>
      <c r="BD48" s="12"/>
      <c r="BE48" s="12"/>
      <c r="BF48" s="12"/>
      <c r="BG48" s="12"/>
      <c r="BH48" s="12"/>
      <c r="BI48" s="12"/>
      <c r="BJ48" s="12"/>
      <c r="BK48" s="12"/>
      <c r="BL48" s="12"/>
      <c r="BM48" s="12"/>
      <c r="BN48" s="12"/>
      <c r="BO48" s="12"/>
      <c r="BP48" s="12"/>
      <c r="BQ48" s="9" t="s">
        <v>484</v>
      </c>
      <c r="BR48" s="10"/>
      <c r="BS48" s="10"/>
      <c r="BT48" s="10"/>
      <c r="BU48" s="10"/>
      <c r="BV48" s="10"/>
      <c r="BW48" s="10"/>
      <c r="BX48" s="10"/>
      <c r="BY48" s="10"/>
      <c r="BZ48" s="11"/>
      <c r="CA48" s="9" t="s">
        <v>485</v>
      </c>
      <c r="CB48" s="10"/>
      <c r="CC48" s="10"/>
      <c r="CD48" s="10"/>
      <c r="CE48" s="9" t="s">
        <v>486</v>
      </c>
      <c r="CF48" s="10"/>
      <c r="CG48" s="11"/>
      <c r="CH48" s="12" t="s">
        <v>487</v>
      </c>
      <c r="CI48" s="12"/>
      <c r="CJ48" s="12"/>
      <c r="CK48" s="12"/>
      <c r="CL48" s="12"/>
      <c r="CM48" s="12"/>
      <c r="CN48" s="12"/>
      <c r="CO48" s="12"/>
      <c r="CP48" s="12"/>
      <c r="CQ48" s="12"/>
      <c r="CR48" s="12"/>
      <c r="CS48" s="12"/>
      <c r="CT48" s="12"/>
      <c r="CU48" s="12"/>
      <c r="CV48" s="12"/>
      <c r="CW48" s="12"/>
      <c r="CX48" s="9" t="s">
        <v>488</v>
      </c>
      <c r="CY48" s="10"/>
      <c r="CZ48" s="10"/>
      <c r="DA48" s="10"/>
      <c r="DB48" s="10"/>
      <c r="DC48" s="10"/>
      <c r="DD48" s="10"/>
      <c r="DE48" s="10"/>
      <c r="DF48" s="10"/>
      <c r="DG48" s="11"/>
      <c r="DH48" s="9" t="s">
        <v>489</v>
      </c>
      <c r="DI48" s="10"/>
      <c r="DJ48" s="10"/>
      <c r="DK48" s="10"/>
      <c r="DL48" s="9"/>
      <c r="DM48" s="10"/>
      <c r="DN48" s="11"/>
      <c r="DO48" s="1"/>
      <c r="DP48" s="1"/>
    </row>
    <row r="49" spans="3:120" ht="120" customHeight="1">
      <c r="C49" s="13">
        <f>IF(D49&lt;&gt;"",COUNTA($D$10:D49),"")</f>
        <v>34</v>
      </c>
      <c r="D49" s="5" t="s">
        <v>165</v>
      </c>
      <c r="E49" s="5" t="s">
        <v>166</v>
      </c>
      <c r="F49" s="5" t="s">
        <v>167</v>
      </c>
      <c r="G49" s="5" t="s">
        <v>168</v>
      </c>
      <c r="H49" s="5" t="s">
        <v>169</v>
      </c>
      <c r="I49" s="5" t="s">
        <v>170</v>
      </c>
      <c r="J49" s="5" t="s">
        <v>171</v>
      </c>
      <c r="K49" s="5" t="s">
        <v>172</v>
      </c>
      <c r="L49" s="5" t="s">
        <v>173</v>
      </c>
      <c r="M49" s="5" t="s">
        <v>174</v>
      </c>
      <c r="N49" s="5" t="s">
        <v>175</v>
      </c>
      <c r="O49" s="5" t="s">
        <v>176</v>
      </c>
      <c r="P49" s="5" t="s">
        <v>177</v>
      </c>
      <c r="Q49" s="5" t="s">
        <v>178</v>
      </c>
      <c r="R49" s="5" t="s">
        <v>199</v>
      </c>
      <c r="S49" s="5" t="s">
        <v>180</v>
      </c>
      <c r="T49" s="5" t="s">
        <v>223</v>
      </c>
      <c r="U49" s="5" t="s">
        <v>224</v>
      </c>
      <c r="V49" s="5" t="s">
        <v>199</v>
      </c>
      <c r="W49" s="5" t="s">
        <v>180</v>
      </c>
      <c r="X49" s="5" t="s">
        <v>225</v>
      </c>
      <c r="Y49" s="5" t="s">
        <v>226</v>
      </c>
      <c r="Z49" s="5" t="s">
        <v>227</v>
      </c>
      <c r="AA49" s="5" t="s">
        <v>228</v>
      </c>
      <c r="AB49" s="5" t="s">
        <v>229</v>
      </c>
      <c r="AC49" s="5" t="s">
        <v>230</v>
      </c>
      <c r="AD49" s="5" t="s">
        <v>231</v>
      </c>
      <c r="AE49" s="5" t="s">
        <v>232</v>
      </c>
      <c r="AF49" s="6" t="s">
        <v>233</v>
      </c>
      <c r="AG49" s="6" t="s">
        <v>234</v>
      </c>
      <c r="AH49" s="6" t="s">
        <v>235</v>
      </c>
      <c r="AI49" s="5" t="s">
        <v>236</v>
      </c>
      <c r="AJ49" s="5" t="s">
        <v>237</v>
      </c>
      <c r="AK49" s="5" t="s">
        <v>238</v>
      </c>
      <c r="AL49" s="5" t="s">
        <v>239</v>
      </c>
      <c r="AM49" s="5" t="s">
        <v>240</v>
      </c>
      <c r="AN49" s="5" t="s">
        <v>241</v>
      </c>
      <c r="AO49" s="5" t="s">
        <v>242</v>
      </c>
      <c r="AP49" s="5" t="s">
        <v>243</v>
      </c>
      <c r="AQ49" s="5" t="s">
        <v>244</v>
      </c>
      <c r="AR49" s="5" t="s">
        <v>245</v>
      </c>
      <c r="AS49" s="5" t="s">
        <v>246</v>
      </c>
      <c r="AT49" s="5" t="s">
        <v>247</v>
      </c>
      <c r="AU49" s="5" t="s">
        <v>248</v>
      </c>
      <c r="AV49" s="5" t="s">
        <v>249</v>
      </c>
      <c r="AW49" s="5" t="s">
        <v>250</v>
      </c>
      <c r="AX49" s="5" t="s">
        <v>251</v>
      </c>
      <c r="AY49" s="5" t="s">
        <v>252</v>
      </c>
      <c r="AZ49" s="5" t="s">
        <v>253</v>
      </c>
      <c r="BA49" s="5" t="s">
        <v>490</v>
      </c>
      <c r="BB49" s="5" t="s">
        <v>491</v>
      </c>
      <c r="BC49" s="5" t="s">
        <v>492</v>
      </c>
      <c r="BD49" s="5" t="s">
        <v>493</v>
      </c>
      <c r="BE49" s="5" t="s">
        <v>494</v>
      </c>
      <c r="BF49" s="5" t="s">
        <v>492</v>
      </c>
      <c r="BG49" s="5" t="s">
        <v>493</v>
      </c>
      <c r="BH49" s="5" t="s">
        <v>495</v>
      </c>
      <c r="BI49" s="5" t="s">
        <v>496</v>
      </c>
      <c r="BJ49" s="5" t="s">
        <v>492</v>
      </c>
      <c r="BK49" s="5" t="s">
        <v>493</v>
      </c>
      <c r="BL49" s="5" t="s">
        <v>497</v>
      </c>
      <c r="BM49" s="5" t="s">
        <v>492</v>
      </c>
      <c r="BN49" s="5" t="s">
        <v>493</v>
      </c>
      <c r="BO49" s="5" t="s">
        <v>495</v>
      </c>
      <c r="BP49" s="5" t="s">
        <v>498</v>
      </c>
      <c r="BQ49" s="5" t="s">
        <v>499</v>
      </c>
      <c r="BR49" s="5" t="s">
        <v>500</v>
      </c>
      <c r="BS49" s="5" t="s">
        <v>501</v>
      </c>
      <c r="BT49" s="5" t="s">
        <v>502</v>
      </c>
      <c r="BU49" s="5" t="s">
        <v>503</v>
      </c>
      <c r="BV49" s="5" t="s">
        <v>504</v>
      </c>
      <c r="BW49" s="5" t="s">
        <v>505</v>
      </c>
      <c r="BX49" s="5" t="s">
        <v>506</v>
      </c>
      <c r="BY49" s="5" t="s">
        <v>173</v>
      </c>
      <c r="BZ49" s="5" t="s">
        <v>174</v>
      </c>
      <c r="CA49" s="5" t="s">
        <v>503</v>
      </c>
      <c r="CB49" s="5" t="s">
        <v>507</v>
      </c>
      <c r="CC49" s="5" t="s">
        <v>173</v>
      </c>
      <c r="CD49" s="5" t="s">
        <v>508</v>
      </c>
      <c r="CE49" s="7" t="s">
        <v>509</v>
      </c>
      <c r="CF49" s="7" t="s">
        <v>510</v>
      </c>
      <c r="CG49" s="7" t="s">
        <v>511</v>
      </c>
      <c r="CH49" s="5" t="s">
        <v>512</v>
      </c>
      <c r="CI49" s="5" t="s">
        <v>513</v>
      </c>
      <c r="CJ49" s="5" t="s">
        <v>492</v>
      </c>
      <c r="CK49" s="5" t="s">
        <v>493</v>
      </c>
      <c r="CL49" s="5" t="s">
        <v>494</v>
      </c>
      <c r="CM49" s="5" t="s">
        <v>492</v>
      </c>
      <c r="CN49" s="5" t="s">
        <v>493</v>
      </c>
      <c r="CO49" s="5" t="s">
        <v>495</v>
      </c>
      <c r="CP49" s="5" t="s">
        <v>496</v>
      </c>
      <c r="CQ49" s="5" t="s">
        <v>492</v>
      </c>
      <c r="CR49" s="5" t="s">
        <v>493</v>
      </c>
      <c r="CS49" s="5" t="s">
        <v>497</v>
      </c>
      <c r="CT49" s="5" t="s">
        <v>492</v>
      </c>
      <c r="CU49" s="5" t="s">
        <v>493</v>
      </c>
      <c r="CV49" s="5" t="s">
        <v>495</v>
      </c>
      <c r="CW49" s="5" t="s">
        <v>498</v>
      </c>
      <c r="CX49" s="5" t="s">
        <v>499</v>
      </c>
      <c r="CY49" s="5" t="s">
        <v>500</v>
      </c>
      <c r="CZ49" s="5" t="s">
        <v>501</v>
      </c>
      <c r="DA49" s="5" t="s">
        <v>502</v>
      </c>
      <c r="DB49" s="5" t="s">
        <v>503</v>
      </c>
      <c r="DC49" s="5" t="s">
        <v>504</v>
      </c>
      <c r="DD49" s="5" t="s">
        <v>505</v>
      </c>
      <c r="DE49" s="5" t="s">
        <v>506</v>
      </c>
      <c r="DF49" s="5" t="s">
        <v>173</v>
      </c>
      <c r="DG49" s="5" t="s">
        <v>174</v>
      </c>
      <c r="DH49" s="5" t="s">
        <v>503</v>
      </c>
      <c r="DI49" s="5" t="s">
        <v>507</v>
      </c>
      <c r="DJ49" s="5" t="s">
        <v>173</v>
      </c>
      <c r="DK49" s="5" t="s">
        <v>508</v>
      </c>
      <c r="DL49" s="7" t="s">
        <v>509</v>
      </c>
      <c r="DM49" s="7" t="s">
        <v>510</v>
      </c>
      <c r="DN49" s="7" t="s">
        <v>511</v>
      </c>
      <c r="DO49" s="2"/>
      <c r="DP49" s="2"/>
    </row>
    <row r="50" spans="3:120" ht="18.600000000000001" customHeight="1">
      <c r="C50" s="13">
        <f>IF(D50&lt;&gt;"",COUNTA($D$10:D50),"")</f>
        <v>35</v>
      </c>
      <c r="D50" s="14" t="s">
        <v>200</v>
      </c>
      <c r="E50" s="14">
        <v>3</v>
      </c>
      <c r="F50" s="14">
        <v>3</v>
      </c>
      <c r="G50" s="14">
        <v>2.4</v>
      </c>
      <c r="H50" s="14">
        <v>1</v>
      </c>
      <c r="I50" s="14">
        <v>2</v>
      </c>
      <c r="J50" s="14">
        <v>1.75</v>
      </c>
      <c r="K50" s="14">
        <v>3</v>
      </c>
      <c r="L50" s="15">
        <v>0.1</v>
      </c>
      <c r="M50" s="15">
        <v>0</v>
      </c>
      <c r="N50" s="14">
        <v>24</v>
      </c>
      <c r="O50" s="14">
        <v>50</v>
      </c>
      <c r="P50" s="13">
        <v>45</v>
      </c>
      <c r="Q50" s="13">
        <v>85</v>
      </c>
      <c r="R50" s="13" t="s">
        <v>216</v>
      </c>
      <c r="S50" s="13">
        <v>150</v>
      </c>
      <c r="T50" s="13">
        <v>0</v>
      </c>
      <c r="U50" s="13">
        <v>100</v>
      </c>
      <c r="V50" s="13" t="str">
        <f>R50</f>
        <v>GRADE A</v>
      </c>
      <c r="W50" s="13">
        <f>S50</f>
        <v>150</v>
      </c>
      <c r="X50" s="16">
        <f>E50*F50*10.76</f>
        <v>96.84</v>
      </c>
      <c r="Y50" s="16">
        <f>X50*G50*3.28</f>
        <v>762.32447999999999</v>
      </c>
      <c r="Z50" s="16">
        <f>Y50*S50/60</f>
        <v>1905.8112000000001</v>
      </c>
      <c r="AA50" s="16">
        <f>Z50*L50</f>
        <v>190.58112000000003</v>
      </c>
      <c r="AB50" s="16">
        <f>IF(N50="Amb",Z50,Z50*M50)</f>
        <v>0</v>
      </c>
      <c r="AC50" s="16">
        <f>IF(ISNUMBER(N50), (AA50*0.075*60/2.20462)*BP50/7000, "Ambient")</f>
        <v>17.531958980447481</v>
      </c>
      <c r="AD50" s="16">
        <f>IF(ISNUMBER(N50), CEILING(CF50/(0.68*BP50),25), "Ambient")</f>
        <v>3250</v>
      </c>
      <c r="AE50" s="16">
        <f>CEILING(MAX((Z50+AA50),AD50),25)</f>
        <v>3250</v>
      </c>
      <c r="AF50" s="16">
        <f>CEILING(IF(OR($R50="ISO 6",$R50="GRADE B",$R50="1K",$R50=1000),AE50*1/175,IF(OR($R50="ISO 5",$R50="GRADE A",$R50=100),AE50*1/100,IF(OR($R50="ISO 7",$R50="GRADE C",$R50="10K",$R50=10000),$AE50*1/250,IF(OR($R50="ISO 8",$R50="GRADE D",$R50="100K",$R50=100000),$AE50*1/250,IF(OR($R50="NC",$R50="20 Micron",$R50="5 Micron",$R50="N C"),$AE50*1/350,0))))),2)</f>
        <v>34</v>
      </c>
      <c r="AG50" s="16">
        <f>IF(ISNUMBER(N50), CEILING(MAX(AI50,AJ50),0.5), "Ambient")</f>
        <v>11</v>
      </c>
      <c r="AH50" s="838" t="s">
        <v>84</v>
      </c>
      <c r="AI50" s="17">
        <f>IF(ISNUMBER(N50), CEILING(CE50/12000,0.5), "Ambient")</f>
        <v>4.5</v>
      </c>
      <c r="AJ50" s="17">
        <f>IF(ISNUMBER(N50),CEILING(AE50/(IF(AH50="C",400,300)),0.5), "Ambient")</f>
        <v>11</v>
      </c>
      <c r="AK50" s="891">
        <f>CEILING(SUM(AE50:AE65),250)</f>
        <v>47000</v>
      </c>
      <c r="AL50" s="18" t="s">
        <v>254</v>
      </c>
      <c r="AM50" s="889">
        <v>150</v>
      </c>
      <c r="AN50" s="891">
        <f>IF(AK50&lt;=1300,200,IF(AK50&lt;=1600,225,IF(AK50&lt;=2100,250,IF(AK50&lt;=2700,280,IF(AK50&lt;=3450,315,IF(AK50&lt;=4250,355,IF(AK50&lt;=5250,400,IF(AK50&lt;=6750,450,IF(AK50&lt;=8500,500,IF(AK50&lt;=10750,560,IF(AK50&lt;=13500,630,IF(AK50&lt;=17000,710,IF(AK50&lt;=21500,800,IF(AK50&lt;=27000,900,IF(AK50&lt;=34000,1000,IF(AK50&lt;=43000,1120,IF(AK50&lt;=49000,1200,IF(AK50&lt;=68000,1450,"Refer"))))))))))))))))))</f>
        <v>1200</v>
      </c>
      <c r="AO50" s="888">
        <f>IF(AK50*AM50/(6356*0.7*0.9*1.1*25.4)&lt;=1,1,IF(AK50*AM50/(6356*0.7*0.9*1.1*25.4)&lt;=1.5,1.5,IF(AK50*AM50/(6356*0.7*0.9*1.1*25.4)&lt;=2,2,IF(AK50*AM50/(6356*0.7*0.9*1.1*25.4)&lt;=3,3,IF(AK50*AM50/(6356*0.7*0.9*1.1*25.4)&lt;=5,5,IF(AK50*AM50/(6356*0.7*0.9*1.1*25.4)&lt;=7.5,7.5,IF(AK50*AM50/(6356*0.7*0.9*1.1*25.4)&lt;=10,10,IF(AK50*AM50/(6356*0.7*0.9*1.1*25.4)&lt;=12.5,12.5,IF(AK50*AM50/(6356*0.7*0.9*1.1*25.4)&lt;=15,15,IF(AK50*AM50/(6356*0.7*0.9*1.1*25.4)&lt;=20,20,IF(AK50*AM50/(6356*0.7*0.9*1.1*25.4)&lt;=25,25,IF(AK50*AM50/(6356*0.7*0.9*1.1*25.4)&lt;=30,30,IF(AK50*AM50/(6356*0.7*0.9*1.1*25.4)&lt;=40,40,IF(AK50*AM50/(6356*0.7*0.9*1.1*25.4)&lt;=50,50,IF(AK50*AM50/(6356*0.7*0.9*1.1*25.4)&lt;=60,60,IF(AK50*AM50/(6356*0.7*0.9*1.1*25.4)&lt;=75,75,"Refer"))))))))))))))))</f>
        <v>75</v>
      </c>
      <c r="AP50" s="891">
        <f>IF(AND(AQ50=0, N50="Amb"), "Amb",IF((AL51-250)*(AL53-150)*10.76/(1000*1000) &gt;= MAX(AI66,AJ66), 4,IF((AL51-250)*(AL53-150)*10.76*1.5/(1000*1000) &gt;= MAX(AI66,AJ66), 6,IF((AL51-250)*(AL53-150)*10.76*2/(1000*1000) &gt;= MAX(AI66,AJ66), 8, 0))
 )
)</f>
        <v>6</v>
      </c>
      <c r="AQ50" s="891">
        <f>AG66</f>
        <v>159</v>
      </c>
      <c r="AR50" s="889">
        <f>_xlfn.SWITCH(TRIM(UPPER(R50)),"ISO 9", 3,"ISO 8", 4,"Grade D", 4,"Class 100,000", 4,"Class 100K", 4,"ISO 7", 3,"Grade C", 3,"Class 10,000", 3,"Class 10K", 3,"ISO 6", 3,"Class 1,000", 3,"Class 1K", 3,"ISO 5", 4,"Grade A", 4,"Grade B", 4,"Class 100", 4,"ISO 4", 3,"ISO 3", 4,"ISO 2", 4,"ISO 1", 4,"NCV20",1,"NCV-10",2,"NCV-5",3,"NCAC-10",1,"NCAC-5",2,"NCAC-1",3,3)</f>
        <v>4</v>
      </c>
      <c r="AS50" s="888">
        <f>MAX(AI66,AJ66)*24/6</f>
        <v>636</v>
      </c>
      <c r="AT50" s="888">
        <f>AS50*0.06309</f>
        <v>40.125239999999998</v>
      </c>
      <c r="AU50" s="890">
        <v>2</v>
      </c>
      <c r="AV50" s="888">
        <f>SQRT((4*AS50*0.00006309)/(3.14*AU50))*1000</f>
        <v>159.86706260830081</v>
      </c>
      <c r="AW50" s="888"/>
      <c r="AX50" s="888"/>
      <c r="AY50" s="887"/>
      <c r="AZ50" s="888"/>
      <c r="BA50" s="17">
        <f>-CONVERT(N50,"C","F")+CONVERT((N50+8),"C","F")</f>
        <v>14.399999999999991</v>
      </c>
      <c r="BB50" s="17">
        <f>CONVERT(P50,"C","F")-CONVERT(N50,"C","F")</f>
        <v>37.799999999999997</v>
      </c>
      <c r="BC50" s="17">
        <f>N50+8</f>
        <v>32</v>
      </c>
      <c r="BD50" s="17">
        <f>BG50+35</f>
        <v>85</v>
      </c>
      <c r="BE50" s="17">
        <f>0.622*7000*(BD50/100)*(6.1078*10^((7.5*BC50)/(237.3+BC50)))/(1013.25-(6.1078*10^((7.5*BC50)/(237.3+BC50)))*BD50/100)</f>
        <v>180.86341983910182</v>
      </c>
      <c r="BF50" s="17">
        <f>N50</f>
        <v>24</v>
      </c>
      <c r="BG50" s="17">
        <f>O50</f>
        <v>50</v>
      </c>
      <c r="BH50" s="17">
        <f>0.622*7000*(BG50/100)*(6.1078*10^((7.5*BF50)/(237.3+BF50)))/(1013.25-(6.1078*10^((7.5*BF50)/(237.3+BF50)))*BG50/100)</f>
        <v>65.062647806544774</v>
      </c>
      <c r="BI50" s="17">
        <f>BE50-BH50</f>
        <v>115.80077203255705</v>
      </c>
      <c r="BJ50" s="17">
        <f>P50</f>
        <v>45</v>
      </c>
      <c r="BK50" s="17">
        <f>Q50</f>
        <v>85</v>
      </c>
      <c r="BL50" s="17">
        <f>0.622*7000*(BK50/100)*(6.1078*10^((7.5*BJ50)/(237.3+BJ50)))/(1013.25-(6.1078*10^((7.5*BJ50)/(237.3+BJ50)))*BK50/100)</f>
        <v>380.54120080897206</v>
      </c>
      <c r="BM50" s="17">
        <f>N50</f>
        <v>24</v>
      </c>
      <c r="BN50" s="17">
        <f>BG50</f>
        <v>50</v>
      </c>
      <c r="BO50" s="17">
        <f>0.622*7000*(BN50/100)*(6.1078*10^((7.5*BM50)/(237.3+BM50)))/(1013.25-(6.1078*10^((7.5*BM50)/(237.3+BM50)))*BN50/100)</f>
        <v>65.062647806544774</v>
      </c>
      <c r="BP50" s="17">
        <f>BL50-BO50</f>
        <v>315.4785530024273</v>
      </c>
      <c r="BQ50" s="17">
        <f>($E50*$G50*10.76*2+$F50*$G50*2*10.76)*$BB50*0.45</f>
        <v>5271.1948799999991</v>
      </c>
      <c r="BR50" s="17">
        <f>($E50*$G50*10.76*2+$F50*$G50*2*10.76)*$BA50*0.45</f>
        <v>2008.0742399999988</v>
      </c>
      <c r="BS50" s="17">
        <f>($E50*$F50*10.76)*$BA50*0.45</f>
        <v>627.52319999999963</v>
      </c>
      <c r="BT50" s="17">
        <f>($E50*$F50*10.76)*$BB50*0.45</f>
        <v>1647.2483999999999</v>
      </c>
      <c r="BU50" s="17">
        <f>$H50*285*1.08*$BB50</f>
        <v>11634.84</v>
      </c>
      <c r="BV50" s="17">
        <f>$I50*1000*3.412</f>
        <v>6824</v>
      </c>
      <c r="BW50" s="17">
        <f>$J50*$X50*3.412</f>
        <v>578.23163999999997</v>
      </c>
      <c r="BX50" s="17">
        <f>$K50*1.08*375*$BA50</f>
        <v>17495.999999999989</v>
      </c>
      <c r="BY50" s="17">
        <f>($AA50+$AB50)*1.08*$BB50</f>
        <v>7780.283642880001</v>
      </c>
      <c r="BZ50" s="17"/>
      <c r="CA50" s="17">
        <f>$H50*200*0.68*$BP50</f>
        <v>42905.083208330114</v>
      </c>
      <c r="CB50" s="17">
        <f>$K50*375*0.68*$BP50</f>
        <v>241341.0930468569</v>
      </c>
      <c r="CC50" s="17">
        <f>($AA50+$AB50)*0.68*$BP50</f>
        <v>40884.494057683747</v>
      </c>
      <c r="CD50" s="17">
        <f>($Z50-$AA50)*0.68*$BP50</f>
        <v>367960.4465191536</v>
      </c>
      <c r="CE50" s="17">
        <f>$BQ50+$BU50+$BV50+$BW50+$BX50+$BY50</f>
        <v>49584.55016287999</v>
      </c>
      <c r="CF50" s="17">
        <f>$CA50+$CB50+$CC50+$CD50</f>
        <v>693091.11683202442</v>
      </c>
      <c r="CG50" s="17">
        <f>$CE50+$CF50</f>
        <v>742675.6669949044</v>
      </c>
      <c r="CH50" s="17">
        <f>CONVERT(N50,"C","F")-CONVERT((N50-8),"C","F")</f>
        <v>14.400000000000006</v>
      </c>
      <c r="CI50" s="17">
        <f>CONVERT(T50,"C","F")-CONVERT(N50,"C","F")</f>
        <v>-43.2</v>
      </c>
      <c r="CJ50" s="17">
        <f>CM50-8</f>
        <v>16</v>
      </c>
      <c r="CK50" s="17">
        <f>O50+40</f>
        <v>90</v>
      </c>
      <c r="CL50" s="17">
        <f>0.622*7000*(CK50/100)*(6.1078*10^((7.5*CJ50)/(237.3+CJ50)))/(1013.25-(6.1078*10^((7.5*CJ50)/(237.3+CJ50)))*CK50/100)</f>
        <v>71.46880726181422</v>
      </c>
      <c r="CM50" s="17">
        <f>N50</f>
        <v>24</v>
      </c>
      <c r="CN50" s="17">
        <f>O50</f>
        <v>50</v>
      </c>
      <c r="CO50" s="17">
        <f>0.622*7000*(CN50/100)*(6.1078*10^((7.5*CM50)/(237.3+CM50)))/(1013.25-(6.1078*10^((7.5*CM50)/(237.3+CM50)))*CN50/100)</f>
        <v>65.062647806544774</v>
      </c>
      <c r="CP50" s="17">
        <f>CL50-CO50</f>
        <v>6.4061594552694459</v>
      </c>
      <c r="CQ50" s="17">
        <f>T50</f>
        <v>0</v>
      </c>
      <c r="CR50" s="17">
        <f>U50</f>
        <v>100</v>
      </c>
      <c r="CS50" s="17">
        <f>0.622*7000*(CR50/100)*(6.1078*10^((7.5*CQ50)/(237.3+CQ50)))/(1013.25-(6.1078*10^((7.5*CQ50)/(237.3+CQ50)))*CR50/100)</f>
        <v>26.404773030064671</v>
      </c>
      <c r="CT50" s="17">
        <f>CM50</f>
        <v>24</v>
      </c>
      <c r="CU50" s="17">
        <f>O50</f>
        <v>50</v>
      </c>
      <c r="CV50" s="17">
        <f>0.622*7000*(CU50/100)*(6.1078*10^((7.5*CT50)/(237.3+CT50)))/(1013.25-(6.1078*10^((7.5*CT50)/(237.3+CT50)))*CU50/100)</f>
        <v>65.062647806544774</v>
      </c>
      <c r="CW50" s="17">
        <f>CS50-CV50</f>
        <v>-38.657874776480099</v>
      </c>
      <c r="CX50" s="17">
        <f t="shared" ref="CX50:CY65" si="226">($E50*$G50*10.76*2+$F50*$G50*2*10.76)*$CI50*0.45</f>
        <v>-6024.2227199999998</v>
      </c>
      <c r="CY50" s="17">
        <f t="shared" si="226"/>
        <v>-6024.2227199999998</v>
      </c>
      <c r="CZ50" s="17">
        <f>($E50*$F50*10.76)*$CH50*0.45</f>
        <v>627.52320000000032</v>
      </c>
      <c r="DA50" s="17">
        <f>($E50*$F50*10.76)*$CI50*0.45</f>
        <v>-1882.5696000000003</v>
      </c>
      <c r="DB50" s="17">
        <f>$H50*285*1.08*$CI50</f>
        <v>-13296.960000000001</v>
      </c>
      <c r="DC50" s="17">
        <f>$I50*1000*3.412</f>
        <v>6824</v>
      </c>
      <c r="DD50" s="17">
        <f>$J50*$X50*3.412</f>
        <v>578.23163999999997</v>
      </c>
      <c r="DE50" s="17">
        <f>$K50*1.08*375*$CH50</f>
        <v>17496.000000000007</v>
      </c>
      <c r="DF50" s="17">
        <f>($AA50+$AB50)*1.08*$CI50</f>
        <v>-8891.752734720003</v>
      </c>
      <c r="DG50" s="17"/>
      <c r="DH50" s="17">
        <f>$H50*200*0.68*CW50</f>
        <v>-5257.4709696012933</v>
      </c>
      <c r="DI50" s="17">
        <f>$K50*375*0.68*CW50</f>
        <v>-29573.274204007277</v>
      </c>
      <c r="DJ50" s="17">
        <f>(AA50+AB50)*0.68*CW50</f>
        <v>-5009.873528770504</v>
      </c>
      <c r="DK50" s="17">
        <f>(Z50-AA50)*0.68*CP50</f>
        <v>7471.8654285691064</v>
      </c>
      <c r="DL50" s="17">
        <f>CX50+DA50+CZ50+DB50+DC50+DD50+DE50+DF50</f>
        <v>-4569.7502147199957</v>
      </c>
      <c r="DM50" s="17">
        <f>DH50+DI50+DJ50+DK50</f>
        <v>-32368.753273809969</v>
      </c>
      <c r="DN50" s="17">
        <f>DL50+DM50</f>
        <v>-36938.503488529968</v>
      </c>
    </row>
    <row r="51" spans="3:120" ht="18.600000000000001">
      <c r="C51" s="13">
        <f>IF(D51&lt;&gt;"",COUNTA($D$10:D51),"")</f>
        <v>36</v>
      </c>
      <c r="D51" s="14" t="s">
        <v>201</v>
      </c>
      <c r="E51" s="14">
        <v>1.8</v>
      </c>
      <c r="F51" s="14">
        <v>2.2000000000000002</v>
      </c>
      <c r="G51" s="14">
        <v>2.4</v>
      </c>
      <c r="H51" s="14">
        <v>2</v>
      </c>
      <c r="I51" s="14">
        <v>1</v>
      </c>
      <c r="J51" s="14">
        <v>1.75</v>
      </c>
      <c r="K51" s="14">
        <v>3</v>
      </c>
      <c r="L51" s="15">
        <v>0.1</v>
      </c>
      <c r="M51" s="15">
        <v>0</v>
      </c>
      <c r="N51" s="14">
        <v>24</v>
      </c>
      <c r="O51" s="14">
        <v>50</v>
      </c>
      <c r="P51" s="13">
        <v>45</v>
      </c>
      <c r="Q51" s="13">
        <v>85</v>
      </c>
      <c r="R51" s="13" t="s">
        <v>216</v>
      </c>
      <c r="S51" s="13">
        <v>150</v>
      </c>
      <c r="T51" s="13">
        <v>0</v>
      </c>
      <c r="U51" s="13">
        <v>100</v>
      </c>
      <c r="V51" s="13" t="str">
        <f t="shared" ref="V51:V65" si="227">R51</f>
        <v>GRADE A</v>
      </c>
      <c r="W51" s="13">
        <f t="shared" ref="W51:W65" si="228">S51</f>
        <v>150</v>
      </c>
      <c r="X51" s="16">
        <f t="shared" ref="X51:X65" si="229">E51*F51*10.76</f>
        <v>42.6096</v>
      </c>
      <c r="Y51" s="16">
        <f t="shared" ref="Y51:Y65" si="230">X51*G51*3.28</f>
        <v>335.4227712</v>
      </c>
      <c r="Z51" s="16">
        <f t="shared" ref="Z51:Z65" si="231">Y51*S51/60</f>
        <v>838.55692799999997</v>
      </c>
      <c r="AA51" s="16">
        <f t="shared" ref="AA51:AA65" si="232">Z51*L51</f>
        <v>83.8556928</v>
      </c>
      <c r="AB51" s="16">
        <f t="shared" ref="AB51:AB65" si="233">IF(N51="Amb",Z51,Z51*M51)</f>
        <v>0</v>
      </c>
      <c r="AC51" s="16">
        <f t="shared" ref="AC51:AC65" si="234">IF(ISNUMBER(N51), (AA51*0.075*60/2.20462)*BP51/7000, "Ambient")</f>
        <v>7.7140619513968902</v>
      </c>
      <c r="AD51" s="16">
        <f t="shared" ref="AD51:AD57" si="235">IF(ISNUMBER(N51), CEILING(CF51/(0.68*BP51),25), "Ambient")</f>
        <v>2375</v>
      </c>
      <c r="AE51" s="16">
        <f t="shared" ref="AE51:AE65" si="236">CEILING(MAX((Z51+AA51),AD51),25)</f>
        <v>2375</v>
      </c>
      <c r="AF51" s="16">
        <f t="shared" ref="AF51:AF65" si="237">CEILING(IF(OR($R51="ISO 6",$R51="GRADE B",$R51="1K",$R51=1000),AE51*1/175,IF(OR($R51="ISO 5",$R51="GRADE A",$R51=100),AE51*1/100,IF(OR($R51="ISO 7",$R51="GRADE C",$R51="10K",$R51=10000),$AE51*1/250,IF(OR($R51="ISO 8",$R51="GRADE D",$R51="100K",$R51=100000),$AE51*1/250,IF(OR($R51="NC",$R51="20 Micron",$R51="5 Micron",$R51="N C"),$AE51*1/350,0))))),2)</f>
        <v>24</v>
      </c>
      <c r="AG51" s="16">
        <f t="shared" ref="AG51:AG65" si="238">IF(ISNUMBER(N51), CEILING(MAX(AI51,AJ51),0.5), "Ambient")</f>
        <v>8</v>
      </c>
      <c r="AH51" s="838" t="s">
        <v>84</v>
      </c>
      <c r="AI51" s="17">
        <f t="shared" ref="AI51:AI65" si="239">IF(ISNUMBER(N51), CEILING(CE51/12000,0.5), "Ambient")</f>
        <v>4.5</v>
      </c>
      <c r="AJ51" s="17">
        <f t="shared" ref="AJ51:AJ65" si="240">IF(ISNUMBER(N51),CEILING(AE51/(IF(AH51="C",400,300)),0.5), "Ambient")</f>
        <v>8</v>
      </c>
      <c r="AK51" s="891"/>
      <c r="AL51" s="18">
        <f>IF(AK50&lt;=2000,950,(IF(AK50&lt;=3000,1150,(IF(AK50&lt;=8000,1550,(IF(AK50&lt;=10000,1750,(IF(AK50&lt;=18000,2050,(IF(AK50&lt;=32000,2900,(IF(AK50&lt;=40000,3600,4000)))))))))))))</f>
        <v>4000</v>
      </c>
      <c r="AM51" s="889"/>
      <c r="AN51" s="891"/>
      <c r="AO51" s="888"/>
      <c r="AP51" s="891"/>
      <c r="AQ51" s="891"/>
      <c r="AR51" s="889"/>
      <c r="AS51" s="888"/>
      <c r="AT51" s="888"/>
      <c r="AU51" s="890"/>
      <c r="AV51" s="888"/>
      <c r="AW51" s="888"/>
      <c r="AX51" s="888"/>
      <c r="AY51" s="887"/>
      <c r="AZ51" s="888"/>
      <c r="BA51" s="17">
        <f t="shared" ref="BA51:BA65" si="241">-CONVERT(N51,"C","F")+CONVERT((N51+8),"C","F")</f>
        <v>14.399999999999991</v>
      </c>
      <c r="BB51" s="17">
        <f t="shared" ref="BB51:BB65" si="242">CONVERT(P51,"C","F")-CONVERT(N51,"C","F")</f>
        <v>37.799999999999997</v>
      </c>
      <c r="BC51" s="17">
        <f t="shared" ref="BC51:BC65" si="243">BF51+8</f>
        <v>32</v>
      </c>
      <c r="BD51" s="17">
        <f t="shared" ref="BD51:BD65" si="244">BG51+35</f>
        <v>85</v>
      </c>
      <c r="BE51" s="17">
        <f t="shared" ref="BE51:BE65" si="245">0.622*7000*(BD51/100)*(6.1078*10^((7.5*BC51)/(237.3+BC51)))/(1013.25-(6.1078*10^((7.5*BC51)/(237.3+BC51)))*BD51/100)</f>
        <v>180.86341983910182</v>
      </c>
      <c r="BF51" s="17">
        <f t="shared" ref="BF51:BF65" si="246">N51</f>
        <v>24</v>
      </c>
      <c r="BG51" s="17">
        <f t="shared" ref="BG51:BG65" si="247">O51</f>
        <v>50</v>
      </c>
      <c r="BH51" s="17">
        <f t="shared" ref="BH51:BH65" si="248">0.622*7000*(BG51/100)*(6.1078*10^((7.5*BF51)/(237.3+BF51)))/(1013.25-(6.1078*10^((7.5*BF51)/(237.3+BF51)))*BG51/100)</f>
        <v>65.062647806544774</v>
      </c>
      <c r="BI51" s="17">
        <f t="shared" ref="BI51:BI65" si="249">BE51-BH51</f>
        <v>115.80077203255705</v>
      </c>
      <c r="BJ51" s="17">
        <f t="shared" ref="BJ51:BJ65" si="250">P51</f>
        <v>45</v>
      </c>
      <c r="BK51" s="17">
        <f t="shared" ref="BK51:BK65" si="251">Q51</f>
        <v>85</v>
      </c>
      <c r="BL51" s="17">
        <f t="shared" ref="BL51:BL65" si="252">0.622*7000*(BK51/100)*(6.1078*10^((7.5*BJ51)/(237.3+BJ51)))/(1013.25-(6.1078*10^((7.5*BJ51)/(237.3+BJ51)))*BK51/100)</f>
        <v>380.54120080897206</v>
      </c>
      <c r="BM51" s="17">
        <f t="shared" ref="BM51:BM65" si="253">BF51</f>
        <v>24</v>
      </c>
      <c r="BN51" s="17">
        <f t="shared" ref="BN51:BN65" si="254">BG51</f>
        <v>50</v>
      </c>
      <c r="BO51" s="17">
        <f t="shared" ref="BO51:BO65" si="255">0.622*7000*(BN51/100)*(6.1078*10^((7.5*BM51)/(237.3+BM51)))/(1013.25-(6.1078*10^((7.5*BM51)/(237.3+BM51)))*BN51/100)</f>
        <v>65.062647806544774</v>
      </c>
      <c r="BP51" s="17">
        <f t="shared" ref="BP51:BP65" si="256">BL51-BO51</f>
        <v>315.4785530024273</v>
      </c>
      <c r="BQ51" s="17">
        <f t="shared" ref="BQ51:BQ65" si="257">(E51*G51*10.76*2+F51*G51*2*10.76)*BB51*0.45</f>
        <v>3514.1299199999999</v>
      </c>
      <c r="BR51" s="17">
        <f t="shared" ref="BR51:BR65" si="258">(E51*G51*10.76*2+F51*G51*2*10.76)*BA51*0.45</f>
        <v>1338.7161599999993</v>
      </c>
      <c r="BS51" s="17">
        <f t="shared" ref="BS51:BS65" si="259">(E51*F51*10.76)*BA51*0.45</f>
        <v>276.11020799999983</v>
      </c>
      <c r="BT51" s="17">
        <f t="shared" ref="BT51:BT65" si="260">(E51*F51*10.76)*BB51*0.45</f>
        <v>724.78929599999992</v>
      </c>
      <c r="BU51" s="17">
        <f t="shared" ref="BU51:BU65" si="261">H51*285*1.08*BB51</f>
        <v>23269.68</v>
      </c>
      <c r="BV51" s="17">
        <f t="shared" ref="BV51:BV65" si="262">I51*1000*3.412</f>
        <v>3412</v>
      </c>
      <c r="BW51" s="17">
        <f t="shared" ref="BW51:BW65" si="263">J51*X51*3.412</f>
        <v>254.42192159999999</v>
      </c>
      <c r="BX51" s="17">
        <f t="shared" ref="BX51:BX65" si="264">K51*1.08*375*BA51</f>
        <v>17495.999999999989</v>
      </c>
      <c r="BY51" s="17">
        <f t="shared" ref="BY51:BY65" si="265">(AA51+AB51)*1.08*BB51</f>
        <v>3423.3248028672001</v>
      </c>
      <c r="BZ51" s="17"/>
      <c r="CA51" s="17">
        <f t="shared" ref="CA51:CA65" si="266">H51*200*0.68*BP51</f>
        <v>85810.166416660228</v>
      </c>
      <c r="CB51" s="17">
        <f t="shared" ref="CB51:CB65" si="267">K51*375*0.68*BP51</f>
        <v>241341.0930468569</v>
      </c>
      <c r="CC51" s="17">
        <f t="shared" ref="CC51:CC65" si="268">(AA51+AB51)*0.68*BP51</f>
        <v>17989.177385380844</v>
      </c>
      <c r="CD51" s="17">
        <f t="shared" ref="CD51:CD65" si="269">($Z51-$AA51)*0.68*$BP51</f>
        <v>161902.59646842757</v>
      </c>
      <c r="CE51" s="17">
        <f t="shared" ref="CE51:CE65" si="270">$BQ51+$BU51+$BV51+$BW51+$BX51+$BY51</f>
        <v>51369.556644467193</v>
      </c>
      <c r="CF51" s="17">
        <f t="shared" ref="CF51:CF65" si="271">$CA51+$CB51+$CC51+$CD51</f>
        <v>507043.03331732552</v>
      </c>
      <c r="CG51" s="17">
        <f t="shared" ref="CG51:CG65" si="272">$CE51+$CF51</f>
        <v>558412.58996179269</v>
      </c>
      <c r="CH51" s="17">
        <f t="shared" ref="CH51:CH65" si="273">CONVERT(N51,"C","F")-CONVERT((N51-8),"C","F")</f>
        <v>14.400000000000006</v>
      </c>
      <c r="CI51" s="17">
        <f t="shared" ref="CI51:CI65" si="274">CONVERT(T51,"C","F")-CONVERT(N51,"C","F")</f>
        <v>-43.2</v>
      </c>
      <c r="CJ51" s="17">
        <f t="shared" ref="CJ51:CJ65" si="275">CM51-8</f>
        <v>16</v>
      </c>
      <c r="CK51" s="17">
        <f t="shared" ref="CK51:CK65" si="276">O51+40</f>
        <v>90</v>
      </c>
      <c r="CL51" s="17">
        <f t="shared" ref="CL51:CL65" si="277">0.622*7000*(CK51/100)*(6.1078*10^((7.5*CJ51)/(237.3+CJ51)))/(1013.25-(6.1078*10^((7.5*CJ51)/(237.3+CJ51)))*CK51/100)</f>
        <v>71.46880726181422</v>
      </c>
      <c r="CM51" s="17">
        <f t="shared" ref="CM51:CM65" si="278">N51</f>
        <v>24</v>
      </c>
      <c r="CN51" s="17">
        <f t="shared" ref="CN51:CN65" si="279">O51</f>
        <v>50</v>
      </c>
      <c r="CO51" s="17">
        <f t="shared" ref="CO51:CO65" si="280">0.622*7000*(CN51/100)*(6.1078*10^((7.5*CM51)/(237.3+CM51)))/(1013.25-(6.1078*10^((7.5*CM51)/(237.3+CM51)))*CN51/100)</f>
        <v>65.062647806544774</v>
      </c>
      <c r="CP51" s="17">
        <f t="shared" ref="CP51:CP65" si="281">CL51-CO51</f>
        <v>6.4061594552694459</v>
      </c>
      <c r="CQ51" s="17">
        <f t="shared" ref="CQ51:CQ65" si="282">T51</f>
        <v>0</v>
      </c>
      <c r="CR51" s="17">
        <f t="shared" ref="CR51:CR65" si="283">U51</f>
        <v>100</v>
      </c>
      <c r="CS51" s="17">
        <f t="shared" ref="CS51:CS65" si="284">0.622*7000*(CR51/100)*(6.1078*10^((7.5*CQ51)/(237.3+CQ51)))/(1013.25-(6.1078*10^((7.5*CQ51)/(237.3+CQ51)))*CR51/100)</f>
        <v>26.404773030064671</v>
      </c>
      <c r="CT51" s="17">
        <f t="shared" ref="CT51:CT65" si="285">CM51</f>
        <v>24</v>
      </c>
      <c r="CU51" s="17">
        <f t="shared" ref="CU51:CU65" si="286">O51</f>
        <v>50</v>
      </c>
      <c r="CV51" s="17">
        <f t="shared" ref="CV51:CV65" si="287">0.622*7000*(CU51/100)*(6.1078*10^((7.5*CT51)/(237.3+CT51)))/(1013.25-(6.1078*10^((7.5*CT51)/(237.3+CT51)))*CU51/100)</f>
        <v>65.062647806544774</v>
      </c>
      <c r="CW51" s="17">
        <f t="shared" ref="CW51:CW65" si="288">CS51-CV51</f>
        <v>-38.657874776480099</v>
      </c>
      <c r="CX51" s="17">
        <f t="shared" si="226"/>
        <v>-4016.1484800000003</v>
      </c>
      <c r="CY51" s="17">
        <f t="shared" si="226"/>
        <v>-4016.1484800000003</v>
      </c>
      <c r="CZ51" s="17">
        <f t="shared" ref="CZ51:CZ65" si="289">($E51*$F51*10.76)*$CH51*0.45</f>
        <v>276.11020800000011</v>
      </c>
      <c r="DA51" s="17">
        <f t="shared" ref="DA51:DA65" si="290">($E51*$F51*10.76)*$CI51*0.45</f>
        <v>-828.33062400000006</v>
      </c>
      <c r="DB51" s="17">
        <f t="shared" ref="DB51:DB65" si="291">$H51*285*1.08*$CI51</f>
        <v>-26593.920000000002</v>
      </c>
      <c r="DC51" s="17">
        <f t="shared" ref="DC51:DC65" si="292">$I51*1000*3.412</f>
        <v>3412</v>
      </c>
      <c r="DD51" s="17">
        <f t="shared" ref="DD51:DD65" si="293">$J51*$X51*3.412</f>
        <v>254.42192159999999</v>
      </c>
      <c r="DE51" s="17">
        <f t="shared" ref="DE51:DE65" si="294">$K51*1.08*375*$CH51</f>
        <v>17496.000000000007</v>
      </c>
      <c r="DF51" s="17">
        <f t="shared" ref="DF51:DF65" si="295">($AA51+$AB51)*1.08*$CI51</f>
        <v>-3912.3712032768008</v>
      </c>
      <c r="DG51" s="17"/>
      <c r="DH51" s="17">
        <f t="shared" ref="DH51:DH65" si="296">$H51*200*0.68*CW51</f>
        <v>-10514.941939202587</v>
      </c>
      <c r="DI51" s="17">
        <f t="shared" ref="DI51:DI65" si="297">$K51*375*0.68*CW51</f>
        <v>-29573.274204007277</v>
      </c>
      <c r="DJ51" s="17">
        <f t="shared" ref="DJ51:DJ65" si="298">(AA51+AB51)*0.68*CW51</f>
        <v>-2204.3443526590213</v>
      </c>
      <c r="DK51" s="17">
        <f t="shared" ref="DK51:DK65" si="299">(Z51-AA51)*0.68*CP51</f>
        <v>3287.6207885704066</v>
      </c>
      <c r="DL51" s="17">
        <f t="shared" ref="DL51:DL65" si="300">CX51+DA51+CZ51+DB51+DC51+DD51+DE51+DF51</f>
        <v>-13912.238177676798</v>
      </c>
      <c r="DM51" s="17">
        <f t="shared" ref="DM51:DM65" si="301">DH51+DI51+DJ51+DK51</f>
        <v>-39004.939707298479</v>
      </c>
      <c r="DN51" s="17">
        <f t="shared" ref="DN51:DN65" si="302">DL51+DM51</f>
        <v>-52917.177884975274</v>
      </c>
    </row>
    <row r="52" spans="3:120" ht="18.600000000000001">
      <c r="C52" s="13">
        <f>IF(D52&lt;&gt;"",COUNTA($D$10:D52),"")</f>
        <v>37</v>
      </c>
      <c r="D52" s="14" t="s">
        <v>202</v>
      </c>
      <c r="E52" s="14">
        <v>1.5</v>
      </c>
      <c r="F52" s="14">
        <v>2.8</v>
      </c>
      <c r="G52" s="14">
        <v>2.4</v>
      </c>
      <c r="H52" s="14">
        <v>2</v>
      </c>
      <c r="I52" s="14">
        <v>3</v>
      </c>
      <c r="J52" s="14">
        <v>1.75</v>
      </c>
      <c r="K52" s="14">
        <v>3</v>
      </c>
      <c r="L52" s="15">
        <v>0.1</v>
      </c>
      <c r="M52" s="15">
        <v>0</v>
      </c>
      <c r="N52" s="14">
        <v>24</v>
      </c>
      <c r="O52" s="14">
        <v>50</v>
      </c>
      <c r="P52" s="13">
        <v>45</v>
      </c>
      <c r="Q52" s="13">
        <v>85</v>
      </c>
      <c r="R52" s="13" t="s">
        <v>216</v>
      </c>
      <c r="S52" s="13">
        <v>150</v>
      </c>
      <c r="T52" s="13">
        <v>0</v>
      </c>
      <c r="U52" s="13">
        <v>100</v>
      </c>
      <c r="V52" s="13" t="str">
        <f t="shared" si="227"/>
        <v>GRADE A</v>
      </c>
      <c r="W52" s="13">
        <f t="shared" si="228"/>
        <v>150</v>
      </c>
      <c r="X52" s="16">
        <f t="shared" si="229"/>
        <v>45.191999999999993</v>
      </c>
      <c r="Y52" s="16">
        <f t="shared" si="230"/>
        <v>355.75142399999993</v>
      </c>
      <c r="Z52" s="16">
        <f t="shared" si="231"/>
        <v>889.37855999999977</v>
      </c>
      <c r="AA52" s="16">
        <f t="shared" si="232"/>
        <v>88.937855999999982</v>
      </c>
      <c r="AB52" s="16">
        <f t="shared" si="233"/>
        <v>0</v>
      </c>
      <c r="AC52" s="16">
        <f t="shared" si="234"/>
        <v>8.1815808575421549</v>
      </c>
      <c r="AD52" s="16">
        <f t="shared" si="235"/>
        <v>2425</v>
      </c>
      <c r="AE52" s="16">
        <f t="shared" si="236"/>
        <v>2425</v>
      </c>
      <c r="AF52" s="16">
        <f t="shared" si="237"/>
        <v>26</v>
      </c>
      <c r="AG52" s="16">
        <f t="shared" si="238"/>
        <v>8.5</v>
      </c>
      <c r="AH52" s="838" t="s">
        <v>84</v>
      </c>
      <c r="AI52" s="17">
        <f t="shared" si="239"/>
        <v>5</v>
      </c>
      <c r="AJ52" s="17">
        <f t="shared" si="240"/>
        <v>8.5</v>
      </c>
      <c r="AK52" s="891"/>
      <c r="AL52" s="18" t="s">
        <v>255</v>
      </c>
      <c r="AM52" s="889"/>
      <c r="AN52" s="891"/>
      <c r="AO52" s="888"/>
      <c r="AP52" s="891"/>
      <c r="AQ52" s="891"/>
      <c r="AR52" s="889"/>
      <c r="AS52" s="888"/>
      <c r="AT52" s="888"/>
      <c r="AU52" s="890"/>
      <c r="AV52" s="888"/>
      <c r="AW52" s="888"/>
      <c r="AX52" s="888"/>
      <c r="AY52" s="887"/>
      <c r="AZ52" s="888"/>
      <c r="BA52" s="17">
        <f t="shared" si="241"/>
        <v>14.399999999999991</v>
      </c>
      <c r="BB52" s="17">
        <f t="shared" si="242"/>
        <v>37.799999999999997</v>
      </c>
      <c r="BC52" s="17">
        <f t="shared" si="243"/>
        <v>32</v>
      </c>
      <c r="BD52" s="17">
        <f t="shared" si="244"/>
        <v>85</v>
      </c>
      <c r="BE52" s="17">
        <f t="shared" si="245"/>
        <v>180.86341983910182</v>
      </c>
      <c r="BF52" s="17">
        <f t="shared" si="246"/>
        <v>24</v>
      </c>
      <c r="BG52" s="17">
        <f t="shared" si="247"/>
        <v>50</v>
      </c>
      <c r="BH52" s="17">
        <f t="shared" si="248"/>
        <v>65.062647806544774</v>
      </c>
      <c r="BI52" s="17">
        <f t="shared" si="249"/>
        <v>115.80077203255705</v>
      </c>
      <c r="BJ52" s="17">
        <f t="shared" si="250"/>
        <v>45</v>
      </c>
      <c r="BK52" s="17">
        <f t="shared" si="251"/>
        <v>85</v>
      </c>
      <c r="BL52" s="17">
        <f t="shared" si="252"/>
        <v>380.54120080897206</v>
      </c>
      <c r="BM52" s="17">
        <f t="shared" si="253"/>
        <v>24</v>
      </c>
      <c r="BN52" s="17">
        <f t="shared" si="254"/>
        <v>50</v>
      </c>
      <c r="BO52" s="17">
        <f t="shared" si="255"/>
        <v>65.062647806544774</v>
      </c>
      <c r="BP52" s="17">
        <f t="shared" si="256"/>
        <v>315.4785530024273</v>
      </c>
      <c r="BQ52" s="17">
        <f t="shared" si="257"/>
        <v>3777.6896639999995</v>
      </c>
      <c r="BR52" s="17">
        <f t="shared" si="258"/>
        <v>1439.1198719999991</v>
      </c>
      <c r="BS52" s="17">
        <f t="shared" si="259"/>
        <v>292.84415999999976</v>
      </c>
      <c r="BT52" s="17">
        <f t="shared" si="260"/>
        <v>768.71591999999987</v>
      </c>
      <c r="BU52" s="17">
        <f t="shared" si="261"/>
        <v>23269.68</v>
      </c>
      <c r="BV52" s="17">
        <f t="shared" si="262"/>
        <v>10236</v>
      </c>
      <c r="BW52" s="17">
        <f t="shared" si="263"/>
        <v>269.84143199999994</v>
      </c>
      <c r="BX52" s="17">
        <f t="shared" si="264"/>
        <v>17495.999999999989</v>
      </c>
      <c r="BY52" s="17">
        <f t="shared" si="265"/>
        <v>3630.7990333439993</v>
      </c>
      <c r="BZ52" s="17"/>
      <c r="CA52" s="17">
        <f t="shared" si="266"/>
        <v>85810.166416660228</v>
      </c>
      <c r="CB52" s="17">
        <f t="shared" si="267"/>
        <v>241341.0930468569</v>
      </c>
      <c r="CC52" s="17">
        <f t="shared" si="268"/>
        <v>19079.430560252407</v>
      </c>
      <c r="CD52" s="17">
        <f t="shared" si="269"/>
        <v>171714.87504227163</v>
      </c>
      <c r="CE52" s="17">
        <f t="shared" si="270"/>
        <v>58680.01012934398</v>
      </c>
      <c r="CF52" s="17">
        <f t="shared" si="271"/>
        <v>517945.56506604113</v>
      </c>
      <c r="CG52" s="17">
        <f t="shared" si="272"/>
        <v>576625.57519538514</v>
      </c>
      <c r="CH52" s="17">
        <f t="shared" si="273"/>
        <v>14.400000000000006</v>
      </c>
      <c r="CI52" s="17">
        <f t="shared" si="274"/>
        <v>-43.2</v>
      </c>
      <c r="CJ52" s="17">
        <f t="shared" si="275"/>
        <v>16</v>
      </c>
      <c r="CK52" s="17">
        <f t="shared" si="276"/>
        <v>90</v>
      </c>
      <c r="CL52" s="17">
        <f t="shared" si="277"/>
        <v>71.46880726181422</v>
      </c>
      <c r="CM52" s="17">
        <f t="shared" si="278"/>
        <v>24</v>
      </c>
      <c r="CN52" s="17">
        <f t="shared" si="279"/>
        <v>50</v>
      </c>
      <c r="CO52" s="17">
        <f t="shared" si="280"/>
        <v>65.062647806544774</v>
      </c>
      <c r="CP52" s="17">
        <f t="shared" si="281"/>
        <v>6.4061594552694459</v>
      </c>
      <c r="CQ52" s="17">
        <f t="shared" si="282"/>
        <v>0</v>
      </c>
      <c r="CR52" s="17">
        <f t="shared" si="283"/>
        <v>100</v>
      </c>
      <c r="CS52" s="17">
        <f t="shared" si="284"/>
        <v>26.404773030064671</v>
      </c>
      <c r="CT52" s="17">
        <f t="shared" si="285"/>
        <v>24</v>
      </c>
      <c r="CU52" s="17">
        <f t="shared" si="286"/>
        <v>50</v>
      </c>
      <c r="CV52" s="17">
        <f t="shared" si="287"/>
        <v>65.062647806544774</v>
      </c>
      <c r="CW52" s="17">
        <f t="shared" si="288"/>
        <v>-38.657874776480099</v>
      </c>
      <c r="CX52" s="17">
        <f t="shared" si="226"/>
        <v>-4317.3596159999997</v>
      </c>
      <c r="CY52" s="17">
        <f t="shared" si="226"/>
        <v>-4317.3596159999997</v>
      </c>
      <c r="CZ52" s="17">
        <f t="shared" si="289"/>
        <v>292.8441600000001</v>
      </c>
      <c r="DA52" s="17">
        <f t="shared" si="290"/>
        <v>-878.53247999999996</v>
      </c>
      <c r="DB52" s="17">
        <f t="shared" si="291"/>
        <v>-26593.920000000002</v>
      </c>
      <c r="DC52" s="17">
        <f t="shared" si="292"/>
        <v>10236</v>
      </c>
      <c r="DD52" s="17">
        <f t="shared" si="293"/>
        <v>269.84143199999994</v>
      </c>
      <c r="DE52" s="17">
        <f t="shared" si="294"/>
        <v>17496.000000000007</v>
      </c>
      <c r="DF52" s="17">
        <f t="shared" si="295"/>
        <v>-4149.4846095359999</v>
      </c>
      <c r="DG52" s="17"/>
      <c r="DH52" s="17">
        <f t="shared" si="296"/>
        <v>-10514.941939202587</v>
      </c>
      <c r="DI52" s="17">
        <f t="shared" si="297"/>
        <v>-29573.274204007277</v>
      </c>
      <c r="DJ52" s="17">
        <f t="shared" si="298"/>
        <v>-2337.9409800929006</v>
      </c>
      <c r="DK52" s="17">
        <f t="shared" si="299"/>
        <v>3486.8705333322487</v>
      </c>
      <c r="DL52" s="17">
        <f t="shared" si="300"/>
        <v>-7644.6111135359924</v>
      </c>
      <c r="DM52" s="17">
        <f t="shared" si="301"/>
        <v>-38939.286589970514</v>
      </c>
      <c r="DN52" s="17">
        <f t="shared" si="302"/>
        <v>-46583.897703506504</v>
      </c>
    </row>
    <row r="53" spans="3:120" ht="18.600000000000001">
      <c r="C53" s="13">
        <f>IF(D53&lt;&gt;"",COUNTA($D$10:D53),"")</f>
        <v>38</v>
      </c>
      <c r="D53" s="14" t="s">
        <v>203</v>
      </c>
      <c r="E53" s="14">
        <v>2.1</v>
      </c>
      <c r="F53" s="14">
        <v>3.5</v>
      </c>
      <c r="G53" s="14">
        <v>2.4</v>
      </c>
      <c r="H53" s="14">
        <v>0</v>
      </c>
      <c r="I53" s="14">
        <v>1</v>
      </c>
      <c r="J53" s="14">
        <v>1.75</v>
      </c>
      <c r="K53" s="14">
        <v>3</v>
      </c>
      <c r="L53" s="15">
        <v>0.1</v>
      </c>
      <c r="M53" s="15">
        <v>0</v>
      </c>
      <c r="N53" s="14">
        <v>24</v>
      </c>
      <c r="O53" s="14">
        <v>50</v>
      </c>
      <c r="P53" s="13">
        <v>45</v>
      </c>
      <c r="Q53" s="13">
        <v>85</v>
      </c>
      <c r="R53" s="13" t="s">
        <v>216</v>
      </c>
      <c r="S53" s="13">
        <v>150</v>
      </c>
      <c r="T53" s="13">
        <v>0</v>
      </c>
      <c r="U53" s="13">
        <v>100</v>
      </c>
      <c r="V53" s="13" t="str">
        <f t="shared" si="227"/>
        <v>GRADE A</v>
      </c>
      <c r="W53" s="13">
        <f t="shared" si="228"/>
        <v>150</v>
      </c>
      <c r="X53" s="16">
        <f t="shared" si="229"/>
        <v>79.085999999999999</v>
      </c>
      <c r="Y53" s="16">
        <f t="shared" si="230"/>
        <v>622.56499199999996</v>
      </c>
      <c r="Z53" s="16">
        <f t="shared" si="231"/>
        <v>1556.41248</v>
      </c>
      <c r="AA53" s="16">
        <f t="shared" si="232"/>
        <v>155.64124800000002</v>
      </c>
      <c r="AB53" s="16">
        <f t="shared" si="233"/>
        <v>0</v>
      </c>
      <c r="AC53" s="16">
        <f t="shared" si="234"/>
        <v>14.317766500698774</v>
      </c>
      <c r="AD53" s="16">
        <f t="shared" si="235"/>
        <v>2700</v>
      </c>
      <c r="AE53" s="16">
        <f t="shared" si="236"/>
        <v>2700</v>
      </c>
      <c r="AF53" s="16">
        <f t="shared" si="237"/>
        <v>28</v>
      </c>
      <c r="AG53" s="16">
        <f t="shared" si="238"/>
        <v>9</v>
      </c>
      <c r="AH53" s="838" t="s">
        <v>84</v>
      </c>
      <c r="AI53" s="17">
        <f t="shared" si="239"/>
        <v>3</v>
      </c>
      <c r="AJ53" s="17">
        <f t="shared" si="240"/>
        <v>9</v>
      </c>
      <c r="AK53" s="891"/>
      <c r="AL53" s="18">
        <f>IF(AK50&lt;=2000,950,(IF(AK50&lt;=4000,1100,(IF(AK50&lt;=6000,1250,(IF(AK50&lt;=10000,1550,(IF(AK50&lt;=15000,1750,(IF(AK50&lt;=24000,2050,(IF(AK50&lt;=40000,2900,3600)))))))))))))</f>
        <v>3600</v>
      </c>
      <c r="AM53" s="889"/>
      <c r="AN53" s="891"/>
      <c r="AO53" s="888"/>
      <c r="AP53" s="891"/>
      <c r="AQ53" s="891"/>
      <c r="AR53" s="889"/>
      <c r="AS53" s="888"/>
      <c r="AT53" s="888"/>
      <c r="AU53" s="890"/>
      <c r="AV53" s="888"/>
      <c r="AW53" s="888"/>
      <c r="AX53" s="888"/>
      <c r="AY53" s="887"/>
      <c r="AZ53" s="888"/>
      <c r="BA53" s="17">
        <f t="shared" si="241"/>
        <v>14.399999999999991</v>
      </c>
      <c r="BB53" s="17">
        <f t="shared" si="242"/>
        <v>37.799999999999997</v>
      </c>
      <c r="BC53" s="17">
        <f t="shared" si="243"/>
        <v>32</v>
      </c>
      <c r="BD53" s="17">
        <f t="shared" si="244"/>
        <v>85</v>
      </c>
      <c r="BE53" s="17">
        <f t="shared" si="245"/>
        <v>180.86341983910182</v>
      </c>
      <c r="BF53" s="17">
        <f t="shared" si="246"/>
        <v>24</v>
      </c>
      <c r="BG53" s="17">
        <f t="shared" si="247"/>
        <v>50</v>
      </c>
      <c r="BH53" s="17">
        <f t="shared" si="248"/>
        <v>65.062647806544774</v>
      </c>
      <c r="BI53" s="17">
        <f t="shared" si="249"/>
        <v>115.80077203255705</v>
      </c>
      <c r="BJ53" s="17">
        <f t="shared" si="250"/>
        <v>45</v>
      </c>
      <c r="BK53" s="17">
        <f t="shared" si="251"/>
        <v>85</v>
      </c>
      <c r="BL53" s="17">
        <f t="shared" si="252"/>
        <v>380.54120080897206</v>
      </c>
      <c r="BM53" s="17">
        <f t="shared" si="253"/>
        <v>24</v>
      </c>
      <c r="BN53" s="17">
        <f t="shared" si="254"/>
        <v>50</v>
      </c>
      <c r="BO53" s="17">
        <f t="shared" si="255"/>
        <v>65.062647806544774</v>
      </c>
      <c r="BP53" s="17">
        <f t="shared" si="256"/>
        <v>315.4785530024273</v>
      </c>
      <c r="BQ53" s="17">
        <f t="shared" si="257"/>
        <v>4919.7818879999995</v>
      </c>
      <c r="BR53" s="17">
        <f t="shared" si="258"/>
        <v>1874.2026239999989</v>
      </c>
      <c r="BS53" s="17">
        <f t="shared" si="259"/>
        <v>512.47727999999972</v>
      </c>
      <c r="BT53" s="17">
        <f t="shared" si="260"/>
        <v>1345.2528599999998</v>
      </c>
      <c r="BU53" s="17">
        <f t="shared" si="261"/>
        <v>0</v>
      </c>
      <c r="BV53" s="17">
        <f t="shared" si="262"/>
        <v>3412</v>
      </c>
      <c r="BW53" s="17">
        <f t="shared" si="263"/>
        <v>472.22250599999995</v>
      </c>
      <c r="BX53" s="17">
        <f t="shared" si="264"/>
        <v>17495.999999999989</v>
      </c>
      <c r="BY53" s="17">
        <f t="shared" si="265"/>
        <v>6353.8983083520006</v>
      </c>
      <c r="BZ53" s="17"/>
      <c r="CA53" s="17">
        <f t="shared" si="266"/>
        <v>0</v>
      </c>
      <c r="CB53" s="17">
        <f t="shared" si="267"/>
        <v>241341.0930468569</v>
      </c>
      <c r="CC53" s="17">
        <f t="shared" si="268"/>
        <v>33389.003480441716</v>
      </c>
      <c r="CD53" s="17">
        <f t="shared" si="269"/>
        <v>300501.03132397548</v>
      </c>
      <c r="CE53" s="17">
        <f t="shared" si="270"/>
        <v>32653.902702351988</v>
      </c>
      <c r="CF53" s="17">
        <f t="shared" si="271"/>
        <v>575231.1278512741</v>
      </c>
      <c r="CG53" s="17">
        <f t="shared" si="272"/>
        <v>607885.03055362613</v>
      </c>
      <c r="CH53" s="17">
        <f t="shared" si="273"/>
        <v>14.400000000000006</v>
      </c>
      <c r="CI53" s="17">
        <f t="shared" si="274"/>
        <v>-43.2</v>
      </c>
      <c r="CJ53" s="17">
        <f t="shared" si="275"/>
        <v>16</v>
      </c>
      <c r="CK53" s="17">
        <f t="shared" si="276"/>
        <v>90</v>
      </c>
      <c r="CL53" s="17">
        <f t="shared" si="277"/>
        <v>71.46880726181422</v>
      </c>
      <c r="CM53" s="17">
        <f t="shared" si="278"/>
        <v>24</v>
      </c>
      <c r="CN53" s="17">
        <f t="shared" si="279"/>
        <v>50</v>
      </c>
      <c r="CO53" s="17">
        <f t="shared" si="280"/>
        <v>65.062647806544774</v>
      </c>
      <c r="CP53" s="17">
        <f t="shared" si="281"/>
        <v>6.4061594552694459</v>
      </c>
      <c r="CQ53" s="17">
        <f t="shared" si="282"/>
        <v>0</v>
      </c>
      <c r="CR53" s="17">
        <f t="shared" si="283"/>
        <v>100</v>
      </c>
      <c r="CS53" s="17">
        <f t="shared" si="284"/>
        <v>26.404773030064671</v>
      </c>
      <c r="CT53" s="17">
        <f t="shared" si="285"/>
        <v>24</v>
      </c>
      <c r="CU53" s="17">
        <f t="shared" si="286"/>
        <v>50</v>
      </c>
      <c r="CV53" s="17">
        <f t="shared" si="287"/>
        <v>65.062647806544774</v>
      </c>
      <c r="CW53" s="17">
        <f t="shared" si="288"/>
        <v>-38.657874776480099</v>
      </c>
      <c r="CX53" s="17">
        <f t="shared" si="226"/>
        <v>-5622.6078720000005</v>
      </c>
      <c r="CY53" s="17">
        <f t="shared" si="226"/>
        <v>-5622.6078720000005</v>
      </c>
      <c r="CZ53" s="17">
        <f t="shared" si="289"/>
        <v>512.47728000000018</v>
      </c>
      <c r="DA53" s="17">
        <f t="shared" si="290"/>
        <v>-1537.4318400000002</v>
      </c>
      <c r="DB53" s="17">
        <f t="shared" si="291"/>
        <v>0</v>
      </c>
      <c r="DC53" s="17">
        <f t="shared" si="292"/>
        <v>3412</v>
      </c>
      <c r="DD53" s="17">
        <f t="shared" si="293"/>
        <v>472.22250599999995</v>
      </c>
      <c r="DE53" s="17">
        <f t="shared" si="294"/>
        <v>17496.000000000007</v>
      </c>
      <c r="DF53" s="17">
        <f t="shared" si="295"/>
        <v>-7261.5980666880023</v>
      </c>
      <c r="DG53" s="17"/>
      <c r="DH53" s="17">
        <f t="shared" si="296"/>
        <v>0</v>
      </c>
      <c r="DI53" s="17">
        <f t="shared" si="297"/>
        <v>-29573.274204007277</v>
      </c>
      <c r="DJ53" s="17">
        <f t="shared" si="298"/>
        <v>-4091.3967151625775</v>
      </c>
      <c r="DK53" s="17">
        <f t="shared" si="299"/>
        <v>6102.0234333314374</v>
      </c>
      <c r="DL53" s="17">
        <f t="shared" si="300"/>
        <v>7471.0620073120044</v>
      </c>
      <c r="DM53" s="17">
        <f t="shared" si="301"/>
        <v>-27562.647485838417</v>
      </c>
      <c r="DN53" s="17">
        <f t="shared" si="302"/>
        <v>-20091.585478526413</v>
      </c>
    </row>
    <row r="54" spans="3:120" ht="18.600000000000001">
      <c r="C54" s="13">
        <f>IF(D54&lt;&gt;"",COUNTA($D$10:D54),"")</f>
        <v>39</v>
      </c>
      <c r="D54" s="14" t="s">
        <v>204</v>
      </c>
      <c r="E54" s="14">
        <v>2.7</v>
      </c>
      <c r="F54" s="14">
        <v>4</v>
      </c>
      <c r="G54" s="14">
        <v>2.4</v>
      </c>
      <c r="H54" s="14">
        <v>2</v>
      </c>
      <c r="I54" s="14">
        <v>1</v>
      </c>
      <c r="J54" s="14">
        <v>1.75</v>
      </c>
      <c r="K54" s="14">
        <v>3</v>
      </c>
      <c r="L54" s="15">
        <v>0.1</v>
      </c>
      <c r="M54" s="15">
        <v>0</v>
      </c>
      <c r="N54" s="14">
        <v>24</v>
      </c>
      <c r="O54" s="14">
        <v>50</v>
      </c>
      <c r="P54" s="13">
        <v>45</v>
      </c>
      <c r="Q54" s="13">
        <v>85</v>
      </c>
      <c r="R54" s="13" t="s">
        <v>216</v>
      </c>
      <c r="S54" s="13">
        <v>150</v>
      </c>
      <c r="T54" s="13">
        <v>0</v>
      </c>
      <c r="U54" s="13">
        <v>100</v>
      </c>
      <c r="V54" s="13" t="str">
        <f t="shared" si="227"/>
        <v>GRADE A</v>
      </c>
      <c r="W54" s="13">
        <f t="shared" si="228"/>
        <v>150</v>
      </c>
      <c r="X54" s="16">
        <f t="shared" si="229"/>
        <v>116.208</v>
      </c>
      <c r="Y54" s="16">
        <f t="shared" si="230"/>
        <v>914.78937599999995</v>
      </c>
      <c r="Z54" s="16">
        <f t="shared" si="231"/>
        <v>2286.9734399999998</v>
      </c>
      <c r="AA54" s="16">
        <f t="shared" si="232"/>
        <v>228.69734399999999</v>
      </c>
      <c r="AB54" s="16">
        <f t="shared" si="233"/>
        <v>0</v>
      </c>
      <c r="AC54" s="16">
        <f t="shared" si="234"/>
        <v>21.038350776536973</v>
      </c>
      <c r="AD54" s="16">
        <f t="shared" si="235"/>
        <v>3825</v>
      </c>
      <c r="AE54" s="16">
        <f t="shared" si="236"/>
        <v>3825</v>
      </c>
      <c r="AF54" s="16">
        <f t="shared" si="237"/>
        <v>40</v>
      </c>
      <c r="AG54" s="16">
        <f t="shared" si="238"/>
        <v>13</v>
      </c>
      <c r="AH54" s="838" t="s">
        <v>84</v>
      </c>
      <c r="AI54" s="17">
        <f t="shared" si="239"/>
        <v>5.5</v>
      </c>
      <c r="AJ54" s="17">
        <f t="shared" si="240"/>
        <v>13</v>
      </c>
      <c r="AK54" s="891"/>
      <c r="AL54" s="18" t="s">
        <v>256</v>
      </c>
      <c r="AM54" s="889"/>
      <c r="AN54" s="891"/>
      <c r="AO54" s="888"/>
      <c r="AP54" s="891"/>
      <c r="AQ54" s="891"/>
      <c r="AR54" s="889"/>
      <c r="AS54" s="888"/>
      <c r="AT54" s="888"/>
      <c r="AU54" s="890"/>
      <c r="AV54" s="888"/>
      <c r="AW54" s="888"/>
      <c r="AX54" s="888"/>
      <c r="AY54" s="887"/>
      <c r="AZ54" s="888"/>
      <c r="BA54" s="17">
        <f t="shared" si="241"/>
        <v>14.399999999999991</v>
      </c>
      <c r="BB54" s="17">
        <f t="shared" si="242"/>
        <v>37.799999999999997</v>
      </c>
      <c r="BC54" s="17">
        <f t="shared" si="243"/>
        <v>32</v>
      </c>
      <c r="BD54" s="17">
        <f t="shared" si="244"/>
        <v>85</v>
      </c>
      <c r="BE54" s="17">
        <f t="shared" si="245"/>
        <v>180.86341983910182</v>
      </c>
      <c r="BF54" s="17">
        <f t="shared" si="246"/>
        <v>24</v>
      </c>
      <c r="BG54" s="17">
        <f t="shared" si="247"/>
        <v>50</v>
      </c>
      <c r="BH54" s="17">
        <f t="shared" si="248"/>
        <v>65.062647806544774</v>
      </c>
      <c r="BI54" s="17">
        <f t="shared" si="249"/>
        <v>115.80077203255705</v>
      </c>
      <c r="BJ54" s="17">
        <f t="shared" si="250"/>
        <v>45</v>
      </c>
      <c r="BK54" s="17">
        <f t="shared" si="251"/>
        <v>85</v>
      </c>
      <c r="BL54" s="17">
        <f t="shared" si="252"/>
        <v>380.54120080897206</v>
      </c>
      <c r="BM54" s="17">
        <f t="shared" si="253"/>
        <v>24</v>
      </c>
      <c r="BN54" s="17">
        <f t="shared" si="254"/>
        <v>50</v>
      </c>
      <c r="BO54" s="17">
        <f t="shared" si="255"/>
        <v>65.062647806544774</v>
      </c>
      <c r="BP54" s="17">
        <f t="shared" si="256"/>
        <v>315.4785530024273</v>
      </c>
      <c r="BQ54" s="17">
        <f t="shared" si="257"/>
        <v>5886.1676159999997</v>
      </c>
      <c r="BR54" s="17">
        <f t="shared" si="258"/>
        <v>2242.3495679999987</v>
      </c>
      <c r="BS54" s="17">
        <f t="shared" si="259"/>
        <v>753.02783999999963</v>
      </c>
      <c r="BT54" s="17">
        <f t="shared" si="260"/>
        <v>1976.6980799999997</v>
      </c>
      <c r="BU54" s="17">
        <f t="shared" si="261"/>
        <v>23269.68</v>
      </c>
      <c r="BV54" s="17">
        <f t="shared" si="262"/>
        <v>3412</v>
      </c>
      <c r="BW54" s="17">
        <f t="shared" si="263"/>
        <v>693.87796800000001</v>
      </c>
      <c r="BX54" s="17">
        <f t="shared" si="264"/>
        <v>17495.999999999989</v>
      </c>
      <c r="BY54" s="17">
        <f t="shared" si="265"/>
        <v>9336.340371455999</v>
      </c>
      <c r="BZ54" s="17"/>
      <c r="CA54" s="17">
        <f t="shared" si="266"/>
        <v>85810.166416660228</v>
      </c>
      <c r="CB54" s="17">
        <f t="shared" si="267"/>
        <v>241341.0930468569</v>
      </c>
      <c r="CC54" s="17">
        <f t="shared" si="268"/>
        <v>49061.392869220479</v>
      </c>
      <c r="CD54" s="17">
        <f t="shared" si="269"/>
        <v>441552.53582298424</v>
      </c>
      <c r="CE54" s="17">
        <f t="shared" si="270"/>
        <v>60094.065955455982</v>
      </c>
      <c r="CF54" s="17">
        <f t="shared" si="271"/>
        <v>817765.18815572187</v>
      </c>
      <c r="CG54" s="17">
        <f t="shared" si="272"/>
        <v>877859.25411117787</v>
      </c>
      <c r="CH54" s="17">
        <f t="shared" si="273"/>
        <v>14.400000000000006</v>
      </c>
      <c r="CI54" s="17">
        <f t="shared" si="274"/>
        <v>-43.2</v>
      </c>
      <c r="CJ54" s="17">
        <f t="shared" si="275"/>
        <v>16</v>
      </c>
      <c r="CK54" s="17">
        <f t="shared" si="276"/>
        <v>90</v>
      </c>
      <c r="CL54" s="17">
        <f t="shared" si="277"/>
        <v>71.46880726181422</v>
      </c>
      <c r="CM54" s="17">
        <f t="shared" si="278"/>
        <v>24</v>
      </c>
      <c r="CN54" s="17">
        <f t="shared" si="279"/>
        <v>50</v>
      </c>
      <c r="CO54" s="17">
        <f t="shared" si="280"/>
        <v>65.062647806544774</v>
      </c>
      <c r="CP54" s="17">
        <f t="shared" si="281"/>
        <v>6.4061594552694459</v>
      </c>
      <c r="CQ54" s="17">
        <f t="shared" si="282"/>
        <v>0</v>
      </c>
      <c r="CR54" s="17">
        <f t="shared" si="283"/>
        <v>100</v>
      </c>
      <c r="CS54" s="17">
        <f t="shared" si="284"/>
        <v>26.404773030064671</v>
      </c>
      <c r="CT54" s="17">
        <f t="shared" si="285"/>
        <v>24</v>
      </c>
      <c r="CU54" s="17">
        <f t="shared" si="286"/>
        <v>50</v>
      </c>
      <c r="CV54" s="17">
        <f t="shared" si="287"/>
        <v>65.062647806544774</v>
      </c>
      <c r="CW54" s="17">
        <f t="shared" si="288"/>
        <v>-38.657874776480099</v>
      </c>
      <c r="CX54" s="17">
        <f t="shared" si="226"/>
        <v>-6727.0487040000007</v>
      </c>
      <c r="CY54" s="17">
        <f t="shared" si="226"/>
        <v>-6727.0487040000007</v>
      </c>
      <c r="CZ54" s="17">
        <f t="shared" si="289"/>
        <v>753.02784000000031</v>
      </c>
      <c r="DA54" s="17">
        <f t="shared" si="290"/>
        <v>-2259.0835200000006</v>
      </c>
      <c r="DB54" s="17">
        <f t="shared" si="291"/>
        <v>-26593.920000000002</v>
      </c>
      <c r="DC54" s="17">
        <f t="shared" si="292"/>
        <v>3412</v>
      </c>
      <c r="DD54" s="17">
        <f t="shared" si="293"/>
        <v>693.87796800000001</v>
      </c>
      <c r="DE54" s="17">
        <f t="shared" si="294"/>
        <v>17496.000000000007</v>
      </c>
      <c r="DF54" s="17">
        <f t="shared" si="295"/>
        <v>-10670.103281664</v>
      </c>
      <c r="DG54" s="17"/>
      <c r="DH54" s="17">
        <f t="shared" si="296"/>
        <v>-10514.941939202587</v>
      </c>
      <c r="DI54" s="17">
        <f t="shared" si="297"/>
        <v>-29573.274204007277</v>
      </c>
      <c r="DJ54" s="17">
        <f t="shared" si="298"/>
        <v>-6011.848234524603</v>
      </c>
      <c r="DK54" s="17">
        <f t="shared" si="299"/>
        <v>8966.2385142829262</v>
      </c>
      <c r="DL54" s="17">
        <f t="shared" si="300"/>
        <v>-23895.249697663996</v>
      </c>
      <c r="DM54" s="17">
        <f t="shared" si="301"/>
        <v>-37133.825863451537</v>
      </c>
      <c r="DN54" s="17">
        <f t="shared" si="302"/>
        <v>-61029.075561115533</v>
      </c>
    </row>
    <row r="55" spans="3:120" ht="18.600000000000001">
      <c r="C55" s="13">
        <f>IF(D55&lt;&gt;"",COUNTA($D$10:D55),"")</f>
        <v>40</v>
      </c>
      <c r="D55" s="14" t="s">
        <v>205</v>
      </c>
      <c r="E55" s="14">
        <v>3.8</v>
      </c>
      <c r="F55" s="14">
        <v>4.2</v>
      </c>
      <c r="G55" s="14">
        <v>2.4</v>
      </c>
      <c r="H55" s="14">
        <v>3</v>
      </c>
      <c r="I55" s="14">
        <v>3</v>
      </c>
      <c r="J55" s="14">
        <v>1.75</v>
      </c>
      <c r="K55" s="14">
        <v>3</v>
      </c>
      <c r="L55" s="15">
        <v>0.1</v>
      </c>
      <c r="M55" s="15">
        <v>0</v>
      </c>
      <c r="N55" s="14">
        <v>24</v>
      </c>
      <c r="O55" s="14">
        <v>50</v>
      </c>
      <c r="P55" s="13">
        <v>45</v>
      </c>
      <c r="Q55" s="13">
        <v>85</v>
      </c>
      <c r="R55" s="13" t="s">
        <v>216</v>
      </c>
      <c r="S55" s="13">
        <v>150</v>
      </c>
      <c r="T55" s="13">
        <v>0</v>
      </c>
      <c r="U55" s="13">
        <v>100</v>
      </c>
      <c r="V55" s="13" t="str">
        <f t="shared" si="227"/>
        <v>GRADE A</v>
      </c>
      <c r="W55" s="13">
        <f t="shared" si="228"/>
        <v>150</v>
      </c>
      <c r="X55" s="16">
        <f t="shared" si="229"/>
        <v>171.72959999999998</v>
      </c>
      <c r="Y55" s="16">
        <f t="shared" si="230"/>
        <v>1351.8554111999997</v>
      </c>
      <c r="Z55" s="16">
        <f t="shared" si="231"/>
        <v>3379.638527999999</v>
      </c>
      <c r="AA55" s="16">
        <f t="shared" si="232"/>
        <v>337.96385279999993</v>
      </c>
      <c r="AB55" s="16">
        <f t="shared" si="233"/>
        <v>0</v>
      </c>
      <c r="AC55" s="16">
        <f t="shared" si="234"/>
        <v>31.090007258660187</v>
      </c>
      <c r="AD55" s="16">
        <f t="shared" si="235"/>
        <v>5125</v>
      </c>
      <c r="AE55" s="16">
        <f t="shared" si="236"/>
        <v>5125</v>
      </c>
      <c r="AF55" s="16">
        <f t="shared" si="237"/>
        <v>52</v>
      </c>
      <c r="AG55" s="16">
        <f t="shared" si="238"/>
        <v>17.5</v>
      </c>
      <c r="AH55" s="838" t="s">
        <v>84</v>
      </c>
      <c r="AI55" s="17">
        <f t="shared" si="239"/>
        <v>7.5</v>
      </c>
      <c r="AJ55" s="17">
        <f t="shared" si="240"/>
        <v>17.5</v>
      </c>
      <c r="AK55" s="891"/>
      <c r="AL55" s="18">
        <f>IF(AL59&lt;4000,AL59,AL59+400)</f>
        <v>7000</v>
      </c>
      <c r="AM55" s="889"/>
      <c r="AN55" s="891"/>
      <c r="AO55" s="888"/>
      <c r="AP55" s="891"/>
      <c r="AQ55" s="891"/>
      <c r="AR55" s="889"/>
      <c r="AS55" s="888"/>
      <c r="AT55" s="888"/>
      <c r="AU55" s="890"/>
      <c r="AV55" s="888"/>
      <c r="AW55" s="888"/>
      <c r="AX55" s="888"/>
      <c r="AY55" s="887"/>
      <c r="AZ55" s="888"/>
      <c r="BA55" s="17">
        <f t="shared" si="241"/>
        <v>14.399999999999991</v>
      </c>
      <c r="BB55" s="17">
        <f t="shared" si="242"/>
        <v>37.799999999999997</v>
      </c>
      <c r="BC55" s="17">
        <f t="shared" si="243"/>
        <v>32</v>
      </c>
      <c r="BD55" s="17">
        <f t="shared" si="244"/>
        <v>85</v>
      </c>
      <c r="BE55" s="17">
        <f t="shared" si="245"/>
        <v>180.86341983910182</v>
      </c>
      <c r="BF55" s="17">
        <f t="shared" si="246"/>
        <v>24</v>
      </c>
      <c r="BG55" s="17">
        <f t="shared" si="247"/>
        <v>50</v>
      </c>
      <c r="BH55" s="17">
        <f t="shared" si="248"/>
        <v>65.062647806544774</v>
      </c>
      <c r="BI55" s="17">
        <f t="shared" si="249"/>
        <v>115.80077203255705</v>
      </c>
      <c r="BJ55" s="17">
        <f t="shared" si="250"/>
        <v>45</v>
      </c>
      <c r="BK55" s="17">
        <f t="shared" si="251"/>
        <v>85</v>
      </c>
      <c r="BL55" s="17">
        <f t="shared" si="252"/>
        <v>380.54120080897206</v>
      </c>
      <c r="BM55" s="17">
        <f t="shared" si="253"/>
        <v>24</v>
      </c>
      <c r="BN55" s="17">
        <f t="shared" si="254"/>
        <v>50</v>
      </c>
      <c r="BO55" s="17">
        <f t="shared" si="255"/>
        <v>65.062647806544774</v>
      </c>
      <c r="BP55" s="17">
        <f t="shared" si="256"/>
        <v>315.4785530024273</v>
      </c>
      <c r="BQ55" s="17">
        <f t="shared" si="257"/>
        <v>7028.2598399999997</v>
      </c>
      <c r="BR55" s="17">
        <f t="shared" si="258"/>
        <v>2677.4323199999981</v>
      </c>
      <c r="BS55" s="17">
        <f t="shared" si="259"/>
        <v>1112.8078079999991</v>
      </c>
      <c r="BT55" s="17">
        <f t="shared" si="260"/>
        <v>2921.1204959999995</v>
      </c>
      <c r="BU55" s="17">
        <f t="shared" si="261"/>
        <v>34904.520000000004</v>
      </c>
      <c r="BV55" s="17">
        <f t="shared" si="262"/>
        <v>10236</v>
      </c>
      <c r="BW55" s="17">
        <f t="shared" si="263"/>
        <v>1025.3974415999999</v>
      </c>
      <c r="BX55" s="17">
        <f t="shared" si="264"/>
        <v>17495.999999999989</v>
      </c>
      <c r="BY55" s="17">
        <f t="shared" si="265"/>
        <v>13797.036326707197</v>
      </c>
      <c r="BZ55" s="17"/>
      <c r="CA55" s="17">
        <f t="shared" si="266"/>
        <v>128715.24962499036</v>
      </c>
      <c r="CB55" s="17">
        <f t="shared" si="267"/>
        <v>241341.0930468569</v>
      </c>
      <c r="CC55" s="17">
        <f t="shared" si="268"/>
        <v>72501.836128959141</v>
      </c>
      <c r="CD55" s="17">
        <f t="shared" si="269"/>
        <v>652516.52516063221</v>
      </c>
      <c r="CE55" s="17">
        <f t="shared" si="270"/>
        <v>84487.213608307182</v>
      </c>
      <c r="CF55" s="17">
        <f t="shared" si="271"/>
        <v>1095074.7039614385</v>
      </c>
      <c r="CG55" s="17">
        <f t="shared" si="272"/>
        <v>1179561.9175697458</v>
      </c>
      <c r="CH55" s="17">
        <f t="shared" si="273"/>
        <v>14.400000000000006</v>
      </c>
      <c r="CI55" s="17">
        <f t="shared" si="274"/>
        <v>-43.2</v>
      </c>
      <c r="CJ55" s="17">
        <f t="shared" si="275"/>
        <v>16</v>
      </c>
      <c r="CK55" s="17">
        <f t="shared" si="276"/>
        <v>90</v>
      </c>
      <c r="CL55" s="17">
        <f t="shared" si="277"/>
        <v>71.46880726181422</v>
      </c>
      <c r="CM55" s="17">
        <f t="shared" si="278"/>
        <v>24</v>
      </c>
      <c r="CN55" s="17">
        <f t="shared" si="279"/>
        <v>50</v>
      </c>
      <c r="CO55" s="17">
        <f t="shared" si="280"/>
        <v>65.062647806544774</v>
      </c>
      <c r="CP55" s="17">
        <f t="shared" si="281"/>
        <v>6.4061594552694459</v>
      </c>
      <c r="CQ55" s="17">
        <f t="shared" si="282"/>
        <v>0</v>
      </c>
      <c r="CR55" s="17">
        <f t="shared" si="283"/>
        <v>100</v>
      </c>
      <c r="CS55" s="17">
        <f t="shared" si="284"/>
        <v>26.404773030064671</v>
      </c>
      <c r="CT55" s="17">
        <f t="shared" si="285"/>
        <v>24</v>
      </c>
      <c r="CU55" s="17">
        <f t="shared" si="286"/>
        <v>50</v>
      </c>
      <c r="CV55" s="17">
        <f t="shared" si="287"/>
        <v>65.062647806544774</v>
      </c>
      <c r="CW55" s="17">
        <f t="shared" si="288"/>
        <v>-38.657874776480099</v>
      </c>
      <c r="CX55" s="17">
        <f t="shared" si="226"/>
        <v>-8032.2969600000006</v>
      </c>
      <c r="CY55" s="17">
        <f t="shared" si="226"/>
        <v>-8032.2969600000006</v>
      </c>
      <c r="CZ55" s="17">
        <f t="shared" si="289"/>
        <v>1112.8078080000003</v>
      </c>
      <c r="DA55" s="17">
        <f t="shared" si="290"/>
        <v>-3338.4234240000001</v>
      </c>
      <c r="DB55" s="17">
        <f t="shared" si="291"/>
        <v>-39890.880000000005</v>
      </c>
      <c r="DC55" s="17">
        <f t="shared" si="292"/>
        <v>10236</v>
      </c>
      <c r="DD55" s="17">
        <f t="shared" si="293"/>
        <v>1025.3974415999999</v>
      </c>
      <c r="DE55" s="17">
        <f t="shared" si="294"/>
        <v>17496.000000000007</v>
      </c>
      <c r="DF55" s="17">
        <f t="shared" si="295"/>
        <v>-15768.041516236799</v>
      </c>
      <c r="DG55" s="17"/>
      <c r="DH55" s="17">
        <f t="shared" si="296"/>
        <v>-15772.412908803883</v>
      </c>
      <c r="DI55" s="17">
        <f t="shared" si="297"/>
        <v>-29573.274204007277</v>
      </c>
      <c r="DJ55" s="17">
        <f t="shared" si="298"/>
        <v>-8884.1757243530228</v>
      </c>
      <c r="DK55" s="17">
        <f t="shared" si="299"/>
        <v>13250.108026662547</v>
      </c>
      <c r="DL55" s="17">
        <f t="shared" si="300"/>
        <v>-37159.436650636802</v>
      </c>
      <c r="DM55" s="17">
        <f t="shared" si="301"/>
        <v>-40979.754810501632</v>
      </c>
      <c r="DN55" s="17">
        <f t="shared" si="302"/>
        <v>-78139.191461138427</v>
      </c>
    </row>
    <row r="56" spans="3:120" ht="18.600000000000001">
      <c r="C56" s="13">
        <f>IF(D56&lt;&gt;"",COUNTA($D$10:D56),"")</f>
        <v>41</v>
      </c>
      <c r="D56" s="14" t="s">
        <v>206</v>
      </c>
      <c r="E56" s="14">
        <v>3.1</v>
      </c>
      <c r="F56" s="14">
        <v>2.6</v>
      </c>
      <c r="G56" s="14">
        <v>2.4</v>
      </c>
      <c r="H56" s="14">
        <v>2</v>
      </c>
      <c r="I56" s="14">
        <v>1</v>
      </c>
      <c r="J56" s="14">
        <v>1.75</v>
      </c>
      <c r="K56" s="14">
        <v>3</v>
      </c>
      <c r="L56" s="15">
        <v>0.1</v>
      </c>
      <c r="M56" s="15">
        <v>0</v>
      </c>
      <c r="N56" s="14">
        <v>24</v>
      </c>
      <c r="O56" s="14">
        <v>50</v>
      </c>
      <c r="P56" s="13">
        <v>45</v>
      </c>
      <c r="Q56" s="13">
        <v>85</v>
      </c>
      <c r="R56" s="13" t="s">
        <v>216</v>
      </c>
      <c r="S56" s="13">
        <v>150</v>
      </c>
      <c r="T56" s="13">
        <v>0</v>
      </c>
      <c r="U56" s="13">
        <v>100</v>
      </c>
      <c r="V56" s="13" t="str">
        <f t="shared" si="227"/>
        <v>GRADE A</v>
      </c>
      <c r="W56" s="13">
        <f t="shared" si="228"/>
        <v>150</v>
      </c>
      <c r="X56" s="16">
        <f t="shared" si="229"/>
        <v>86.7256</v>
      </c>
      <c r="Y56" s="16">
        <f t="shared" si="230"/>
        <v>682.70392319999996</v>
      </c>
      <c r="Z56" s="16">
        <f t="shared" si="231"/>
        <v>1706.7598079999998</v>
      </c>
      <c r="AA56" s="16">
        <f t="shared" si="232"/>
        <v>170.67598079999999</v>
      </c>
      <c r="AB56" s="16">
        <f t="shared" si="233"/>
        <v>0</v>
      </c>
      <c r="AC56" s="16">
        <f t="shared" si="234"/>
        <v>15.700843264711853</v>
      </c>
      <c r="AD56" s="16">
        <f t="shared" si="235"/>
        <v>3250</v>
      </c>
      <c r="AE56" s="16">
        <f t="shared" si="236"/>
        <v>3250</v>
      </c>
      <c r="AF56" s="16">
        <f t="shared" si="237"/>
        <v>34</v>
      </c>
      <c r="AG56" s="16">
        <f t="shared" si="238"/>
        <v>11</v>
      </c>
      <c r="AH56" s="838" t="s">
        <v>84</v>
      </c>
      <c r="AI56" s="17">
        <f t="shared" si="239"/>
        <v>5</v>
      </c>
      <c r="AJ56" s="17">
        <f t="shared" si="240"/>
        <v>11</v>
      </c>
      <c r="AK56" s="891"/>
      <c r="AL56" s="18"/>
      <c r="AM56" s="889"/>
      <c r="AN56" s="891"/>
      <c r="AO56" s="888"/>
      <c r="AP56" s="891"/>
      <c r="AQ56" s="891"/>
      <c r="AR56" s="889"/>
      <c r="AS56" s="888"/>
      <c r="AT56" s="888"/>
      <c r="AU56" s="890"/>
      <c r="AV56" s="888"/>
      <c r="AW56" s="888"/>
      <c r="AX56" s="888"/>
      <c r="AY56" s="887"/>
      <c r="AZ56" s="888"/>
      <c r="BA56" s="17">
        <f t="shared" si="241"/>
        <v>14.399999999999991</v>
      </c>
      <c r="BB56" s="17">
        <f t="shared" si="242"/>
        <v>37.799999999999997</v>
      </c>
      <c r="BC56" s="17">
        <f t="shared" si="243"/>
        <v>32</v>
      </c>
      <c r="BD56" s="17">
        <f t="shared" si="244"/>
        <v>85</v>
      </c>
      <c r="BE56" s="17">
        <f t="shared" si="245"/>
        <v>180.86341983910182</v>
      </c>
      <c r="BF56" s="17">
        <f t="shared" si="246"/>
        <v>24</v>
      </c>
      <c r="BG56" s="17">
        <f t="shared" si="247"/>
        <v>50</v>
      </c>
      <c r="BH56" s="17">
        <f t="shared" si="248"/>
        <v>65.062647806544774</v>
      </c>
      <c r="BI56" s="17">
        <f t="shared" si="249"/>
        <v>115.80077203255705</v>
      </c>
      <c r="BJ56" s="17">
        <f t="shared" si="250"/>
        <v>45</v>
      </c>
      <c r="BK56" s="17">
        <f t="shared" si="251"/>
        <v>85</v>
      </c>
      <c r="BL56" s="17">
        <f t="shared" si="252"/>
        <v>380.54120080897206</v>
      </c>
      <c r="BM56" s="17">
        <f t="shared" si="253"/>
        <v>24</v>
      </c>
      <c r="BN56" s="17">
        <f t="shared" si="254"/>
        <v>50</v>
      </c>
      <c r="BO56" s="17">
        <f t="shared" si="255"/>
        <v>65.062647806544774</v>
      </c>
      <c r="BP56" s="17">
        <f t="shared" si="256"/>
        <v>315.4785530024273</v>
      </c>
      <c r="BQ56" s="17">
        <f t="shared" si="257"/>
        <v>5007.6351359999999</v>
      </c>
      <c r="BR56" s="17">
        <f t="shared" si="258"/>
        <v>1907.670527999999</v>
      </c>
      <c r="BS56" s="17">
        <f t="shared" si="259"/>
        <v>561.98188799999969</v>
      </c>
      <c r="BT56" s="17">
        <f t="shared" si="260"/>
        <v>1475.202456</v>
      </c>
      <c r="BU56" s="17">
        <f t="shared" si="261"/>
        <v>23269.68</v>
      </c>
      <c r="BV56" s="17">
        <f t="shared" si="262"/>
        <v>3412</v>
      </c>
      <c r="BW56" s="17">
        <f t="shared" si="263"/>
        <v>517.83855759999994</v>
      </c>
      <c r="BX56" s="17">
        <f t="shared" si="264"/>
        <v>17495.999999999989</v>
      </c>
      <c r="BY56" s="17">
        <f t="shared" si="265"/>
        <v>6967.6762401791993</v>
      </c>
      <c r="BZ56" s="17"/>
      <c r="CA56" s="17">
        <f t="shared" si="266"/>
        <v>85810.166416660228</v>
      </c>
      <c r="CB56" s="17">
        <f t="shared" si="267"/>
        <v>241341.0930468569</v>
      </c>
      <c r="CC56" s="17">
        <f t="shared" si="268"/>
        <v>36614.335789436765</v>
      </c>
      <c r="CD56" s="17">
        <f t="shared" si="269"/>
        <v>329529.02210493089</v>
      </c>
      <c r="CE56" s="17">
        <f t="shared" si="270"/>
        <v>56670.82993377919</v>
      </c>
      <c r="CF56" s="17">
        <f t="shared" si="271"/>
        <v>693294.61735788477</v>
      </c>
      <c r="CG56" s="17">
        <f t="shared" si="272"/>
        <v>749965.44729166396</v>
      </c>
      <c r="CH56" s="17">
        <f t="shared" si="273"/>
        <v>14.400000000000006</v>
      </c>
      <c r="CI56" s="17">
        <f t="shared" si="274"/>
        <v>-43.2</v>
      </c>
      <c r="CJ56" s="17">
        <f t="shared" si="275"/>
        <v>16</v>
      </c>
      <c r="CK56" s="17">
        <f t="shared" si="276"/>
        <v>90</v>
      </c>
      <c r="CL56" s="17">
        <f t="shared" si="277"/>
        <v>71.46880726181422</v>
      </c>
      <c r="CM56" s="17">
        <f t="shared" si="278"/>
        <v>24</v>
      </c>
      <c r="CN56" s="17">
        <f t="shared" si="279"/>
        <v>50</v>
      </c>
      <c r="CO56" s="17">
        <f t="shared" si="280"/>
        <v>65.062647806544774</v>
      </c>
      <c r="CP56" s="17">
        <f t="shared" si="281"/>
        <v>6.4061594552694459</v>
      </c>
      <c r="CQ56" s="17">
        <f t="shared" si="282"/>
        <v>0</v>
      </c>
      <c r="CR56" s="17">
        <f t="shared" si="283"/>
        <v>100</v>
      </c>
      <c r="CS56" s="17">
        <f t="shared" si="284"/>
        <v>26.404773030064671</v>
      </c>
      <c r="CT56" s="17">
        <f t="shared" si="285"/>
        <v>24</v>
      </c>
      <c r="CU56" s="17">
        <f t="shared" si="286"/>
        <v>50</v>
      </c>
      <c r="CV56" s="17">
        <f t="shared" si="287"/>
        <v>65.062647806544774</v>
      </c>
      <c r="CW56" s="17">
        <f t="shared" si="288"/>
        <v>-38.657874776480099</v>
      </c>
      <c r="CX56" s="17">
        <f t="shared" si="226"/>
        <v>-5723.0115840000008</v>
      </c>
      <c r="CY56" s="17">
        <f t="shared" si="226"/>
        <v>-5723.0115840000008</v>
      </c>
      <c r="CZ56" s="17">
        <f t="shared" si="289"/>
        <v>561.98188800000014</v>
      </c>
      <c r="DA56" s="17">
        <f t="shared" si="290"/>
        <v>-1685.9456640000001</v>
      </c>
      <c r="DB56" s="17">
        <f t="shared" si="291"/>
        <v>-26593.920000000002</v>
      </c>
      <c r="DC56" s="17">
        <f t="shared" si="292"/>
        <v>3412</v>
      </c>
      <c r="DD56" s="17">
        <f t="shared" si="293"/>
        <v>517.83855759999994</v>
      </c>
      <c r="DE56" s="17">
        <f t="shared" si="294"/>
        <v>17496.000000000007</v>
      </c>
      <c r="DF56" s="17">
        <f t="shared" si="295"/>
        <v>-7963.0585602048004</v>
      </c>
      <c r="DG56" s="17"/>
      <c r="DH56" s="17">
        <f t="shared" si="296"/>
        <v>-10514.941939202587</v>
      </c>
      <c r="DI56" s="17">
        <f t="shared" si="297"/>
        <v>-29573.274204007277</v>
      </c>
      <c r="DJ56" s="17">
        <f t="shared" si="298"/>
        <v>-4486.6200713211392</v>
      </c>
      <c r="DK56" s="17">
        <f t="shared" si="299"/>
        <v>6691.4705949185554</v>
      </c>
      <c r="DL56" s="17">
        <f t="shared" si="300"/>
        <v>-19978.115362604796</v>
      </c>
      <c r="DM56" s="17">
        <f t="shared" si="301"/>
        <v>-37883.36561961245</v>
      </c>
      <c r="DN56" s="17">
        <f t="shared" si="302"/>
        <v>-57861.480982217246</v>
      </c>
    </row>
    <row r="57" spans="3:120" ht="18.600000000000001">
      <c r="C57" s="13">
        <f>IF(D57&lt;&gt;"",COUNTA($D$10:D57),"")</f>
        <v>42</v>
      </c>
      <c r="D57" s="14" t="s">
        <v>207</v>
      </c>
      <c r="E57" s="14">
        <v>1.9</v>
      </c>
      <c r="F57" s="14">
        <v>2.4</v>
      </c>
      <c r="G57" s="14">
        <v>2.4</v>
      </c>
      <c r="H57" s="14">
        <v>3</v>
      </c>
      <c r="I57" s="14">
        <v>2</v>
      </c>
      <c r="J57" s="14">
        <v>1.75</v>
      </c>
      <c r="K57" s="14">
        <v>3</v>
      </c>
      <c r="L57" s="15">
        <v>0.1</v>
      </c>
      <c r="M57" s="15">
        <v>0</v>
      </c>
      <c r="N57" s="14">
        <v>24</v>
      </c>
      <c r="O57" s="14">
        <v>50</v>
      </c>
      <c r="P57" s="13">
        <v>45</v>
      </c>
      <c r="Q57" s="13">
        <v>85</v>
      </c>
      <c r="R57" s="13" t="s">
        <v>216</v>
      </c>
      <c r="S57" s="13">
        <v>150</v>
      </c>
      <c r="T57" s="13">
        <v>0</v>
      </c>
      <c r="U57" s="13">
        <v>100</v>
      </c>
      <c r="V57" s="13" t="str">
        <f t="shared" si="227"/>
        <v>GRADE A</v>
      </c>
      <c r="W57" s="13">
        <f t="shared" si="228"/>
        <v>150</v>
      </c>
      <c r="X57" s="16">
        <f t="shared" si="229"/>
        <v>49.065599999999996</v>
      </c>
      <c r="Y57" s="16">
        <f t="shared" si="230"/>
        <v>386.24440319999997</v>
      </c>
      <c r="Z57" s="16">
        <f t="shared" si="231"/>
        <v>965.61100799999986</v>
      </c>
      <c r="AA57" s="16">
        <f t="shared" si="232"/>
        <v>96.561100799999991</v>
      </c>
      <c r="AB57" s="16">
        <f t="shared" si="233"/>
        <v>0</v>
      </c>
      <c r="AC57" s="16">
        <f t="shared" si="234"/>
        <v>8.8828592167600551</v>
      </c>
      <c r="AD57" s="16">
        <f t="shared" si="235"/>
        <v>2700</v>
      </c>
      <c r="AE57" s="16">
        <f t="shared" si="236"/>
        <v>2700</v>
      </c>
      <c r="AF57" s="16">
        <f t="shared" si="237"/>
        <v>28</v>
      </c>
      <c r="AG57" s="16">
        <f t="shared" si="238"/>
        <v>9</v>
      </c>
      <c r="AH57" s="838" t="s">
        <v>84</v>
      </c>
      <c r="AI57" s="17">
        <f t="shared" si="239"/>
        <v>6</v>
      </c>
      <c r="AJ57" s="17">
        <f t="shared" si="240"/>
        <v>9</v>
      </c>
      <c r="AK57" s="891"/>
      <c r="AL57" s="18"/>
      <c r="AM57" s="889"/>
      <c r="AN57" s="891"/>
      <c r="AO57" s="888"/>
      <c r="AP57" s="891"/>
      <c r="AQ57" s="891"/>
      <c r="AR57" s="889"/>
      <c r="AS57" s="888"/>
      <c r="AT57" s="888"/>
      <c r="AU57" s="890"/>
      <c r="AV57" s="888"/>
      <c r="AW57" s="888"/>
      <c r="AX57" s="888"/>
      <c r="AY57" s="887"/>
      <c r="AZ57" s="888"/>
      <c r="BA57" s="17">
        <f t="shared" si="241"/>
        <v>14.399999999999991</v>
      </c>
      <c r="BB57" s="17">
        <f t="shared" si="242"/>
        <v>37.799999999999997</v>
      </c>
      <c r="BC57" s="17">
        <f t="shared" si="243"/>
        <v>32</v>
      </c>
      <c r="BD57" s="17">
        <f t="shared" si="244"/>
        <v>85</v>
      </c>
      <c r="BE57" s="17">
        <f t="shared" si="245"/>
        <v>180.86341983910182</v>
      </c>
      <c r="BF57" s="17">
        <f t="shared" si="246"/>
        <v>24</v>
      </c>
      <c r="BG57" s="17">
        <f t="shared" si="247"/>
        <v>50</v>
      </c>
      <c r="BH57" s="17">
        <f t="shared" si="248"/>
        <v>65.062647806544774</v>
      </c>
      <c r="BI57" s="17">
        <f t="shared" si="249"/>
        <v>115.80077203255705</v>
      </c>
      <c r="BJ57" s="17">
        <f t="shared" si="250"/>
        <v>45</v>
      </c>
      <c r="BK57" s="17">
        <f t="shared" si="251"/>
        <v>85</v>
      </c>
      <c r="BL57" s="17">
        <f t="shared" si="252"/>
        <v>380.54120080897206</v>
      </c>
      <c r="BM57" s="17">
        <f t="shared" si="253"/>
        <v>24</v>
      </c>
      <c r="BN57" s="17">
        <f t="shared" si="254"/>
        <v>50</v>
      </c>
      <c r="BO57" s="17">
        <f t="shared" si="255"/>
        <v>65.062647806544774</v>
      </c>
      <c r="BP57" s="17">
        <f t="shared" si="256"/>
        <v>315.4785530024273</v>
      </c>
      <c r="BQ57" s="17">
        <f t="shared" si="257"/>
        <v>3777.6896639999995</v>
      </c>
      <c r="BR57" s="17">
        <f t="shared" si="258"/>
        <v>1439.1198719999991</v>
      </c>
      <c r="BS57" s="17">
        <f t="shared" si="259"/>
        <v>317.94508799999977</v>
      </c>
      <c r="BT57" s="17">
        <f t="shared" si="260"/>
        <v>834.6058559999999</v>
      </c>
      <c r="BU57" s="17">
        <f t="shared" si="261"/>
        <v>34904.520000000004</v>
      </c>
      <c r="BV57" s="17">
        <f t="shared" si="262"/>
        <v>6824</v>
      </c>
      <c r="BW57" s="17">
        <f t="shared" si="263"/>
        <v>292.97069759999994</v>
      </c>
      <c r="BX57" s="17">
        <f t="shared" si="264"/>
        <v>17495.999999999989</v>
      </c>
      <c r="BY57" s="17">
        <f t="shared" si="265"/>
        <v>3942.0103790591997</v>
      </c>
      <c r="BZ57" s="17"/>
      <c r="CA57" s="17">
        <f t="shared" si="266"/>
        <v>128715.24962499036</v>
      </c>
      <c r="CB57" s="17">
        <f t="shared" si="267"/>
        <v>241341.0930468569</v>
      </c>
      <c r="CC57" s="17">
        <f t="shared" si="268"/>
        <v>20714.810322559755</v>
      </c>
      <c r="CD57" s="17">
        <f t="shared" si="269"/>
        <v>186433.2929030378</v>
      </c>
      <c r="CE57" s="17">
        <f t="shared" si="270"/>
        <v>67237.190740659193</v>
      </c>
      <c r="CF57" s="17">
        <f t="shared" si="271"/>
        <v>577204.44589744485</v>
      </c>
      <c r="CG57" s="17">
        <f t="shared" si="272"/>
        <v>644441.63663810398</v>
      </c>
      <c r="CH57" s="17">
        <f t="shared" si="273"/>
        <v>14.400000000000006</v>
      </c>
      <c r="CI57" s="17">
        <f t="shared" si="274"/>
        <v>-43.2</v>
      </c>
      <c r="CJ57" s="17">
        <f t="shared" si="275"/>
        <v>16</v>
      </c>
      <c r="CK57" s="17">
        <f t="shared" si="276"/>
        <v>90</v>
      </c>
      <c r="CL57" s="17">
        <f t="shared" si="277"/>
        <v>71.46880726181422</v>
      </c>
      <c r="CM57" s="17">
        <f t="shared" si="278"/>
        <v>24</v>
      </c>
      <c r="CN57" s="17">
        <f t="shared" si="279"/>
        <v>50</v>
      </c>
      <c r="CO57" s="17">
        <f t="shared" si="280"/>
        <v>65.062647806544774</v>
      </c>
      <c r="CP57" s="17">
        <f t="shared" si="281"/>
        <v>6.4061594552694459</v>
      </c>
      <c r="CQ57" s="17">
        <f t="shared" si="282"/>
        <v>0</v>
      </c>
      <c r="CR57" s="17">
        <f t="shared" si="283"/>
        <v>100</v>
      </c>
      <c r="CS57" s="17">
        <f t="shared" si="284"/>
        <v>26.404773030064671</v>
      </c>
      <c r="CT57" s="17">
        <f t="shared" si="285"/>
        <v>24</v>
      </c>
      <c r="CU57" s="17">
        <f t="shared" si="286"/>
        <v>50</v>
      </c>
      <c r="CV57" s="17">
        <f t="shared" si="287"/>
        <v>65.062647806544774</v>
      </c>
      <c r="CW57" s="17">
        <f t="shared" si="288"/>
        <v>-38.657874776480099</v>
      </c>
      <c r="CX57" s="17">
        <f t="shared" si="226"/>
        <v>-4317.3596159999997</v>
      </c>
      <c r="CY57" s="17">
        <f t="shared" si="226"/>
        <v>-4317.3596159999997</v>
      </c>
      <c r="CZ57" s="17">
        <f t="shared" si="289"/>
        <v>317.94508800000011</v>
      </c>
      <c r="DA57" s="17">
        <f t="shared" si="290"/>
        <v>-953.83526399999994</v>
      </c>
      <c r="DB57" s="17">
        <f t="shared" si="291"/>
        <v>-39890.880000000005</v>
      </c>
      <c r="DC57" s="17">
        <f t="shared" si="292"/>
        <v>6824</v>
      </c>
      <c r="DD57" s="17">
        <f t="shared" si="293"/>
        <v>292.97069759999994</v>
      </c>
      <c r="DE57" s="17">
        <f t="shared" si="294"/>
        <v>17496.000000000007</v>
      </c>
      <c r="DF57" s="17">
        <f t="shared" si="295"/>
        <v>-4505.1547189248004</v>
      </c>
      <c r="DG57" s="17"/>
      <c r="DH57" s="17">
        <f t="shared" si="296"/>
        <v>-15772.412908803883</v>
      </c>
      <c r="DI57" s="17">
        <f t="shared" si="297"/>
        <v>-29573.274204007277</v>
      </c>
      <c r="DJ57" s="17">
        <f t="shared" si="298"/>
        <v>-2538.3359212437213</v>
      </c>
      <c r="DK57" s="17">
        <f t="shared" si="299"/>
        <v>3785.7451504750134</v>
      </c>
      <c r="DL57" s="17">
        <f t="shared" si="300"/>
        <v>-24736.313813324799</v>
      </c>
      <c r="DM57" s="17">
        <f t="shared" si="301"/>
        <v>-44098.277883579867</v>
      </c>
      <c r="DN57" s="17">
        <f t="shared" si="302"/>
        <v>-68834.591696904667</v>
      </c>
    </row>
    <row r="58" spans="3:120" ht="18.600000000000001">
      <c r="C58" s="13">
        <f>IF(D58&lt;&gt;"",COUNTA($D$10:D58),"")</f>
        <v>43</v>
      </c>
      <c r="D58" s="14" t="s">
        <v>208</v>
      </c>
      <c r="E58" s="14">
        <v>3</v>
      </c>
      <c r="F58" s="14">
        <v>2.9</v>
      </c>
      <c r="G58" s="14">
        <v>2.4</v>
      </c>
      <c r="H58" s="14">
        <v>2</v>
      </c>
      <c r="I58" s="14">
        <v>1</v>
      </c>
      <c r="J58" s="14">
        <v>1.75</v>
      </c>
      <c r="K58" s="14">
        <v>3</v>
      </c>
      <c r="L58" s="15">
        <v>0.1</v>
      </c>
      <c r="M58" s="15">
        <v>0</v>
      </c>
      <c r="N58" s="14">
        <v>24</v>
      </c>
      <c r="O58" s="14">
        <v>50</v>
      </c>
      <c r="P58" s="13">
        <v>45</v>
      </c>
      <c r="Q58" s="13">
        <v>85</v>
      </c>
      <c r="R58" s="13" t="s">
        <v>216</v>
      </c>
      <c r="S58" s="13">
        <v>150</v>
      </c>
      <c r="T58" s="13">
        <v>0</v>
      </c>
      <c r="U58" s="13">
        <v>100</v>
      </c>
      <c r="V58" s="13" t="str">
        <f t="shared" si="227"/>
        <v>GRADE A</v>
      </c>
      <c r="W58" s="13">
        <f t="shared" si="228"/>
        <v>150</v>
      </c>
      <c r="X58" s="16">
        <f t="shared" si="229"/>
        <v>93.611999999999995</v>
      </c>
      <c r="Y58" s="16">
        <f t="shared" si="230"/>
        <v>736.91366399999993</v>
      </c>
      <c r="Z58" s="16">
        <f t="shared" si="231"/>
        <v>1842.2841599999997</v>
      </c>
      <c r="AA58" s="16">
        <f t="shared" si="232"/>
        <v>184.22841599999998</v>
      </c>
      <c r="AB58" s="16">
        <f t="shared" si="233"/>
        <v>0</v>
      </c>
      <c r="AC58" s="16">
        <f t="shared" si="234"/>
        <v>16.947560347765894</v>
      </c>
      <c r="AD58" s="16">
        <f>IF(ISNUMBER(N58), CEILING(CF58/(0.68*BP58),25), "Ambient")</f>
        <v>3375</v>
      </c>
      <c r="AE58" s="16">
        <f t="shared" si="236"/>
        <v>3375</v>
      </c>
      <c r="AF58" s="16">
        <f t="shared" si="237"/>
        <v>34</v>
      </c>
      <c r="AG58" s="16">
        <f t="shared" si="238"/>
        <v>11.5</v>
      </c>
      <c r="AH58" s="838" t="s">
        <v>84</v>
      </c>
      <c r="AI58" s="17">
        <f t="shared" si="239"/>
        <v>5</v>
      </c>
      <c r="AJ58" s="17">
        <f t="shared" si="240"/>
        <v>11.5</v>
      </c>
      <c r="AK58" s="891"/>
      <c r="AL58" s="18"/>
      <c r="AM58" s="889"/>
      <c r="AN58" s="891"/>
      <c r="AO58" s="888"/>
      <c r="AP58" s="891"/>
      <c r="AQ58" s="891"/>
      <c r="AR58" s="889"/>
      <c r="AS58" s="888"/>
      <c r="AT58" s="888"/>
      <c r="AU58" s="890"/>
      <c r="AV58" s="888"/>
      <c r="AW58" s="888"/>
      <c r="AX58" s="888"/>
      <c r="AY58" s="887"/>
      <c r="AZ58" s="888"/>
      <c r="BA58" s="17">
        <f t="shared" si="241"/>
        <v>14.399999999999991</v>
      </c>
      <c r="BB58" s="17">
        <f t="shared" si="242"/>
        <v>37.799999999999997</v>
      </c>
      <c r="BC58" s="17">
        <f t="shared" si="243"/>
        <v>32</v>
      </c>
      <c r="BD58" s="17">
        <f t="shared" si="244"/>
        <v>85</v>
      </c>
      <c r="BE58" s="17">
        <f t="shared" si="245"/>
        <v>180.86341983910182</v>
      </c>
      <c r="BF58" s="17">
        <f t="shared" si="246"/>
        <v>24</v>
      </c>
      <c r="BG58" s="17">
        <f t="shared" si="247"/>
        <v>50</v>
      </c>
      <c r="BH58" s="17">
        <f t="shared" si="248"/>
        <v>65.062647806544774</v>
      </c>
      <c r="BI58" s="17">
        <f t="shared" si="249"/>
        <v>115.80077203255705</v>
      </c>
      <c r="BJ58" s="17">
        <f t="shared" si="250"/>
        <v>45</v>
      </c>
      <c r="BK58" s="17">
        <f t="shared" si="251"/>
        <v>85</v>
      </c>
      <c r="BL58" s="17">
        <f t="shared" si="252"/>
        <v>380.54120080897206</v>
      </c>
      <c r="BM58" s="17">
        <f t="shared" si="253"/>
        <v>24</v>
      </c>
      <c r="BN58" s="17">
        <f t="shared" si="254"/>
        <v>50</v>
      </c>
      <c r="BO58" s="17">
        <f t="shared" si="255"/>
        <v>65.062647806544774</v>
      </c>
      <c r="BP58" s="17">
        <f t="shared" si="256"/>
        <v>315.4785530024273</v>
      </c>
      <c r="BQ58" s="17">
        <f t="shared" si="257"/>
        <v>5183.3416319999997</v>
      </c>
      <c r="BR58" s="17">
        <f t="shared" si="258"/>
        <v>1974.6063359999991</v>
      </c>
      <c r="BS58" s="17">
        <f t="shared" si="259"/>
        <v>606.60575999999958</v>
      </c>
      <c r="BT58" s="17">
        <f t="shared" si="260"/>
        <v>1592.3401199999998</v>
      </c>
      <c r="BU58" s="17">
        <f t="shared" si="261"/>
        <v>23269.68</v>
      </c>
      <c r="BV58" s="17">
        <f t="shared" si="262"/>
        <v>3412</v>
      </c>
      <c r="BW58" s="17">
        <f t="shared" si="263"/>
        <v>558.95725199999993</v>
      </c>
      <c r="BX58" s="17">
        <f t="shared" si="264"/>
        <v>17495.999999999989</v>
      </c>
      <c r="BY58" s="17">
        <f t="shared" si="265"/>
        <v>7520.9408547839994</v>
      </c>
      <c r="BZ58" s="17"/>
      <c r="CA58" s="17">
        <f t="shared" si="266"/>
        <v>85810.166416660228</v>
      </c>
      <c r="CB58" s="17">
        <f t="shared" si="267"/>
        <v>241341.0930468569</v>
      </c>
      <c r="CC58" s="17">
        <f t="shared" si="268"/>
        <v>39521.677589094274</v>
      </c>
      <c r="CD58" s="17">
        <f t="shared" si="269"/>
        <v>355695.09830184845</v>
      </c>
      <c r="CE58" s="17">
        <f t="shared" si="270"/>
        <v>57440.919738783989</v>
      </c>
      <c r="CF58" s="17">
        <f t="shared" si="271"/>
        <v>722368.03535445989</v>
      </c>
      <c r="CG58" s="17">
        <f t="shared" si="272"/>
        <v>779808.95509324386</v>
      </c>
      <c r="CH58" s="17">
        <f t="shared" si="273"/>
        <v>14.400000000000006</v>
      </c>
      <c r="CI58" s="17">
        <f t="shared" si="274"/>
        <v>-43.2</v>
      </c>
      <c r="CJ58" s="17">
        <f t="shared" si="275"/>
        <v>16</v>
      </c>
      <c r="CK58" s="17">
        <f t="shared" si="276"/>
        <v>90</v>
      </c>
      <c r="CL58" s="17">
        <f t="shared" si="277"/>
        <v>71.46880726181422</v>
      </c>
      <c r="CM58" s="17">
        <f t="shared" si="278"/>
        <v>24</v>
      </c>
      <c r="CN58" s="17">
        <f t="shared" si="279"/>
        <v>50</v>
      </c>
      <c r="CO58" s="17">
        <f t="shared" si="280"/>
        <v>65.062647806544774</v>
      </c>
      <c r="CP58" s="17">
        <f t="shared" si="281"/>
        <v>6.4061594552694459</v>
      </c>
      <c r="CQ58" s="17">
        <f t="shared" si="282"/>
        <v>0</v>
      </c>
      <c r="CR58" s="17">
        <f t="shared" si="283"/>
        <v>100</v>
      </c>
      <c r="CS58" s="17">
        <f t="shared" si="284"/>
        <v>26.404773030064671</v>
      </c>
      <c r="CT58" s="17">
        <f t="shared" si="285"/>
        <v>24</v>
      </c>
      <c r="CU58" s="17">
        <f t="shared" si="286"/>
        <v>50</v>
      </c>
      <c r="CV58" s="17">
        <f t="shared" si="287"/>
        <v>65.062647806544774</v>
      </c>
      <c r="CW58" s="17">
        <f t="shared" si="288"/>
        <v>-38.657874776480099</v>
      </c>
      <c r="CX58" s="17">
        <f t="shared" si="226"/>
        <v>-5923.8190080000013</v>
      </c>
      <c r="CY58" s="17">
        <f t="shared" si="226"/>
        <v>-5923.8190080000013</v>
      </c>
      <c r="CZ58" s="17">
        <f t="shared" si="289"/>
        <v>606.60576000000026</v>
      </c>
      <c r="DA58" s="17">
        <f t="shared" si="290"/>
        <v>-1819.81728</v>
      </c>
      <c r="DB58" s="17">
        <f t="shared" si="291"/>
        <v>-26593.920000000002</v>
      </c>
      <c r="DC58" s="17">
        <f t="shared" si="292"/>
        <v>3412</v>
      </c>
      <c r="DD58" s="17">
        <f t="shared" si="293"/>
        <v>558.95725199999993</v>
      </c>
      <c r="DE58" s="17">
        <f t="shared" si="294"/>
        <v>17496.000000000007</v>
      </c>
      <c r="DF58" s="17">
        <f t="shared" si="295"/>
        <v>-8595.3609768959996</v>
      </c>
      <c r="DG58" s="17"/>
      <c r="DH58" s="17">
        <f t="shared" si="296"/>
        <v>-10514.941939202587</v>
      </c>
      <c r="DI58" s="17">
        <f t="shared" si="297"/>
        <v>-29573.274204007277</v>
      </c>
      <c r="DJ58" s="17">
        <f t="shared" si="298"/>
        <v>-4842.8777444781517</v>
      </c>
      <c r="DK58" s="17">
        <f t="shared" si="299"/>
        <v>7222.8032476168028</v>
      </c>
      <c r="DL58" s="17">
        <f t="shared" si="300"/>
        <v>-20859.354252895995</v>
      </c>
      <c r="DM58" s="17">
        <f t="shared" si="301"/>
        <v>-37708.290640071216</v>
      </c>
      <c r="DN58" s="17">
        <f t="shared" si="302"/>
        <v>-58567.644892967211</v>
      </c>
    </row>
    <row r="59" spans="3:120" ht="18.600000000000001">
      <c r="C59" s="13">
        <f>IF(D59&lt;&gt;"",COUNTA($D$10:D59),"")</f>
        <v>44</v>
      </c>
      <c r="D59" s="14" t="s">
        <v>209</v>
      </c>
      <c r="E59" s="14">
        <v>2.4</v>
      </c>
      <c r="F59" s="14">
        <v>2</v>
      </c>
      <c r="G59" s="14">
        <v>2.4</v>
      </c>
      <c r="H59" s="14">
        <v>2</v>
      </c>
      <c r="I59" s="14">
        <v>1</v>
      </c>
      <c r="J59" s="14">
        <v>1.75</v>
      </c>
      <c r="K59" s="14">
        <v>3</v>
      </c>
      <c r="L59" s="15">
        <v>0.1</v>
      </c>
      <c r="M59" s="15">
        <v>0</v>
      </c>
      <c r="N59" s="14">
        <v>24</v>
      </c>
      <c r="O59" s="14">
        <v>50</v>
      </c>
      <c r="P59" s="13">
        <v>45</v>
      </c>
      <c r="Q59" s="13">
        <v>85</v>
      </c>
      <c r="R59" s="13" t="s">
        <v>216</v>
      </c>
      <c r="S59" s="13">
        <v>150</v>
      </c>
      <c r="T59" s="13">
        <v>0</v>
      </c>
      <c r="U59" s="13">
        <v>100</v>
      </c>
      <c r="V59" s="13" t="str">
        <f t="shared" si="227"/>
        <v>GRADE A</v>
      </c>
      <c r="W59" s="13">
        <f t="shared" si="228"/>
        <v>150</v>
      </c>
      <c r="X59" s="16">
        <f t="shared" si="229"/>
        <v>51.647999999999996</v>
      </c>
      <c r="Y59" s="16">
        <f t="shared" si="230"/>
        <v>406.57305599999995</v>
      </c>
      <c r="Z59" s="16">
        <f t="shared" si="231"/>
        <v>1016.4326399999999</v>
      </c>
      <c r="AA59" s="16">
        <f t="shared" si="232"/>
        <v>101.64326399999999</v>
      </c>
      <c r="AB59" s="16">
        <f t="shared" si="233"/>
        <v>0</v>
      </c>
      <c r="AC59" s="16">
        <f t="shared" si="234"/>
        <v>9.3503781229053207</v>
      </c>
      <c r="AD59" s="16">
        <f t="shared" ref="AD59:AD65" si="303">IF(ISNUMBER(N59), CEILING(CF59/(0.68*BP59),25), "Ambient")</f>
        <v>2550</v>
      </c>
      <c r="AE59" s="16">
        <f t="shared" si="236"/>
        <v>2550</v>
      </c>
      <c r="AF59" s="16">
        <f t="shared" si="237"/>
        <v>26</v>
      </c>
      <c r="AG59" s="16">
        <f t="shared" si="238"/>
        <v>8.5</v>
      </c>
      <c r="AH59" s="838" t="s">
        <v>84</v>
      </c>
      <c r="AI59" s="17">
        <f t="shared" si="239"/>
        <v>4.5</v>
      </c>
      <c r="AJ59" s="17">
        <f t="shared" si="240"/>
        <v>8.5</v>
      </c>
      <c r="AK59" s="891"/>
      <c r="AL59" s="174">
        <f>IF(AN50&lt;=315,1600,(IF(AN50=355,1650,(IF(AN50=400,1650,(IF(AN50=450,1700,(IF(AN50=500,1700,(IF(AN50=560,1800,(IF(AN50=630,2000,(IF(AN50=710,2200,2500)))))))))))))))+IF(AR50=2,1800,(IF(AR50=3,2300,(IF(AR50=4,3300,0)))))+IF(AP50&lt;=4,600,(IF(AP50&lt;=6,800,(IF(AP50&lt;=8,1000,1200)))))</f>
        <v>6600</v>
      </c>
      <c r="AM59" s="889"/>
      <c r="AN59" s="891"/>
      <c r="AO59" s="888"/>
      <c r="AP59" s="891"/>
      <c r="AQ59" s="891"/>
      <c r="AR59" s="889"/>
      <c r="AS59" s="888"/>
      <c r="AT59" s="888"/>
      <c r="AU59" s="890"/>
      <c r="AV59" s="888"/>
      <c r="AW59" s="888"/>
      <c r="AX59" s="888"/>
      <c r="AY59" s="887"/>
      <c r="AZ59" s="888"/>
      <c r="BA59" s="17">
        <f t="shared" si="241"/>
        <v>14.399999999999991</v>
      </c>
      <c r="BB59" s="17">
        <f t="shared" si="242"/>
        <v>37.799999999999997</v>
      </c>
      <c r="BC59" s="17">
        <f t="shared" si="243"/>
        <v>32</v>
      </c>
      <c r="BD59" s="17">
        <f t="shared" si="244"/>
        <v>85</v>
      </c>
      <c r="BE59" s="17">
        <f t="shared" si="245"/>
        <v>180.86341983910182</v>
      </c>
      <c r="BF59" s="17">
        <f t="shared" si="246"/>
        <v>24</v>
      </c>
      <c r="BG59" s="17">
        <f t="shared" si="247"/>
        <v>50</v>
      </c>
      <c r="BH59" s="17">
        <f t="shared" si="248"/>
        <v>65.062647806544774</v>
      </c>
      <c r="BI59" s="17">
        <f t="shared" si="249"/>
        <v>115.80077203255705</v>
      </c>
      <c r="BJ59" s="17">
        <f t="shared" si="250"/>
        <v>45</v>
      </c>
      <c r="BK59" s="17">
        <f t="shared" si="251"/>
        <v>85</v>
      </c>
      <c r="BL59" s="17">
        <f t="shared" si="252"/>
        <v>380.54120080897206</v>
      </c>
      <c r="BM59" s="17">
        <f t="shared" si="253"/>
        <v>24</v>
      </c>
      <c r="BN59" s="17">
        <f t="shared" si="254"/>
        <v>50</v>
      </c>
      <c r="BO59" s="17">
        <f t="shared" si="255"/>
        <v>65.062647806544774</v>
      </c>
      <c r="BP59" s="17">
        <f t="shared" si="256"/>
        <v>315.4785530024273</v>
      </c>
      <c r="BQ59" s="17">
        <f t="shared" si="257"/>
        <v>3865.5429119999999</v>
      </c>
      <c r="BR59" s="17">
        <f t="shared" si="258"/>
        <v>1472.5877759999992</v>
      </c>
      <c r="BS59" s="17">
        <f t="shared" si="259"/>
        <v>334.67903999999976</v>
      </c>
      <c r="BT59" s="17">
        <f t="shared" si="260"/>
        <v>878.53247999999996</v>
      </c>
      <c r="BU59" s="17">
        <f t="shared" si="261"/>
        <v>23269.68</v>
      </c>
      <c r="BV59" s="17">
        <f t="shared" si="262"/>
        <v>3412</v>
      </c>
      <c r="BW59" s="17">
        <f t="shared" si="263"/>
        <v>308.39020799999997</v>
      </c>
      <c r="BX59" s="17">
        <f t="shared" si="264"/>
        <v>17495.999999999989</v>
      </c>
      <c r="BY59" s="17">
        <f t="shared" si="265"/>
        <v>4149.4846095359999</v>
      </c>
      <c r="BZ59" s="17"/>
      <c r="CA59" s="17">
        <f t="shared" si="266"/>
        <v>85810.166416660228</v>
      </c>
      <c r="CB59" s="17">
        <f t="shared" si="267"/>
        <v>241341.0930468569</v>
      </c>
      <c r="CC59" s="17">
        <f t="shared" si="268"/>
        <v>21805.063497431322</v>
      </c>
      <c r="CD59" s="17">
        <f t="shared" si="269"/>
        <v>196245.57147688192</v>
      </c>
      <c r="CE59" s="17">
        <f t="shared" si="270"/>
        <v>52501.097729535992</v>
      </c>
      <c r="CF59" s="17">
        <f t="shared" si="271"/>
        <v>545201.89443783043</v>
      </c>
      <c r="CG59" s="17">
        <f t="shared" si="272"/>
        <v>597702.99216736644</v>
      </c>
      <c r="CH59" s="17">
        <f t="shared" si="273"/>
        <v>14.400000000000006</v>
      </c>
      <c r="CI59" s="17">
        <f t="shared" si="274"/>
        <v>-43.2</v>
      </c>
      <c r="CJ59" s="17">
        <f t="shared" si="275"/>
        <v>16</v>
      </c>
      <c r="CK59" s="17">
        <f t="shared" si="276"/>
        <v>90</v>
      </c>
      <c r="CL59" s="17">
        <f t="shared" si="277"/>
        <v>71.46880726181422</v>
      </c>
      <c r="CM59" s="17">
        <f t="shared" si="278"/>
        <v>24</v>
      </c>
      <c r="CN59" s="17">
        <f t="shared" si="279"/>
        <v>50</v>
      </c>
      <c r="CO59" s="17">
        <f t="shared" si="280"/>
        <v>65.062647806544774</v>
      </c>
      <c r="CP59" s="17">
        <f t="shared" si="281"/>
        <v>6.4061594552694459</v>
      </c>
      <c r="CQ59" s="17">
        <f t="shared" si="282"/>
        <v>0</v>
      </c>
      <c r="CR59" s="17">
        <f t="shared" si="283"/>
        <v>100</v>
      </c>
      <c r="CS59" s="17">
        <f t="shared" si="284"/>
        <v>26.404773030064671</v>
      </c>
      <c r="CT59" s="17">
        <f t="shared" si="285"/>
        <v>24</v>
      </c>
      <c r="CU59" s="17">
        <f t="shared" si="286"/>
        <v>50</v>
      </c>
      <c r="CV59" s="17">
        <f t="shared" si="287"/>
        <v>65.062647806544774</v>
      </c>
      <c r="CW59" s="17">
        <f t="shared" si="288"/>
        <v>-38.657874776480099</v>
      </c>
      <c r="CX59" s="17">
        <f t="shared" si="226"/>
        <v>-4417.7633280000009</v>
      </c>
      <c r="CY59" s="17">
        <f t="shared" si="226"/>
        <v>-4417.7633280000009</v>
      </c>
      <c r="CZ59" s="17">
        <f t="shared" si="289"/>
        <v>334.67904000000016</v>
      </c>
      <c r="DA59" s="17">
        <f t="shared" si="290"/>
        <v>-1004.0371200000001</v>
      </c>
      <c r="DB59" s="17">
        <f t="shared" si="291"/>
        <v>-26593.920000000002</v>
      </c>
      <c r="DC59" s="17">
        <f t="shared" si="292"/>
        <v>3412</v>
      </c>
      <c r="DD59" s="17">
        <f t="shared" si="293"/>
        <v>308.39020799999997</v>
      </c>
      <c r="DE59" s="17">
        <f t="shared" si="294"/>
        <v>17496.000000000007</v>
      </c>
      <c r="DF59" s="17">
        <f t="shared" si="295"/>
        <v>-4742.2681251840004</v>
      </c>
      <c r="DG59" s="17"/>
      <c r="DH59" s="17">
        <f t="shared" si="296"/>
        <v>-10514.941939202587</v>
      </c>
      <c r="DI59" s="17">
        <f t="shared" si="297"/>
        <v>-29573.274204007277</v>
      </c>
      <c r="DJ59" s="17">
        <f t="shared" si="298"/>
        <v>-2671.9325486776011</v>
      </c>
      <c r="DK59" s="17">
        <f t="shared" si="299"/>
        <v>3984.9948952368568</v>
      </c>
      <c r="DL59" s="17">
        <f t="shared" si="300"/>
        <v>-15206.919325183997</v>
      </c>
      <c r="DM59" s="17">
        <f t="shared" si="301"/>
        <v>-38775.153796650608</v>
      </c>
      <c r="DN59" s="17">
        <f t="shared" si="302"/>
        <v>-53982.073121834605</v>
      </c>
    </row>
    <row r="60" spans="3:120" ht="18.600000000000001">
      <c r="C60" s="13">
        <f>IF(D60&lt;&gt;"",COUNTA($D$10:D60),"")</f>
        <v>45</v>
      </c>
      <c r="D60" s="14" t="s">
        <v>210</v>
      </c>
      <c r="E60" s="14">
        <v>2.1</v>
      </c>
      <c r="F60" s="14">
        <v>1.8</v>
      </c>
      <c r="G60" s="14">
        <v>2.4</v>
      </c>
      <c r="H60" s="14">
        <v>2</v>
      </c>
      <c r="I60" s="14">
        <v>1</v>
      </c>
      <c r="J60" s="14">
        <v>1.75</v>
      </c>
      <c r="K60" s="14">
        <v>3</v>
      </c>
      <c r="L60" s="15">
        <v>0.1</v>
      </c>
      <c r="M60" s="15">
        <v>0</v>
      </c>
      <c r="N60" s="14">
        <v>24</v>
      </c>
      <c r="O60" s="14">
        <v>50</v>
      </c>
      <c r="P60" s="13">
        <v>45</v>
      </c>
      <c r="Q60" s="13">
        <v>85</v>
      </c>
      <c r="R60" s="13" t="s">
        <v>216</v>
      </c>
      <c r="S60" s="13">
        <v>150</v>
      </c>
      <c r="T60" s="13">
        <v>0</v>
      </c>
      <c r="U60" s="13">
        <v>100</v>
      </c>
      <c r="V60" s="13" t="str">
        <f t="shared" si="227"/>
        <v>GRADE A</v>
      </c>
      <c r="W60" s="13">
        <f t="shared" si="228"/>
        <v>150</v>
      </c>
      <c r="X60" s="16">
        <f t="shared" si="229"/>
        <v>40.672800000000002</v>
      </c>
      <c r="Y60" s="16">
        <f t="shared" si="230"/>
        <v>320.17628159999998</v>
      </c>
      <c r="Z60" s="16">
        <f t="shared" si="231"/>
        <v>800.44070399999998</v>
      </c>
      <c r="AA60" s="16">
        <f t="shared" si="232"/>
        <v>80.04407040000001</v>
      </c>
      <c r="AB60" s="16">
        <f t="shared" si="233"/>
        <v>0</v>
      </c>
      <c r="AC60" s="16">
        <f t="shared" si="234"/>
        <v>7.363422771787941</v>
      </c>
      <c r="AD60" s="16">
        <f t="shared" si="303"/>
        <v>2350</v>
      </c>
      <c r="AE60" s="16">
        <f t="shared" si="236"/>
        <v>2350</v>
      </c>
      <c r="AF60" s="16">
        <f t="shared" si="237"/>
        <v>24</v>
      </c>
      <c r="AG60" s="16">
        <f t="shared" si="238"/>
        <v>8</v>
      </c>
      <c r="AH60" s="838" t="s">
        <v>84</v>
      </c>
      <c r="AI60" s="17">
        <f t="shared" si="239"/>
        <v>4.5</v>
      </c>
      <c r="AJ60" s="17">
        <f t="shared" si="240"/>
        <v>8</v>
      </c>
      <c r="AK60" s="891"/>
      <c r="AL60" s="18"/>
      <c r="AM60" s="889"/>
      <c r="AN60" s="891"/>
      <c r="AO60" s="888"/>
      <c r="AP60" s="891"/>
      <c r="AQ60" s="891"/>
      <c r="AR60" s="889"/>
      <c r="AS60" s="888"/>
      <c r="AT60" s="888"/>
      <c r="AU60" s="890"/>
      <c r="AV60" s="888"/>
      <c r="AW60" s="888"/>
      <c r="AX60" s="888"/>
      <c r="AY60" s="887"/>
      <c r="AZ60" s="888"/>
      <c r="BA60" s="17">
        <f t="shared" si="241"/>
        <v>14.399999999999991</v>
      </c>
      <c r="BB60" s="17">
        <f t="shared" si="242"/>
        <v>37.799999999999997</v>
      </c>
      <c r="BC60" s="17">
        <f t="shared" si="243"/>
        <v>32</v>
      </c>
      <c r="BD60" s="17">
        <f t="shared" si="244"/>
        <v>85</v>
      </c>
      <c r="BE60" s="17">
        <f t="shared" si="245"/>
        <v>180.86341983910182</v>
      </c>
      <c r="BF60" s="17">
        <f t="shared" si="246"/>
        <v>24</v>
      </c>
      <c r="BG60" s="17">
        <f t="shared" si="247"/>
        <v>50</v>
      </c>
      <c r="BH60" s="17">
        <f t="shared" si="248"/>
        <v>65.062647806544774</v>
      </c>
      <c r="BI60" s="17">
        <f t="shared" si="249"/>
        <v>115.80077203255705</v>
      </c>
      <c r="BJ60" s="17">
        <f t="shared" si="250"/>
        <v>45</v>
      </c>
      <c r="BK60" s="17">
        <f t="shared" si="251"/>
        <v>85</v>
      </c>
      <c r="BL60" s="17">
        <f t="shared" si="252"/>
        <v>380.54120080897206</v>
      </c>
      <c r="BM60" s="17">
        <f t="shared" si="253"/>
        <v>24</v>
      </c>
      <c r="BN60" s="17">
        <f t="shared" si="254"/>
        <v>50</v>
      </c>
      <c r="BO60" s="17">
        <f t="shared" si="255"/>
        <v>65.062647806544774</v>
      </c>
      <c r="BP60" s="17">
        <f t="shared" si="256"/>
        <v>315.4785530024273</v>
      </c>
      <c r="BQ60" s="17">
        <f t="shared" si="257"/>
        <v>3426.2766719999995</v>
      </c>
      <c r="BR60" s="17">
        <f t="shared" si="258"/>
        <v>1305.2482559999992</v>
      </c>
      <c r="BS60" s="17">
        <f t="shared" si="259"/>
        <v>263.55974399999985</v>
      </c>
      <c r="BT60" s="17">
        <f t="shared" si="260"/>
        <v>691.84432800000002</v>
      </c>
      <c r="BU60" s="17">
        <f t="shared" si="261"/>
        <v>23269.68</v>
      </c>
      <c r="BV60" s="17">
        <f t="shared" si="262"/>
        <v>3412</v>
      </c>
      <c r="BW60" s="17">
        <f t="shared" si="263"/>
        <v>242.85728880000002</v>
      </c>
      <c r="BX60" s="17">
        <f t="shared" si="264"/>
        <v>17495.999999999989</v>
      </c>
      <c r="BY60" s="17">
        <f t="shared" si="265"/>
        <v>3267.7191300096006</v>
      </c>
      <c r="BZ60" s="17"/>
      <c r="CA60" s="17">
        <f t="shared" si="266"/>
        <v>85810.166416660228</v>
      </c>
      <c r="CB60" s="17">
        <f t="shared" si="267"/>
        <v>241341.0930468569</v>
      </c>
      <c r="CC60" s="17">
        <f t="shared" si="268"/>
        <v>17171.487504227171</v>
      </c>
      <c r="CD60" s="17">
        <f t="shared" si="269"/>
        <v>154543.38753804451</v>
      </c>
      <c r="CE60" s="17">
        <f t="shared" si="270"/>
        <v>51114.533090809593</v>
      </c>
      <c r="CF60" s="17">
        <f t="shared" si="271"/>
        <v>498866.1345057888</v>
      </c>
      <c r="CG60" s="17">
        <f t="shared" si="272"/>
        <v>549980.66759659839</v>
      </c>
      <c r="CH60" s="17">
        <f t="shared" si="273"/>
        <v>14.400000000000006</v>
      </c>
      <c r="CI60" s="17">
        <f t="shared" si="274"/>
        <v>-43.2</v>
      </c>
      <c r="CJ60" s="17">
        <f t="shared" si="275"/>
        <v>16</v>
      </c>
      <c r="CK60" s="17">
        <f t="shared" si="276"/>
        <v>90</v>
      </c>
      <c r="CL60" s="17">
        <f t="shared" si="277"/>
        <v>71.46880726181422</v>
      </c>
      <c r="CM60" s="17">
        <f t="shared" si="278"/>
        <v>24</v>
      </c>
      <c r="CN60" s="17">
        <f t="shared" si="279"/>
        <v>50</v>
      </c>
      <c r="CO60" s="17">
        <f t="shared" si="280"/>
        <v>65.062647806544774</v>
      </c>
      <c r="CP60" s="17">
        <f t="shared" si="281"/>
        <v>6.4061594552694459</v>
      </c>
      <c r="CQ60" s="17">
        <f t="shared" si="282"/>
        <v>0</v>
      </c>
      <c r="CR60" s="17">
        <f t="shared" si="283"/>
        <v>100</v>
      </c>
      <c r="CS60" s="17">
        <f t="shared" si="284"/>
        <v>26.404773030064671</v>
      </c>
      <c r="CT60" s="17">
        <f t="shared" si="285"/>
        <v>24</v>
      </c>
      <c r="CU60" s="17">
        <f t="shared" si="286"/>
        <v>50</v>
      </c>
      <c r="CV60" s="17">
        <f t="shared" si="287"/>
        <v>65.062647806544774</v>
      </c>
      <c r="CW60" s="17">
        <f t="shared" si="288"/>
        <v>-38.657874776480099</v>
      </c>
      <c r="CX60" s="17">
        <f t="shared" si="226"/>
        <v>-3915.744768</v>
      </c>
      <c r="CY60" s="17">
        <f t="shared" si="226"/>
        <v>-3915.744768</v>
      </c>
      <c r="CZ60" s="17">
        <f t="shared" si="289"/>
        <v>263.55974400000014</v>
      </c>
      <c r="DA60" s="17">
        <f t="shared" si="290"/>
        <v>-790.67923200000007</v>
      </c>
      <c r="DB60" s="17">
        <f t="shared" si="291"/>
        <v>-26593.920000000002</v>
      </c>
      <c r="DC60" s="17">
        <f t="shared" si="292"/>
        <v>3412</v>
      </c>
      <c r="DD60" s="17">
        <f t="shared" si="293"/>
        <v>242.85728880000002</v>
      </c>
      <c r="DE60" s="17">
        <f t="shared" si="294"/>
        <v>17496.000000000007</v>
      </c>
      <c r="DF60" s="17">
        <f t="shared" si="295"/>
        <v>-3734.536148582401</v>
      </c>
      <c r="DG60" s="17"/>
      <c r="DH60" s="17">
        <f t="shared" si="296"/>
        <v>-10514.941939202587</v>
      </c>
      <c r="DI60" s="17">
        <f t="shared" si="297"/>
        <v>-29573.274204007277</v>
      </c>
      <c r="DJ60" s="17">
        <f t="shared" si="298"/>
        <v>-2104.1468820836117</v>
      </c>
      <c r="DK60" s="17">
        <f t="shared" si="299"/>
        <v>3138.1834799990247</v>
      </c>
      <c r="DL60" s="17">
        <f t="shared" si="300"/>
        <v>-13620.463115782395</v>
      </c>
      <c r="DM60" s="17">
        <f t="shared" si="301"/>
        <v>-39054.17954529445</v>
      </c>
      <c r="DN60" s="17">
        <f t="shared" si="302"/>
        <v>-52674.642661076847</v>
      </c>
    </row>
    <row r="61" spans="3:120" ht="18.600000000000001">
      <c r="C61" s="13">
        <f>IF(D61&lt;&gt;"",COUNTA($D$10:D61),"")</f>
        <v>46</v>
      </c>
      <c r="D61" s="14" t="s">
        <v>211</v>
      </c>
      <c r="E61" s="14">
        <v>1.8</v>
      </c>
      <c r="F61" s="14">
        <v>1.9</v>
      </c>
      <c r="G61" s="14">
        <v>2.4</v>
      </c>
      <c r="H61" s="14">
        <v>2</v>
      </c>
      <c r="I61" s="14">
        <v>1</v>
      </c>
      <c r="J61" s="14">
        <v>1.75</v>
      </c>
      <c r="K61" s="14">
        <v>3</v>
      </c>
      <c r="L61" s="15">
        <v>0.1</v>
      </c>
      <c r="M61" s="15">
        <v>0</v>
      </c>
      <c r="N61" s="14">
        <v>24</v>
      </c>
      <c r="O61" s="14">
        <v>50</v>
      </c>
      <c r="P61" s="13">
        <v>45</v>
      </c>
      <c r="Q61" s="13">
        <v>85</v>
      </c>
      <c r="R61" s="13" t="s">
        <v>216</v>
      </c>
      <c r="S61" s="13">
        <v>150</v>
      </c>
      <c r="T61" s="13">
        <v>0</v>
      </c>
      <c r="U61" s="13">
        <v>100</v>
      </c>
      <c r="V61" s="13" t="str">
        <f t="shared" si="227"/>
        <v>GRADE A</v>
      </c>
      <c r="W61" s="13">
        <f t="shared" si="228"/>
        <v>150</v>
      </c>
      <c r="X61" s="16">
        <f t="shared" si="229"/>
        <v>36.799199999999999</v>
      </c>
      <c r="Y61" s="16">
        <f t="shared" si="230"/>
        <v>289.68330239999995</v>
      </c>
      <c r="Z61" s="16">
        <f t="shared" si="231"/>
        <v>724.20825599999989</v>
      </c>
      <c r="AA61" s="16">
        <f t="shared" si="232"/>
        <v>72.420825599999986</v>
      </c>
      <c r="AB61" s="16">
        <f t="shared" si="233"/>
        <v>0</v>
      </c>
      <c r="AC61" s="16">
        <f t="shared" si="234"/>
        <v>6.6621444125700409</v>
      </c>
      <c r="AD61" s="16">
        <f t="shared" si="303"/>
        <v>2250</v>
      </c>
      <c r="AE61" s="16">
        <f t="shared" si="236"/>
        <v>2250</v>
      </c>
      <c r="AF61" s="16">
        <f t="shared" si="237"/>
        <v>24</v>
      </c>
      <c r="AG61" s="16">
        <f t="shared" si="238"/>
        <v>7.5</v>
      </c>
      <c r="AH61" s="838" t="s">
        <v>84</v>
      </c>
      <c r="AI61" s="17">
        <f t="shared" si="239"/>
        <v>4.5</v>
      </c>
      <c r="AJ61" s="17">
        <f t="shared" si="240"/>
        <v>7.5</v>
      </c>
      <c r="AK61" s="891"/>
      <c r="AL61" s="18"/>
      <c r="AM61" s="889"/>
      <c r="AN61" s="891"/>
      <c r="AO61" s="888"/>
      <c r="AP61" s="891"/>
      <c r="AQ61" s="891"/>
      <c r="AR61" s="889"/>
      <c r="AS61" s="888"/>
      <c r="AT61" s="888"/>
      <c r="AU61" s="890"/>
      <c r="AV61" s="888"/>
      <c r="AW61" s="888"/>
      <c r="AX61" s="888"/>
      <c r="AY61" s="887"/>
      <c r="AZ61" s="888"/>
      <c r="BA61" s="17">
        <f t="shared" si="241"/>
        <v>14.399999999999991</v>
      </c>
      <c r="BB61" s="17">
        <f t="shared" si="242"/>
        <v>37.799999999999997</v>
      </c>
      <c r="BC61" s="17">
        <f t="shared" si="243"/>
        <v>32</v>
      </c>
      <c r="BD61" s="17">
        <f t="shared" si="244"/>
        <v>85</v>
      </c>
      <c r="BE61" s="17">
        <f t="shared" si="245"/>
        <v>180.86341983910182</v>
      </c>
      <c r="BF61" s="17">
        <f t="shared" si="246"/>
        <v>24</v>
      </c>
      <c r="BG61" s="17">
        <f t="shared" si="247"/>
        <v>50</v>
      </c>
      <c r="BH61" s="17">
        <f t="shared" si="248"/>
        <v>65.062647806544774</v>
      </c>
      <c r="BI61" s="17">
        <f t="shared" si="249"/>
        <v>115.80077203255705</v>
      </c>
      <c r="BJ61" s="17">
        <f t="shared" si="250"/>
        <v>45</v>
      </c>
      <c r="BK61" s="17">
        <f t="shared" si="251"/>
        <v>85</v>
      </c>
      <c r="BL61" s="17">
        <f t="shared" si="252"/>
        <v>380.54120080897206</v>
      </c>
      <c r="BM61" s="17">
        <f t="shared" si="253"/>
        <v>24</v>
      </c>
      <c r="BN61" s="17">
        <f t="shared" si="254"/>
        <v>50</v>
      </c>
      <c r="BO61" s="17">
        <f t="shared" si="255"/>
        <v>65.062647806544774</v>
      </c>
      <c r="BP61" s="17">
        <f t="shared" si="256"/>
        <v>315.4785530024273</v>
      </c>
      <c r="BQ61" s="17">
        <f t="shared" si="257"/>
        <v>3250.5701760000002</v>
      </c>
      <c r="BR61" s="17">
        <f t="shared" si="258"/>
        <v>1238.3124479999992</v>
      </c>
      <c r="BS61" s="17">
        <f t="shared" si="259"/>
        <v>238.45881599999987</v>
      </c>
      <c r="BT61" s="17">
        <f t="shared" si="260"/>
        <v>625.95439199999998</v>
      </c>
      <c r="BU61" s="17">
        <f t="shared" si="261"/>
        <v>23269.68</v>
      </c>
      <c r="BV61" s="17">
        <f t="shared" si="262"/>
        <v>3412</v>
      </c>
      <c r="BW61" s="17">
        <f t="shared" si="263"/>
        <v>219.7280232</v>
      </c>
      <c r="BX61" s="17">
        <f t="shared" si="264"/>
        <v>17495.999999999989</v>
      </c>
      <c r="BY61" s="17">
        <f t="shared" si="265"/>
        <v>2956.5077842943997</v>
      </c>
      <c r="BZ61" s="17"/>
      <c r="CA61" s="17">
        <f t="shared" si="266"/>
        <v>85810.166416660228</v>
      </c>
      <c r="CB61" s="17">
        <f t="shared" si="267"/>
        <v>241341.0930468569</v>
      </c>
      <c r="CC61" s="17">
        <f t="shared" si="268"/>
        <v>15536.107741919815</v>
      </c>
      <c r="CD61" s="17">
        <f t="shared" si="269"/>
        <v>139824.96967727836</v>
      </c>
      <c r="CE61" s="17">
        <f t="shared" si="270"/>
        <v>50604.485983494393</v>
      </c>
      <c r="CF61" s="17">
        <f t="shared" si="271"/>
        <v>482512.33688271529</v>
      </c>
      <c r="CG61" s="17">
        <f t="shared" si="272"/>
        <v>533116.82286620967</v>
      </c>
      <c r="CH61" s="17">
        <f t="shared" si="273"/>
        <v>14.400000000000006</v>
      </c>
      <c r="CI61" s="17">
        <f t="shared" si="274"/>
        <v>-43.2</v>
      </c>
      <c r="CJ61" s="17">
        <f t="shared" si="275"/>
        <v>16</v>
      </c>
      <c r="CK61" s="17">
        <f t="shared" si="276"/>
        <v>90</v>
      </c>
      <c r="CL61" s="17">
        <f t="shared" si="277"/>
        <v>71.46880726181422</v>
      </c>
      <c r="CM61" s="17">
        <f t="shared" si="278"/>
        <v>24</v>
      </c>
      <c r="CN61" s="17">
        <f t="shared" si="279"/>
        <v>50</v>
      </c>
      <c r="CO61" s="17">
        <f t="shared" si="280"/>
        <v>65.062647806544774</v>
      </c>
      <c r="CP61" s="17">
        <f t="shared" si="281"/>
        <v>6.4061594552694459</v>
      </c>
      <c r="CQ61" s="17">
        <f t="shared" si="282"/>
        <v>0</v>
      </c>
      <c r="CR61" s="17">
        <f t="shared" si="283"/>
        <v>100</v>
      </c>
      <c r="CS61" s="17">
        <f t="shared" si="284"/>
        <v>26.404773030064671</v>
      </c>
      <c r="CT61" s="17">
        <f t="shared" si="285"/>
        <v>24</v>
      </c>
      <c r="CU61" s="17">
        <f t="shared" si="286"/>
        <v>50</v>
      </c>
      <c r="CV61" s="17">
        <f t="shared" si="287"/>
        <v>65.062647806544774</v>
      </c>
      <c r="CW61" s="17">
        <f t="shared" si="288"/>
        <v>-38.657874776480099</v>
      </c>
      <c r="CX61" s="17">
        <f t="shared" si="226"/>
        <v>-3714.9373440000004</v>
      </c>
      <c r="CY61" s="17">
        <f t="shared" si="226"/>
        <v>-3714.9373440000004</v>
      </c>
      <c r="CZ61" s="17">
        <f t="shared" si="289"/>
        <v>238.45881600000007</v>
      </c>
      <c r="DA61" s="17">
        <f t="shared" si="290"/>
        <v>-715.3764480000001</v>
      </c>
      <c r="DB61" s="17">
        <f t="shared" si="291"/>
        <v>-26593.920000000002</v>
      </c>
      <c r="DC61" s="17">
        <f t="shared" si="292"/>
        <v>3412</v>
      </c>
      <c r="DD61" s="17">
        <f t="shared" si="293"/>
        <v>219.7280232</v>
      </c>
      <c r="DE61" s="17">
        <f t="shared" si="294"/>
        <v>17496.000000000007</v>
      </c>
      <c r="DF61" s="17">
        <f t="shared" si="295"/>
        <v>-3378.8660391936</v>
      </c>
      <c r="DG61" s="17"/>
      <c r="DH61" s="17">
        <f t="shared" si="296"/>
        <v>-10514.941939202587</v>
      </c>
      <c r="DI61" s="17">
        <f t="shared" si="297"/>
        <v>-29573.274204007277</v>
      </c>
      <c r="DJ61" s="17">
        <f t="shared" si="298"/>
        <v>-1903.7519409327906</v>
      </c>
      <c r="DK61" s="17">
        <f t="shared" si="299"/>
        <v>2839.30886285626</v>
      </c>
      <c r="DL61" s="17">
        <f t="shared" si="300"/>
        <v>-13036.912991993591</v>
      </c>
      <c r="DM61" s="17">
        <f t="shared" si="301"/>
        <v>-39152.659221286398</v>
      </c>
      <c r="DN61" s="17">
        <f t="shared" si="302"/>
        <v>-52189.572213279986</v>
      </c>
    </row>
    <row r="62" spans="3:120" ht="18.600000000000001">
      <c r="C62" s="13">
        <f>IF(D62&lt;&gt;"",COUNTA($D$10:D62),"")</f>
        <v>47</v>
      </c>
      <c r="D62" s="14" t="s">
        <v>212</v>
      </c>
      <c r="E62" s="14">
        <v>1.9</v>
      </c>
      <c r="F62" s="14">
        <v>2</v>
      </c>
      <c r="G62" s="14">
        <v>2.4</v>
      </c>
      <c r="H62" s="14">
        <v>2</v>
      </c>
      <c r="I62" s="14">
        <v>1</v>
      </c>
      <c r="J62" s="14">
        <v>1.75</v>
      </c>
      <c r="K62" s="14">
        <v>3</v>
      </c>
      <c r="L62" s="15">
        <v>0.1</v>
      </c>
      <c r="M62" s="15">
        <v>0</v>
      </c>
      <c r="N62" s="14">
        <v>24</v>
      </c>
      <c r="O62" s="14">
        <v>50</v>
      </c>
      <c r="P62" s="13">
        <v>45</v>
      </c>
      <c r="Q62" s="13">
        <v>85</v>
      </c>
      <c r="R62" s="13" t="s">
        <v>216</v>
      </c>
      <c r="S62" s="13">
        <v>150</v>
      </c>
      <c r="T62" s="13">
        <v>0</v>
      </c>
      <c r="U62" s="13">
        <v>100</v>
      </c>
      <c r="V62" s="13" t="str">
        <f t="shared" si="227"/>
        <v>GRADE A</v>
      </c>
      <c r="W62" s="13">
        <f t="shared" si="228"/>
        <v>150</v>
      </c>
      <c r="X62" s="16">
        <f t="shared" si="229"/>
        <v>40.887999999999998</v>
      </c>
      <c r="Y62" s="16">
        <f t="shared" si="230"/>
        <v>321.87033599999995</v>
      </c>
      <c r="Z62" s="16">
        <f t="shared" si="231"/>
        <v>804.67583999999988</v>
      </c>
      <c r="AA62" s="16">
        <f t="shared" si="232"/>
        <v>80.467583999999988</v>
      </c>
      <c r="AB62" s="16">
        <f t="shared" si="233"/>
        <v>0</v>
      </c>
      <c r="AC62" s="16">
        <f t="shared" si="234"/>
        <v>7.4023826806333766</v>
      </c>
      <c r="AD62" s="16">
        <f t="shared" si="303"/>
        <v>2350</v>
      </c>
      <c r="AE62" s="16">
        <f t="shared" si="236"/>
        <v>2350</v>
      </c>
      <c r="AF62" s="16">
        <f t="shared" si="237"/>
        <v>24</v>
      </c>
      <c r="AG62" s="16">
        <f t="shared" si="238"/>
        <v>8</v>
      </c>
      <c r="AH62" s="838" t="s">
        <v>84</v>
      </c>
      <c r="AI62" s="17">
        <f t="shared" si="239"/>
        <v>4.5</v>
      </c>
      <c r="AJ62" s="17">
        <f t="shared" si="240"/>
        <v>8</v>
      </c>
      <c r="AK62" s="891"/>
      <c r="AL62" s="18"/>
      <c r="AM62" s="889"/>
      <c r="AN62" s="891"/>
      <c r="AO62" s="888"/>
      <c r="AP62" s="891"/>
      <c r="AQ62" s="891"/>
      <c r="AR62" s="889"/>
      <c r="AS62" s="888"/>
      <c r="AT62" s="888"/>
      <c r="AU62" s="890"/>
      <c r="AV62" s="888"/>
      <c r="AW62" s="888"/>
      <c r="AX62" s="888"/>
      <c r="AY62" s="887"/>
      <c r="AZ62" s="888"/>
      <c r="BA62" s="17">
        <f t="shared" si="241"/>
        <v>14.399999999999991</v>
      </c>
      <c r="BB62" s="17">
        <f t="shared" si="242"/>
        <v>37.799999999999997</v>
      </c>
      <c r="BC62" s="17">
        <f t="shared" si="243"/>
        <v>32</v>
      </c>
      <c r="BD62" s="17">
        <f t="shared" si="244"/>
        <v>85</v>
      </c>
      <c r="BE62" s="17">
        <f t="shared" si="245"/>
        <v>180.86341983910182</v>
      </c>
      <c r="BF62" s="17">
        <f t="shared" si="246"/>
        <v>24</v>
      </c>
      <c r="BG62" s="17">
        <f t="shared" si="247"/>
        <v>50</v>
      </c>
      <c r="BH62" s="17">
        <f t="shared" si="248"/>
        <v>65.062647806544774</v>
      </c>
      <c r="BI62" s="17">
        <f t="shared" si="249"/>
        <v>115.80077203255705</v>
      </c>
      <c r="BJ62" s="17">
        <f t="shared" si="250"/>
        <v>45</v>
      </c>
      <c r="BK62" s="17">
        <f t="shared" si="251"/>
        <v>85</v>
      </c>
      <c r="BL62" s="17">
        <f t="shared" si="252"/>
        <v>380.54120080897206</v>
      </c>
      <c r="BM62" s="17">
        <f t="shared" si="253"/>
        <v>24</v>
      </c>
      <c r="BN62" s="17">
        <f t="shared" si="254"/>
        <v>50</v>
      </c>
      <c r="BO62" s="17">
        <f t="shared" si="255"/>
        <v>65.062647806544774</v>
      </c>
      <c r="BP62" s="17">
        <f t="shared" si="256"/>
        <v>315.4785530024273</v>
      </c>
      <c r="BQ62" s="17">
        <f t="shared" si="257"/>
        <v>3426.2766719999991</v>
      </c>
      <c r="BR62" s="17">
        <f t="shared" si="258"/>
        <v>1305.2482559999989</v>
      </c>
      <c r="BS62" s="17">
        <f t="shared" si="259"/>
        <v>264.95423999999986</v>
      </c>
      <c r="BT62" s="17">
        <f t="shared" si="260"/>
        <v>695.50487999999984</v>
      </c>
      <c r="BU62" s="17">
        <f t="shared" si="261"/>
        <v>23269.68</v>
      </c>
      <c r="BV62" s="17">
        <f t="shared" si="262"/>
        <v>3412</v>
      </c>
      <c r="BW62" s="17">
        <f t="shared" si="263"/>
        <v>244.142248</v>
      </c>
      <c r="BX62" s="17">
        <f t="shared" si="264"/>
        <v>17495.999999999989</v>
      </c>
      <c r="BY62" s="17">
        <f t="shared" si="265"/>
        <v>3285.0086492159994</v>
      </c>
      <c r="BZ62" s="17"/>
      <c r="CA62" s="17">
        <f t="shared" si="266"/>
        <v>85810.166416660228</v>
      </c>
      <c r="CB62" s="17">
        <f t="shared" si="267"/>
        <v>241341.0930468569</v>
      </c>
      <c r="CC62" s="17">
        <f t="shared" si="268"/>
        <v>17262.341935466462</v>
      </c>
      <c r="CD62" s="17">
        <f t="shared" si="269"/>
        <v>155361.07741919818</v>
      </c>
      <c r="CE62" s="17">
        <f t="shared" si="270"/>
        <v>51133.107569215987</v>
      </c>
      <c r="CF62" s="17">
        <f t="shared" si="271"/>
        <v>499774.67881818174</v>
      </c>
      <c r="CG62" s="17">
        <f t="shared" si="272"/>
        <v>550907.78638739767</v>
      </c>
      <c r="CH62" s="17">
        <f t="shared" si="273"/>
        <v>14.400000000000006</v>
      </c>
      <c r="CI62" s="17">
        <f t="shared" si="274"/>
        <v>-43.2</v>
      </c>
      <c r="CJ62" s="17">
        <f t="shared" si="275"/>
        <v>16</v>
      </c>
      <c r="CK62" s="17">
        <f t="shared" si="276"/>
        <v>90</v>
      </c>
      <c r="CL62" s="17">
        <f t="shared" si="277"/>
        <v>71.46880726181422</v>
      </c>
      <c r="CM62" s="17">
        <f t="shared" si="278"/>
        <v>24</v>
      </c>
      <c r="CN62" s="17">
        <f t="shared" si="279"/>
        <v>50</v>
      </c>
      <c r="CO62" s="17">
        <f t="shared" si="280"/>
        <v>65.062647806544774</v>
      </c>
      <c r="CP62" s="17">
        <f t="shared" si="281"/>
        <v>6.4061594552694459</v>
      </c>
      <c r="CQ62" s="17">
        <f t="shared" si="282"/>
        <v>0</v>
      </c>
      <c r="CR62" s="17">
        <f t="shared" si="283"/>
        <v>100</v>
      </c>
      <c r="CS62" s="17">
        <f t="shared" si="284"/>
        <v>26.404773030064671</v>
      </c>
      <c r="CT62" s="17">
        <f t="shared" si="285"/>
        <v>24</v>
      </c>
      <c r="CU62" s="17">
        <f t="shared" si="286"/>
        <v>50</v>
      </c>
      <c r="CV62" s="17">
        <f t="shared" si="287"/>
        <v>65.062647806544774</v>
      </c>
      <c r="CW62" s="17">
        <f t="shared" si="288"/>
        <v>-38.657874776480099</v>
      </c>
      <c r="CX62" s="17">
        <f t="shared" si="226"/>
        <v>-3915.744768</v>
      </c>
      <c r="CY62" s="17">
        <f t="shared" si="226"/>
        <v>-3915.744768</v>
      </c>
      <c r="CZ62" s="17">
        <f t="shared" si="289"/>
        <v>264.95424000000008</v>
      </c>
      <c r="DA62" s="17">
        <f t="shared" si="290"/>
        <v>-794.86271999999997</v>
      </c>
      <c r="DB62" s="17">
        <f t="shared" si="291"/>
        <v>-26593.920000000002</v>
      </c>
      <c r="DC62" s="17">
        <f t="shared" si="292"/>
        <v>3412</v>
      </c>
      <c r="DD62" s="17">
        <f t="shared" si="293"/>
        <v>244.142248</v>
      </c>
      <c r="DE62" s="17">
        <f t="shared" si="294"/>
        <v>17496.000000000007</v>
      </c>
      <c r="DF62" s="17">
        <f t="shared" si="295"/>
        <v>-3754.2955991039998</v>
      </c>
      <c r="DG62" s="17"/>
      <c r="DH62" s="17">
        <f t="shared" si="296"/>
        <v>-10514.941939202587</v>
      </c>
      <c r="DI62" s="17">
        <f t="shared" si="297"/>
        <v>-29573.274204007277</v>
      </c>
      <c r="DJ62" s="17">
        <f t="shared" si="298"/>
        <v>-2115.2799343697675</v>
      </c>
      <c r="DK62" s="17">
        <f t="shared" si="299"/>
        <v>3154.7876253958443</v>
      </c>
      <c r="DL62" s="17">
        <f t="shared" si="300"/>
        <v>-13641.726599103993</v>
      </c>
      <c r="DM62" s="17">
        <f t="shared" si="301"/>
        <v>-39048.70845218379</v>
      </c>
      <c r="DN62" s="17">
        <f t="shared" si="302"/>
        <v>-52690.435051287786</v>
      </c>
    </row>
    <row r="63" spans="3:120" ht="18.600000000000001">
      <c r="C63" s="13">
        <f>IF(D63&lt;&gt;"",COUNTA($D$10:D63),"")</f>
        <v>48</v>
      </c>
      <c r="D63" s="14" t="s">
        <v>213</v>
      </c>
      <c r="E63" s="14">
        <v>2.2999999999999998</v>
      </c>
      <c r="F63" s="14">
        <v>2.2000000000000002</v>
      </c>
      <c r="G63" s="14">
        <v>2.4</v>
      </c>
      <c r="H63" s="14">
        <v>2</v>
      </c>
      <c r="I63" s="14">
        <v>1</v>
      </c>
      <c r="J63" s="14">
        <v>1.75</v>
      </c>
      <c r="K63" s="14">
        <v>3</v>
      </c>
      <c r="L63" s="15">
        <v>0.1</v>
      </c>
      <c r="M63" s="15">
        <v>0</v>
      </c>
      <c r="N63" s="14">
        <v>24</v>
      </c>
      <c r="O63" s="14">
        <v>50</v>
      </c>
      <c r="P63" s="13">
        <v>45</v>
      </c>
      <c r="Q63" s="13">
        <v>85</v>
      </c>
      <c r="R63" s="13" t="s">
        <v>216</v>
      </c>
      <c r="S63" s="13">
        <v>150</v>
      </c>
      <c r="T63" s="13">
        <v>0</v>
      </c>
      <c r="U63" s="13">
        <v>100</v>
      </c>
      <c r="V63" s="13" t="str">
        <f t="shared" si="227"/>
        <v>GRADE A</v>
      </c>
      <c r="W63" s="13">
        <f t="shared" si="228"/>
        <v>150</v>
      </c>
      <c r="X63" s="16">
        <f t="shared" si="229"/>
        <v>54.445599999999992</v>
      </c>
      <c r="Y63" s="16">
        <f t="shared" si="230"/>
        <v>428.59576319999991</v>
      </c>
      <c r="Z63" s="16">
        <f t="shared" si="231"/>
        <v>1071.4894079999999</v>
      </c>
      <c r="AA63" s="16">
        <f t="shared" si="232"/>
        <v>107.14894079999999</v>
      </c>
      <c r="AB63" s="16">
        <f t="shared" si="233"/>
        <v>0</v>
      </c>
      <c r="AC63" s="16">
        <f t="shared" si="234"/>
        <v>9.8568569378960245</v>
      </c>
      <c r="AD63" s="16">
        <f t="shared" si="303"/>
        <v>2600</v>
      </c>
      <c r="AE63" s="16">
        <f t="shared" si="236"/>
        <v>2600</v>
      </c>
      <c r="AF63" s="16">
        <f t="shared" si="237"/>
        <v>26</v>
      </c>
      <c r="AG63" s="16">
        <f t="shared" si="238"/>
        <v>9</v>
      </c>
      <c r="AH63" s="838" t="s">
        <v>84</v>
      </c>
      <c r="AI63" s="17">
        <f t="shared" si="239"/>
        <v>4.5</v>
      </c>
      <c r="AJ63" s="17">
        <f t="shared" si="240"/>
        <v>9</v>
      </c>
      <c r="AK63" s="891"/>
      <c r="AL63" s="18"/>
      <c r="AM63" s="889"/>
      <c r="AN63" s="891"/>
      <c r="AO63" s="888"/>
      <c r="AP63" s="891"/>
      <c r="AQ63" s="891"/>
      <c r="AR63" s="889"/>
      <c r="AS63" s="888"/>
      <c r="AT63" s="888"/>
      <c r="AU63" s="890"/>
      <c r="AV63" s="888"/>
      <c r="AW63" s="888"/>
      <c r="AX63" s="888"/>
      <c r="AY63" s="887"/>
      <c r="AZ63" s="888"/>
      <c r="BA63" s="17">
        <f t="shared" si="241"/>
        <v>14.399999999999991</v>
      </c>
      <c r="BB63" s="17">
        <f t="shared" si="242"/>
        <v>37.799999999999997</v>
      </c>
      <c r="BC63" s="17">
        <f t="shared" si="243"/>
        <v>32</v>
      </c>
      <c r="BD63" s="17">
        <f t="shared" si="244"/>
        <v>85</v>
      </c>
      <c r="BE63" s="17">
        <f t="shared" si="245"/>
        <v>180.86341983910182</v>
      </c>
      <c r="BF63" s="17">
        <f t="shared" si="246"/>
        <v>24</v>
      </c>
      <c r="BG63" s="17">
        <f t="shared" si="247"/>
        <v>50</v>
      </c>
      <c r="BH63" s="17">
        <f t="shared" si="248"/>
        <v>65.062647806544774</v>
      </c>
      <c r="BI63" s="17">
        <f t="shared" si="249"/>
        <v>115.80077203255705</v>
      </c>
      <c r="BJ63" s="17">
        <f t="shared" si="250"/>
        <v>45</v>
      </c>
      <c r="BK63" s="17">
        <f t="shared" si="251"/>
        <v>85</v>
      </c>
      <c r="BL63" s="17">
        <f t="shared" si="252"/>
        <v>380.54120080897206</v>
      </c>
      <c r="BM63" s="17">
        <f t="shared" si="253"/>
        <v>24</v>
      </c>
      <c r="BN63" s="17">
        <f t="shared" si="254"/>
        <v>50</v>
      </c>
      <c r="BO63" s="17">
        <f t="shared" si="255"/>
        <v>65.062647806544774</v>
      </c>
      <c r="BP63" s="17">
        <f t="shared" si="256"/>
        <v>315.4785530024273</v>
      </c>
      <c r="BQ63" s="17">
        <f t="shared" si="257"/>
        <v>3953.3961599999993</v>
      </c>
      <c r="BR63" s="17">
        <f t="shared" si="258"/>
        <v>1506.0556799999993</v>
      </c>
      <c r="BS63" s="17">
        <f t="shared" si="259"/>
        <v>352.80748799999975</v>
      </c>
      <c r="BT63" s="17">
        <f t="shared" si="260"/>
        <v>926.11965599999974</v>
      </c>
      <c r="BU63" s="17">
        <f t="shared" si="261"/>
        <v>23269.68</v>
      </c>
      <c r="BV63" s="17">
        <f t="shared" si="262"/>
        <v>3412</v>
      </c>
      <c r="BW63" s="17">
        <f t="shared" si="263"/>
        <v>325.0946775999999</v>
      </c>
      <c r="BX63" s="17">
        <f t="shared" si="264"/>
        <v>17495.999999999989</v>
      </c>
      <c r="BY63" s="17">
        <f t="shared" si="265"/>
        <v>4374.2483592192002</v>
      </c>
      <c r="BZ63" s="17"/>
      <c r="CA63" s="17">
        <f t="shared" si="266"/>
        <v>85810.166416660228</v>
      </c>
      <c r="CB63" s="17">
        <f t="shared" si="267"/>
        <v>241341.0930468569</v>
      </c>
      <c r="CC63" s="17">
        <f t="shared" si="268"/>
        <v>22986.171103542187</v>
      </c>
      <c r="CD63" s="17">
        <f t="shared" si="269"/>
        <v>206875.53993187967</v>
      </c>
      <c r="CE63" s="17">
        <f t="shared" si="270"/>
        <v>52830.419196819188</v>
      </c>
      <c r="CF63" s="17">
        <f t="shared" si="271"/>
        <v>557012.97049893904</v>
      </c>
      <c r="CG63" s="17">
        <f t="shared" si="272"/>
        <v>609843.38969575823</v>
      </c>
      <c r="CH63" s="17">
        <f t="shared" si="273"/>
        <v>14.400000000000006</v>
      </c>
      <c r="CI63" s="17">
        <f t="shared" si="274"/>
        <v>-43.2</v>
      </c>
      <c r="CJ63" s="17">
        <f t="shared" si="275"/>
        <v>16</v>
      </c>
      <c r="CK63" s="17">
        <f t="shared" si="276"/>
        <v>90</v>
      </c>
      <c r="CL63" s="17">
        <f t="shared" si="277"/>
        <v>71.46880726181422</v>
      </c>
      <c r="CM63" s="17">
        <f t="shared" si="278"/>
        <v>24</v>
      </c>
      <c r="CN63" s="17">
        <f t="shared" si="279"/>
        <v>50</v>
      </c>
      <c r="CO63" s="17">
        <f t="shared" si="280"/>
        <v>65.062647806544774</v>
      </c>
      <c r="CP63" s="17">
        <f t="shared" si="281"/>
        <v>6.4061594552694459</v>
      </c>
      <c r="CQ63" s="17">
        <f t="shared" si="282"/>
        <v>0</v>
      </c>
      <c r="CR63" s="17">
        <f t="shared" si="283"/>
        <v>100</v>
      </c>
      <c r="CS63" s="17">
        <f t="shared" si="284"/>
        <v>26.404773030064671</v>
      </c>
      <c r="CT63" s="17">
        <f t="shared" si="285"/>
        <v>24</v>
      </c>
      <c r="CU63" s="17">
        <f t="shared" si="286"/>
        <v>50</v>
      </c>
      <c r="CV63" s="17">
        <f t="shared" si="287"/>
        <v>65.062647806544774</v>
      </c>
      <c r="CW63" s="17">
        <f t="shared" si="288"/>
        <v>-38.657874776480099</v>
      </c>
      <c r="CX63" s="17">
        <f t="shared" si="226"/>
        <v>-4518.1670400000012</v>
      </c>
      <c r="CY63" s="17">
        <f t="shared" si="226"/>
        <v>-4518.1670400000012</v>
      </c>
      <c r="CZ63" s="17">
        <f t="shared" si="289"/>
        <v>352.80748800000009</v>
      </c>
      <c r="DA63" s="17">
        <f t="shared" si="290"/>
        <v>-1058.422464</v>
      </c>
      <c r="DB63" s="17">
        <f t="shared" si="291"/>
        <v>-26593.920000000002</v>
      </c>
      <c r="DC63" s="17">
        <f t="shared" si="292"/>
        <v>3412</v>
      </c>
      <c r="DD63" s="17">
        <f t="shared" si="293"/>
        <v>325.0946775999999</v>
      </c>
      <c r="DE63" s="17">
        <f t="shared" si="294"/>
        <v>17496.000000000007</v>
      </c>
      <c r="DF63" s="17">
        <f t="shared" si="295"/>
        <v>-4999.1409819648006</v>
      </c>
      <c r="DG63" s="17"/>
      <c r="DH63" s="17">
        <f t="shared" si="296"/>
        <v>-10514.941939202587</v>
      </c>
      <c r="DI63" s="17">
        <f t="shared" si="297"/>
        <v>-29573.274204007277</v>
      </c>
      <c r="DJ63" s="17">
        <f t="shared" si="298"/>
        <v>-2816.662228397638</v>
      </c>
      <c r="DK63" s="17">
        <f t="shared" si="299"/>
        <v>4200.8487853955194</v>
      </c>
      <c r="DL63" s="17">
        <f t="shared" si="300"/>
        <v>-15583.748320364797</v>
      </c>
      <c r="DM63" s="17">
        <f t="shared" si="301"/>
        <v>-38704.029586211982</v>
      </c>
      <c r="DN63" s="17">
        <f t="shared" si="302"/>
        <v>-54287.777906576783</v>
      </c>
    </row>
    <row r="64" spans="3:120" ht="18.600000000000001">
      <c r="C64" s="13">
        <f>IF(D64&lt;&gt;"",COUNTA($D$10:D64),"")</f>
        <v>49</v>
      </c>
      <c r="D64" s="14" t="s">
        <v>214</v>
      </c>
      <c r="E64" s="14">
        <v>2.2000000000000002</v>
      </c>
      <c r="F64" s="14">
        <v>2.8</v>
      </c>
      <c r="G64" s="14">
        <v>2.4</v>
      </c>
      <c r="H64" s="14">
        <v>2</v>
      </c>
      <c r="I64" s="14">
        <v>1</v>
      </c>
      <c r="J64" s="14">
        <v>1.75</v>
      </c>
      <c r="K64" s="14">
        <v>3</v>
      </c>
      <c r="L64" s="15">
        <v>0.1</v>
      </c>
      <c r="M64" s="15">
        <v>0</v>
      </c>
      <c r="N64" s="14">
        <v>24</v>
      </c>
      <c r="O64" s="14">
        <v>50</v>
      </c>
      <c r="P64" s="13">
        <v>45</v>
      </c>
      <c r="Q64" s="13">
        <v>85</v>
      </c>
      <c r="R64" s="13" t="s">
        <v>216</v>
      </c>
      <c r="S64" s="13">
        <v>150</v>
      </c>
      <c r="T64" s="13">
        <v>0</v>
      </c>
      <c r="U64" s="13">
        <v>100</v>
      </c>
      <c r="V64" s="13" t="str">
        <f t="shared" si="227"/>
        <v>GRADE A</v>
      </c>
      <c r="W64" s="13">
        <f t="shared" si="228"/>
        <v>150</v>
      </c>
      <c r="X64" s="16">
        <f t="shared" si="229"/>
        <v>66.281599999999997</v>
      </c>
      <c r="Y64" s="16">
        <f t="shared" si="230"/>
        <v>521.76875519999999</v>
      </c>
      <c r="Z64" s="16">
        <f t="shared" si="231"/>
        <v>1304.4218880000001</v>
      </c>
      <c r="AA64" s="16">
        <f t="shared" si="232"/>
        <v>130.44218880000003</v>
      </c>
      <c r="AB64" s="16">
        <f t="shared" si="233"/>
        <v>0</v>
      </c>
      <c r="AC64" s="16">
        <f t="shared" si="234"/>
        <v>11.999651924395165</v>
      </c>
      <c r="AD64" s="16">
        <f t="shared" si="303"/>
        <v>2850</v>
      </c>
      <c r="AE64" s="16">
        <f t="shared" si="236"/>
        <v>2850</v>
      </c>
      <c r="AF64" s="16">
        <f t="shared" si="237"/>
        <v>30</v>
      </c>
      <c r="AG64" s="16">
        <f t="shared" si="238"/>
        <v>9.5</v>
      </c>
      <c r="AH64" s="838" t="s">
        <v>84</v>
      </c>
      <c r="AI64" s="17">
        <f t="shared" si="239"/>
        <v>5</v>
      </c>
      <c r="AJ64" s="17">
        <f t="shared" si="240"/>
        <v>9.5</v>
      </c>
      <c r="AK64" s="891"/>
      <c r="AL64" s="18"/>
      <c r="AM64" s="889"/>
      <c r="AN64" s="891"/>
      <c r="AO64" s="888"/>
      <c r="AP64" s="891"/>
      <c r="AQ64" s="891"/>
      <c r="AR64" s="889"/>
      <c r="AS64" s="888"/>
      <c r="AT64" s="888"/>
      <c r="AU64" s="890"/>
      <c r="AV64" s="888"/>
      <c r="AW64" s="888"/>
      <c r="AX64" s="888"/>
      <c r="AY64" s="887"/>
      <c r="AZ64" s="888"/>
      <c r="BA64" s="17">
        <f t="shared" si="241"/>
        <v>14.399999999999991</v>
      </c>
      <c r="BB64" s="17">
        <f t="shared" si="242"/>
        <v>37.799999999999997</v>
      </c>
      <c r="BC64" s="17">
        <f t="shared" si="243"/>
        <v>32</v>
      </c>
      <c r="BD64" s="17">
        <f t="shared" si="244"/>
        <v>85</v>
      </c>
      <c r="BE64" s="17">
        <f t="shared" si="245"/>
        <v>180.86341983910182</v>
      </c>
      <c r="BF64" s="17">
        <f t="shared" si="246"/>
        <v>24</v>
      </c>
      <c r="BG64" s="17">
        <f t="shared" si="247"/>
        <v>50</v>
      </c>
      <c r="BH64" s="17">
        <f t="shared" si="248"/>
        <v>65.062647806544774</v>
      </c>
      <c r="BI64" s="17">
        <f t="shared" si="249"/>
        <v>115.80077203255705</v>
      </c>
      <c r="BJ64" s="17">
        <f t="shared" si="250"/>
        <v>45</v>
      </c>
      <c r="BK64" s="17">
        <f t="shared" si="251"/>
        <v>85</v>
      </c>
      <c r="BL64" s="17">
        <f t="shared" si="252"/>
        <v>380.54120080897206</v>
      </c>
      <c r="BM64" s="17">
        <f t="shared" si="253"/>
        <v>24</v>
      </c>
      <c r="BN64" s="17">
        <f t="shared" si="254"/>
        <v>50</v>
      </c>
      <c r="BO64" s="17">
        <f t="shared" si="255"/>
        <v>65.062647806544774</v>
      </c>
      <c r="BP64" s="17">
        <f t="shared" si="256"/>
        <v>315.4785530024273</v>
      </c>
      <c r="BQ64" s="17">
        <f t="shared" si="257"/>
        <v>4392.6624000000002</v>
      </c>
      <c r="BR64" s="17">
        <f t="shared" si="258"/>
        <v>1673.3951999999992</v>
      </c>
      <c r="BS64" s="17">
        <f t="shared" si="259"/>
        <v>429.50476799999973</v>
      </c>
      <c r="BT64" s="17">
        <f t="shared" si="260"/>
        <v>1127.4500159999998</v>
      </c>
      <c r="BU64" s="17">
        <f t="shared" si="261"/>
        <v>23269.68</v>
      </c>
      <c r="BV64" s="17">
        <f t="shared" si="262"/>
        <v>3412</v>
      </c>
      <c r="BW64" s="17">
        <f t="shared" si="263"/>
        <v>395.76743359999995</v>
      </c>
      <c r="BX64" s="17">
        <f t="shared" si="264"/>
        <v>17495.999999999989</v>
      </c>
      <c r="BY64" s="17">
        <f t="shared" si="265"/>
        <v>5325.1719155712008</v>
      </c>
      <c r="BZ64" s="17"/>
      <c r="CA64" s="17">
        <f t="shared" si="266"/>
        <v>85810.166416660228</v>
      </c>
      <c r="CB64" s="17">
        <f t="shared" si="267"/>
        <v>241341.0930468569</v>
      </c>
      <c r="CC64" s="17">
        <f t="shared" si="268"/>
        <v>27983.164821703536</v>
      </c>
      <c r="CD64" s="17">
        <f t="shared" si="269"/>
        <v>251848.48339533183</v>
      </c>
      <c r="CE64" s="17">
        <f t="shared" si="270"/>
        <v>54291.281749171183</v>
      </c>
      <c r="CF64" s="17">
        <f t="shared" si="271"/>
        <v>606982.90768055245</v>
      </c>
      <c r="CG64" s="17">
        <f t="shared" si="272"/>
        <v>661274.18942972366</v>
      </c>
      <c r="CH64" s="17">
        <f t="shared" si="273"/>
        <v>14.400000000000006</v>
      </c>
      <c r="CI64" s="17">
        <f t="shared" si="274"/>
        <v>-43.2</v>
      </c>
      <c r="CJ64" s="17">
        <f t="shared" si="275"/>
        <v>16</v>
      </c>
      <c r="CK64" s="17">
        <f t="shared" si="276"/>
        <v>90</v>
      </c>
      <c r="CL64" s="17">
        <f t="shared" si="277"/>
        <v>71.46880726181422</v>
      </c>
      <c r="CM64" s="17">
        <f t="shared" si="278"/>
        <v>24</v>
      </c>
      <c r="CN64" s="17">
        <f t="shared" si="279"/>
        <v>50</v>
      </c>
      <c r="CO64" s="17">
        <f t="shared" si="280"/>
        <v>65.062647806544774</v>
      </c>
      <c r="CP64" s="17">
        <f t="shared" si="281"/>
        <v>6.4061594552694459</v>
      </c>
      <c r="CQ64" s="17">
        <f t="shared" si="282"/>
        <v>0</v>
      </c>
      <c r="CR64" s="17">
        <f t="shared" si="283"/>
        <v>100</v>
      </c>
      <c r="CS64" s="17">
        <f t="shared" si="284"/>
        <v>26.404773030064671</v>
      </c>
      <c r="CT64" s="17">
        <f t="shared" si="285"/>
        <v>24</v>
      </c>
      <c r="CU64" s="17">
        <f t="shared" si="286"/>
        <v>50</v>
      </c>
      <c r="CV64" s="17">
        <f t="shared" si="287"/>
        <v>65.062647806544774</v>
      </c>
      <c r="CW64" s="17">
        <f t="shared" si="288"/>
        <v>-38.657874776480099</v>
      </c>
      <c r="CX64" s="17">
        <f t="shared" si="226"/>
        <v>-5020.1856000000007</v>
      </c>
      <c r="CY64" s="17">
        <f t="shared" si="226"/>
        <v>-5020.1856000000007</v>
      </c>
      <c r="CZ64" s="17">
        <f t="shared" si="289"/>
        <v>429.50476800000018</v>
      </c>
      <c r="DA64" s="17">
        <f t="shared" si="290"/>
        <v>-1288.514304</v>
      </c>
      <c r="DB64" s="17">
        <f t="shared" si="291"/>
        <v>-26593.920000000002</v>
      </c>
      <c r="DC64" s="17">
        <f t="shared" si="292"/>
        <v>3412</v>
      </c>
      <c r="DD64" s="17">
        <f t="shared" si="293"/>
        <v>395.76743359999995</v>
      </c>
      <c r="DE64" s="17">
        <f t="shared" si="294"/>
        <v>17496.000000000007</v>
      </c>
      <c r="DF64" s="17">
        <f t="shared" si="295"/>
        <v>-6085.9107606528014</v>
      </c>
      <c r="DG64" s="17"/>
      <c r="DH64" s="17">
        <f t="shared" si="296"/>
        <v>-10514.941939202587</v>
      </c>
      <c r="DI64" s="17">
        <f t="shared" si="297"/>
        <v>-29573.274204007277</v>
      </c>
      <c r="DJ64" s="17">
        <f t="shared" si="298"/>
        <v>-3428.9801041362557</v>
      </c>
      <c r="DK64" s="17">
        <f t="shared" si="299"/>
        <v>5114.0767822206335</v>
      </c>
      <c r="DL64" s="17">
        <f t="shared" si="300"/>
        <v>-17255.2584630528</v>
      </c>
      <c r="DM64" s="17">
        <f t="shared" si="301"/>
        <v>-38403.119465125492</v>
      </c>
      <c r="DN64" s="17">
        <f t="shared" si="302"/>
        <v>-55658.377928178292</v>
      </c>
    </row>
    <row r="65" spans="3:120" ht="18.600000000000001">
      <c r="C65" s="13">
        <f>IF(D65&lt;&gt;"",COUNTA($D$10:D65),"")</f>
        <v>50</v>
      </c>
      <c r="D65" s="14" t="s">
        <v>215</v>
      </c>
      <c r="E65" s="14">
        <v>2.8</v>
      </c>
      <c r="F65" s="14">
        <v>2.4</v>
      </c>
      <c r="G65" s="14">
        <v>2.4</v>
      </c>
      <c r="H65" s="14">
        <v>2</v>
      </c>
      <c r="I65" s="14">
        <v>1</v>
      </c>
      <c r="J65" s="14">
        <v>1.75</v>
      </c>
      <c r="K65" s="14">
        <v>3</v>
      </c>
      <c r="L65" s="15">
        <v>0.1</v>
      </c>
      <c r="M65" s="15">
        <v>0</v>
      </c>
      <c r="N65" s="14">
        <v>24</v>
      </c>
      <c r="O65" s="14">
        <v>50</v>
      </c>
      <c r="P65" s="13">
        <v>45</v>
      </c>
      <c r="Q65" s="13">
        <v>85</v>
      </c>
      <c r="R65" s="13" t="s">
        <v>216</v>
      </c>
      <c r="S65" s="13">
        <v>150</v>
      </c>
      <c r="T65" s="13">
        <v>0</v>
      </c>
      <c r="U65" s="13">
        <v>100</v>
      </c>
      <c r="V65" s="13" t="str">
        <f t="shared" si="227"/>
        <v>GRADE A</v>
      </c>
      <c r="W65" s="13">
        <f t="shared" si="228"/>
        <v>150</v>
      </c>
      <c r="X65" s="16">
        <f t="shared" si="229"/>
        <v>72.307199999999995</v>
      </c>
      <c r="Y65" s="16">
        <f t="shared" si="230"/>
        <v>569.20227839999995</v>
      </c>
      <c r="Z65" s="16">
        <f t="shared" si="231"/>
        <v>1423.0056959999999</v>
      </c>
      <c r="AA65" s="16">
        <f t="shared" si="232"/>
        <v>142.30056959999999</v>
      </c>
      <c r="AB65" s="16">
        <f t="shared" si="233"/>
        <v>0</v>
      </c>
      <c r="AC65" s="16">
        <f t="shared" si="234"/>
        <v>13.090529372067449</v>
      </c>
      <c r="AD65" s="16">
        <f t="shared" si="303"/>
        <v>2950</v>
      </c>
      <c r="AE65" s="16">
        <f t="shared" si="236"/>
        <v>2950</v>
      </c>
      <c r="AF65" s="16">
        <f t="shared" si="237"/>
        <v>30</v>
      </c>
      <c r="AG65" s="16">
        <f t="shared" si="238"/>
        <v>10</v>
      </c>
      <c r="AH65" s="838" t="s">
        <v>84</v>
      </c>
      <c r="AI65" s="17">
        <f t="shared" si="239"/>
        <v>5</v>
      </c>
      <c r="AJ65" s="17">
        <f t="shared" si="240"/>
        <v>10</v>
      </c>
      <c r="AK65" s="891"/>
      <c r="AL65" s="18"/>
      <c r="AM65" s="889"/>
      <c r="AN65" s="891"/>
      <c r="AO65" s="888"/>
      <c r="AP65" s="891"/>
      <c r="AQ65" s="891"/>
      <c r="AR65" s="889"/>
      <c r="AS65" s="888"/>
      <c r="AT65" s="888"/>
      <c r="AU65" s="890"/>
      <c r="AV65" s="888"/>
      <c r="AW65" s="888"/>
      <c r="AX65" s="888"/>
      <c r="AY65" s="887"/>
      <c r="AZ65" s="888"/>
      <c r="BA65" s="17">
        <f t="shared" si="241"/>
        <v>14.399999999999991</v>
      </c>
      <c r="BB65" s="17">
        <f t="shared" si="242"/>
        <v>37.799999999999997</v>
      </c>
      <c r="BC65" s="17">
        <f t="shared" si="243"/>
        <v>32</v>
      </c>
      <c r="BD65" s="17">
        <f t="shared" si="244"/>
        <v>85</v>
      </c>
      <c r="BE65" s="17">
        <f t="shared" si="245"/>
        <v>180.86341983910182</v>
      </c>
      <c r="BF65" s="17">
        <f t="shared" si="246"/>
        <v>24</v>
      </c>
      <c r="BG65" s="17">
        <f t="shared" si="247"/>
        <v>50</v>
      </c>
      <c r="BH65" s="17">
        <f t="shared" si="248"/>
        <v>65.062647806544774</v>
      </c>
      <c r="BI65" s="17">
        <f t="shared" si="249"/>
        <v>115.80077203255705</v>
      </c>
      <c r="BJ65" s="17">
        <f t="shared" si="250"/>
        <v>45</v>
      </c>
      <c r="BK65" s="17">
        <f t="shared" si="251"/>
        <v>85</v>
      </c>
      <c r="BL65" s="17">
        <f t="shared" si="252"/>
        <v>380.54120080897206</v>
      </c>
      <c r="BM65" s="17">
        <f t="shared" si="253"/>
        <v>24</v>
      </c>
      <c r="BN65" s="17">
        <f t="shared" si="254"/>
        <v>50</v>
      </c>
      <c r="BO65" s="17">
        <f t="shared" si="255"/>
        <v>65.062647806544774</v>
      </c>
      <c r="BP65" s="17">
        <f t="shared" si="256"/>
        <v>315.4785530024273</v>
      </c>
      <c r="BQ65" s="17">
        <f t="shared" si="257"/>
        <v>4568.368895999999</v>
      </c>
      <c r="BR65" s="17">
        <f t="shared" si="258"/>
        <v>1740.331007999999</v>
      </c>
      <c r="BS65" s="17">
        <f t="shared" si="259"/>
        <v>468.55065599999972</v>
      </c>
      <c r="BT65" s="17">
        <f t="shared" si="260"/>
        <v>1229.9454719999999</v>
      </c>
      <c r="BU65" s="17">
        <f t="shared" si="261"/>
        <v>23269.68</v>
      </c>
      <c r="BV65" s="17">
        <f t="shared" si="262"/>
        <v>3412</v>
      </c>
      <c r="BW65" s="17">
        <f t="shared" si="263"/>
        <v>431.74629119999997</v>
      </c>
      <c r="BX65" s="17">
        <f t="shared" si="264"/>
        <v>17495.999999999989</v>
      </c>
      <c r="BY65" s="17">
        <f t="shared" si="265"/>
        <v>5809.2784533503991</v>
      </c>
      <c r="BZ65" s="17"/>
      <c r="CA65" s="17">
        <f t="shared" si="266"/>
        <v>85810.166416660228</v>
      </c>
      <c r="CB65" s="17">
        <f t="shared" si="267"/>
        <v>241341.0930468569</v>
      </c>
      <c r="CC65" s="17">
        <f t="shared" si="268"/>
        <v>30527.088896403853</v>
      </c>
      <c r="CD65" s="17">
        <f t="shared" si="269"/>
        <v>274743.80006763467</v>
      </c>
      <c r="CE65" s="17">
        <f t="shared" si="270"/>
        <v>54987.073640550392</v>
      </c>
      <c r="CF65" s="17">
        <f t="shared" si="271"/>
        <v>632422.14842755557</v>
      </c>
      <c r="CG65" s="17">
        <f t="shared" si="272"/>
        <v>687409.22206810594</v>
      </c>
      <c r="CH65" s="17">
        <f t="shared" si="273"/>
        <v>14.400000000000006</v>
      </c>
      <c r="CI65" s="17">
        <f t="shared" si="274"/>
        <v>-43.2</v>
      </c>
      <c r="CJ65" s="17">
        <f t="shared" si="275"/>
        <v>16</v>
      </c>
      <c r="CK65" s="17">
        <f t="shared" si="276"/>
        <v>90</v>
      </c>
      <c r="CL65" s="17">
        <f t="shared" si="277"/>
        <v>71.46880726181422</v>
      </c>
      <c r="CM65" s="17">
        <f t="shared" si="278"/>
        <v>24</v>
      </c>
      <c r="CN65" s="17">
        <f t="shared" si="279"/>
        <v>50</v>
      </c>
      <c r="CO65" s="17">
        <f t="shared" si="280"/>
        <v>65.062647806544774</v>
      </c>
      <c r="CP65" s="17">
        <f t="shared" si="281"/>
        <v>6.4061594552694459</v>
      </c>
      <c r="CQ65" s="17">
        <f t="shared" si="282"/>
        <v>0</v>
      </c>
      <c r="CR65" s="17">
        <f t="shared" si="283"/>
        <v>100</v>
      </c>
      <c r="CS65" s="17">
        <f t="shared" si="284"/>
        <v>26.404773030064671</v>
      </c>
      <c r="CT65" s="17">
        <f t="shared" si="285"/>
        <v>24</v>
      </c>
      <c r="CU65" s="17">
        <f t="shared" si="286"/>
        <v>50</v>
      </c>
      <c r="CV65" s="17">
        <f t="shared" si="287"/>
        <v>65.062647806544774</v>
      </c>
      <c r="CW65" s="17">
        <f t="shared" si="288"/>
        <v>-38.657874776480099</v>
      </c>
      <c r="CX65" s="17">
        <f t="shared" si="226"/>
        <v>-5220.9930240000003</v>
      </c>
      <c r="CY65" s="17">
        <f t="shared" si="226"/>
        <v>-5220.9930240000003</v>
      </c>
      <c r="CZ65" s="17">
        <f t="shared" si="289"/>
        <v>468.55065600000012</v>
      </c>
      <c r="DA65" s="17">
        <f t="shared" si="290"/>
        <v>-1405.6519680000001</v>
      </c>
      <c r="DB65" s="17">
        <f t="shared" si="291"/>
        <v>-26593.920000000002</v>
      </c>
      <c r="DC65" s="17">
        <f t="shared" si="292"/>
        <v>3412</v>
      </c>
      <c r="DD65" s="17">
        <f t="shared" si="293"/>
        <v>431.74629119999997</v>
      </c>
      <c r="DE65" s="17">
        <f t="shared" si="294"/>
        <v>17496.000000000007</v>
      </c>
      <c r="DF65" s="17">
        <f t="shared" si="295"/>
        <v>-6639.1753752576005</v>
      </c>
      <c r="DG65" s="17"/>
      <c r="DH65" s="17">
        <f t="shared" si="296"/>
        <v>-10514.941939202587</v>
      </c>
      <c r="DI65" s="17">
        <f t="shared" si="297"/>
        <v>-29573.274204007277</v>
      </c>
      <c r="DJ65" s="17">
        <f t="shared" si="298"/>
        <v>-3740.7055681486418</v>
      </c>
      <c r="DK65" s="17">
        <f t="shared" si="299"/>
        <v>5578.9928533315988</v>
      </c>
      <c r="DL65" s="17">
        <f t="shared" si="300"/>
        <v>-18051.443420057592</v>
      </c>
      <c r="DM65" s="17">
        <f t="shared" si="301"/>
        <v>-38249.928858026906</v>
      </c>
      <c r="DN65" s="17">
        <f t="shared" si="302"/>
        <v>-56301.372278084498</v>
      </c>
    </row>
    <row r="66" spans="3:120">
      <c r="C66" s="13" t="str">
        <f>IF(D66&lt;&gt;"",COUNTA($D$10:D66),"")</f>
        <v/>
      </c>
      <c r="D66" s="19"/>
      <c r="E66" s="19"/>
      <c r="F66" s="19"/>
      <c r="G66" s="19"/>
      <c r="H66" s="19"/>
      <c r="I66" s="19"/>
      <c r="J66" s="19"/>
      <c r="K66" s="19"/>
      <c r="L66" s="19"/>
      <c r="M66" s="19"/>
      <c r="N66" s="19"/>
      <c r="O66" s="19"/>
      <c r="P66" s="19"/>
      <c r="Q66" s="19"/>
      <c r="R66" s="19"/>
      <c r="S66" s="19"/>
      <c r="T66" s="19"/>
      <c r="U66" s="19"/>
      <c r="V66" s="19"/>
      <c r="W66" s="19"/>
      <c r="X66" s="20">
        <f>SUM(X50:X65)</f>
        <v>1144.1108000000002</v>
      </c>
      <c r="Y66" s="20">
        <f t="shared" ref="Y66" si="304">SUM(Y50:Y65)</f>
        <v>9006.4402175999985</v>
      </c>
      <c r="Z66" s="20">
        <f t="shared" ref="Z66" si="305">SUM(Z50:Z65)</f>
        <v>22516.100544000001</v>
      </c>
      <c r="AA66" s="20">
        <f t="shared" ref="AA66" si="306">SUM(AA50:AA65)</f>
        <v>2251.6100543999996</v>
      </c>
      <c r="AB66" s="20">
        <f t="shared" ref="AB66" si="307">SUM(AB50:AB65)</f>
        <v>0</v>
      </c>
      <c r="AC66" s="20">
        <f t="shared" ref="AC66" si="308">SUM(AC50:AC65)</f>
        <v>207.13035537677553</v>
      </c>
      <c r="AD66" s="20">
        <f t="shared" ref="AD66" si="309">SUM(AD50:AD65)</f>
        <v>46925</v>
      </c>
      <c r="AE66" s="20">
        <f t="shared" ref="AE66" si="310">SUM(AE50:AE65)</f>
        <v>46925</v>
      </c>
      <c r="AF66" s="20">
        <f t="shared" ref="AF66" si="311">SUM(AF50:AF65)</f>
        <v>484</v>
      </c>
      <c r="AG66" s="20">
        <f t="shared" ref="AG66" si="312">SUM(AG50:AG65)</f>
        <v>159</v>
      </c>
      <c r="AH66" s="841"/>
      <c r="AI66" s="20">
        <f t="shared" ref="AI66" si="313">SUM(AI50:AI65)</f>
        <v>78.5</v>
      </c>
      <c r="AJ66" s="20">
        <f t="shared" ref="AJ66" si="314">SUM(AJ50:AJ65)</f>
        <v>159</v>
      </c>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2"/>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row>
    <row r="67" spans="3:120">
      <c r="C67" s="13" t="str">
        <f>IF(D67&lt;&gt;"",COUNTA($D$10:D67),"")</f>
        <v/>
      </c>
    </row>
    <row r="68" spans="3:120" ht="29.1">
      <c r="C68" s="8" t="str">
        <f>"Zoning Area  AHU - " &amp; INT((ROW()-8)/20)+1 &amp; "  " &amp;IF(AQ70&gt;0,"Air-Conditioning System " &amp; IF(AH70="D","(DX)",IF(AH70="C","(Chilled Water)","")),IF(AND(N70="Amb",AQ70=0),"Ventilation System","Refer"))</f>
        <v>Zoning Area  AHU - 4  Air-Conditioning System (Chilled Water)</v>
      </c>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39"/>
      <c r="AI68" s="8"/>
      <c r="AJ68" s="8"/>
      <c r="AK68" s="8"/>
      <c r="AL68" s="8"/>
      <c r="AM68" s="8"/>
      <c r="AN68" s="8"/>
      <c r="AO68" s="8"/>
      <c r="AP68" s="8"/>
      <c r="AQ68" s="8"/>
      <c r="AR68" s="8"/>
      <c r="AS68" s="9" t="s">
        <v>221</v>
      </c>
      <c r="AT68" s="10"/>
      <c r="AU68" s="10"/>
      <c r="AV68" s="11"/>
      <c r="AW68" s="9" t="s">
        <v>222</v>
      </c>
      <c r="AX68" s="10"/>
      <c r="AY68" s="10"/>
      <c r="AZ68" s="11"/>
      <c r="BA68" s="12" t="s">
        <v>483</v>
      </c>
      <c r="BB68" s="12"/>
      <c r="BC68" s="12"/>
      <c r="BD68" s="12"/>
      <c r="BE68" s="12"/>
      <c r="BF68" s="12"/>
      <c r="BG68" s="12"/>
      <c r="BH68" s="12"/>
      <c r="BI68" s="12"/>
      <c r="BJ68" s="12"/>
      <c r="BK68" s="12"/>
      <c r="BL68" s="12"/>
      <c r="BM68" s="12"/>
      <c r="BN68" s="12"/>
      <c r="BO68" s="12"/>
      <c r="BP68" s="12"/>
      <c r="BQ68" s="9" t="s">
        <v>484</v>
      </c>
      <c r="BR68" s="10"/>
      <c r="BS68" s="10"/>
      <c r="BT68" s="10"/>
      <c r="BU68" s="10"/>
      <c r="BV68" s="10"/>
      <c r="BW68" s="10"/>
      <c r="BX68" s="10"/>
      <c r="BY68" s="10"/>
      <c r="BZ68" s="11"/>
      <c r="CA68" s="9" t="s">
        <v>485</v>
      </c>
      <c r="CB68" s="10"/>
      <c r="CC68" s="10"/>
      <c r="CD68" s="10"/>
      <c r="CE68" s="9" t="s">
        <v>486</v>
      </c>
      <c r="CF68" s="10"/>
      <c r="CG68" s="11"/>
      <c r="CH68" s="12" t="s">
        <v>487</v>
      </c>
      <c r="CI68" s="12"/>
      <c r="CJ68" s="12"/>
      <c r="CK68" s="12"/>
      <c r="CL68" s="12"/>
      <c r="CM68" s="12"/>
      <c r="CN68" s="12"/>
      <c r="CO68" s="12"/>
      <c r="CP68" s="12"/>
      <c r="CQ68" s="12"/>
      <c r="CR68" s="12"/>
      <c r="CS68" s="12"/>
      <c r="CT68" s="12"/>
      <c r="CU68" s="12"/>
      <c r="CV68" s="12"/>
      <c r="CW68" s="12"/>
      <c r="CX68" s="9" t="s">
        <v>488</v>
      </c>
      <c r="CY68" s="10"/>
      <c r="CZ68" s="10"/>
      <c r="DA68" s="10"/>
      <c r="DB68" s="10"/>
      <c r="DC68" s="10"/>
      <c r="DD68" s="10"/>
      <c r="DE68" s="10"/>
      <c r="DF68" s="10"/>
      <c r="DG68" s="11"/>
      <c r="DH68" s="9" t="s">
        <v>489</v>
      </c>
      <c r="DI68" s="10"/>
      <c r="DJ68" s="10"/>
      <c r="DK68" s="10"/>
      <c r="DL68" s="9"/>
      <c r="DM68" s="10"/>
      <c r="DN68" s="11"/>
      <c r="DO68" s="1"/>
      <c r="DP68" s="1"/>
    </row>
    <row r="69" spans="3:120" ht="120" customHeight="1">
      <c r="C69" s="13">
        <f>IF(D69&lt;&gt;"",COUNTA($D$10:D69),"")</f>
        <v>51</v>
      </c>
      <c r="D69" s="5" t="s">
        <v>165</v>
      </c>
      <c r="E69" s="5" t="s">
        <v>166</v>
      </c>
      <c r="F69" s="5" t="s">
        <v>167</v>
      </c>
      <c r="G69" s="5" t="s">
        <v>168</v>
      </c>
      <c r="H69" s="5" t="s">
        <v>169</v>
      </c>
      <c r="I69" s="5" t="s">
        <v>170</v>
      </c>
      <c r="J69" s="5" t="s">
        <v>171</v>
      </c>
      <c r="K69" s="5" t="s">
        <v>172</v>
      </c>
      <c r="L69" s="5" t="s">
        <v>173</v>
      </c>
      <c r="M69" s="5" t="s">
        <v>174</v>
      </c>
      <c r="N69" s="5" t="s">
        <v>175</v>
      </c>
      <c r="O69" s="5" t="s">
        <v>176</v>
      </c>
      <c r="P69" s="5" t="s">
        <v>177</v>
      </c>
      <c r="Q69" s="5" t="s">
        <v>178</v>
      </c>
      <c r="R69" s="5" t="s">
        <v>199</v>
      </c>
      <c r="S69" s="5" t="s">
        <v>180</v>
      </c>
      <c r="T69" s="5" t="s">
        <v>223</v>
      </c>
      <c r="U69" s="5" t="s">
        <v>224</v>
      </c>
      <c r="V69" s="5" t="s">
        <v>199</v>
      </c>
      <c r="W69" s="5" t="s">
        <v>180</v>
      </c>
      <c r="X69" s="5" t="s">
        <v>225</v>
      </c>
      <c r="Y69" s="5" t="s">
        <v>226</v>
      </c>
      <c r="Z69" s="5" t="s">
        <v>227</v>
      </c>
      <c r="AA69" s="5" t="s">
        <v>228</v>
      </c>
      <c r="AB69" s="5" t="s">
        <v>229</v>
      </c>
      <c r="AC69" s="5" t="s">
        <v>230</v>
      </c>
      <c r="AD69" s="5" t="s">
        <v>231</v>
      </c>
      <c r="AE69" s="5" t="s">
        <v>232</v>
      </c>
      <c r="AF69" s="6" t="s">
        <v>233</v>
      </c>
      <c r="AG69" s="6" t="s">
        <v>234</v>
      </c>
      <c r="AH69" s="6" t="s">
        <v>235</v>
      </c>
      <c r="AI69" s="5" t="s">
        <v>236</v>
      </c>
      <c r="AJ69" s="5" t="s">
        <v>237</v>
      </c>
      <c r="AK69" s="5" t="s">
        <v>238</v>
      </c>
      <c r="AL69" s="5" t="s">
        <v>239</v>
      </c>
      <c r="AM69" s="5" t="s">
        <v>240</v>
      </c>
      <c r="AN69" s="5" t="s">
        <v>241</v>
      </c>
      <c r="AO69" s="5" t="s">
        <v>242</v>
      </c>
      <c r="AP69" s="5" t="s">
        <v>243</v>
      </c>
      <c r="AQ69" s="5" t="s">
        <v>244</v>
      </c>
      <c r="AR69" s="5" t="s">
        <v>245</v>
      </c>
      <c r="AS69" s="5" t="s">
        <v>246</v>
      </c>
      <c r="AT69" s="5" t="s">
        <v>247</v>
      </c>
      <c r="AU69" s="5" t="s">
        <v>248</v>
      </c>
      <c r="AV69" s="5" t="s">
        <v>249</v>
      </c>
      <c r="AW69" s="5" t="s">
        <v>250</v>
      </c>
      <c r="AX69" s="5" t="s">
        <v>251</v>
      </c>
      <c r="AY69" s="5" t="s">
        <v>252</v>
      </c>
      <c r="AZ69" s="5" t="s">
        <v>253</v>
      </c>
      <c r="BA69" s="5" t="s">
        <v>490</v>
      </c>
      <c r="BB69" s="5" t="s">
        <v>491</v>
      </c>
      <c r="BC69" s="5" t="s">
        <v>492</v>
      </c>
      <c r="BD69" s="5" t="s">
        <v>493</v>
      </c>
      <c r="BE69" s="5" t="s">
        <v>494</v>
      </c>
      <c r="BF69" s="5" t="s">
        <v>492</v>
      </c>
      <c r="BG69" s="5" t="s">
        <v>493</v>
      </c>
      <c r="BH69" s="5" t="s">
        <v>495</v>
      </c>
      <c r="BI69" s="5" t="s">
        <v>496</v>
      </c>
      <c r="BJ69" s="5" t="s">
        <v>492</v>
      </c>
      <c r="BK69" s="5" t="s">
        <v>493</v>
      </c>
      <c r="BL69" s="5" t="s">
        <v>497</v>
      </c>
      <c r="BM69" s="5" t="s">
        <v>492</v>
      </c>
      <c r="BN69" s="5" t="s">
        <v>493</v>
      </c>
      <c r="BO69" s="5" t="s">
        <v>495</v>
      </c>
      <c r="BP69" s="5" t="s">
        <v>498</v>
      </c>
      <c r="BQ69" s="5" t="s">
        <v>499</v>
      </c>
      <c r="BR69" s="5" t="s">
        <v>500</v>
      </c>
      <c r="BS69" s="5" t="s">
        <v>501</v>
      </c>
      <c r="BT69" s="5" t="s">
        <v>502</v>
      </c>
      <c r="BU69" s="5" t="s">
        <v>503</v>
      </c>
      <c r="BV69" s="5" t="s">
        <v>504</v>
      </c>
      <c r="BW69" s="5" t="s">
        <v>505</v>
      </c>
      <c r="BX69" s="5" t="s">
        <v>506</v>
      </c>
      <c r="BY69" s="5" t="s">
        <v>173</v>
      </c>
      <c r="BZ69" s="5" t="s">
        <v>174</v>
      </c>
      <c r="CA69" s="5" t="s">
        <v>503</v>
      </c>
      <c r="CB69" s="5" t="s">
        <v>507</v>
      </c>
      <c r="CC69" s="5" t="s">
        <v>173</v>
      </c>
      <c r="CD69" s="5" t="s">
        <v>508</v>
      </c>
      <c r="CE69" s="7" t="s">
        <v>509</v>
      </c>
      <c r="CF69" s="7" t="s">
        <v>510</v>
      </c>
      <c r="CG69" s="7" t="s">
        <v>511</v>
      </c>
      <c r="CH69" s="5" t="s">
        <v>512</v>
      </c>
      <c r="CI69" s="5" t="s">
        <v>513</v>
      </c>
      <c r="CJ69" s="5" t="s">
        <v>492</v>
      </c>
      <c r="CK69" s="5" t="s">
        <v>493</v>
      </c>
      <c r="CL69" s="5" t="s">
        <v>494</v>
      </c>
      <c r="CM69" s="5" t="s">
        <v>492</v>
      </c>
      <c r="CN69" s="5" t="s">
        <v>493</v>
      </c>
      <c r="CO69" s="5" t="s">
        <v>495</v>
      </c>
      <c r="CP69" s="5" t="s">
        <v>496</v>
      </c>
      <c r="CQ69" s="5" t="s">
        <v>492</v>
      </c>
      <c r="CR69" s="5" t="s">
        <v>493</v>
      </c>
      <c r="CS69" s="5" t="s">
        <v>497</v>
      </c>
      <c r="CT69" s="5" t="s">
        <v>492</v>
      </c>
      <c r="CU69" s="5" t="s">
        <v>493</v>
      </c>
      <c r="CV69" s="5" t="s">
        <v>495</v>
      </c>
      <c r="CW69" s="5" t="s">
        <v>498</v>
      </c>
      <c r="CX69" s="5" t="s">
        <v>499</v>
      </c>
      <c r="CY69" s="5" t="s">
        <v>500</v>
      </c>
      <c r="CZ69" s="5" t="s">
        <v>501</v>
      </c>
      <c r="DA69" s="5" t="s">
        <v>502</v>
      </c>
      <c r="DB69" s="5" t="s">
        <v>503</v>
      </c>
      <c r="DC69" s="5" t="s">
        <v>504</v>
      </c>
      <c r="DD69" s="5" t="s">
        <v>505</v>
      </c>
      <c r="DE69" s="5" t="s">
        <v>506</v>
      </c>
      <c r="DF69" s="5" t="s">
        <v>173</v>
      </c>
      <c r="DG69" s="5" t="s">
        <v>174</v>
      </c>
      <c r="DH69" s="5" t="s">
        <v>503</v>
      </c>
      <c r="DI69" s="5" t="s">
        <v>507</v>
      </c>
      <c r="DJ69" s="5" t="s">
        <v>173</v>
      </c>
      <c r="DK69" s="5" t="s">
        <v>508</v>
      </c>
      <c r="DL69" s="7" t="s">
        <v>509</v>
      </c>
      <c r="DM69" s="7" t="s">
        <v>510</v>
      </c>
      <c r="DN69" s="7" t="s">
        <v>511</v>
      </c>
      <c r="DO69" s="2"/>
      <c r="DP69" s="2"/>
    </row>
    <row r="70" spans="3:120" ht="18.600000000000001" customHeight="1">
      <c r="C70" s="13">
        <f>IF(D70&lt;&gt;"",COUNTA($D$10:D70),"")</f>
        <v>52</v>
      </c>
      <c r="D70" s="14" t="s">
        <v>200</v>
      </c>
      <c r="E70" s="14">
        <v>3</v>
      </c>
      <c r="F70" s="14">
        <v>3</v>
      </c>
      <c r="G70" s="14">
        <v>2.4</v>
      </c>
      <c r="H70" s="14">
        <v>1</v>
      </c>
      <c r="I70" s="14">
        <v>2</v>
      </c>
      <c r="J70" s="14">
        <v>1.75</v>
      </c>
      <c r="K70" s="14">
        <v>3</v>
      </c>
      <c r="L70" s="15">
        <v>0.1</v>
      </c>
      <c r="M70" s="15">
        <v>0</v>
      </c>
      <c r="N70" s="14">
        <v>24</v>
      </c>
      <c r="O70" s="14">
        <v>50</v>
      </c>
      <c r="P70" s="13">
        <v>45</v>
      </c>
      <c r="Q70" s="13">
        <v>85</v>
      </c>
      <c r="R70" s="13" t="s">
        <v>217</v>
      </c>
      <c r="S70" s="13">
        <v>80</v>
      </c>
      <c r="T70" s="13">
        <v>0</v>
      </c>
      <c r="U70" s="13">
        <v>100</v>
      </c>
      <c r="V70" s="13" t="str">
        <f>R70</f>
        <v>10K</v>
      </c>
      <c r="W70" s="13">
        <f>S70</f>
        <v>80</v>
      </c>
      <c r="X70" s="16">
        <f>E70*F70*10.76</f>
        <v>96.84</v>
      </c>
      <c r="Y70" s="16">
        <f>X70*G70*3.28</f>
        <v>762.32447999999999</v>
      </c>
      <c r="Z70" s="16">
        <f>Y70*S70/60</f>
        <v>1016.4326400000001</v>
      </c>
      <c r="AA70" s="16">
        <f>Z70*L70</f>
        <v>101.64326400000002</v>
      </c>
      <c r="AB70" s="16">
        <f>IF(N70="Amb",Z70,Z70*M70)</f>
        <v>0</v>
      </c>
      <c r="AC70" s="16">
        <f>IF(ISNUMBER(N70), (AA70*0.075*60/2.20462)*BP70/7000, "Ambient")</f>
        <v>9.3503781229053242</v>
      </c>
      <c r="AD70" s="16">
        <f>IF(ISNUMBER(N70), CEILING(CF70/(0.68*BP70),25), "Ambient")</f>
        <v>2350</v>
      </c>
      <c r="AE70" s="16">
        <f>CEILING(MAX((Z70+AA70),AD70),25)</f>
        <v>2350</v>
      </c>
      <c r="AF70" s="16">
        <f>CEILING(IF(OR($R70="ISO 6",$R70="GRADE B",$R70="1K",$R70=1000),AE70*1/175,IF(OR($R70="ISO 5",$R70="GRADE A",$R70=100),AE70*1/100,IF(OR($R70="ISO 7",$R70="GRADE C",$R70="10K",$R70=10000),$AE70*1/250,IF(OR($R70="ISO 8",$R70="GRADE D",$R70="100K",$R70=100000),$AE70*1/250,IF(OR($R70="NC",$R70="20 Micron",$R70="5 Micron",$R70="N C"),$AE70*1/350,0))))),2)</f>
        <v>10</v>
      </c>
      <c r="AG70" s="16">
        <f>IF(ISNUMBER(N70), CEILING(MAX(AI70,AJ70),0.5), "Ambient")</f>
        <v>6</v>
      </c>
      <c r="AH70" s="838" t="s">
        <v>85</v>
      </c>
      <c r="AI70" s="17">
        <f>IF(ISNUMBER(N70), CEILING(CE70/12000,0.5), "Ambient")</f>
        <v>4</v>
      </c>
      <c r="AJ70" s="17">
        <f>IF(ISNUMBER(N70),CEILING(AE70/(IF(AH70="C",400,300)),0.5), "Ambient")</f>
        <v>6</v>
      </c>
      <c r="AK70" s="891">
        <f>CEILING(SUM(AE70:AE85),250)</f>
        <v>36500</v>
      </c>
      <c r="AL70" s="18" t="s">
        <v>254</v>
      </c>
      <c r="AM70" s="889">
        <v>150</v>
      </c>
      <c r="AN70" s="891">
        <f>IF(AK70&lt;=1300,200,IF(AK70&lt;=1600,225,IF(AK70&lt;=2100,250,IF(AK70&lt;=2700,280,IF(AK70&lt;=3450,315,IF(AK70&lt;=4250,355,IF(AK70&lt;=5250,400,IF(AK70&lt;=6750,450,IF(AK70&lt;=8500,500,IF(AK70&lt;=10750,560,IF(AK70&lt;=13500,630,IF(AK70&lt;=17000,710,IF(AK70&lt;=21500,800,IF(AK70&lt;=27000,900,IF(AK70&lt;=34000,1000,IF(AK70&lt;=43000,1120,IF(AK70&lt;=49000,1200,IF(AK70&lt;=68000,1450,"Refer"))))))))))))))))))</f>
        <v>1120</v>
      </c>
      <c r="AO70" s="888">
        <f>IF(AK70*AM70/(6356*0.7*0.9*1.1*25.4)&lt;=1,1,IF(AK70*AM70/(6356*0.7*0.9*1.1*25.4)&lt;=1.5,1.5,IF(AK70*AM70/(6356*0.7*0.9*1.1*25.4)&lt;=2,2,IF(AK70*AM70/(6356*0.7*0.9*1.1*25.4)&lt;=3,3,IF(AK70*AM70/(6356*0.7*0.9*1.1*25.4)&lt;=5,5,IF(AK70*AM70/(6356*0.7*0.9*1.1*25.4)&lt;=7.5,7.5,IF(AK70*AM70/(6356*0.7*0.9*1.1*25.4)&lt;=10,10,IF(AK70*AM70/(6356*0.7*0.9*1.1*25.4)&lt;=12.5,12.5,IF(AK70*AM70/(6356*0.7*0.9*1.1*25.4)&lt;=15,15,IF(AK70*AM70/(6356*0.7*0.9*1.1*25.4)&lt;=20,20,IF(AK70*AM70/(6356*0.7*0.9*1.1*25.4)&lt;=25,25,IF(AK70*AM70/(6356*0.7*0.9*1.1*25.4)&lt;=30,30,IF(AK70*AM70/(6356*0.7*0.9*1.1*25.4)&lt;=40,40,IF(AK70*AM70/(6356*0.7*0.9*1.1*25.4)&lt;=50,50,IF(AK70*AM70/(6356*0.7*0.9*1.1*25.4)&lt;=60,60,IF(AK70*AM70/(6356*0.7*0.9*1.1*25.4)&lt;=75,75,"Refer"))))))))))))))))</f>
        <v>50</v>
      </c>
      <c r="AP70" s="891">
        <f>IF(AND(AQ70=0, N70="Amb"), "Amb",IF((AL71-250)*(AL73-150)*10.76/(1000*1000) &gt;= MAX(AI86,AJ86), 4,IF((AL71-250)*(AL73-150)*10.76*1.5/(1000*1000) &gt;= MAX(AI86,AJ86), 6,IF((AL71-250)*(AL73-150)*10.76*2/(1000*1000) &gt;= MAX(AI86,AJ86), 8, 0))
 )
)</f>
        <v>4</v>
      </c>
      <c r="AQ70" s="891">
        <f>AG86</f>
        <v>94</v>
      </c>
      <c r="AR70" s="889">
        <f>_xlfn.SWITCH(TRIM(UPPER(R70)),"ISO 9", 3,"ISO 8", 4,"Grade D", 4,"Class 100,000", 4,"Class 100K", 4,"ISO 7", 3,"Grade C", 3,"Class 10,000", 3,"Class 10K", 3,"ISO 6", 3,"Class 1,000", 3,"Class 1K", 3,"ISO 5", 4,"Grade A", 4,"Grade B", 4,"Class 100", 4,"ISO 4", 3,"ISO 3", 4,"ISO 2", 4,"ISO 1", 4,"NCV20",1,"NCV-10",2,"NCV-5",3,"NCAC-10",1,"NCAC-5",2,"NCAC-1",3,3)</f>
        <v>3</v>
      </c>
      <c r="AS70" s="888">
        <f>MAX(AI86,AJ86)*24/6</f>
        <v>376</v>
      </c>
      <c r="AT70" s="888">
        <f>AS70*0.06309</f>
        <v>23.721839999999997</v>
      </c>
      <c r="AU70" s="890">
        <v>2</v>
      </c>
      <c r="AV70" s="888">
        <f>SQRT((4*AS70*0.00006309)/(3.14*AU70))*1000</f>
        <v>122.92051183305152</v>
      </c>
      <c r="AW70" s="888"/>
      <c r="AX70" s="888"/>
      <c r="AY70" s="887"/>
      <c r="AZ70" s="888"/>
      <c r="BA70" s="17">
        <f>-CONVERT(N70,"C","F")+CONVERT((N70+8),"C","F")</f>
        <v>14.399999999999991</v>
      </c>
      <c r="BB70" s="17">
        <f>CONVERT(P70,"C","F")-CONVERT(N70,"C","F")</f>
        <v>37.799999999999997</v>
      </c>
      <c r="BC70" s="17">
        <f>N70+8</f>
        <v>32</v>
      </c>
      <c r="BD70" s="17">
        <f>BG70+35</f>
        <v>85</v>
      </c>
      <c r="BE70" s="17">
        <f>0.622*7000*(BD70/100)*(6.1078*10^((7.5*BC70)/(237.3+BC70)))/(1013.25-(6.1078*10^((7.5*BC70)/(237.3+BC70)))*BD70/100)</f>
        <v>180.86341983910182</v>
      </c>
      <c r="BF70" s="17">
        <f>N70</f>
        <v>24</v>
      </c>
      <c r="BG70" s="17">
        <f>O70</f>
        <v>50</v>
      </c>
      <c r="BH70" s="17">
        <f>0.622*7000*(BG70/100)*(6.1078*10^((7.5*BF70)/(237.3+BF70)))/(1013.25-(6.1078*10^((7.5*BF70)/(237.3+BF70)))*BG70/100)</f>
        <v>65.062647806544774</v>
      </c>
      <c r="BI70" s="17">
        <f>BE70-BH70</f>
        <v>115.80077203255705</v>
      </c>
      <c r="BJ70" s="17">
        <f>P70</f>
        <v>45</v>
      </c>
      <c r="BK70" s="17">
        <f>Q70</f>
        <v>85</v>
      </c>
      <c r="BL70" s="17">
        <f>0.622*7000*(BK70/100)*(6.1078*10^((7.5*BJ70)/(237.3+BJ70)))/(1013.25-(6.1078*10^((7.5*BJ70)/(237.3+BJ70)))*BK70/100)</f>
        <v>380.54120080897206</v>
      </c>
      <c r="BM70" s="17">
        <f>N70</f>
        <v>24</v>
      </c>
      <c r="BN70" s="17">
        <f>BG70</f>
        <v>50</v>
      </c>
      <c r="BO70" s="17">
        <f>0.622*7000*(BN70/100)*(6.1078*10^((7.5*BM70)/(237.3+BM70)))/(1013.25-(6.1078*10^((7.5*BM70)/(237.3+BM70)))*BN70/100)</f>
        <v>65.062647806544774</v>
      </c>
      <c r="BP70" s="17">
        <f>BL70-BO70</f>
        <v>315.4785530024273</v>
      </c>
      <c r="BQ70" s="17">
        <f>($E70*$G70*10.76*2+$F70*$G70*2*10.76)*$BB70*0.45</f>
        <v>5271.1948799999991</v>
      </c>
      <c r="BR70" s="17">
        <f>($E70*$G70*10.76*2+$F70*$G70*2*10.76)*$BA70*0.45</f>
        <v>2008.0742399999988</v>
      </c>
      <c r="BS70" s="17">
        <f>($E70*$F70*10.76)*$BA70*0.45</f>
        <v>627.52319999999963</v>
      </c>
      <c r="BT70" s="17">
        <f>($E70*$F70*10.76)*$BB70*0.45</f>
        <v>1647.2483999999999</v>
      </c>
      <c r="BU70" s="17">
        <f>$H70*285*1.08*$BB70</f>
        <v>11634.84</v>
      </c>
      <c r="BV70" s="17">
        <f>$I70*1000*3.412</f>
        <v>6824</v>
      </c>
      <c r="BW70" s="17">
        <f>$J70*$X70*3.412</f>
        <v>578.23163999999997</v>
      </c>
      <c r="BX70" s="17">
        <f>$K70*1.08*375*$BA70</f>
        <v>17495.999999999989</v>
      </c>
      <c r="BY70" s="17">
        <f>($AA70+$AB70)*1.08*$BB70</f>
        <v>4149.4846095360008</v>
      </c>
      <c r="BZ70" s="17"/>
      <c r="CA70" s="17">
        <f>$H70*200*0.68*$BP70</f>
        <v>42905.083208330114</v>
      </c>
      <c r="CB70" s="17">
        <f>$K70*375*0.68*$BP70</f>
        <v>241341.0930468569</v>
      </c>
      <c r="CC70" s="17">
        <f>($AA70+$AB70)*0.68*$BP70</f>
        <v>21805.063497431329</v>
      </c>
      <c r="CD70" s="17">
        <f>($Z70-$AA70)*0.68*$BP70</f>
        <v>196245.57147688195</v>
      </c>
      <c r="CE70" s="17">
        <f>$BQ70+$BU70+$BV70+$BW70+$BX70+$BY70</f>
        <v>45953.751129535987</v>
      </c>
      <c r="CF70" s="17">
        <f>$CA70+$CB70+$CC70+$CD70</f>
        <v>502296.81122950034</v>
      </c>
      <c r="CG70" s="17">
        <f>$CE70+$CF70</f>
        <v>548250.5623590363</v>
      </c>
      <c r="CH70" s="17">
        <f>CONVERT(N70,"C","F")-CONVERT((N70-8),"C","F")</f>
        <v>14.400000000000006</v>
      </c>
      <c r="CI70" s="17">
        <f>CONVERT(T70,"C","F")-CONVERT(N70,"C","F")</f>
        <v>-43.2</v>
      </c>
      <c r="CJ70" s="17">
        <f>CM70-8</f>
        <v>16</v>
      </c>
      <c r="CK70" s="17">
        <f>O70+40</f>
        <v>90</v>
      </c>
      <c r="CL70" s="17">
        <f>0.622*7000*(CK70/100)*(6.1078*10^((7.5*CJ70)/(237.3+CJ70)))/(1013.25-(6.1078*10^((7.5*CJ70)/(237.3+CJ70)))*CK70/100)</f>
        <v>71.46880726181422</v>
      </c>
      <c r="CM70" s="17">
        <f>N70</f>
        <v>24</v>
      </c>
      <c r="CN70" s="17">
        <f>O70</f>
        <v>50</v>
      </c>
      <c r="CO70" s="17">
        <f>0.622*7000*(CN70/100)*(6.1078*10^((7.5*CM70)/(237.3+CM70)))/(1013.25-(6.1078*10^((7.5*CM70)/(237.3+CM70)))*CN70/100)</f>
        <v>65.062647806544774</v>
      </c>
      <c r="CP70" s="17">
        <f>CL70-CO70</f>
        <v>6.4061594552694459</v>
      </c>
      <c r="CQ70" s="17">
        <f>T70</f>
        <v>0</v>
      </c>
      <c r="CR70" s="17">
        <f>U70</f>
        <v>100</v>
      </c>
      <c r="CS70" s="17">
        <f>0.622*7000*(CR70/100)*(6.1078*10^((7.5*CQ70)/(237.3+CQ70)))/(1013.25-(6.1078*10^((7.5*CQ70)/(237.3+CQ70)))*CR70/100)</f>
        <v>26.404773030064671</v>
      </c>
      <c r="CT70" s="17">
        <f>CM70</f>
        <v>24</v>
      </c>
      <c r="CU70" s="17">
        <f>O70</f>
        <v>50</v>
      </c>
      <c r="CV70" s="17">
        <f>0.622*7000*(CU70/100)*(6.1078*10^((7.5*CT70)/(237.3+CT70)))/(1013.25-(6.1078*10^((7.5*CT70)/(237.3+CT70)))*CU70/100)</f>
        <v>65.062647806544774</v>
      </c>
      <c r="CW70" s="17">
        <f>CS70-CV70</f>
        <v>-38.657874776480099</v>
      </c>
      <c r="CX70" s="17">
        <f t="shared" ref="CX70:CY85" si="315">($E70*$G70*10.76*2+$F70*$G70*2*10.76)*$CI70*0.45</f>
        <v>-6024.2227199999998</v>
      </c>
      <c r="CY70" s="17">
        <f t="shared" si="315"/>
        <v>-6024.2227199999998</v>
      </c>
      <c r="CZ70" s="17">
        <f>($E70*$F70*10.76)*$CH70*0.45</f>
        <v>627.52320000000032</v>
      </c>
      <c r="DA70" s="17">
        <f>($E70*$F70*10.76)*$CI70*0.45</f>
        <v>-1882.5696000000003</v>
      </c>
      <c r="DB70" s="17">
        <f>$H70*285*1.08*$CI70</f>
        <v>-13296.960000000001</v>
      </c>
      <c r="DC70" s="17">
        <f>$I70*1000*3.412</f>
        <v>6824</v>
      </c>
      <c r="DD70" s="17">
        <f>$J70*$X70*3.412</f>
        <v>578.23163999999997</v>
      </c>
      <c r="DE70" s="17">
        <f>$K70*1.08*375*$CH70</f>
        <v>17496.000000000007</v>
      </c>
      <c r="DF70" s="17">
        <f>($AA70+$AB70)*1.08*$CI70</f>
        <v>-4742.2681251840013</v>
      </c>
      <c r="DG70" s="17"/>
      <c r="DH70" s="17">
        <f>$H70*200*0.68*CW70</f>
        <v>-5257.4709696012933</v>
      </c>
      <c r="DI70" s="17">
        <f>$K70*375*0.68*CW70</f>
        <v>-29573.274204007277</v>
      </c>
      <c r="DJ70" s="17">
        <f>(AA70+AB70)*0.68*CW70</f>
        <v>-2671.932548677602</v>
      </c>
      <c r="DK70" s="17">
        <f>(Z70-AA70)*0.68*CP70</f>
        <v>3984.9948952368572</v>
      </c>
      <c r="DL70" s="17">
        <f>CX70+DA70+CZ70+DB70+DC70+DD70+DE70+DF70</f>
        <v>-420.26560518399401</v>
      </c>
      <c r="DM70" s="17">
        <f>DH70+DI70+DJ70+DK70</f>
        <v>-33517.682827049313</v>
      </c>
      <c r="DN70" s="17">
        <f>DL70+DM70</f>
        <v>-33937.948432233308</v>
      </c>
    </row>
    <row r="71" spans="3:120" ht="18.600000000000001">
      <c r="C71" s="13">
        <f>IF(D71&lt;&gt;"",COUNTA($D$10:D71),"")</f>
        <v>53</v>
      </c>
      <c r="D71" s="14" t="s">
        <v>201</v>
      </c>
      <c r="E71" s="14">
        <v>1.8</v>
      </c>
      <c r="F71" s="14">
        <v>2.2000000000000002</v>
      </c>
      <c r="G71" s="14">
        <v>2.4</v>
      </c>
      <c r="H71" s="14">
        <v>2</v>
      </c>
      <c r="I71" s="14">
        <v>1</v>
      </c>
      <c r="J71" s="14">
        <v>1.75</v>
      </c>
      <c r="K71" s="14">
        <v>3</v>
      </c>
      <c r="L71" s="15">
        <v>0.1</v>
      </c>
      <c r="M71" s="15">
        <v>0</v>
      </c>
      <c r="N71" s="14">
        <v>24</v>
      </c>
      <c r="O71" s="14">
        <v>50</v>
      </c>
      <c r="P71" s="13">
        <v>45</v>
      </c>
      <c r="Q71" s="13">
        <v>85</v>
      </c>
      <c r="R71" s="13" t="s">
        <v>217</v>
      </c>
      <c r="S71" s="13">
        <v>80</v>
      </c>
      <c r="T71" s="13">
        <v>0</v>
      </c>
      <c r="U71" s="13">
        <v>100</v>
      </c>
      <c r="V71" s="13" t="str">
        <f t="shared" ref="V71:V85" si="316">R71</f>
        <v>10K</v>
      </c>
      <c r="W71" s="13">
        <f t="shared" ref="W71:W85" si="317">S71</f>
        <v>80</v>
      </c>
      <c r="X71" s="16">
        <f t="shared" ref="X71:X85" si="318">E71*F71*10.76</f>
        <v>42.6096</v>
      </c>
      <c r="Y71" s="16">
        <f t="shared" ref="Y71:Y85" si="319">X71*G71*3.28</f>
        <v>335.4227712</v>
      </c>
      <c r="Z71" s="16">
        <f t="shared" ref="Z71:Z85" si="320">Y71*S71/60</f>
        <v>447.23036159999998</v>
      </c>
      <c r="AA71" s="16">
        <f t="shared" ref="AA71:AA85" si="321">Z71*L71</f>
        <v>44.723036159999999</v>
      </c>
      <c r="AB71" s="16">
        <f t="shared" ref="AB71:AB85" si="322">IF(N71="Amb",Z71,Z71*M71)</f>
        <v>0</v>
      </c>
      <c r="AC71" s="16">
        <f t="shared" ref="AC71:AC85" si="323">IF(ISNUMBER(N71), (AA71*0.075*60/2.20462)*BP71/7000, "Ambient")</f>
        <v>4.1141663740783407</v>
      </c>
      <c r="AD71" s="16">
        <f t="shared" ref="AD71:AD77" si="324">IF(ISNUMBER(N71), CEILING(CF71/(0.68*BP71),25), "Ambient")</f>
        <v>1975</v>
      </c>
      <c r="AE71" s="16">
        <f t="shared" ref="AE71:AE85" si="325">CEILING(MAX((Z71+AA71),AD71),25)</f>
        <v>1975</v>
      </c>
      <c r="AF71" s="16">
        <f t="shared" ref="AF71:AF85" si="326">CEILING(IF(OR($R71="ISO 6",$R71="GRADE B",$R71="1K",$R71=1000),AE71*1/175,IF(OR($R71="ISO 5",$R71="GRADE A",$R71=100),AE71*1/100,IF(OR($R71="ISO 7",$R71="GRADE C",$R71="10K",$R71=10000),$AE71*1/250,IF(OR($R71="ISO 8",$R71="GRADE D",$R71="100K",$R71=100000),$AE71*1/250,IF(OR($R71="NC",$R71="20 Micron",$R71="5 Micron",$R71="N C"),$AE71*1/350,0))))),2)</f>
        <v>8</v>
      </c>
      <c r="AG71" s="16">
        <f t="shared" ref="AG71:AG85" si="327">IF(ISNUMBER(N71), CEILING(MAX(AI71,AJ71),0.5), "Ambient")</f>
        <v>5</v>
      </c>
      <c r="AH71" s="838" t="s">
        <v>85</v>
      </c>
      <c r="AI71" s="17">
        <f t="shared" ref="AI71:AI85" si="328">IF(ISNUMBER(N71), CEILING(CE71/12000,0.5), "Ambient")</f>
        <v>4.5</v>
      </c>
      <c r="AJ71" s="17">
        <f t="shared" ref="AJ71:AJ85" si="329">IF(ISNUMBER(N71),CEILING(AE71/(IF(AH71="C",400,300)),0.5), "Ambient")</f>
        <v>5</v>
      </c>
      <c r="AK71" s="891"/>
      <c r="AL71" s="18">
        <f>IF(AK70&lt;=2000,950,(IF(AK70&lt;=3000,1150,(IF(AK70&lt;=8000,1550,(IF(AK70&lt;=10000,1750,(IF(AK70&lt;=18000,2050,(IF(AK70&lt;=32000,2900,(IF(AK70&lt;=40000,3600,4000)))))))))))))</f>
        <v>3600</v>
      </c>
      <c r="AM71" s="889"/>
      <c r="AN71" s="891"/>
      <c r="AO71" s="888"/>
      <c r="AP71" s="891"/>
      <c r="AQ71" s="891"/>
      <c r="AR71" s="889"/>
      <c r="AS71" s="888"/>
      <c r="AT71" s="888"/>
      <c r="AU71" s="890"/>
      <c r="AV71" s="888"/>
      <c r="AW71" s="888"/>
      <c r="AX71" s="888"/>
      <c r="AY71" s="887"/>
      <c r="AZ71" s="888"/>
      <c r="BA71" s="17">
        <f t="shared" ref="BA71:BA85" si="330">-CONVERT(N71,"C","F")+CONVERT((N71+8),"C","F")</f>
        <v>14.399999999999991</v>
      </c>
      <c r="BB71" s="17">
        <f t="shared" ref="BB71:BB85" si="331">CONVERT(P71,"C","F")-CONVERT(N71,"C","F")</f>
        <v>37.799999999999997</v>
      </c>
      <c r="BC71" s="17">
        <f t="shared" ref="BC71:BC85" si="332">BF71+8</f>
        <v>32</v>
      </c>
      <c r="BD71" s="17">
        <f t="shared" ref="BD71:BD85" si="333">BG71+35</f>
        <v>85</v>
      </c>
      <c r="BE71" s="17">
        <f t="shared" ref="BE71:BE85" si="334">0.622*7000*(BD71/100)*(6.1078*10^((7.5*BC71)/(237.3+BC71)))/(1013.25-(6.1078*10^((7.5*BC71)/(237.3+BC71)))*BD71/100)</f>
        <v>180.86341983910182</v>
      </c>
      <c r="BF71" s="17">
        <f t="shared" ref="BF71:BF85" si="335">N71</f>
        <v>24</v>
      </c>
      <c r="BG71" s="17">
        <f t="shared" ref="BG71:BG85" si="336">O71</f>
        <v>50</v>
      </c>
      <c r="BH71" s="17">
        <f t="shared" ref="BH71:BH85" si="337">0.622*7000*(BG71/100)*(6.1078*10^((7.5*BF71)/(237.3+BF71)))/(1013.25-(6.1078*10^((7.5*BF71)/(237.3+BF71)))*BG71/100)</f>
        <v>65.062647806544774</v>
      </c>
      <c r="BI71" s="17">
        <f t="shared" ref="BI71:BI85" si="338">BE71-BH71</f>
        <v>115.80077203255705</v>
      </c>
      <c r="BJ71" s="17">
        <f t="shared" ref="BJ71:BJ85" si="339">P71</f>
        <v>45</v>
      </c>
      <c r="BK71" s="17">
        <f t="shared" ref="BK71:BK85" si="340">Q71</f>
        <v>85</v>
      </c>
      <c r="BL71" s="17">
        <f t="shared" ref="BL71:BL85" si="341">0.622*7000*(BK71/100)*(6.1078*10^((7.5*BJ71)/(237.3+BJ71)))/(1013.25-(6.1078*10^((7.5*BJ71)/(237.3+BJ71)))*BK71/100)</f>
        <v>380.54120080897206</v>
      </c>
      <c r="BM71" s="17">
        <f t="shared" ref="BM71:BM85" si="342">BF71</f>
        <v>24</v>
      </c>
      <c r="BN71" s="17">
        <f t="shared" ref="BN71:BN85" si="343">BG71</f>
        <v>50</v>
      </c>
      <c r="BO71" s="17">
        <f t="shared" ref="BO71:BO85" si="344">0.622*7000*(BN71/100)*(6.1078*10^((7.5*BM71)/(237.3+BM71)))/(1013.25-(6.1078*10^((7.5*BM71)/(237.3+BM71)))*BN71/100)</f>
        <v>65.062647806544774</v>
      </c>
      <c r="BP71" s="17">
        <f t="shared" ref="BP71:BP85" si="345">BL71-BO71</f>
        <v>315.4785530024273</v>
      </c>
      <c r="BQ71" s="17">
        <f t="shared" ref="BQ71:BQ85" si="346">(E71*G71*10.76*2+F71*G71*2*10.76)*BB71*0.45</f>
        <v>3514.1299199999999</v>
      </c>
      <c r="BR71" s="17">
        <f t="shared" ref="BR71:BR85" si="347">(E71*G71*10.76*2+F71*G71*2*10.76)*BA71*0.45</f>
        <v>1338.7161599999993</v>
      </c>
      <c r="BS71" s="17">
        <f t="shared" ref="BS71:BS85" si="348">(E71*F71*10.76)*BA71*0.45</f>
        <v>276.11020799999983</v>
      </c>
      <c r="BT71" s="17">
        <f t="shared" ref="BT71:BT85" si="349">(E71*F71*10.76)*BB71*0.45</f>
        <v>724.78929599999992</v>
      </c>
      <c r="BU71" s="17">
        <f t="shared" ref="BU71:BU85" si="350">H71*285*1.08*BB71</f>
        <v>23269.68</v>
      </c>
      <c r="BV71" s="17">
        <f t="shared" ref="BV71:BV85" si="351">I71*1000*3.412</f>
        <v>3412</v>
      </c>
      <c r="BW71" s="17">
        <f t="shared" ref="BW71:BW85" si="352">J71*X71*3.412</f>
        <v>254.42192159999999</v>
      </c>
      <c r="BX71" s="17">
        <f t="shared" ref="BX71:BX85" si="353">K71*1.08*375*BA71</f>
        <v>17495.999999999989</v>
      </c>
      <c r="BY71" s="17">
        <f t="shared" ref="BY71:BY85" si="354">(AA71+AB71)*1.08*BB71</f>
        <v>1825.7732281958399</v>
      </c>
      <c r="BZ71" s="17"/>
      <c r="CA71" s="17">
        <f t="shared" ref="CA71:CA85" si="355">H71*200*0.68*BP71</f>
        <v>85810.166416660228</v>
      </c>
      <c r="CB71" s="17">
        <f t="shared" ref="CB71:CB85" si="356">K71*375*0.68*BP71</f>
        <v>241341.0930468569</v>
      </c>
      <c r="CC71" s="17">
        <f t="shared" ref="CC71:CC85" si="357">(AA71+AB71)*0.68*BP71</f>
        <v>9594.2279388697825</v>
      </c>
      <c r="CD71" s="17">
        <f t="shared" ref="CD71:CD85" si="358">($Z71-$AA71)*0.68*$BP71</f>
        <v>86348.051449828054</v>
      </c>
      <c r="CE71" s="17">
        <f t="shared" ref="CE71:CE85" si="359">$BQ71+$BU71+$BV71+$BW71+$BX71+$BY71</f>
        <v>49772.005069795829</v>
      </c>
      <c r="CF71" s="17">
        <f t="shared" ref="CF71:CF85" si="360">$CA71+$CB71+$CC71+$CD71</f>
        <v>423093.53885221493</v>
      </c>
      <c r="CG71" s="17">
        <f t="shared" ref="CG71:CG85" si="361">$CE71+$CF71</f>
        <v>472865.54392201075</v>
      </c>
      <c r="CH71" s="17">
        <f t="shared" ref="CH71:CH85" si="362">CONVERT(N71,"C","F")-CONVERT((N71-8),"C","F")</f>
        <v>14.400000000000006</v>
      </c>
      <c r="CI71" s="17">
        <f t="shared" ref="CI71:CI85" si="363">CONVERT(T71,"C","F")-CONVERT(N71,"C","F")</f>
        <v>-43.2</v>
      </c>
      <c r="CJ71" s="17">
        <f t="shared" ref="CJ71:CJ85" si="364">CM71-8</f>
        <v>16</v>
      </c>
      <c r="CK71" s="17">
        <f t="shared" ref="CK71:CK85" si="365">O71+40</f>
        <v>90</v>
      </c>
      <c r="CL71" s="17">
        <f t="shared" ref="CL71:CL85" si="366">0.622*7000*(CK71/100)*(6.1078*10^((7.5*CJ71)/(237.3+CJ71)))/(1013.25-(6.1078*10^((7.5*CJ71)/(237.3+CJ71)))*CK71/100)</f>
        <v>71.46880726181422</v>
      </c>
      <c r="CM71" s="17">
        <f t="shared" ref="CM71:CM85" si="367">N71</f>
        <v>24</v>
      </c>
      <c r="CN71" s="17">
        <f t="shared" ref="CN71:CN85" si="368">O71</f>
        <v>50</v>
      </c>
      <c r="CO71" s="17">
        <f t="shared" ref="CO71:CO85" si="369">0.622*7000*(CN71/100)*(6.1078*10^((7.5*CM71)/(237.3+CM71)))/(1013.25-(6.1078*10^((7.5*CM71)/(237.3+CM71)))*CN71/100)</f>
        <v>65.062647806544774</v>
      </c>
      <c r="CP71" s="17">
        <f t="shared" ref="CP71:CP85" si="370">CL71-CO71</f>
        <v>6.4061594552694459</v>
      </c>
      <c r="CQ71" s="17">
        <f t="shared" ref="CQ71:CQ85" si="371">T71</f>
        <v>0</v>
      </c>
      <c r="CR71" s="17">
        <f t="shared" ref="CR71:CR85" si="372">U71</f>
        <v>100</v>
      </c>
      <c r="CS71" s="17">
        <f t="shared" ref="CS71:CS85" si="373">0.622*7000*(CR71/100)*(6.1078*10^((7.5*CQ71)/(237.3+CQ71)))/(1013.25-(6.1078*10^((7.5*CQ71)/(237.3+CQ71)))*CR71/100)</f>
        <v>26.404773030064671</v>
      </c>
      <c r="CT71" s="17">
        <f t="shared" ref="CT71:CT85" si="374">CM71</f>
        <v>24</v>
      </c>
      <c r="CU71" s="17">
        <f t="shared" ref="CU71:CU85" si="375">O71</f>
        <v>50</v>
      </c>
      <c r="CV71" s="17">
        <f t="shared" ref="CV71:CV85" si="376">0.622*7000*(CU71/100)*(6.1078*10^((7.5*CT71)/(237.3+CT71)))/(1013.25-(6.1078*10^((7.5*CT71)/(237.3+CT71)))*CU71/100)</f>
        <v>65.062647806544774</v>
      </c>
      <c r="CW71" s="17">
        <f t="shared" ref="CW71:CW85" si="377">CS71-CV71</f>
        <v>-38.657874776480099</v>
      </c>
      <c r="CX71" s="17">
        <f t="shared" si="315"/>
        <v>-4016.1484800000003</v>
      </c>
      <c r="CY71" s="17">
        <f t="shared" si="315"/>
        <v>-4016.1484800000003</v>
      </c>
      <c r="CZ71" s="17">
        <f t="shared" ref="CZ71:CZ85" si="378">($E71*$F71*10.76)*$CH71*0.45</f>
        <v>276.11020800000011</v>
      </c>
      <c r="DA71" s="17">
        <f t="shared" ref="DA71:DA85" si="379">($E71*$F71*10.76)*$CI71*0.45</f>
        <v>-828.33062400000006</v>
      </c>
      <c r="DB71" s="17">
        <f t="shared" ref="DB71:DB85" si="380">$H71*285*1.08*$CI71</f>
        <v>-26593.920000000002</v>
      </c>
      <c r="DC71" s="17">
        <f t="shared" ref="DC71:DC85" si="381">$I71*1000*3.412</f>
        <v>3412</v>
      </c>
      <c r="DD71" s="17">
        <f t="shared" ref="DD71:DD85" si="382">$J71*$X71*3.412</f>
        <v>254.42192159999999</v>
      </c>
      <c r="DE71" s="17">
        <f t="shared" ref="DE71:DE85" si="383">$K71*1.08*375*$CH71</f>
        <v>17496.000000000007</v>
      </c>
      <c r="DF71" s="17">
        <f t="shared" ref="DF71:DF85" si="384">($AA71+$AB71)*1.08*$CI71</f>
        <v>-2086.5979750809602</v>
      </c>
      <c r="DG71" s="17"/>
      <c r="DH71" s="17">
        <f t="shared" ref="DH71:DH85" si="385">$H71*200*0.68*CW71</f>
        <v>-10514.941939202587</v>
      </c>
      <c r="DI71" s="17">
        <f t="shared" ref="DI71:DI85" si="386">$K71*375*0.68*CW71</f>
        <v>-29573.274204007277</v>
      </c>
      <c r="DJ71" s="17">
        <f t="shared" ref="DJ71:DJ85" si="387">(AA71+AB71)*0.68*CW71</f>
        <v>-1175.6503214181446</v>
      </c>
      <c r="DK71" s="17">
        <f t="shared" ref="DK71:DK85" si="388">(Z71-AA71)*0.68*CP71</f>
        <v>1753.3977539042171</v>
      </c>
      <c r="DL71" s="17">
        <f t="shared" ref="DL71:DL85" si="389">CX71+DA71+CZ71+DB71+DC71+DD71+DE71+DF71</f>
        <v>-12086.464949480956</v>
      </c>
      <c r="DM71" s="17">
        <f t="shared" ref="DM71:DM85" si="390">DH71+DI71+DJ71+DK71</f>
        <v>-39510.468710723791</v>
      </c>
      <c r="DN71" s="17">
        <f t="shared" ref="DN71:DN85" si="391">DL71+DM71</f>
        <v>-51596.933660204748</v>
      </c>
    </row>
    <row r="72" spans="3:120" ht="18.600000000000001">
      <c r="C72" s="13">
        <f>IF(D72&lt;&gt;"",COUNTA($D$10:D72),"")</f>
        <v>54</v>
      </c>
      <c r="D72" s="14" t="s">
        <v>202</v>
      </c>
      <c r="E72" s="14">
        <v>1.5</v>
      </c>
      <c r="F72" s="14">
        <v>2.8</v>
      </c>
      <c r="G72" s="14">
        <v>2.4</v>
      </c>
      <c r="H72" s="14">
        <v>2</v>
      </c>
      <c r="I72" s="14">
        <v>3</v>
      </c>
      <c r="J72" s="14">
        <v>1.75</v>
      </c>
      <c r="K72" s="14">
        <v>3</v>
      </c>
      <c r="L72" s="15">
        <v>0.1</v>
      </c>
      <c r="M72" s="15">
        <v>0</v>
      </c>
      <c r="N72" s="14">
        <v>24</v>
      </c>
      <c r="O72" s="14">
        <v>50</v>
      </c>
      <c r="P72" s="13">
        <v>45</v>
      </c>
      <c r="Q72" s="13">
        <v>85</v>
      </c>
      <c r="R72" s="13" t="s">
        <v>217</v>
      </c>
      <c r="S72" s="13">
        <v>80</v>
      </c>
      <c r="T72" s="13">
        <v>0</v>
      </c>
      <c r="U72" s="13">
        <v>100</v>
      </c>
      <c r="V72" s="13" t="str">
        <f t="shared" si="316"/>
        <v>10K</v>
      </c>
      <c r="W72" s="13">
        <f t="shared" si="317"/>
        <v>80</v>
      </c>
      <c r="X72" s="16">
        <f t="shared" si="318"/>
        <v>45.191999999999993</v>
      </c>
      <c r="Y72" s="16">
        <f t="shared" si="319"/>
        <v>355.75142399999993</v>
      </c>
      <c r="Z72" s="16">
        <f t="shared" si="320"/>
        <v>474.33523199999996</v>
      </c>
      <c r="AA72" s="16">
        <f t="shared" si="321"/>
        <v>47.433523199999996</v>
      </c>
      <c r="AB72" s="16">
        <f t="shared" si="322"/>
        <v>0</v>
      </c>
      <c r="AC72" s="16">
        <f t="shared" si="323"/>
        <v>4.3635097906891493</v>
      </c>
      <c r="AD72" s="16">
        <f t="shared" si="324"/>
        <v>2000</v>
      </c>
      <c r="AE72" s="16">
        <f t="shared" si="325"/>
        <v>2000</v>
      </c>
      <c r="AF72" s="16">
        <f t="shared" si="326"/>
        <v>8</v>
      </c>
      <c r="AG72" s="16">
        <f t="shared" si="327"/>
        <v>5</v>
      </c>
      <c r="AH72" s="838" t="s">
        <v>85</v>
      </c>
      <c r="AI72" s="17">
        <f t="shared" si="328"/>
        <v>5</v>
      </c>
      <c r="AJ72" s="17">
        <f t="shared" si="329"/>
        <v>5</v>
      </c>
      <c r="AK72" s="891"/>
      <c r="AL72" s="18" t="s">
        <v>255</v>
      </c>
      <c r="AM72" s="889"/>
      <c r="AN72" s="891"/>
      <c r="AO72" s="888"/>
      <c r="AP72" s="891"/>
      <c r="AQ72" s="891"/>
      <c r="AR72" s="889"/>
      <c r="AS72" s="888"/>
      <c r="AT72" s="888"/>
      <c r="AU72" s="890"/>
      <c r="AV72" s="888"/>
      <c r="AW72" s="888"/>
      <c r="AX72" s="888"/>
      <c r="AY72" s="887"/>
      <c r="AZ72" s="888"/>
      <c r="BA72" s="17">
        <f t="shared" si="330"/>
        <v>14.399999999999991</v>
      </c>
      <c r="BB72" s="17">
        <f t="shared" si="331"/>
        <v>37.799999999999997</v>
      </c>
      <c r="BC72" s="17">
        <f t="shared" si="332"/>
        <v>32</v>
      </c>
      <c r="BD72" s="17">
        <f t="shared" si="333"/>
        <v>85</v>
      </c>
      <c r="BE72" s="17">
        <f t="shared" si="334"/>
        <v>180.86341983910182</v>
      </c>
      <c r="BF72" s="17">
        <f t="shared" si="335"/>
        <v>24</v>
      </c>
      <c r="BG72" s="17">
        <f t="shared" si="336"/>
        <v>50</v>
      </c>
      <c r="BH72" s="17">
        <f t="shared" si="337"/>
        <v>65.062647806544774</v>
      </c>
      <c r="BI72" s="17">
        <f t="shared" si="338"/>
        <v>115.80077203255705</v>
      </c>
      <c r="BJ72" s="17">
        <f t="shared" si="339"/>
        <v>45</v>
      </c>
      <c r="BK72" s="17">
        <f t="shared" si="340"/>
        <v>85</v>
      </c>
      <c r="BL72" s="17">
        <f t="shared" si="341"/>
        <v>380.54120080897206</v>
      </c>
      <c r="BM72" s="17">
        <f t="shared" si="342"/>
        <v>24</v>
      </c>
      <c r="BN72" s="17">
        <f t="shared" si="343"/>
        <v>50</v>
      </c>
      <c r="BO72" s="17">
        <f t="shared" si="344"/>
        <v>65.062647806544774</v>
      </c>
      <c r="BP72" s="17">
        <f t="shared" si="345"/>
        <v>315.4785530024273</v>
      </c>
      <c r="BQ72" s="17">
        <f t="shared" si="346"/>
        <v>3777.6896639999995</v>
      </c>
      <c r="BR72" s="17">
        <f t="shared" si="347"/>
        <v>1439.1198719999991</v>
      </c>
      <c r="BS72" s="17">
        <f t="shared" si="348"/>
        <v>292.84415999999976</v>
      </c>
      <c r="BT72" s="17">
        <f t="shared" si="349"/>
        <v>768.71591999999987</v>
      </c>
      <c r="BU72" s="17">
        <f t="shared" si="350"/>
        <v>23269.68</v>
      </c>
      <c r="BV72" s="17">
        <f t="shared" si="351"/>
        <v>10236</v>
      </c>
      <c r="BW72" s="17">
        <f t="shared" si="352"/>
        <v>269.84143199999994</v>
      </c>
      <c r="BX72" s="17">
        <f t="shared" si="353"/>
        <v>17495.999999999989</v>
      </c>
      <c r="BY72" s="17">
        <f t="shared" si="354"/>
        <v>1936.4261511167999</v>
      </c>
      <c r="BZ72" s="17"/>
      <c r="CA72" s="17">
        <f t="shared" si="355"/>
        <v>85810.166416660228</v>
      </c>
      <c r="CB72" s="17">
        <f t="shared" si="356"/>
        <v>241341.0930468569</v>
      </c>
      <c r="CC72" s="17">
        <f t="shared" si="357"/>
        <v>10175.696298801286</v>
      </c>
      <c r="CD72" s="17">
        <f t="shared" si="358"/>
        <v>91581.266689211552</v>
      </c>
      <c r="CE72" s="17">
        <f t="shared" si="359"/>
        <v>56985.637247116785</v>
      </c>
      <c r="CF72" s="17">
        <f t="shared" si="360"/>
        <v>428908.22245152993</v>
      </c>
      <c r="CG72" s="17">
        <f t="shared" si="361"/>
        <v>485893.8596986467</v>
      </c>
      <c r="CH72" s="17">
        <f t="shared" si="362"/>
        <v>14.400000000000006</v>
      </c>
      <c r="CI72" s="17">
        <f t="shared" si="363"/>
        <v>-43.2</v>
      </c>
      <c r="CJ72" s="17">
        <f t="shared" si="364"/>
        <v>16</v>
      </c>
      <c r="CK72" s="17">
        <f t="shared" si="365"/>
        <v>90</v>
      </c>
      <c r="CL72" s="17">
        <f t="shared" si="366"/>
        <v>71.46880726181422</v>
      </c>
      <c r="CM72" s="17">
        <f t="shared" si="367"/>
        <v>24</v>
      </c>
      <c r="CN72" s="17">
        <f t="shared" si="368"/>
        <v>50</v>
      </c>
      <c r="CO72" s="17">
        <f t="shared" si="369"/>
        <v>65.062647806544774</v>
      </c>
      <c r="CP72" s="17">
        <f t="shared" si="370"/>
        <v>6.4061594552694459</v>
      </c>
      <c r="CQ72" s="17">
        <f t="shared" si="371"/>
        <v>0</v>
      </c>
      <c r="CR72" s="17">
        <f t="shared" si="372"/>
        <v>100</v>
      </c>
      <c r="CS72" s="17">
        <f t="shared" si="373"/>
        <v>26.404773030064671</v>
      </c>
      <c r="CT72" s="17">
        <f t="shared" si="374"/>
        <v>24</v>
      </c>
      <c r="CU72" s="17">
        <f t="shared" si="375"/>
        <v>50</v>
      </c>
      <c r="CV72" s="17">
        <f t="shared" si="376"/>
        <v>65.062647806544774</v>
      </c>
      <c r="CW72" s="17">
        <f t="shared" si="377"/>
        <v>-38.657874776480099</v>
      </c>
      <c r="CX72" s="17">
        <f t="shared" si="315"/>
        <v>-4317.3596159999997</v>
      </c>
      <c r="CY72" s="17">
        <f t="shared" si="315"/>
        <v>-4317.3596159999997</v>
      </c>
      <c r="CZ72" s="17">
        <f t="shared" si="378"/>
        <v>292.8441600000001</v>
      </c>
      <c r="DA72" s="17">
        <f t="shared" si="379"/>
        <v>-878.53247999999996</v>
      </c>
      <c r="DB72" s="17">
        <f t="shared" si="380"/>
        <v>-26593.920000000002</v>
      </c>
      <c r="DC72" s="17">
        <f t="shared" si="381"/>
        <v>10236</v>
      </c>
      <c r="DD72" s="17">
        <f t="shared" si="382"/>
        <v>269.84143199999994</v>
      </c>
      <c r="DE72" s="17">
        <f t="shared" si="383"/>
        <v>17496.000000000007</v>
      </c>
      <c r="DF72" s="17">
        <f t="shared" si="384"/>
        <v>-2213.0584584192002</v>
      </c>
      <c r="DG72" s="17"/>
      <c r="DH72" s="17">
        <f t="shared" si="385"/>
        <v>-10514.941939202587</v>
      </c>
      <c r="DI72" s="17">
        <f t="shared" si="386"/>
        <v>-29573.274204007277</v>
      </c>
      <c r="DJ72" s="17">
        <f t="shared" si="387"/>
        <v>-1246.9018560495474</v>
      </c>
      <c r="DK72" s="17">
        <f t="shared" si="388"/>
        <v>1859.6642844438663</v>
      </c>
      <c r="DL72" s="17">
        <f t="shared" si="389"/>
        <v>-5708.1849624191927</v>
      </c>
      <c r="DM72" s="17">
        <f t="shared" si="390"/>
        <v>-39475.453714815543</v>
      </c>
      <c r="DN72" s="17">
        <f t="shared" si="391"/>
        <v>-45183.638677234732</v>
      </c>
    </row>
    <row r="73" spans="3:120" ht="18.600000000000001">
      <c r="C73" s="13">
        <f>IF(D73&lt;&gt;"",COUNTA($D$10:D73),"")</f>
        <v>55</v>
      </c>
      <c r="D73" s="14" t="s">
        <v>203</v>
      </c>
      <c r="E73" s="14">
        <v>2.1</v>
      </c>
      <c r="F73" s="14">
        <v>3.5</v>
      </c>
      <c r="G73" s="14">
        <v>2.4</v>
      </c>
      <c r="H73" s="14">
        <v>0</v>
      </c>
      <c r="I73" s="14">
        <v>1</v>
      </c>
      <c r="J73" s="14">
        <v>1.75</v>
      </c>
      <c r="K73" s="14">
        <v>3</v>
      </c>
      <c r="L73" s="15">
        <v>0.1</v>
      </c>
      <c r="M73" s="15">
        <v>0</v>
      </c>
      <c r="N73" s="14">
        <v>24</v>
      </c>
      <c r="O73" s="14">
        <v>50</v>
      </c>
      <c r="P73" s="13">
        <v>45</v>
      </c>
      <c r="Q73" s="13">
        <v>85</v>
      </c>
      <c r="R73" s="13" t="s">
        <v>217</v>
      </c>
      <c r="S73" s="13">
        <v>80</v>
      </c>
      <c r="T73" s="13">
        <v>0</v>
      </c>
      <c r="U73" s="13">
        <v>100</v>
      </c>
      <c r="V73" s="13" t="str">
        <f t="shared" si="316"/>
        <v>10K</v>
      </c>
      <c r="W73" s="13">
        <f t="shared" si="317"/>
        <v>80</v>
      </c>
      <c r="X73" s="16">
        <f t="shared" si="318"/>
        <v>79.085999999999999</v>
      </c>
      <c r="Y73" s="16">
        <f t="shared" si="319"/>
        <v>622.56499199999996</v>
      </c>
      <c r="Z73" s="16">
        <f t="shared" si="320"/>
        <v>830.08665599999995</v>
      </c>
      <c r="AA73" s="16">
        <f t="shared" si="321"/>
        <v>83.0086656</v>
      </c>
      <c r="AB73" s="16">
        <f t="shared" si="322"/>
        <v>0</v>
      </c>
      <c r="AC73" s="16">
        <f t="shared" si="323"/>
        <v>7.6361421337060129</v>
      </c>
      <c r="AD73" s="16">
        <f t="shared" si="324"/>
        <v>1975</v>
      </c>
      <c r="AE73" s="16">
        <f t="shared" si="325"/>
        <v>1975</v>
      </c>
      <c r="AF73" s="16">
        <f t="shared" si="326"/>
        <v>8</v>
      </c>
      <c r="AG73" s="16">
        <f t="shared" si="327"/>
        <v>5</v>
      </c>
      <c r="AH73" s="838" t="s">
        <v>85</v>
      </c>
      <c r="AI73" s="17">
        <f t="shared" si="328"/>
        <v>2.5</v>
      </c>
      <c r="AJ73" s="17">
        <f t="shared" si="329"/>
        <v>5</v>
      </c>
      <c r="AK73" s="891"/>
      <c r="AL73" s="18">
        <f>IF(AK70&lt;=2000,950,(IF(AK70&lt;=4000,1100,(IF(AK70&lt;=6000,1250,(IF(AK70&lt;=10000,1550,(IF(AK70&lt;=15000,1750,(IF(AK70&lt;=24000,2050,(IF(AK70&lt;=40000,2900,3600)))))))))))))</f>
        <v>2900</v>
      </c>
      <c r="AM73" s="889"/>
      <c r="AN73" s="891"/>
      <c r="AO73" s="888"/>
      <c r="AP73" s="891"/>
      <c r="AQ73" s="891"/>
      <c r="AR73" s="889"/>
      <c r="AS73" s="888"/>
      <c r="AT73" s="888"/>
      <c r="AU73" s="890"/>
      <c r="AV73" s="888"/>
      <c r="AW73" s="888"/>
      <c r="AX73" s="888"/>
      <c r="AY73" s="887"/>
      <c r="AZ73" s="888"/>
      <c r="BA73" s="17">
        <f t="shared" si="330"/>
        <v>14.399999999999991</v>
      </c>
      <c r="BB73" s="17">
        <f t="shared" si="331"/>
        <v>37.799999999999997</v>
      </c>
      <c r="BC73" s="17">
        <f t="shared" si="332"/>
        <v>32</v>
      </c>
      <c r="BD73" s="17">
        <f t="shared" si="333"/>
        <v>85</v>
      </c>
      <c r="BE73" s="17">
        <f t="shared" si="334"/>
        <v>180.86341983910182</v>
      </c>
      <c r="BF73" s="17">
        <f t="shared" si="335"/>
        <v>24</v>
      </c>
      <c r="BG73" s="17">
        <f t="shared" si="336"/>
        <v>50</v>
      </c>
      <c r="BH73" s="17">
        <f t="shared" si="337"/>
        <v>65.062647806544774</v>
      </c>
      <c r="BI73" s="17">
        <f t="shared" si="338"/>
        <v>115.80077203255705</v>
      </c>
      <c r="BJ73" s="17">
        <f t="shared" si="339"/>
        <v>45</v>
      </c>
      <c r="BK73" s="17">
        <f t="shared" si="340"/>
        <v>85</v>
      </c>
      <c r="BL73" s="17">
        <f t="shared" si="341"/>
        <v>380.54120080897206</v>
      </c>
      <c r="BM73" s="17">
        <f t="shared" si="342"/>
        <v>24</v>
      </c>
      <c r="BN73" s="17">
        <f t="shared" si="343"/>
        <v>50</v>
      </c>
      <c r="BO73" s="17">
        <f t="shared" si="344"/>
        <v>65.062647806544774</v>
      </c>
      <c r="BP73" s="17">
        <f t="shared" si="345"/>
        <v>315.4785530024273</v>
      </c>
      <c r="BQ73" s="17">
        <f t="shared" si="346"/>
        <v>4919.7818879999995</v>
      </c>
      <c r="BR73" s="17">
        <f t="shared" si="347"/>
        <v>1874.2026239999989</v>
      </c>
      <c r="BS73" s="17">
        <f t="shared" si="348"/>
        <v>512.47727999999972</v>
      </c>
      <c r="BT73" s="17">
        <f t="shared" si="349"/>
        <v>1345.2528599999998</v>
      </c>
      <c r="BU73" s="17">
        <f t="shared" si="350"/>
        <v>0</v>
      </c>
      <c r="BV73" s="17">
        <f t="shared" si="351"/>
        <v>3412</v>
      </c>
      <c r="BW73" s="17">
        <f t="shared" si="352"/>
        <v>472.22250599999995</v>
      </c>
      <c r="BX73" s="17">
        <f t="shared" si="353"/>
        <v>17495.999999999989</v>
      </c>
      <c r="BY73" s="17">
        <f t="shared" si="354"/>
        <v>3388.7457644544002</v>
      </c>
      <c r="BZ73" s="17"/>
      <c r="CA73" s="17">
        <f t="shared" si="355"/>
        <v>0</v>
      </c>
      <c r="CB73" s="17">
        <f t="shared" si="356"/>
        <v>241341.0930468569</v>
      </c>
      <c r="CC73" s="17">
        <f t="shared" si="357"/>
        <v>17807.468522902247</v>
      </c>
      <c r="CD73" s="17">
        <f t="shared" si="358"/>
        <v>160267.21670612023</v>
      </c>
      <c r="CE73" s="17">
        <f t="shared" si="359"/>
        <v>29688.75015845439</v>
      </c>
      <c r="CF73" s="17">
        <f t="shared" si="360"/>
        <v>419415.77827587939</v>
      </c>
      <c r="CG73" s="17">
        <f t="shared" si="361"/>
        <v>449104.5284343338</v>
      </c>
      <c r="CH73" s="17">
        <f t="shared" si="362"/>
        <v>14.400000000000006</v>
      </c>
      <c r="CI73" s="17">
        <f t="shared" si="363"/>
        <v>-43.2</v>
      </c>
      <c r="CJ73" s="17">
        <f t="shared" si="364"/>
        <v>16</v>
      </c>
      <c r="CK73" s="17">
        <f t="shared" si="365"/>
        <v>90</v>
      </c>
      <c r="CL73" s="17">
        <f t="shared" si="366"/>
        <v>71.46880726181422</v>
      </c>
      <c r="CM73" s="17">
        <f t="shared" si="367"/>
        <v>24</v>
      </c>
      <c r="CN73" s="17">
        <f t="shared" si="368"/>
        <v>50</v>
      </c>
      <c r="CO73" s="17">
        <f t="shared" si="369"/>
        <v>65.062647806544774</v>
      </c>
      <c r="CP73" s="17">
        <f t="shared" si="370"/>
        <v>6.4061594552694459</v>
      </c>
      <c r="CQ73" s="17">
        <f t="shared" si="371"/>
        <v>0</v>
      </c>
      <c r="CR73" s="17">
        <f t="shared" si="372"/>
        <v>100</v>
      </c>
      <c r="CS73" s="17">
        <f t="shared" si="373"/>
        <v>26.404773030064671</v>
      </c>
      <c r="CT73" s="17">
        <f t="shared" si="374"/>
        <v>24</v>
      </c>
      <c r="CU73" s="17">
        <f t="shared" si="375"/>
        <v>50</v>
      </c>
      <c r="CV73" s="17">
        <f t="shared" si="376"/>
        <v>65.062647806544774</v>
      </c>
      <c r="CW73" s="17">
        <f t="shared" si="377"/>
        <v>-38.657874776480099</v>
      </c>
      <c r="CX73" s="17">
        <f t="shared" si="315"/>
        <v>-5622.6078720000005</v>
      </c>
      <c r="CY73" s="17">
        <f t="shared" si="315"/>
        <v>-5622.6078720000005</v>
      </c>
      <c r="CZ73" s="17">
        <f t="shared" si="378"/>
        <v>512.47728000000018</v>
      </c>
      <c r="DA73" s="17">
        <f t="shared" si="379"/>
        <v>-1537.4318400000002</v>
      </c>
      <c r="DB73" s="17">
        <f t="shared" si="380"/>
        <v>0</v>
      </c>
      <c r="DC73" s="17">
        <f t="shared" si="381"/>
        <v>3412</v>
      </c>
      <c r="DD73" s="17">
        <f t="shared" si="382"/>
        <v>472.22250599999995</v>
      </c>
      <c r="DE73" s="17">
        <f t="shared" si="383"/>
        <v>17496.000000000007</v>
      </c>
      <c r="DF73" s="17">
        <f t="shared" si="384"/>
        <v>-3872.8523022336003</v>
      </c>
      <c r="DG73" s="17"/>
      <c r="DH73" s="17">
        <f t="shared" si="385"/>
        <v>0</v>
      </c>
      <c r="DI73" s="17">
        <f t="shared" si="386"/>
        <v>-29573.274204007277</v>
      </c>
      <c r="DJ73" s="17">
        <f t="shared" si="387"/>
        <v>-2182.0782480867078</v>
      </c>
      <c r="DK73" s="17">
        <f t="shared" si="388"/>
        <v>3254.4124977767665</v>
      </c>
      <c r="DL73" s="17">
        <f t="shared" si="389"/>
        <v>10859.807771766405</v>
      </c>
      <c r="DM73" s="17">
        <f t="shared" si="390"/>
        <v>-28500.939954317219</v>
      </c>
      <c r="DN73" s="17">
        <f t="shared" si="391"/>
        <v>-17641.132182550813</v>
      </c>
    </row>
    <row r="74" spans="3:120" ht="18.600000000000001">
      <c r="C74" s="13">
        <f>IF(D74&lt;&gt;"",COUNTA($D$10:D74),"")</f>
        <v>56</v>
      </c>
      <c r="D74" s="14" t="s">
        <v>204</v>
      </c>
      <c r="E74" s="14">
        <v>2.7</v>
      </c>
      <c r="F74" s="14">
        <v>4</v>
      </c>
      <c r="G74" s="14">
        <v>2.4</v>
      </c>
      <c r="H74" s="14">
        <v>2</v>
      </c>
      <c r="I74" s="14">
        <v>1</v>
      </c>
      <c r="J74" s="14">
        <v>1.75</v>
      </c>
      <c r="K74" s="14">
        <v>3</v>
      </c>
      <c r="L74" s="15">
        <v>0.1</v>
      </c>
      <c r="M74" s="15">
        <v>0</v>
      </c>
      <c r="N74" s="14">
        <v>24</v>
      </c>
      <c r="O74" s="14">
        <v>50</v>
      </c>
      <c r="P74" s="13">
        <v>45</v>
      </c>
      <c r="Q74" s="13">
        <v>85</v>
      </c>
      <c r="R74" s="13" t="s">
        <v>217</v>
      </c>
      <c r="S74" s="13">
        <v>80</v>
      </c>
      <c r="T74" s="13">
        <v>0</v>
      </c>
      <c r="U74" s="13">
        <v>100</v>
      </c>
      <c r="V74" s="13" t="str">
        <f t="shared" si="316"/>
        <v>10K</v>
      </c>
      <c r="W74" s="13">
        <f t="shared" si="317"/>
        <v>80</v>
      </c>
      <c r="X74" s="16">
        <f t="shared" si="318"/>
        <v>116.208</v>
      </c>
      <c r="Y74" s="16">
        <f t="shared" si="319"/>
        <v>914.78937599999995</v>
      </c>
      <c r="Z74" s="16">
        <f t="shared" si="320"/>
        <v>1219.7191679999999</v>
      </c>
      <c r="AA74" s="16">
        <f t="shared" si="321"/>
        <v>121.97191679999999</v>
      </c>
      <c r="AB74" s="16">
        <f t="shared" si="322"/>
        <v>0</v>
      </c>
      <c r="AC74" s="16">
        <f t="shared" si="323"/>
        <v>11.220453747486387</v>
      </c>
      <c r="AD74" s="16">
        <f t="shared" si="324"/>
        <v>2750</v>
      </c>
      <c r="AE74" s="16">
        <f t="shared" si="325"/>
        <v>2750</v>
      </c>
      <c r="AF74" s="16">
        <f t="shared" si="326"/>
        <v>12</v>
      </c>
      <c r="AG74" s="16">
        <f t="shared" si="327"/>
        <v>7</v>
      </c>
      <c r="AH74" s="838" t="s">
        <v>85</v>
      </c>
      <c r="AI74" s="17">
        <f t="shared" si="328"/>
        <v>5</v>
      </c>
      <c r="AJ74" s="17">
        <f t="shared" si="329"/>
        <v>7</v>
      </c>
      <c r="AK74" s="891"/>
      <c r="AL74" s="18" t="s">
        <v>256</v>
      </c>
      <c r="AM74" s="889"/>
      <c r="AN74" s="891"/>
      <c r="AO74" s="888"/>
      <c r="AP74" s="891"/>
      <c r="AQ74" s="891"/>
      <c r="AR74" s="889"/>
      <c r="AS74" s="888"/>
      <c r="AT74" s="888"/>
      <c r="AU74" s="890"/>
      <c r="AV74" s="888"/>
      <c r="AW74" s="888"/>
      <c r="AX74" s="888"/>
      <c r="AY74" s="887"/>
      <c r="AZ74" s="888"/>
      <c r="BA74" s="17">
        <f t="shared" si="330"/>
        <v>14.399999999999991</v>
      </c>
      <c r="BB74" s="17">
        <f t="shared" si="331"/>
        <v>37.799999999999997</v>
      </c>
      <c r="BC74" s="17">
        <f t="shared" si="332"/>
        <v>32</v>
      </c>
      <c r="BD74" s="17">
        <f t="shared" si="333"/>
        <v>85</v>
      </c>
      <c r="BE74" s="17">
        <f t="shared" si="334"/>
        <v>180.86341983910182</v>
      </c>
      <c r="BF74" s="17">
        <f t="shared" si="335"/>
        <v>24</v>
      </c>
      <c r="BG74" s="17">
        <f t="shared" si="336"/>
        <v>50</v>
      </c>
      <c r="BH74" s="17">
        <f t="shared" si="337"/>
        <v>65.062647806544774</v>
      </c>
      <c r="BI74" s="17">
        <f t="shared" si="338"/>
        <v>115.80077203255705</v>
      </c>
      <c r="BJ74" s="17">
        <f t="shared" si="339"/>
        <v>45</v>
      </c>
      <c r="BK74" s="17">
        <f t="shared" si="340"/>
        <v>85</v>
      </c>
      <c r="BL74" s="17">
        <f t="shared" si="341"/>
        <v>380.54120080897206</v>
      </c>
      <c r="BM74" s="17">
        <f t="shared" si="342"/>
        <v>24</v>
      </c>
      <c r="BN74" s="17">
        <f t="shared" si="343"/>
        <v>50</v>
      </c>
      <c r="BO74" s="17">
        <f t="shared" si="344"/>
        <v>65.062647806544774</v>
      </c>
      <c r="BP74" s="17">
        <f t="shared" si="345"/>
        <v>315.4785530024273</v>
      </c>
      <c r="BQ74" s="17">
        <f t="shared" si="346"/>
        <v>5886.1676159999997</v>
      </c>
      <c r="BR74" s="17">
        <f t="shared" si="347"/>
        <v>2242.3495679999987</v>
      </c>
      <c r="BS74" s="17">
        <f t="shared" si="348"/>
        <v>753.02783999999963</v>
      </c>
      <c r="BT74" s="17">
        <f t="shared" si="349"/>
        <v>1976.6980799999997</v>
      </c>
      <c r="BU74" s="17">
        <f t="shared" si="350"/>
        <v>23269.68</v>
      </c>
      <c r="BV74" s="17">
        <f t="shared" si="351"/>
        <v>3412</v>
      </c>
      <c r="BW74" s="17">
        <f t="shared" si="352"/>
        <v>693.87796800000001</v>
      </c>
      <c r="BX74" s="17">
        <f t="shared" si="353"/>
        <v>17495.999999999989</v>
      </c>
      <c r="BY74" s="17">
        <f t="shared" si="354"/>
        <v>4979.3815314431986</v>
      </c>
      <c r="BZ74" s="17"/>
      <c r="CA74" s="17">
        <f t="shared" si="355"/>
        <v>85810.166416660228</v>
      </c>
      <c r="CB74" s="17">
        <f t="shared" si="356"/>
        <v>241341.0930468569</v>
      </c>
      <c r="CC74" s="17">
        <f t="shared" si="357"/>
        <v>26166.076196917587</v>
      </c>
      <c r="CD74" s="17">
        <f t="shared" si="358"/>
        <v>235494.68577225829</v>
      </c>
      <c r="CE74" s="17">
        <f t="shared" si="359"/>
        <v>55737.107115443185</v>
      </c>
      <c r="CF74" s="17">
        <f t="shared" si="360"/>
        <v>588812.021432693</v>
      </c>
      <c r="CG74" s="17">
        <f t="shared" si="361"/>
        <v>644549.12854813621</v>
      </c>
      <c r="CH74" s="17">
        <f t="shared" si="362"/>
        <v>14.400000000000006</v>
      </c>
      <c r="CI74" s="17">
        <f t="shared" si="363"/>
        <v>-43.2</v>
      </c>
      <c r="CJ74" s="17">
        <f t="shared" si="364"/>
        <v>16</v>
      </c>
      <c r="CK74" s="17">
        <f t="shared" si="365"/>
        <v>90</v>
      </c>
      <c r="CL74" s="17">
        <f t="shared" si="366"/>
        <v>71.46880726181422</v>
      </c>
      <c r="CM74" s="17">
        <f t="shared" si="367"/>
        <v>24</v>
      </c>
      <c r="CN74" s="17">
        <f t="shared" si="368"/>
        <v>50</v>
      </c>
      <c r="CO74" s="17">
        <f t="shared" si="369"/>
        <v>65.062647806544774</v>
      </c>
      <c r="CP74" s="17">
        <f t="shared" si="370"/>
        <v>6.4061594552694459</v>
      </c>
      <c r="CQ74" s="17">
        <f t="shared" si="371"/>
        <v>0</v>
      </c>
      <c r="CR74" s="17">
        <f t="shared" si="372"/>
        <v>100</v>
      </c>
      <c r="CS74" s="17">
        <f t="shared" si="373"/>
        <v>26.404773030064671</v>
      </c>
      <c r="CT74" s="17">
        <f t="shared" si="374"/>
        <v>24</v>
      </c>
      <c r="CU74" s="17">
        <f t="shared" si="375"/>
        <v>50</v>
      </c>
      <c r="CV74" s="17">
        <f t="shared" si="376"/>
        <v>65.062647806544774</v>
      </c>
      <c r="CW74" s="17">
        <f t="shared" si="377"/>
        <v>-38.657874776480099</v>
      </c>
      <c r="CX74" s="17">
        <f t="shared" si="315"/>
        <v>-6727.0487040000007</v>
      </c>
      <c r="CY74" s="17">
        <f t="shared" si="315"/>
        <v>-6727.0487040000007</v>
      </c>
      <c r="CZ74" s="17">
        <f t="shared" si="378"/>
        <v>753.02784000000031</v>
      </c>
      <c r="DA74" s="17">
        <f t="shared" si="379"/>
        <v>-2259.0835200000006</v>
      </c>
      <c r="DB74" s="17">
        <f t="shared" si="380"/>
        <v>-26593.920000000002</v>
      </c>
      <c r="DC74" s="17">
        <f t="shared" si="381"/>
        <v>3412</v>
      </c>
      <c r="DD74" s="17">
        <f t="shared" si="382"/>
        <v>693.87796800000001</v>
      </c>
      <c r="DE74" s="17">
        <f t="shared" si="383"/>
        <v>17496.000000000007</v>
      </c>
      <c r="DF74" s="17">
        <f t="shared" si="384"/>
        <v>-5690.7217502207995</v>
      </c>
      <c r="DG74" s="17"/>
      <c r="DH74" s="17">
        <f t="shared" si="385"/>
        <v>-10514.941939202587</v>
      </c>
      <c r="DI74" s="17">
        <f t="shared" si="386"/>
        <v>-29573.274204007277</v>
      </c>
      <c r="DJ74" s="17">
        <f t="shared" si="387"/>
        <v>-3206.3190584131216</v>
      </c>
      <c r="DK74" s="17">
        <f t="shared" si="388"/>
        <v>4781.9938742842278</v>
      </c>
      <c r="DL74" s="17">
        <f t="shared" si="389"/>
        <v>-18915.868166220796</v>
      </c>
      <c r="DM74" s="17">
        <f t="shared" si="390"/>
        <v>-38512.54132733876</v>
      </c>
      <c r="DN74" s="17">
        <f t="shared" si="391"/>
        <v>-57428.409493559557</v>
      </c>
    </row>
    <row r="75" spans="3:120" ht="18.600000000000001">
      <c r="C75" s="13">
        <f>IF(D75&lt;&gt;"",COUNTA($D$10:D75),"")</f>
        <v>57</v>
      </c>
      <c r="D75" s="14" t="s">
        <v>205</v>
      </c>
      <c r="E75" s="14">
        <v>3.8</v>
      </c>
      <c r="F75" s="14">
        <v>4.2</v>
      </c>
      <c r="G75" s="14">
        <v>2.4</v>
      </c>
      <c r="H75" s="14">
        <v>3</v>
      </c>
      <c r="I75" s="14">
        <v>3</v>
      </c>
      <c r="J75" s="14">
        <v>1.75</v>
      </c>
      <c r="K75" s="14">
        <v>3</v>
      </c>
      <c r="L75" s="15">
        <v>0.1</v>
      </c>
      <c r="M75" s="15">
        <v>0</v>
      </c>
      <c r="N75" s="14">
        <v>24</v>
      </c>
      <c r="O75" s="14">
        <v>50</v>
      </c>
      <c r="P75" s="13">
        <v>45</v>
      </c>
      <c r="Q75" s="13">
        <v>85</v>
      </c>
      <c r="R75" s="13" t="s">
        <v>217</v>
      </c>
      <c r="S75" s="13">
        <v>80</v>
      </c>
      <c r="T75" s="13">
        <v>0</v>
      </c>
      <c r="U75" s="13">
        <v>100</v>
      </c>
      <c r="V75" s="13" t="str">
        <f t="shared" si="316"/>
        <v>10K</v>
      </c>
      <c r="W75" s="13">
        <f t="shared" si="317"/>
        <v>80</v>
      </c>
      <c r="X75" s="16">
        <f t="shared" si="318"/>
        <v>171.72959999999998</v>
      </c>
      <c r="Y75" s="16">
        <f t="shared" si="319"/>
        <v>1351.8554111999997</v>
      </c>
      <c r="Z75" s="16">
        <f t="shared" si="320"/>
        <v>1802.4738815999997</v>
      </c>
      <c r="AA75" s="16">
        <f t="shared" si="321"/>
        <v>180.24738815999999</v>
      </c>
      <c r="AB75" s="16">
        <f t="shared" si="322"/>
        <v>0</v>
      </c>
      <c r="AC75" s="16">
        <f t="shared" si="323"/>
        <v>16.581337204618769</v>
      </c>
      <c r="AD75" s="16">
        <f t="shared" si="324"/>
        <v>3550</v>
      </c>
      <c r="AE75" s="16">
        <f t="shared" si="325"/>
        <v>3550</v>
      </c>
      <c r="AF75" s="16">
        <f t="shared" si="326"/>
        <v>16</v>
      </c>
      <c r="AG75" s="16">
        <f t="shared" si="327"/>
        <v>9</v>
      </c>
      <c r="AH75" s="838" t="s">
        <v>85</v>
      </c>
      <c r="AI75" s="17">
        <f t="shared" si="328"/>
        <v>7</v>
      </c>
      <c r="AJ75" s="17">
        <f t="shared" si="329"/>
        <v>9</v>
      </c>
      <c r="AK75" s="891"/>
      <c r="AL75" s="18">
        <f>IF(AL79&lt;4000,AL79,AL79+400)</f>
        <v>5800</v>
      </c>
      <c r="AM75" s="889"/>
      <c r="AN75" s="891"/>
      <c r="AO75" s="888"/>
      <c r="AP75" s="891"/>
      <c r="AQ75" s="891"/>
      <c r="AR75" s="889"/>
      <c r="AS75" s="888"/>
      <c r="AT75" s="888"/>
      <c r="AU75" s="890"/>
      <c r="AV75" s="888"/>
      <c r="AW75" s="888"/>
      <c r="AX75" s="888"/>
      <c r="AY75" s="887"/>
      <c r="AZ75" s="888"/>
      <c r="BA75" s="17">
        <f t="shared" si="330"/>
        <v>14.399999999999991</v>
      </c>
      <c r="BB75" s="17">
        <f t="shared" si="331"/>
        <v>37.799999999999997</v>
      </c>
      <c r="BC75" s="17">
        <f t="shared" si="332"/>
        <v>32</v>
      </c>
      <c r="BD75" s="17">
        <f t="shared" si="333"/>
        <v>85</v>
      </c>
      <c r="BE75" s="17">
        <f t="shared" si="334"/>
        <v>180.86341983910182</v>
      </c>
      <c r="BF75" s="17">
        <f t="shared" si="335"/>
        <v>24</v>
      </c>
      <c r="BG75" s="17">
        <f t="shared" si="336"/>
        <v>50</v>
      </c>
      <c r="BH75" s="17">
        <f t="shared" si="337"/>
        <v>65.062647806544774</v>
      </c>
      <c r="BI75" s="17">
        <f t="shared" si="338"/>
        <v>115.80077203255705</v>
      </c>
      <c r="BJ75" s="17">
        <f t="shared" si="339"/>
        <v>45</v>
      </c>
      <c r="BK75" s="17">
        <f t="shared" si="340"/>
        <v>85</v>
      </c>
      <c r="BL75" s="17">
        <f t="shared" si="341"/>
        <v>380.54120080897206</v>
      </c>
      <c r="BM75" s="17">
        <f t="shared" si="342"/>
        <v>24</v>
      </c>
      <c r="BN75" s="17">
        <f t="shared" si="343"/>
        <v>50</v>
      </c>
      <c r="BO75" s="17">
        <f t="shared" si="344"/>
        <v>65.062647806544774</v>
      </c>
      <c r="BP75" s="17">
        <f t="shared" si="345"/>
        <v>315.4785530024273</v>
      </c>
      <c r="BQ75" s="17">
        <f t="shared" si="346"/>
        <v>7028.2598399999997</v>
      </c>
      <c r="BR75" s="17">
        <f t="shared" si="347"/>
        <v>2677.4323199999981</v>
      </c>
      <c r="BS75" s="17">
        <f t="shared" si="348"/>
        <v>1112.8078079999991</v>
      </c>
      <c r="BT75" s="17">
        <f t="shared" si="349"/>
        <v>2921.1204959999995</v>
      </c>
      <c r="BU75" s="17">
        <f t="shared" si="350"/>
        <v>34904.520000000004</v>
      </c>
      <c r="BV75" s="17">
        <f t="shared" si="351"/>
        <v>10236</v>
      </c>
      <c r="BW75" s="17">
        <f t="shared" si="352"/>
        <v>1025.3974415999999</v>
      </c>
      <c r="BX75" s="17">
        <f t="shared" si="353"/>
        <v>17495.999999999989</v>
      </c>
      <c r="BY75" s="17">
        <f t="shared" si="354"/>
        <v>7358.4193742438392</v>
      </c>
      <c r="BZ75" s="17"/>
      <c r="CA75" s="17">
        <f t="shared" si="355"/>
        <v>128715.24962499036</v>
      </c>
      <c r="CB75" s="17">
        <f t="shared" si="356"/>
        <v>241341.0930468569</v>
      </c>
      <c r="CC75" s="17">
        <f t="shared" si="357"/>
        <v>38667.645935444882</v>
      </c>
      <c r="CD75" s="17">
        <f t="shared" si="358"/>
        <v>348008.81341900391</v>
      </c>
      <c r="CE75" s="17">
        <f t="shared" si="359"/>
        <v>78048.596655843823</v>
      </c>
      <c r="CF75" s="17">
        <f t="shared" si="360"/>
        <v>756732.80202629603</v>
      </c>
      <c r="CG75" s="17">
        <f t="shared" si="361"/>
        <v>834781.39868213981</v>
      </c>
      <c r="CH75" s="17">
        <f t="shared" si="362"/>
        <v>14.400000000000006</v>
      </c>
      <c r="CI75" s="17">
        <f t="shared" si="363"/>
        <v>-43.2</v>
      </c>
      <c r="CJ75" s="17">
        <f t="shared" si="364"/>
        <v>16</v>
      </c>
      <c r="CK75" s="17">
        <f t="shared" si="365"/>
        <v>90</v>
      </c>
      <c r="CL75" s="17">
        <f t="shared" si="366"/>
        <v>71.46880726181422</v>
      </c>
      <c r="CM75" s="17">
        <f t="shared" si="367"/>
        <v>24</v>
      </c>
      <c r="CN75" s="17">
        <f t="shared" si="368"/>
        <v>50</v>
      </c>
      <c r="CO75" s="17">
        <f t="shared" si="369"/>
        <v>65.062647806544774</v>
      </c>
      <c r="CP75" s="17">
        <f t="shared" si="370"/>
        <v>6.4061594552694459</v>
      </c>
      <c r="CQ75" s="17">
        <f t="shared" si="371"/>
        <v>0</v>
      </c>
      <c r="CR75" s="17">
        <f t="shared" si="372"/>
        <v>100</v>
      </c>
      <c r="CS75" s="17">
        <f t="shared" si="373"/>
        <v>26.404773030064671</v>
      </c>
      <c r="CT75" s="17">
        <f t="shared" si="374"/>
        <v>24</v>
      </c>
      <c r="CU75" s="17">
        <f t="shared" si="375"/>
        <v>50</v>
      </c>
      <c r="CV75" s="17">
        <f t="shared" si="376"/>
        <v>65.062647806544774</v>
      </c>
      <c r="CW75" s="17">
        <f t="shared" si="377"/>
        <v>-38.657874776480099</v>
      </c>
      <c r="CX75" s="17">
        <f t="shared" si="315"/>
        <v>-8032.2969600000006</v>
      </c>
      <c r="CY75" s="17">
        <f t="shared" si="315"/>
        <v>-8032.2969600000006</v>
      </c>
      <c r="CZ75" s="17">
        <f t="shared" si="378"/>
        <v>1112.8078080000003</v>
      </c>
      <c r="DA75" s="17">
        <f t="shared" si="379"/>
        <v>-3338.4234240000001</v>
      </c>
      <c r="DB75" s="17">
        <f t="shared" si="380"/>
        <v>-39890.880000000005</v>
      </c>
      <c r="DC75" s="17">
        <f t="shared" si="381"/>
        <v>10236</v>
      </c>
      <c r="DD75" s="17">
        <f t="shared" si="382"/>
        <v>1025.3974415999999</v>
      </c>
      <c r="DE75" s="17">
        <f t="shared" si="383"/>
        <v>17496.000000000007</v>
      </c>
      <c r="DF75" s="17">
        <f t="shared" si="384"/>
        <v>-8409.6221419929607</v>
      </c>
      <c r="DG75" s="17"/>
      <c r="DH75" s="17">
        <f t="shared" si="385"/>
        <v>-15772.412908803883</v>
      </c>
      <c r="DI75" s="17">
        <f t="shared" si="386"/>
        <v>-29573.274204007277</v>
      </c>
      <c r="DJ75" s="17">
        <f t="shared" si="387"/>
        <v>-4738.2270529882799</v>
      </c>
      <c r="DK75" s="17">
        <f t="shared" si="388"/>
        <v>7066.7242808866922</v>
      </c>
      <c r="DL75" s="17">
        <f t="shared" si="389"/>
        <v>-29801.017276392962</v>
      </c>
      <c r="DM75" s="17">
        <f t="shared" si="390"/>
        <v>-43017.189884912746</v>
      </c>
      <c r="DN75" s="17">
        <f t="shared" si="391"/>
        <v>-72818.207161305705</v>
      </c>
    </row>
    <row r="76" spans="3:120" ht="18.600000000000001">
      <c r="C76" s="13">
        <f>IF(D76&lt;&gt;"",COUNTA($D$10:D76),"")</f>
        <v>58</v>
      </c>
      <c r="D76" s="14" t="s">
        <v>206</v>
      </c>
      <c r="E76" s="14">
        <v>3.1</v>
      </c>
      <c r="F76" s="14">
        <v>2.6</v>
      </c>
      <c r="G76" s="14">
        <v>2.4</v>
      </c>
      <c r="H76" s="14">
        <v>2</v>
      </c>
      <c r="I76" s="14">
        <v>1</v>
      </c>
      <c r="J76" s="14">
        <v>1.75</v>
      </c>
      <c r="K76" s="14">
        <v>3</v>
      </c>
      <c r="L76" s="15">
        <v>0.1</v>
      </c>
      <c r="M76" s="15">
        <v>0</v>
      </c>
      <c r="N76" s="14">
        <v>24</v>
      </c>
      <c r="O76" s="14">
        <v>50</v>
      </c>
      <c r="P76" s="13">
        <v>45</v>
      </c>
      <c r="Q76" s="13">
        <v>85</v>
      </c>
      <c r="R76" s="13" t="s">
        <v>217</v>
      </c>
      <c r="S76" s="13">
        <v>80</v>
      </c>
      <c r="T76" s="13">
        <v>0</v>
      </c>
      <c r="U76" s="13">
        <v>100</v>
      </c>
      <c r="V76" s="13" t="str">
        <f t="shared" si="316"/>
        <v>10K</v>
      </c>
      <c r="W76" s="13">
        <f t="shared" si="317"/>
        <v>80</v>
      </c>
      <c r="X76" s="16">
        <f t="shared" si="318"/>
        <v>86.7256</v>
      </c>
      <c r="Y76" s="16">
        <f t="shared" si="319"/>
        <v>682.70392319999996</v>
      </c>
      <c r="Z76" s="16">
        <f t="shared" si="320"/>
        <v>910.27189759999987</v>
      </c>
      <c r="AA76" s="16">
        <f t="shared" si="321"/>
        <v>91.027189759999999</v>
      </c>
      <c r="AB76" s="16">
        <f t="shared" si="322"/>
        <v>0</v>
      </c>
      <c r="AC76" s="16">
        <f t="shared" si="323"/>
        <v>8.3737830745129873</v>
      </c>
      <c r="AD76" s="16">
        <f t="shared" si="324"/>
        <v>2450</v>
      </c>
      <c r="AE76" s="16">
        <f t="shared" si="325"/>
        <v>2450</v>
      </c>
      <c r="AF76" s="16">
        <f t="shared" si="326"/>
        <v>10</v>
      </c>
      <c r="AG76" s="16">
        <f t="shared" si="327"/>
        <v>6.5</v>
      </c>
      <c r="AH76" s="838" t="s">
        <v>85</v>
      </c>
      <c r="AI76" s="17">
        <f t="shared" si="328"/>
        <v>4.5</v>
      </c>
      <c r="AJ76" s="17">
        <f t="shared" si="329"/>
        <v>6.5</v>
      </c>
      <c r="AK76" s="891"/>
      <c r="AL76" s="18"/>
      <c r="AM76" s="889"/>
      <c r="AN76" s="891"/>
      <c r="AO76" s="888"/>
      <c r="AP76" s="891"/>
      <c r="AQ76" s="891"/>
      <c r="AR76" s="889"/>
      <c r="AS76" s="888"/>
      <c r="AT76" s="888"/>
      <c r="AU76" s="890"/>
      <c r="AV76" s="888"/>
      <c r="AW76" s="888"/>
      <c r="AX76" s="888"/>
      <c r="AY76" s="887"/>
      <c r="AZ76" s="888"/>
      <c r="BA76" s="17">
        <f t="shared" si="330"/>
        <v>14.399999999999991</v>
      </c>
      <c r="BB76" s="17">
        <f t="shared" si="331"/>
        <v>37.799999999999997</v>
      </c>
      <c r="BC76" s="17">
        <f t="shared" si="332"/>
        <v>32</v>
      </c>
      <c r="BD76" s="17">
        <f t="shared" si="333"/>
        <v>85</v>
      </c>
      <c r="BE76" s="17">
        <f t="shared" si="334"/>
        <v>180.86341983910182</v>
      </c>
      <c r="BF76" s="17">
        <f t="shared" si="335"/>
        <v>24</v>
      </c>
      <c r="BG76" s="17">
        <f t="shared" si="336"/>
        <v>50</v>
      </c>
      <c r="BH76" s="17">
        <f t="shared" si="337"/>
        <v>65.062647806544774</v>
      </c>
      <c r="BI76" s="17">
        <f t="shared" si="338"/>
        <v>115.80077203255705</v>
      </c>
      <c r="BJ76" s="17">
        <f t="shared" si="339"/>
        <v>45</v>
      </c>
      <c r="BK76" s="17">
        <f t="shared" si="340"/>
        <v>85</v>
      </c>
      <c r="BL76" s="17">
        <f t="shared" si="341"/>
        <v>380.54120080897206</v>
      </c>
      <c r="BM76" s="17">
        <f t="shared" si="342"/>
        <v>24</v>
      </c>
      <c r="BN76" s="17">
        <f t="shared" si="343"/>
        <v>50</v>
      </c>
      <c r="BO76" s="17">
        <f t="shared" si="344"/>
        <v>65.062647806544774</v>
      </c>
      <c r="BP76" s="17">
        <f t="shared" si="345"/>
        <v>315.4785530024273</v>
      </c>
      <c r="BQ76" s="17">
        <f t="shared" si="346"/>
        <v>5007.6351359999999</v>
      </c>
      <c r="BR76" s="17">
        <f t="shared" si="347"/>
        <v>1907.670527999999</v>
      </c>
      <c r="BS76" s="17">
        <f t="shared" si="348"/>
        <v>561.98188799999969</v>
      </c>
      <c r="BT76" s="17">
        <f t="shared" si="349"/>
        <v>1475.202456</v>
      </c>
      <c r="BU76" s="17">
        <f t="shared" si="350"/>
        <v>23269.68</v>
      </c>
      <c r="BV76" s="17">
        <f t="shared" si="351"/>
        <v>3412</v>
      </c>
      <c r="BW76" s="17">
        <f t="shared" si="352"/>
        <v>517.83855759999994</v>
      </c>
      <c r="BX76" s="17">
        <f t="shared" si="353"/>
        <v>17495.999999999989</v>
      </c>
      <c r="BY76" s="17">
        <f t="shared" si="354"/>
        <v>3716.0939947622401</v>
      </c>
      <c r="BZ76" s="17"/>
      <c r="CA76" s="17">
        <f t="shared" si="355"/>
        <v>85810.166416660228</v>
      </c>
      <c r="CB76" s="17">
        <f t="shared" si="356"/>
        <v>241341.0930468569</v>
      </c>
      <c r="CC76" s="17">
        <f t="shared" si="357"/>
        <v>19527.645754366273</v>
      </c>
      <c r="CD76" s="17">
        <f t="shared" si="358"/>
        <v>175748.81178929645</v>
      </c>
      <c r="CE76" s="17">
        <f t="shared" si="359"/>
        <v>53419.247688362229</v>
      </c>
      <c r="CF76" s="17">
        <f t="shared" si="360"/>
        <v>522427.71700717986</v>
      </c>
      <c r="CG76" s="17">
        <f t="shared" si="361"/>
        <v>575846.96469554212</v>
      </c>
      <c r="CH76" s="17">
        <f t="shared" si="362"/>
        <v>14.400000000000006</v>
      </c>
      <c r="CI76" s="17">
        <f t="shared" si="363"/>
        <v>-43.2</v>
      </c>
      <c r="CJ76" s="17">
        <f t="shared" si="364"/>
        <v>16</v>
      </c>
      <c r="CK76" s="17">
        <f t="shared" si="365"/>
        <v>90</v>
      </c>
      <c r="CL76" s="17">
        <f t="shared" si="366"/>
        <v>71.46880726181422</v>
      </c>
      <c r="CM76" s="17">
        <f t="shared" si="367"/>
        <v>24</v>
      </c>
      <c r="CN76" s="17">
        <f t="shared" si="368"/>
        <v>50</v>
      </c>
      <c r="CO76" s="17">
        <f t="shared" si="369"/>
        <v>65.062647806544774</v>
      </c>
      <c r="CP76" s="17">
        <f t="shared" si="370"/>
        <v>6.4061594552694459</v>
      </c>
      <c r="CQ76" s="17">
        <f t="shared" si="371"/>
        <v>0</v>
      </c>
      <c r="CR76" s="17">
        <f t="shared" si="372"/>
        <v>100</v>
      </c>
      <c r="CS76" s="17">
        <f t="shared" si="373"/>
        <v>26.404773030064671</v>
      </c>
      <c r="CT76" s="17">
        <f t="shared" si="374"/>
        <v>24</v>
      </c>
      <c r="CU76" s="17">
        <f t="shared" si="375"/>
        <v>50</v>
      </c>
      <c r="CV76" s="17">
        <f t="shared" si="376"/>
        <v>65.062647806544774</v>
      </c>
      <c r="CW76" s="17">
        <f t="shared" si="377"/>
        <v>-38.657874776480099</v>
      </c>
      <c r="CX76" s="17">
        <f t="shared" si="315"/>
        <v>-5723.0115840000008</v>
      </c>
      <c r="CY76" s="17">
        <f t="shared" si="315"/>
        <v>-5723.0115840000008</v>
      </c>
      <c r="CZ76" s="17">
        <f t="shared" si="378"/>
        <v>561.98188800000014</v>
      </c>
      <c r="DA76" s="17">
        <f t="shared" si="379"/>
        <v>-1685.9456640000001</v>
      </c>
      <c r="DB76" s="17">
        <f t="shared" si="380"/>
        <v>-26593.920000000002</v>
      </c>
      <c r="DC76" s="17">
        <f t="shared" si="381"/>
        <v>3412</v>
      </c>
      <c r="DD76" s="17">
        <f t="shared" si="382"/>
        <v>517.83855759999994</v>
      </c>
      <c r="DE76" s="17">
        <f t="shared" si="383"/>
        <v>17496.000000000007</v>
      </c>
      <c r="DF76" s="17">
        <f t="shared" si="384"/>
        <v>-4246.9645654425603</v>
      </c>
      <c r="DG76" s="17"/>
      <c r="DH76" s="17">
        <f t="shared" si="385"/>
        <v>-10514.941939202587</v>
      </c>
      <c r="DI76" s="17">
        <f t="shared" si="386"/>
        <v>-29573.274204007277</v>
      </c>
      <c r="DJ76" s="17">
        <f t="shared" si="387"/>
        <v>-2392.8640380379406</v>
      </c>
      <c r="DK76" s="17">
        <f t="shared" si="388"/>
        <v>3568.7843172898956</v>
      </c>
      <c r="DL76" s="17">
        <f t="shared" si="389"/>
        <v>-16262.021367842555</v>
      </c>
      <c r="DM76" s="17">
        <f t="shared" si="390"/>
        <v>-38912.295863957916</v>
      </c>
      <c r="DN76" s="17">
        <f t="shared" si="391"/>
        <v>-55174.317231800473</v>
      </c>
    </row>
    <row r="77" spans="3:120" ht="18.600000000000001">
      <c r="C77" s="13">
        <f>IF(D77&lt;&gt;"",COUNTA($D$10:D77),"")</f>
        <v>59</v>
      </c>
      <c r="D77" s="14" t="s">
        <v>207</v>
      </c>
      <c r="E77" s="14">
        <v>1.9</v>
      </c>
      <c r="F77" s="14">
        <v>2.4</v>
      </c>
      <c r="G77" s="14">
        <v>2.4</v>
      </c>
      <c r="H77" s="14">
        <v>3</v>
      </c>
      <c r="I77" s="14">
        <v>2</v>
      </c>
      <c r="J77" s="14">
        <v>1.75</v>
      </c>
      <c r="K77" s="14">
        <v>3</v>
      </c>
      <c r="L77" s="15">
        <v>0.1</v>
      </c>
      <c r="M77" s="15">
        <v>0</v>
      </c>
      <c r="N77" s="14">
        <v>24</v>
      </c>
      <c r="O77" s="14">
        <v>50</v>
      </c>
      <c r="P77" s="13">
        <v>45</v>
      </c>
      <c r="Q77" s="13">
        <v>85</v>
      </c>
      <c r="R77" s="13" t="s">
        <v>217</v>
      </c>
      <c r="S77" s="13">
        <v>80</v>
      </c>
      <c r="T77" s="13">
        <v>0</v>
      </c>
      <c r="U77" s="13">
        <v>100</v>
      </c>
      <c r="V77" s="13" t="str">
        <f t="shared" si="316"/>
        <v>10K</v>
      </c>
      <c r="W77" s="13">
        <f t="shared" si="317"/>
        <v>80</v>
      </c>
      <c r="X77" s="16">
        <f t="shared" si="318"/>
        <v>49.065599999999996</v>
      </c>
      <c r="Y77" s="16">
        <f t="shared" si="319"/>
        <v>386.24440319999997</v>
      </c>
      <c r="Z77" s="16">
        <f t="shared" si="320"/>
        <v>514.99253759999988</v>
      </c>
      <c r="AA77" s="16">
        <f t="shared" si="321"/>
        <v>51.499253759999988</v>
      </c>
      <c r="AB77" s="16">
        <f t="shared" si="322"/>
        <v>0</v>
      </c>
      <c r="AC77" s="16">
        <f t="shared" si="323"/>
        <v>4.7375249156053627</v>
      </c>
      <c r="AD77" s="16">
        <f t="shared" si="324"/>
        <v>2250</v>
      </c>
      <c r="AE77" s="16">
        <f t="shared" si="325"/>
        <v>2250</v>
      </c>
      <c r="AF77" s="16">
        <f t="shared" si="326"/>
        <v>10</v>
      </c>
      <c r="AG77" s="16">
        <f t="shared" si="327"/>
        <v>6</v>
      </c>
      <c r="AH77" s="838" t="s">
        <v>85</v>
      </c>
      <c r="AI77" s="17">
        <f t="shared" si="328"/>
        <v>5.5</v>
      </c>
      <c r="AJ77" s="17">
        <f t="shared" si="329"/>
        <v>6</v>
      </c>
      <c r="AK77" s="891"/>
      <c r="AL77" s="18"/>
      <c r="AM77" s="889"/>
      <c r="AN77" s="891"/>
      <c r="AO77" s="888"/>
      <c r="AP77" s="891"/>
      <c r="AQ77" s="891"/>
      <c r="AR77" s="889"/>
      <c r="AS77" s="888"/>
      <c r="AT77" s="888"/>
      <c r="AU77" s="890"/>
      <c r="AV77" s="888"/>
      <c r="AW77" s="888"/>
      <c r="AX77" s="888"/>
      <c r="AY77" s="887"/>
      <c r="AZ77" s="888"/>
      <c r="BA77" s="17">
        <f t="shared" si="330"/>
        <v>14.399999999999991</v>
      </c>
      <c r="BB77" s="17">
        <f t="shared" si="331"/>
        <v>37.799999999999997</v>
      </c>
      <c r="BC77" s="17">
        <f t="shared" si="332"/>
        <v>32</v>
      </c>
      <c r="BD77" s="17">
        <f t="shared" si="333"/>
        <v>85</v>
      </c>
      <c r="BE77" s="17">
        <f t="shared" si="334"/>
        <v>180.86341983910182</v>
      </c>
      <c r="BF77" s="17">
        <f t="shared" si="335"/>
        <v>24</v>
      </c>
      <c r="BG77" s="17">
        <f t="shared" si="336"/>
        <v>50</v>
      </c>
      <c r="BH77" s="17">
        <f t="shared" si="337"/>
        <v>65.062647806544774</v>
      </c>
      <c r="BI77" s="17">
        <f t="shared" si="338"/>
        <v>115.80077203255705</v>
      </c>
      <c r="BJ77" s="17">
        <f t="shared" si="339"/>
        <v>45</v>
      </c>
      <c r="BK77" s="17">
        <f t="shared" si="340"/>
        <v>85</v>
      </c>
      <c r="BL77" s="17">
        <f t="shared" si="341"/>
        <v>380.54120080897206</v>
      </c>
      <c r="BM77" s="17">
        <f t="shared" si="342"/>
        <v>24</v>
      </c>
      <c r="BN77" s="17">
        <f t="shared" si="343"/>
        <v>50</v>
      </c>
      <c r="BO77" s="17">
        <f t="shared" si="344"/>
        <v>65.062647806544774</v>
      </c>
      <c r="BP77" s="17">
        <f t="shared" si="345"/>
        <v>315.4785530024273</v>
      </c>
      <c r="BQ77" s="17">
        <f t="shared" si="346"/>
        <v>3777.6896639999995</v>
      </c>
      <c r="BR77" s="17">
        <f t="shared" si="347"/>
        <v>1439.1198719999991</v>
      </c>
      <c r="BS77" s="17">
        <f t="shared" si="348"/>
        <v>317.94508799999977</v>
      </c>
      <c r="BT77" s="17">
        <f t="shared" si="349"/>
        <v>834.6058559999999</v>
      </c>
      <c r="BU77" s="17">
        <f t="shared" si="350"/>
        <v>34904.520000000004</v>
      </c>
      <c r="BV77" s="17">
        <f t="shared" si="351"/>
        <v>6824</v>
      </c>
      <c r="BW77" s="17">
        <f t="shared" si="352"/>
        <v>292.97069759999994</v>
      </c>
      <c r="BX77" s="17">
        <f t="shared" si="353"/>
        <v>17495.999999999989</v>
      </c>
      <c r="BY77" s="17">
        <f t="shared" si="354"/>
        <v>2102.4055354982397</v>
      </c>
      <c r="BZ77" s="17"/>
      <c r="CA77" s="17">
        <f t="shared" si="355"/>
        <v>128715.24962499036</v>
      </c>
      <c r="CB77" s="17">
        <f t="shared" si="356"/>
        <v>241341.0930468569</v>
      </c>
      <c r="CC77" s="17">
        <f t="shared" si="357"/>
        <v>11047.898838698537</v>
      </c>
      <c r="CD77" s="17">
        <f t="shared" si="358"/>
        <v>99431.089548286822</v>
      </c>
      <c r="CE77" s="17">
        <f t="shared" si="359"/>
        <v>65397.585897098237</v>
      </c>
      <c r="CF77" s="17">
        <f t="shared" si="360"/>
        <v>480535.33105883258</v>
      </c>
      <c r="CG77" s="17">
        <f t="shared" si="361"/>
        <v>545932.91695593088</v>
      </c>
      <c r="CH77" s="17">
        <f t="shared" si="362"/>
        <v>14.400000000000006</v>
      </c>
      <c r="CI77" s="17">
        <f t="shared" si="363"/>
        <v>-43.2</v>
      </c>
      <c r="CJ77" s="17">
        <f t="shared" si="364"/>
        <v>16</v>
      </c>
      <c r="CK77" s="17">
        <f t="shared" si="365"/>
        <v>90</v>
      </c>
      <c r="CL77" s="17">
        <f t="shared" si="366"/>
        <v>71.46880726181422</v>
      </c>
      <c r="CM77" s="17">
        <f t="shared" si="367"/>
        <v>24</v>
      </c>
      <c r="CN77" s="17">
        <f t="shared" si="368"/>
        <v>50</v>
      </c>
      <c r="CO77" s="17">
        <f t="shared" si="369"/>
        <v>65.062647806544774</v>
      </c>
      <c r="CP77" s="17">
        <f t="shared" si="370"/>
        <v>6.4061594552694459</v>
      </c>
      <c r="CQ77" s="17">
        <f t="shared" si="371"/>
        <v>0</v>
      </c>
      <c r="CR77" s="17">
        <f t="shared" si="372"/>
        <v>100</v>
      </c>
      <c r="CS77" s="17">
        <f t="shared" si="373"/>
        <v>26.404773030064671</v>
      </c>
      <c r="CT77" s="17">
        <f t="shared" si="374"/>
        <v>24</v>
      </c>
      <c r="CU77" s="17">
        <f t="shared" si="375"/>
        <v>50</v>
      </c>
      <c r="CV77" s="17">
        <f t="shared" si="376"/>
        <v>65.062647806544774</v>
      </c>
      <c r="CW77" s="17">
        <f t="shared" si="377"/>
        <v>-38.657874776480099</v>
      </c>
      <c r="CX77" s="17">
        <f t="shared" si="315"/>
        <v>-4317.3596159999997</v>
      </c>
      <c r="CY77" s="17">
        <f t="shared" si="315"/>
        <v>-4317.3596159999997</v>
      </c>
      <c r="CZ77" s="17">
        <f t="shared" si="378"/>
        <v>317.94508800000011</v>
      </c>
      <c r="DA77" s="17">
        <f t="shared" si="379"/>
        <v>-953.83526399999994</v>
      </c>
      <c r="DB77" s="17">
        <f t="shared" si="380"/>
        <v>-39890.880000000005</v>
      </c>
      <c r="DC77" s="17">
        <f t="shared" si="381"/>
        <v>6824</v>
      </c>
      <c r="DD77" s="17">
        <f t="shared" si="382"/>
        <v>292.97069759999994</v>
      </c>
      <c r="DE77" s="17">
        <f t="shared" si="383"/>
        <v>17496.000000000007</v>
      </c>
      <c r="DF77" s="17">
        <f t="shared" si="384"/>
        <v>-2402.7491834265597</v>
      </c>
      <c r="DG77" s="17"/>
      <c r="DH77" s="17">
        <f t="shared" si="385"/>
        <v>-15772.412908803883</v>
      </c>
      <c r="DI77" s="17">
        <f t="shared" si="386"/>
        <v>-29573.274204007277</v>
      </c>
      <c r="DJ77" s="17">
        <f t="shared" si="387"/>
        <v>-1353.7791579966511</v>
      </c>
      <c r="DK77" s="17">
        <f t="shared" si="388"/>
        <v>2019.0640802533405</v>
      </c>
      <c r="DL77" s="17">
        <f t="shared" si="389"/>
        <v>-22633.908277826558</v>
      </c>
      <c r="DM77" s="17">
        <f t="shared" si="390"/>
        <v>-44680.402190554472</v>
      </c>
      <c r="DN77" s="17">
        <f t="shared" si="391"/>
        <v>-67314.310468381038</v>
      </c>
    </row>
    <row r="78" spans="3:120" ht="18.600000000000001">
      <c r="C78" s="13">
        <f>IF(D78&lt;&gt;"",COUNTA($D$10:D78),"")</f>
        <v>60</v>
      </c>
      <c r="D78" s="14" t="s">
        <v>208</v>
      </c>
      <c r="E78" s="14">
        <v>3</v>
      </c>
      <c r="F78" s="14">
        <v>2.9</v>
      </c>
      <c r="G78" s="14">
        <v>2.4</v>
      </c>
      <c r="H78" s="14">
        <v>2</v>
      </c>
      <c r="I78" s="14">
        <v>1</v>
      </c>
      <c r="J78" s="14">
        <v>1.75</v>
      </c>
      <c r="K78" s="14">
        <v>3</v>
      </c>
      <c r="L78" s="15">
        <v>0.1</v>
      </c>
      <c r="M78" s="15">
        <v>0</v>
      </c>
      <c r="N78" s="14">
        <v>24</v>
      </c>
      <c r="O78" s="14">
        <v>50</v>
      </c>
      <c r="P78" s="13">
        <v>45</v>
      </c>
      <c r="Q78" s="13">
        <v>85</v>
      </c>
      <c r="R78" s="13" t="s">
        <v>217</v>
      </c>
      <c r="S78" s="13">
        <v>80</v>
      </c>
      <c r="T78" s="13">
        <v>0</v>
      </c>
      <c r="U78" s="13">
        <v>100</v>
      </c>
      <c r="V78" s="13" t="str">
        <f t="shared" si="316"/>
        <v>10K</v>
      </c>
      <c r="W78" s="13">
        <f t="shared" si="317"/>
        <v>80</v>
      </c>
      <c r="X78" s="16">
        <f t="shared" si="318"/>
        <v>93.611999999999995</v>
      </c>
      <c r="Y78" s="16">
        <f t="shared" si="319"/>
        <v>736.91366399999993</v>
      </c>
      <c r="Z78" s="16">
        <f t="shared" si="320"/>
        <v>982.55155199999979</v>
      </c>
      <c r="AA78" s="16">
        <f t="shared" si="321"/>
        <v>98.25515519999999</v>
      </c>
      <c r="AB78" s="16">
        <f t="shared" si="322"/>
        <v>0</v>
      </c>
      <c r="AC78" s="16">
        <f t="shared" si="323"/>
        <v>9.0386988521418115</v>
      </c>
      <c r="AD78" s="16">
        <f>IF(ISNUMBER(N78), CEILING(CF78/(0.68*BP78),25), "Ambient")</f>
        <v>2525</v>
      </c>
      <c r="AE78" s="16">
        <f t="shared" si="325"/>
        <v>2525</v>
      </c>
      <c r="AF78" s="16">
        <f t="shared" si="326"/>
        <v>12</v>
      </c>
      <c r="AG78" s="16">
        <f t="shared" si="327"/>
        <v>6.5</v>
      </c>
      <c r="AH78" s="838" t="s">
        <v>85</v>
      </c>
      <c r="AI78" s="17">
        <f t="shared" si="328"/>
        <v>4.5</v>
      </c>
      <c r="AJ78" s="17">
        <f t="shared" si="329"/>
        <v>6.5</v>
      </c>
      <c r="AK78" s="891"/>
      <c r="AL78" s="18"/>
      <c r="AM78" s="889"/>
      <c r="AN78" s="891"/>
      <c r="AO78" s="888"/>
      <c r="AP78" s="891"/>
      <c r="AQ78" s="891"/>
      <c r="AR78" s="889"/>
      <c r="AS78" s="888"/>
      <c r="AT78" s="888"/>
      <c r="AU78" s="890"/>
      <c r="AV78" s="888"/>
      <c r="AW78" s="888"/>
      <c r="AX78" s="888"/>
      <c r="AY78" s="887"/>
      <c r="AZ78" s="888"/>
      <c r="BA78" s="17">
        <f t="shared" si="330"/>
        <v>14.399999999999991</v>
      </c>
      <c r="BB78" s="17">
        <f t="shared" si="331"/>
        <v>37.799999999999997</v>
      </c>
      <c r="BC78" s="17">
        <f t="shared" si="332"/>
        <v>32</v>
      </c>
      <c r="BD78" s="17">
        <f t="shared" si="333"/>
        <v>85</v>
      </c>
      <c r="BE78" s="17">
        <f t="shared" si="334"/>
        <v>180.86341983910182</v>
      </c>
      <c r="BF78" s="17">
        <f t="shared" si="335"/>
        <v>24</v>
      </c>
      <c r="BG78" s="17">
        <f t="shared" si="336"/>
        <v>50</v>
      </c>
      <c r="BH78" s="17">
        <f t="shared" si="337"/>
        <v>65.062647806544774</v>
      </c>
      <c r="BI78" s="17">
        <f t="shared" si="338"/>
        <v>115.80077203255705</v>
      </c>
      <c r="BJ78" s="17">
        <f t="shared" si="339"/>
        <v>45</v>
      </c>
      <c r="BK78" s="17">
        <f t="shared" si="340"/>
        <v>85</v>
      </c>
      <c r="BL78" s="17">
        <f t="shared" si="341"/>
        <v>380.54120080897206</v>
      </c>
      <c r="BM78" s="17">
        <f t="shared" si="342"/>
        <v>24</v>
      </c>
      <c r="BN78" s="17">
        <f t="shared" si="343"/>
        <v>50</v>
      </c>
      <c r="BO78" s="17">
        <f t="shared" si="344"/>
        <v>65.062647806544774</v>
      </c>
      <c r="BP78" s="17">
        <f t="shared" si="345"/>
        <v>315.4785530024273</v>
      </c>
      <c r="BQ78" s="17">
        <f t="shared" si="346"/>
        <v>5183.3416319999997</v>
      </c>
      <c r="BR78" s="17">
        <f t="shared" si="347"/>
        <v>1974.6063359999991</v>
      </c>
      <c r="BS78" s="17">
        <f t="shared" si="348"/>
        <v>606.60575999999958</v>
      </c>
      <c r="BT78" s="17">
        <f t="shared" si="349"/>
        <v>1592.3401199999998</v>
      </c>
      <c r="BU78" s="17">
        <f t="shared" si="350"/>
        <v>23269.68</v>
      </c>
      <c r="BV78" s="17">
        <f t="shared" si="351"/>
        <v>3412</v>
      </c>
      <c r="BW78" s="17">
        <f t="shared" si="352"/>
        <v>558.95725199999993</v>
      </c>
      <c r="BX78" s="17">
        <f t="shared" si="353"/>
        <v>17495.999999999989</v>
      </c>
      <c r="BY78" s="17">
        <f t="shared" si="354"/>
        <v>4011.1684558847996</v>
      </c>
      <c r="BZ78" s="17"/>
      <c r="CA78" s="17">
        <f t="shared" si="355"/>
        <v>85810.166416660228</v>
      </c>
      <c r="CB78" s="17">
        <f t="shared" si="356"/>
        <v>241341.0930468569</v>
      </c>
      <c r="CC78" s="17">
        <f t="shared" si="357"/>
        <v>21078.228047516943</v>
      </c>
      <c r="CD78" s="17">
        <f t="shared" si="358"/>
        <v>189704.0524276525</v>
      </c>
      <c r="CE78" s="17">
        <f t="shared" si="359"/>
        <v>53931.147339884788</v>
      </c>
      <c r="CF78" s="17">
        <f t="shared" si="360"/>
        <v>537933.53993868653</v>
      </c>
      <c r="CG78" s="17">
        <f t="shared" si="361"/>
        <v>591864.68727857131</v>
      </c>
      <c r="CH78" s="17">
        <f t="shared" si="362"/>
        <v>14.400000000000006</v>
      </c>
      <c r="CI78" s="17">
        <f t="shared" si="363"/>
        <v>-43.2</v>
      </c>
      <c r="CJ78" s="17">
        <f t="shared" si="364"/>
        <v>16</v>
      </c>
      <c r="CK78" s="17">
        <f t="shared" si="365"/>
        <v>90</v>
      </c>
      <c r="CL78" s="17">
        <f t="shared" si="366"/>
        <v>71.46880726181422</v>
      </c>
      <c r="CM78" s="17">
        <f t="shared" si="367"/>
        <v>24</v>
      </c>
      <c r="CN78" s="17">
        <f t="shared" si="368"/>
        <v>50</v>
      </c>
      <c r="CO78" s="17">
        <f t="shared" si="369"/>
        <v>65.062647806544774</v>
      </c>
      <c r="CP78" s="17">
        <f t="shared" si="370"/>
        <v>6.4061594552694459</v>
      </c>
      <c r="CQ78" s="17">
        <f t="shared" si="371"/>
        <v>0</v>
      </c>
      <c r="CR78" s="17">
        <f t="shared" si="372"/>
        <v>100</v>
      </c>
      <c r="CS78" s="17">
        <f t="shared" si="373"/>
        <v>26.404773030064671</v>
      </c>
      <c r="CT78" s="17">
        <f t="shared" si="374"/>
        <v>24</v>
      </c>
      <c r="CU78" s="17">
        <f t="shared" si="375"/>
        <v>50</v>
      </c>
      <c r="CV78" s="17">
        <f t="shared" si="376"/>
        <v>65.062647806544774</v>
      </c>
      <c r="CW78" s="17">
        <f t="shared" si="377"/>
        <v>-38.657874776480099</v>
      </c>
      <c r="CX78" s="17">
        <f t="shared" si="315"/>
        <v>-5923.8190080000013</v>
      </c>
      <c r="CY78" s="17">
        <f t="shared" si="315"/>
        <v>-5923.8190080000013</v>
      </c>
      <c r="CZ78" s="17">
        <f t="shared" si="378"/>
        <v>606.60576000000026</v>
      </c>
      <c r="DA78" s="17">
        <f t="shared" si="379"/>
        <v>-1819.81728</v>
      </c>
      <c r="DB78" s="17">
        <f t="shared" si="380"/>
        <v>-26593.920000000002</v>
      </c>
      <c r="DC78" s="17">
        <f t="shared" si="381"/>
        <v>3412</v>
      </c>
      <c r="DD78" s="17">
        <f t="shared" si="382"/>
        <v>558.95725199999993</v>
      </c>
      <c r="DE78" s="17">
        <f t="shared" si="383"/>
        <v>17496.000000000007</v>
      </c>
      <c r="DF78" s="17">
        <f t="shared" si="384"/>
        <v>-4584.1925210112004</v>
      </c>
      <c r="DG78" s="17"/>
      <c r="DH78" s="17">
        <f t="shared" si="385"/>
        <v>-10514.941939202587</v>
      </c>
      <c r="DI78" s="17">
        <f t="shared" si="386"/>
        <v>-29573.274204007277</v>
      </c>
      <c r="DJ78" s="17">
        <f t="shared" si="387"/>
        <v>-2582.8681303883477</v>
      </c>
      <c r="DK78" s="17">
        <f t="shared" si="388"/>
        <v>3852.1617320622945</v>
      </c>
      <c r="DL78" s="17">
        <f t="shared" si="389"/>
        <v>-16848.185797011196</v>
      </c>
      <c r="DM78" s="17">
        <f t="shared" si="390"/>
        <v>-38818.922541535918</v>
      </c>
      <c r="DN78" s="17">
        <f t="shared" si="391"/>
        <v>-55667.108338547114</v>
      </c>
    </row>
    <row r="79" spans="3:120" ht="18.600000000000001">
      <c r="C79" s="13">
        <f>IF(D79&lt;&gt;"",COUNTA($D$10:D79),"")</f>
        <v>61</v>
      </c>
      <c r="D79" s="14" t="s">
        <v>209</v>
      </c>
      <c r="E79" s="14">
        <v>2.4</v>
      </c>
      <c r="F79" s="14">
        <v>2</v>
      </c>
      <c r="G79" s="14">
        <v>2.4</v>
      </c>
      <c r="H79" s="14">
        <v>2</v>
      </c>
      <c r="I79" s="14">
        <v>1</v>
      </c>
      <c r="J79" s="14">
        <v>1.75</v>
      </c>
      <c r="K79" s="14">
        <v>3</v>
      </c>
      <c r="L79" s="15">
        <v>0.1</v>
      </c>
      <c r="M79" s="15">
        <v>0</v>
      </c>
      <c r="N79" s="14">
        <v>24</v>
      </c>
      <c r="O79" s="14">
        <v>50</v>
      </c>
      <c r="P79" s="13">
        <v>45</v>
      </c>
      <c r="Q79" s="13">
        <v>85</v>
      </c>
      <c r="R79" s="13" t="s">
        <v>217</v>
      </c>
      <c r="S79" s="13">
        <v>80</v>
      </c>
      <c r="T79" s="13">
        <v>0</v>
      </c>
      <c r="U79" s="13">
        <v>100</v>
      </c>
      <c r="V79" s="13" t="str">
        <f t="shared" si="316"/>
        <v>10K</v>
      </c>
      <c r="W79" s="13">
        <f t="shared" si="317"/>
        <v>80</v>
      </c>
      <c r="X79" s="16">
        <f t="shared" si="318"/>
        <v>51.647999999999996</v>
      </c>
      <c r="Y79" s="16">
        <f t="shared" si="319"/>
        <v>406.57305599999995</v>
      </c>
      <c r="Z79" s="16">
        <f t="shared" si="320"/>
        <v>542.09740799999997</v>
      </c>
      <c r="AA79" s="16">
        <f t="shared" si="321"/>
        <v>54.209740799999999</v>
      </c>
      <c r="AB79" s="16">
        <f t="shared" si="322"/>
        <v>0</v>
      </c>
      <c r="AC79" s="16">
        <f t="shared" si="323"/>
        <v>4.9868683322161713</v>
      </c>
      <c r="AD79" s="16">
        <f t="shared" ref="AD79:AD85" si="392">IF(ISNUMBER(N79), CEILING(CF79/(0.68*BP79),25), "Ambient")</f>
        <v>2075</v>
      </c>
      <c r="AE79" s="16">
        <f t="shared" si="325"/>
        <v>2075</v>
      </c>
      <c r="AF79" s="16">
        <f t="shared" si="326"/>
        <v>10</v>
      </c>
      <c r="AG79" s="16">
        <f t="shared" si="327"/>
        <v>5.5</v>
      </c>
      <c r="AH79" s="838" t="s">
        <v>85</v>
      </c>
      <c r="AI79" s="17">
        <f t="shared" si="328"/>
        <v>4.5</v>
      </c>
      <c r="AJ79" s="17">
        <f t="shared" si="329"/>
        <v>5.5</v>
      </c>
      <c r="AK79" s="891"/>
      <c r="AL79" s="174">
        <f>IF(AN70&lt;=315,1600,(IF(AN70=355,1650,(IF(AN70=400,1650,(IF(AN70=450,1700,(IF(AN70=500,1700,(IF(AN70=560,1800,(IF(AN70=630,2000,(IF(AN70=710,2200,2500)))))))))))))))+IF(AR70=2,1800,(IF(AR70=3,2300,(IF(AR70=4,3300,0)))))+IF(AP70&lt;=4,600,(IF(AP70&lt;=6,800,(IF(AP70&lt;=8,1000,1200)))))</f>
        <v>5400</v>
      </c>
      <c r="AM79" s="889"/>
      <c r="AN79" s="891"/>
      <c r="AO79" s="888"/>
      <c r="AP79" s="891"/>
      <c r="AQ79" s="891"/>
      <c r="AR79" s="889"/>
      <c r="AS79" s="888"/>
      <c r="AT79" s="888"/>
      <c r="AU79" s="890"/>
      <c r="AV79" s="888"/>
      <c r="AW79" s="888"/>
      <c r="AX79" s="888"/>
      <c r="AY79" s="887"/>
      <c r="AZ79" s="888"/>
      <c r="BA79" s="17">
        <f t="shared" si="330"/>
        <v>14.399999999999991</v>
      </c>
      <c r="BB79" s="17">
        <f t="shared" si="331"/>
        <v>37.799999999999997</v>
      </c>
      <c r="BC79" s="17">
        <f t="shared" si="332"/>
        <v>32</v>
      </c>
      <c r="BD79" s="17">
        <f t="shared" si="333"/>
        <v>85</v>
      </c>
      <c r="BE79" s="17">
        <f t="shared" si="334"/>
        <v>180.86341983910182</v>
      </c>
      <c r="BF79" s="17">
        <f t="shared" si="335"/>
        <v>24</v>
      </c>
      <c r="BG79" s="17">
        <f t="shared" si="336"/>
        <v>50</v>
      </c>
      <c r="BH79" s="17">
        <f t="shared" si="337"/>
        <v>65.062647806544774</v>
      </c>
      <c r="BI79" s="17">
        <f t="shared" si="338"/>
        <v>115.80077203255705</v>
      </c>
      <c r="BJ79" s="17">
        <f t="shared" si="339"/>
        <v>45</v>
      </c>
      <c r="BK79" s="17">
        <f t="shared" si="340"/>
        <v>85</v>
      </c>
      <c r="BL79" s="17">
        <f t="shared" si="341"/>
        <v>380.54120080897206</v>
      </c>
      <c r="BM79" s="17">
        <f t="shared" si="342"/>
        <v>24</v>
      </c>
      <c r="BN79" s="17">
        <f t="shared" si="343"/>
        <v>50</v>
      </c>
      <c r="BO79" s="17">
        <f t="shared" si="344"/>
        <v>65.062647806544774</v>
      </c>
      <c r="BP79" s="17">
        <f t="shared" si="345"/>
        <v>315.4785530024273</v>
      </c>
      <c r="BQ79" s="17">
        <f t="shared" si="346"/>
        <v>3865.5429119999999</v>
      </c>
      <c r="BR79" s="17">
        <f t="shared" si="347"/>
        <v>1472.5877759999992</v>
      </c>
      <c r="BS79" s="17">
        <f t="shared" si="348"/>
        <v>334.67903999999976</v>
      </c>
      <c r="BT79" s="17">
        <f t="shared" si="349"/>
        <v>878.53247999999996</v>
      </c>
      <c r="BU79" s="17">
        <f t="shared" si="350"/>
        <v>23269.68</v>
      </c>
      <c r="BV79" s="17">
        <f t="shared" si="351"/>
        <v>3412</v>
      </c>
      <c r="BW79" s="17">
        <f t="shared" si="352"/>
        <v>308.39020799999997</v>
      </c>
      <c r="BX79" s="17">
        <f t="shared" si="353"/>
        <v>17495.999999999989</v>
      </c>
      <c r="BY79" s="17">
        <f t="shared" si="354"/>
        <v>2213.0584584191997</v>
      </c>
      <c r="BZ79" s="17"/>
      <c r="CA79" s="17">
        <f t="shared" si="355"/>
        <v>85810.166416660228</v>
      </c>
      <c r="CB79" s="17">
        <f t="shared" si="356"/>
        <v>241341.0930468569</v>
      </c>
      <c r="CC79" s="17">
        <f t="shared" si="357"/>
        <v>11629.36719863004</v>
      </c>
      <c r="CD79" s="17">
        <f t="shared" si="358"/>
        <v>104664.30478767035</v>
      </c>
      <c r="CE79" s="17">
        <f t="shared" si="359"/>
        <v>50564.671578419191</v>
      </c>
      <c r="CF79" s="17">
        <f t="shared" si="360"/>
        <v>443444.93144981749</v>
      </c>
      <c r="CG79" s="17">
        <f t="shared" si="361"/>
        <v>494009.60302823666</v>
      </c>
      <c r="CH79" s="17">
        <f t="shared" si="362"/>
        <v>14.400000000000006</v>
      </c>
      <c r="CI79" s="17">
        <f t="shared" si="363"/>
        <v>-43.2</v>
      </c>
      <c r="CJ79" s="17">
        <f t="shared" si="364"/>
        <v>16</v>
      </c>
      <c r="CK79" s="17">
        <f t="shared" si="365"/>
        <v>90</v>
      </c>
      <c r="CL79" s="17">
        <f t="shared" si="366"/>
        <v>71.46880726181422</v>
      </c>
      <c r="CM79" s="17">
        <f t="shared" si="367"/>
        <v>24</v>
      </c>
      <c r="CN79" s="17">
        <f t="shared" si="368"/>
        <v>50</v>
      </c>
      <c r="CO79" s="17">
        <f t="shared" si="369"/>
        <v>65.062647806544774</v>
      </c>
      <c r="CP79" s="17">
        <f t="shared" si="370"/>
        <v>6.4061594552694459</v>
      </c>
      <c r="CQ79" s="17">
        <f t="shared" si="371"/>
        <v>0</v>
      </c>
      <c r="CR79" s="17">
        <f t="shared" si="372"/>
        <v>100</v>
      </c>
      <c r="CS79" s="17">
        <f t="shared" si="373"/>
        <v>26.404773030064671</v>
      </c>
      <c r="CT79" s="17">
        <f t="shared" si="374"/>
        <v>24</v>
      </c>
      <c r="CU79" s="17">
        <f t="shared" si="375"/>
        <v>50</v>
      </c>
      <c r="CV79" s="17">
        <f t="shared" si="376"/>
        <v>65.062647806544774</v>
      </c>
      <c r="CW79" s="17">
        <f t="shared" si="377"/>
        <v>-38.657874776480099</v>
      </c>
      <c r="CX79" s="17">
        <f t="shared" si="315"/>
        <v>-4417.7633280000009</v>
      </c>
      <c r="CY79" s="17">
        <f t="shared" si="315"/>
        <v>-4417.7633280000009</v>
      </c>
      <c r="CZ79" s="17">
        <f t="shared" si="378"/>
        <v>334.67904000000016</v>
      </c>
      <c r="DA79" s="17">
        <f t="shared" si="379"/>
        <v>-1004.0371200000001</v>
      </c>
      <c r="DB79" s="17">
        <f t="shared" si="380"/>
        <v>-26593.920000000002</v>
      </c>
      <c r="DC79" s="17">
        <f t="shared" si="381"/>
        <v>3412</v>
      </c>
      <c r="DD79" s="17">
        <f t="shared" si="382"/>
        <v>308.39020799999997</v>
      </c>
      <c r="DE79" s="17">
        <f t="shared" si="383"/>
        <v>17496.000000000007</v>
      </c>
      <c r="DF79" s="17">
        <f t="shared" si="384"/>
        <v>-2529.2096667648002</v>
      </c>
      <c r="DG79" s="17"/>
      <c r="DH79" s="17">
        <f t="shared" si="385"/>
        <v>-10514.941939202587</v>
      </c>
      <c r="DI79" s="17">
        <f t="shared" si="386"/>
        <v>-29573.274204007277</v>
      </c>
      <c r="DJ79" s="17">
        <f t="shared" si="387"/>
        <v>-1425.0306926280541</v>
      </c>
      <c r="DK79" s="17">
        <f t="shared" si="388"/>
        <v>2125.3306107929902</v>
      </c>
      <c r="DL79" s="17">
        <f t="shared" si="389"/>
        <v>-12993.860866764797</v>
      </c>
      <c r="DM79" s="17">
        <f t="shared" si="390"/>
        <v>-39387.91622504493</v>
      </c>
      <c r="DN79" s="17">
        <f t="shared" si="391"/>
        <v>-52381.777091809723</v>
      </c>
    </row>
    <row r="80" spans="3:120" ht="18.600000000000001">
      <c r="C80" s="13">
        <f>IF(D80&lt;&gt;"",COUNTA($D$10:D80),"")</f>
        <v>62</v>
      </c>
      <c r="D80" s="14" t="s">
        <v>210</v>
      </c>
      <c r="E80" s="14">
        <v>2.1</v>
      </c>
      <c r="F80" s="14">
        <v>1.8</v>
      </c>
      <c r="G80" s="14">
        <v>2.4</v>
      </c>
      <c r="H80" s="14">
        <v>2</v>
      </c>
      <c r="I80" s="14">
        <v>1</v>
      </c>
      <c r="J80" s="14">
        <v>1.75</v>
      </c>
      <c r="K80" s="14">
        <v>3</v>
      </c>
      <c r="L80" s="15">
        <v>0.1</v>
      </c>
      <c r="M80" s="15">
        <v>0</v>
      </c>
      <c r="N80" s="14">
        <v>24</v>
      </c>
      <c r="O80" s="14">
        <v>50</v>
      </c>
      <c r="P80" s="13">
        <v>45</v>
      </c>
      <c r="Q80" s="13">
        <v>85</v>
      </c>
      <c r="R80" s="13" t="s">
        <v>217</v>
      </c>
      <c r="S80" s="13">
        <v>80</v>
      </c>
      <c r="T80" s="13">
        <v>0</v>
      </c>
      <c r="U80" s="13">
        <v>100</v>
      </c>
      <c r="V80" s="13" t="str">
        <f t="shared" si="316"/>
        <v>10K</v>
      </c>
      <c r="W80" s="13">
        <f t="shared" si="317"/>
        <v>80</v>
      </c>
      <c r="X80" s="16">
        <f t="shared" si="318"/>
        <v>40.672800000000002</v>
      </c>
      <c r="Y80" s="16">
        <f t="shared" si="319"/>
        <v>320.17628159999998</v>
      </c>
      <c r="Z80" s="16">
        <f t="shared" si="320"/>
        <v>426.90170879999999</v>
      </c>
      <c r="AA80" s="16">
        <f t="shared" si="321"/>
        <v>42.690170880000004</v>
      </c>
      <c r="AB80" s="16">
        <f t="shared" si="322"/>
        <v>0</v>
      </c>
      <c r="AC80" s="16">
        <f t="shared" si="323"/>
        <v>3.9271588116202349</v>
      </c>
      <c r="AD80" s="16">
        <f t="shared" si="392"/>
        <v>1975</v>
      </c>
      <c r="AE80" s="16">
        <f t="shared" si="325"/>
        <v>1975</v>
      </c>
      <c r="AF80" s="16">
        <f t="shared" si="326"/>
        <v>8</v>
      </c>
      <c r="AG80" s="16">
        <f t="shared" si="327"/>
        <v>5</v>
      </c>
      <c r="AH80" s="838" t="s">
        <v>85</v>
      </c>
      <c r="AI80" s="17">
        <f t="shared" si="328"/>
        <v>4.5</v>
      </c>
      <c r="AJ80" s="17">
        <f t="shared" si="329"/>
        <v>5</v>
      </c>
      <c r="AK80" s="891"/>
      <c r="AL80" s="18"/>
      <c r="AM80" s="889"/>
      <c r="AN80" s="891"/>
      <c r="AO80" s="888"/>
      <c r="AP80" s="891"/>
      <c r="AQ80" s="891"/>
      <c r="AR80" s="889"/>
      <c r="AS80" s="888"/>
      <c r="AT80" s="888"/>
      <c r="AU80" s="890"/>
      <c r="AV80" s="888"/>
      <c r="AW80" s="888"/>
      <c r="AX80" s="888"/>
      <c r="AY80" s="887"/>
      <c r="AZ80" s="888"/>
      <c r="BA80" s="17">
        <f t="shared" si="330"/>
        <v>14.399999999999991</v>
      </c>
      <c r="BB80" s="17">
        <f t="shared" si="331"/>
        <v>37.799999999999997</v>
      </c>
      <c r="BC80" s="17">
        <f t="shared" si="332"/>
        <v>32</v>
      </c>
      <c r="BD80" s="17">
        <f t="shared" si="333"/>
        <v>85</v>
      </c>
      <c r="BE80" s="17">
        <f t="shared" si="334"/>
        <v>180.86341983910182</v>
      </c>
      <c r="BF80" s="17">
        <f t="shared" si="335"/>
        <v>24</v>
      </c>
      <c r="BG80" s="17">
        <f t="shared" si="336"/>
        <v>50</v>
      </c>
      <c r="BH80" s="17">
        <f t="shared" si="337"/>
        <v>65.062647806544774</v>
      </c>
      <c r="BI80" s="17">
        <f t="shared" si="338"/>
        <v>115.80077203255705</v>
      </c>
      <c r="BJ80" s="17">
        <f t="shared" si="339"/>
        <v>45</v>
      </c>
      <c r="BK80" s="17">
        <f t="shared" si="340"/>
        <v>85</v>
      </c>
      <c r="BL80" s="17">
        <f t="shared" si="341"/>
        <v>380.54120080897206</v>
      </c>
      <c r="BM80" s="17">
        <f t="shared" si="342"/>
        <v>24</v>
      </c>
      <c r="BN80" s="17">
        <f t="shared" si="343"/>
        <v>50</v>
      </c>
      <c r="BO80" s="17">
        <f t="shared" si="344"/>
        <v>65.062647806544774</v>
      </c>
      <c r="BP80" s="17">
        <f t="shared" si="345"/>
        <v>315.4785530024273</v>
      </c>
      <c r="BQ80" s="17">
        <f t="shared" si="346"/>
        <v>3426.2766719999995</v>
      </c>
      <c r="BR80" s="17">
        <f t="shared" si="347"/>
        <v>1305.2482559999992</v>
      </c>
      <c r="BS80" s="17">
        <f t="shared" si="348"/>
        <v>263.55974399999985</v>
      </c>
      <c r="BT80" s="17">
        <f t="shared" si="349"/>
        <v>691.84432800000002</v>
      </c>
      <c r="BU80" s="17">
        <f t="shared" si="350"/>
        <v>23269.68</v>
      </c>
      <c r="BV80" s="17">
        <f t="shared" si="351"/>
        <v>3412</v>
      </c>
      <c r="BW80" s="17">
        <f t="shared" si="352"/>
        <v>242.85728880000002</v>
      </c>
      <c r="BX80" s="17">
        <f t="shared" si="353"/>
        <v>17495.999999999989</v>
      </c>
      <c r="BY80" s="17">
        <f t="shared" si="354"/>
        <v>1742.7835360051199</v>
      </c>
      <c r="BZ80" s="17"/>
      <c r="CA80" s="17">
        <f t="shared" si="355"/>
        <v>85810.166416660228</v>
      </c>
      <c r="CB80" s="17">
        <f t="shared" si="356"/>
        <v>241341.0930468569</v>
      </c>
      <c r="CC80" s="17">
        <f t="shared" si="357"/>
        <v>9158.126668921157</v>
      </c>
      <c r="CD80" s="17">
        <f t="shared" si="358"/>
        <v>82423.140020290419</v>
      </c>
      <c r="CE80" s="17">
        <f t="shared" si="359"/>
        <v>49589.597496805109</v>
      </c>
      <c r="CF80" s="17">
        <f t="shared" si="360"/>
        <v>418732.52615272871</v>
      </c>
      <c r="CG80" s="17">
        <f t="shared" si="361"/>
        <v>468322.12364953384</v>
      </c>
      <c r="CH80" s="17">
        <f t="shared" si="362"/>
        <v>14.400000000000006</v>
      </c>
      <c r="CI80" s="17">
        <f t="shared" si="363"/>
        <v>-43.2</v>
      </c>
      <c r="CJ80" s="17">
        <f t="shared" si="364"/>
        <v>16</v>
      </c>
      <c r="CK80" s="17">
        <f t="shared" si="365"/>
        <v>90</v>
      </c>
      <c r="CL80" s="17">
        <f t="shared" si="366"/>
        <v>71.46880726181422</v>
      </c>
      <c r="CM80" s="17">
        <f t="shared" si="367"/>
        <v>24</v>
      </c>
      <c r="CN80" s="17">
        <f t="shared" si="368"/>
        <v>50</v>
      </c>
      <c r="CO80" s="17">
        <f t="shared" si="369"/>
        <v>65.062647806544774</v>
      </c>
      <c r="CP80" s="17">
        <f t="shared" si="370"/>
        <v>6.4061594552694459</v>
      </c>
      <c r="CQ80" s="17">
        <f t="shared" si="371"/>
        <v>0</v>
      </c>
      <c r="CR80" s="17">
        <f t="shared" si="372"/>
        <v>100</v>
      </c>
      <c r="CS80" s="17">
        <f t="shared" si="373"/>
        <v>26.404773030064671</v>
      </c>
      <c r="CT80" s="17">
        <f t="shared" si="374"/>
        <v>24</v>
      </c>
      <c r="CU80" s="17">
        <f t="shared" si="375"/>
        <v>50</v>
      </c>
      <c r="CV80" s="17">
        <f t="shared" si="376"/>
        <v>65.062647806544774</v>
      </c>
      <c r="CW80" s="17">
        <f t="shared" si="377"/>
        <v>-38.657874776480099</v>
      </c>
      <c r="CX80" s="17">
        <f t="shared" si="315"/>
        <v>-3915.744768</v>
      </c>
      <c r="CY80" s="17">
        <f t="shared" si="315"/>
        <v>-3915.744768</v>
      </c>
      <c r="CZ80" s="17">
        <f t="shared" si="378"/>
        <v>263.55974400000014</v>
      </c>
      <c r="DA80" s="17">
        <f t="shared" si="379"/>
        <v>-790.67923200000007</v>
      </c>
      <c r="DB80" s="17">
        <f t="shared" si="380"/>
        <v>-26593.920000000002</v>
      </c>
      <c r="DC80" s="17">
        <f t="shared" si="381"/>
        <v>3412</v>
      </c>
      <c r="DD80" s="17">
        <f t="shared" si="382"/>
        <v>242.85728880000002</v>
      </c>
      <c r="DE80" s="17">
        <f t="shared" si="383"/>
        <v>17496.000000000007</v>
      </c>
      <c r="DF80" s="17">
        <f t="shared" si="384"/>
        <v>-1991.7526125772804</v>
      </c>
      <c r="DG80" s="17"/>
      <c r="DH80" s="17">
        <f t="shared" si="385"/>
        <v>-10514.941939202587</v>
      </c>
      <c r="DI80" s="17">
        <f t="shared" si="386"/>
        <v>-29573.274204007277</v>
      </c>
      <c r="DJ80" s="17">
        <f t="shared" si="387"/>
        <v>-1122.2116704445928</v>
      </c>
      <c r="DK80" s="17">
        <f t="shared" si="388"/>
        <v>1673.69785599948</v>
      </c>
      <c r="DL80" s="17">
        <f t="shared" si="389"/>
        <v>-11877.679579777274</v>
      </c>
      <c r="DM80" s="17">
        <f t="shared" si="390"/>
        <v>-39536.729957654978</v>
      </c>
      <c r="DN80" s="17">
        <f t="shared" si="391"/>
        <v>-51414.40953743225</v>
      </c>
    </row>
    <row r="81" spans="3:120" ht="18.600000000000001">
      <c r="C81" s="13">
        <f>IF(D81&lt;&gt;"",COUNTA($D$10:D81),"")</f>
        <v>63</v>
      </c>
      <c r="D81" s="14" t="s">
        <v>211</v>
      </c>
      <c r="E81" s="14">
        <v>1.8</v>
      </c>
      <c r="F81" s="14">
        <v>1.9</v>
      </c>
      <c r="G81" s="14">
        <v>2.4</v>
      </c>
      <c r="H81" s="14">
        <v>2</v>
      </c>
      <c r="I81" s="14">
        <v>1</v>
      </c>
      <c r="J81" s="14">
        <v>1.75</v>
      </c>
      <c r="K81" s="14">
        <v>3</v>
      </c>
      <c r="L81" s="15">
        <v>0.1</v>
      </c>
      <c r="M81" s="15">
        <v>0</v>
      </c>
      <c r="N81" s="14">
        <v>24</v>
      </c>
      <c r="O81" s="14">
        <v>50</v>
      </c>
      <c r="P81" s="13">
        <v>45</v>
      </c>
      <c r="Q81" s="13">
        <v>85</v>
      </c>
      <c r="R81" s="13" t="s">
        <v>217</v>
      </c>
      <c r="S81" s="13">
        <v>80</v>
      </c>
      <c r="T81" s="13">
        <v>0</v>
      </c>
      <c r="U81" s="13">
        <v>100</v>
      </c>
      <c r="V81" s="13" t="str">
        <f t="shared" si="316"/>
        <v>10K</v>
      </c>
      <c r="W81" s="13">
        <f t="shared" si="317"/>
        <v>80</v>
      </c>
      <c r="X81" s="16">
        <f t="shared" si="318"/>
        <v>36.799199999999999</v>
      </c>
      <c r="Y81" s="16">
        <f t="shared" si="319"/>
        <v>289.68330239999995</v>
      </c>
      <c r="Z81" s="16">
        <f t="shared" si="320"/>
        <v>386.24440319999997</v>
      </c>
      <c r="AA81" s="16">
        <f t="shared" si="321"/>
        <v>38.624440319999998</v>
      </c>
      <c r="AB81" s="16">
        <f t="shared" si="322"/>
        <v>0</v>
      </c>
      <c r="AC81" s="16">
        <f t="shared" si="323"/>
        <v>3.5531436867040216</v>
      </c>
      <c r="AD81" s="16">
        <f t="shared" si="392"/>
        <v>1925</v>
      </c>
      <c r="AE81" s="16">
        <f t="shared" si="325"/>
        <v>1925</v>
      </c>
      <c r="AF81" s="16">
        <f t="shared" si="326"/>
        <v>8</v>
      </c>
      <c r="AG81" s="16">
        <f t="shared" si="327"/>
        <v>5</v>
      </c>
      <c r="AH81" s="838" t="s">
        <v>85</v>
      </c>
      <c r="AI81" s="17">
        <f t="shared" si="328"/>
        <v>4.5</v>
      </c>
      <c r="AJ81" s="17">
        <f t="shared" si="329"/>
        <v>5</v>
      </c>
      <c r="AK81" s="891"/>
      <c r="AL81" s="18"/>
      <c r="AM81" s="889"/>
      <c r="AN81" s="891"/>
      <c r="AO81" s="888"/>
      <c r="AP81" s="891"/>
      <c r="AQ81" s="891"/>
      <c r="AR81" s="889"/>
      <c r="AS81" s="888"/>
      <c r="AT81" s="888"/>
      <c r="AU81" s="890"/>
      <c r="AV81" s="888"/>
      <c r="AW81" s="888"/>
      <c r="AX81" s="888"/>
      <c r="AY81" s="887"/>
      <c r="AZ81" s="888"/>
      <c r="BA81" s="17">
        <f t="shared" si="330"/>
        <v>14.399999999999991</v>
      </c>
      <c r="BB81" s="17">
        <f t="shared" si="331"/>
        <v>37.799999999999997</v>
      </c>
      <c r="BC81" s="17">
        <f t="shared" si="332"/>
        <v>32</v>
      </c>
      <c r="BD81" s="17">
        <f t="shared" si="333"/>
        <v>85</v>
      </c>
      <c r="BE81" s="17">
        <f t="shared" si="334"/>
        <v>180.86341983910182</v>
      </c>
      <c r="BF81" s="17">
        <f t="shared" si="335"/>
        <v>24</v>
      </c>
      <c r="BG81" s="17">
        <f t="shared" si="336"/>
        <v>50</v>
      </c>
      <c r="BH81" s="17">
        <f t="shared" si="337"/>
        <v>65.062647806544774</v>
      </c>
      <c r="BI81" s="17">
        <f t="shared" si="338"/>
        <v>115.80077203255705</v>
      </c>
      <c r="BJ81" s="17">
        <f t="shared" si="339"/>
        <v>45</v>
      </c>
      <c r="BK81" s="17">
        <f t="shared" si="340"/>
        <v>85</v>
      </c>
      <c r="BL81" s="17">
        <f t="shared" si="341"/>
        <v>380.54120080897206</v>
      </c>
      <c r="BM81" s="17">
        <f t="shared" si="342"/>
        <v>24</v>
      </c>
      <c r="BN81" s="17">
        <f t="shared" si="343"/>
        <v>50</v>
      </c>
      <c r="BO81" s="17">
        <f t="shared" si="344"/>
        <v>65.062647806544774</v>
      </c>
      <c r="BP81" s="17">
        <f t="shared" si="345"/>
        <v>315.4785530024273</v>
      </c>
      <c r="BQ81" s="17">
        <f t="shared" si="346"/>
        <v>3250.5701760000002</v>
      </c>
      <c r="BR81" s="17">
        <f t="shared" si="347"/>
        <v>1238.3124479999992</v>
      </c>
      <c r="BS81" s="17">
        <f t="shared" si="348"/>
        <v>238.45881599999987</v>
      </c>
      <c r="BT81" s="17">
        <f t="shared" si="349"/>
        <v>625.95439199999998</v>
      </c>
      <c r="BU81" s="17">
        <f t="shared" si="350"/>
        <v>23269.68</v>
      </c>
      <c r="BV81" s="17">
        <f t="shared" si="351"/>
        <v>3412</v>
      </c>
      <c r="BW81" s="17">
        <f t="shared" si="352"/>
        <v>219.7280232</v>
      </c>
      <c r="BX81" s="17">
        <f t="shared" si="353"/>
        <v>17495.999999999989</v>
      </c>
      <c r="BY81" s="17">
        <f t="shared" si="354"/>
        <v>1576.8041516236799</v>
      </c>
      <c r="BZ81" s="17"/>
      <c r="CA81" s="17">
        <f t="shared" si="355"/>
        <v>85810.166416660228</v>
      </c>
      <c r="CB81" s="17">
        <f t="shared" si="356"/>
        <v>241341.0930468569</v>
      </c>
      <c r="CC81" s="17">
        <f t="shared" si="357"/>
        <v>8285.9241290239024</v>
      </c>
      <c r="CD81" s="17">
        <f t="shared" si="358"/>
        <v>74573.31716121512</v>
      </c>
      <c r="CE81" s="17">
        <f t="shared" si="359"/>
        <v>49224.782350823669</v>
      </c>
      <c r="CF81" s="17">
        <f t="shared" si="360"/>
        <v>410010.50075375615</v>
      </c>
      <c r="CG81" s="17">
        <f t="shared" si="361"/>
        <v>459235.28310457984</v>
      </c>
      <c r="CH81" s="17">
        <f t="shared" si="362"/>
        <v>14.400000000000006</v>
      </c>
      <c r="CI81" s="17">
        <f t="shared" si="363"/>
        <v>-43.2</v>
      </c>
      <c r="CJ81" s="17">
        <f t="shared" si="364"/>
        <v>16</v>
      </c>
      <c r="CK81" s="17">
        <f t="shared" si="365"/>
        <v>90</v>
      </c>
      <c r="CL81" s="17">
        <f t="shared" si="366"/>
        <v>71.46880726181422</v>
      </c>
      <c r="CM81" s="17">
        <f t="shared" si="367"/>
        <v>24</v>
      </c>
      <c r="CN81" s="17">
        <f t="shared" si="368"/>
        <v>50</v>
      </c>
      <c r="CO81" s="17">
        <f t="shared" si="369"/>
        <v>65.062647806544774</v>
      </c>
      <c r="CP81" s="17">
        <f t="shared" si="370"/>
        <v>6.4061594552694459</v>
      </c>
      <c r="CQ81" s="17">
        <f t="shared" si="371"/>
        <v>0</v>
      </c>
      <c r="CR81" s="17">
        <f t="shared" si="372"/>
        <v>100</v>
      </c>
      <c r="CS81" s="17">
        <f t="shared" si="373"/>
        <v>26.404773030064671</v>
      </c>
      <c r="CT81" s="17">
        <f t="shared" si="374"/>
        <v>24</v>
      </c>
      <c r="CU81" s="17">
        <f t="shared" si="375"/>
        <v>50</v>
      </c>
      <c r="CV81" s="17">
        <f t="shared" si="376"/>
        <v>65.062647806544774</v>
      </c>
      <c r="CW81" s="17">
        <f t="shared" si="377"/>
        <v>-38.657874776480099</v>
      </c>
      <c r="CX81" s="17">
        <f t="shared" si="315"/>
        <v>-3714.9373440000004</v>
      </c>
      <c r="CY81" s="17">
        <f t="shared" si="315"/>
        <v>-3714.9373440000004</v>
      </c>
      <c r="CZ81" s="17">
        <f t="shared" si="378"/>
        <v>238.45881600000007</v>
      </c>
      <c r="DA81" s="17">
        <f t="shared" si="379"/>
        <v>-715.3764480000001</v>
      </c>
      <c r="DB81" s="17">
        <f t="shared" si="380"/>
        <v>-26593.920000000002</v>
      </c>
      <c r="DC81" s="17">
        <f t="shared" si="381"/>
        <v>3412</v>
      </c>
      <c r="DD81" s="17">
        <f t="shared" si="382"/>
        <v>219.7280232</v>
      </c>
      <c r="DE81" s="17">
        <f t="shared" si="383"/>
        <v>17496.000000000007</v>
      </c>
      <c r="DF81" s="17">
        <f t="shared" si="384"/>
        <v>-1802.0618875699201</v>
      </c>
      <c r="DG81" s="17"/>
      <c r="DH81" s="17">
        <f t="shared" si="385"/>
        <v>-10514.941939202587</v>
      </c>
      <c r="DI81" s="17">
        <f t="shared" si="386"/>
        <v>-29573.274204007277</v>
      </c>
      <c r="DJ81" s="17">
        <f t="shared" si="387"/>
        <v>-1015.3343684974884</v>
      </c>
      <c r="DK81" s="17">
        <f t="shared" si="388"/>
        <v>1514.2980601900053</v>
      </c>
      <c r="DL81" s="17">
        <f t="shared" si="389"/>
        <v>-11460.108840369912</v>
      </c>
      <c r="DM81" s="17">
        <f t="shared" si="390"/>
        <v>-39589.25245151735</v>
      </c>
      <c r="DN81" s="17">
        <f t="shared" si="391"/>
        <v>-51049.36129188726</v>
      </c>
    </row>
    <row r="82" spans="3:120" ht="18.600000000000001">
      <c r="C82" s="13">
        <f>IF(D82&lt;&gt;"",COUNTA($D$10:D82),"")</f>
        <v>64</v>
      </c>
      <c r="D82" s="14" t="s">
        <v>212</v>
      </c>
      <c r="E82" s="14">
        <v>1.9</v>
      </c>
      <c r="F82" s="14">
        <v>2</v>
      </c>
      <c r="G82" s="14">
        <v>2.4</v>
      </c>
      <c r="H82" s="14">
        <v>2</v>
      </c>
      <c r="I82" s="14">
        <v>1</v>
      </c>
      <c r="J82" s="14">
        <v>1.75</v>
      </c>
      <c r="K82" s="14">
        <v>3</v>
      </c>
      <c r="L82" s="15">
        <v>0.1</v>
      </c>
      <c r="M82" s="15">
        <v>0</v>
      </c>
      <c r="N82" s="14">
        <v>24</v>
      </c>
      <c r="O82" s="14">
        <v>50</v>
      </c>
      <c r="P82" s="13">
        <v>45</v>
      </c>
      <c r="Q82" s="13">
        <v>85</v>
      </c>
      <c r="R82" s="13" t="s">
        <v>217</v>
      </c>
      <c r="S82" s="13">
        <v>80</v>
      </c>
      <c r="T82" s="13">
        <v>0</v>
      </c>
      <c r="U82" s="13">
        <v>100</v>
      </c>
      <c r="V82" s="13" t="str">
        <f t="shared" si="316"/>
        <v>10K</v>
      </c>
      <c r="W82" s="13">
        <f t="shared" si="317"/>
        <v>80</v>
      </c>
      <c r="X82" s="16">
        <f t="shared" si="318"/>
        <v>40.887999999999998</v>
      </c>
      <c r="Y82" s="16">
        <f t="shared" si="319"/>
        <v>321.87033599999995</v>
      </c>
      <c r="Z82" s="16">
        <f t="shared" si="320"/>
        <v>429.16044799999992</v>
      </c>
      <c r="AA82" s="16">
        <f t="shared" si="321"/>
        <v>42.916044799999995</v>
      </c>
      <c r="AB82" s="16">
        <f t="shared" si="322"/>
        <v>0</v>
      </c>
      <c r="AC82" s="16">
        <f t="shared" si="323"/>
        <v>3.9479374296711356</v>
      </c>
      <c r="AD82" s="16">
        <f t="shared" si="392"/>
        <v>1975</v>
      </c>
      <c r="AE82" s="16">
        <f t="shared" si="325"/>
        <v>1975</v>
      </c>
      <c r="AF82" s="16">
        <f t="shared" si="326"/>
        <v>8</v>
      </c>
      <c r="AG82" s="16">
        <f t="shared" si="327"/>
        <v>5</v>
      </c>
      <c r="AH82" s="838" t="s">
        <v>85</v>
      </c>
      <c r="AI82" s="17">
        <f t="shared" si="328"/>
        <v>4.5</v>
      </c>
      <c r="AJ82" s="17">
        <f t="shared" si="329"/>
        <v>5</v>
      </c>
      <c r="AK82" s="891"/>
      <c r="AL82" s="18"/>
      <c r="AM82" s="889"/>
      <c r="AN82" s="891"/>
      <c r="AO82" s="888"/>
      <c r="AP82" s="891"/>
      <c r="AQ82" s="891"/>
      <c r="AR82" s="889"/>
      <c r="AS82" s="888"/>
      <c r="AT82" s="888"/>
      <c r="AU82" s="890"/>
      <c r="AV82" s="888"/>
      <c r="AW82" s="888"/>
      <c r="AX82" s="888"/>
      <c r="AY82" s="887"/>
      <c r="AZ82" s="888"/>
      <c r="BA82" s="17">
        <f t="shared" si="330"/>
        <v>14.399999999999991</v>
      </c>
      <c r="BB82" s="17">
        <f t="shared" si="331"/>
        <v>37.799999999999997</v>
      </c>
      <c r="BC82" s="17">
        <f t="shared" si="332"/>
        <v>32</v>
      </c>
      <c r="BD82" s="17">
        <f t="shared" si="333"/>
        <v>85</v>
      </c>
      <c r="BE82" s="17">
        <f t="shared" si="334"/>
        <v>180.86341983910182</v>
      </c>
      <c r="BF82" s="17">
        <f t="shared" si="335"/>
        <v>24</v>
      </c>
      <c r="BG82" s="17">
        <f t="shared" si="336"/>
        <v>50</v>
      </c>
      <c r="BH82" s="17">
        <f t="shared" si="337"/>
        <v>65.062647806544774</v>
      </c>
      <c r="BI82" s="17">
        <f t="shared" si="338"/>
        <v>115.80077203255705</v>
      </c>
      <c r="BJ82" s="17">
        <f t="shared" si="339"/>
        <v>45</v>
      </c>
      <c r="BK82" s="17">
        <f t="shared" si="340"/>
        <v>85</v>
      </c>
      <c r="BL82" s="17">
        <f t="shared" si="341"/>
        <v>380.54120080897206</v>
      </c>
      <c r="BM82" s="17">
        <f t="shared" si="342"/>
        <v>24</v>
      </c>
      <c r="BN82" s="17">
        <f t="shared" si="343"/>
        <v>50</v>
      </c>
      <c r="BO82" s="17">
        <f t="shared" si="344"/>
        <v>65.062647806544774</v>
      </c>
      <c r="BP82" s="17">
        <f t="shared" si="345"/>
        <v>315.4785530024273</v>
      </c>
      <c r="BQ82" s="17">
        <f t="shared" si="346"/>
        <v>3426.2766719999991</v>
      </c>
      <c r="BR82" s="17">
        <f t="shared" si="347"/>
        <v>1305.2482559999989</v>
      </c>
      <c r="BS82" s="17">
        <f t="shared" si="348"/>
        <v>264.95423999999986</v>
      </c>
      <c r="BT82" s="17">
        <f t="shared" si="349"/>
        <v>695.50487999999984</v>
      </c>
      <c r="BU82" s="17">
        <f t="shared" si="350"/>
        <v>23269.68</v>
      </c>
      <c r="BV82" s="17">
        <f t="shared" si="351"/>
        <v>3412</v>
      </c>
      <c r="BW82" s="17">
        <f t="shared" si="352"/>
        <v>244.142248</v>
      </c>
      <c r="BX82" s="17">
        <f t="shared" si="353"/>
        <v>17495.999999999989</v>
      </c>
      <c r="BY82" s="17">
        <f t="shared" si="354"/>
        <v>1752.0046129151997</v>
      </c>
      <c r="BZ82" s="17"/>
      <c r="CA82" s="17">
        <f t="shared" si="355"/>
        <v>85810.166416660228</v>
      </c>
      <c r="CB82" s="17">
        <f t="shared" si="356"/>
        <v>241341.0930468569</v>
      </c>
      <c r="CC82" s="17">
        <f t="shared" si="357"/>
        <v>9206.5823655821132</v>
      </c>
      <c r="CD82" s="17">
        <f t="shared" si="358"/>
        <v>82859.241290239006</v>
      </c>
      <c r="CE82" s="17">
        <f t="shared" si="359"/>
        <v>49600.103532915193</v>
      </c>
      <c r="CF82" s="17">
        <f t="shared" si="360"/>
        <v>419217.08311933826</v>
      </c>
      <c r="CG82" s="17">
        <f t="shared" si="361"/>
        <v>468817.18665225344</v>
      </c>
      <c r="CH82" s="17">
        <f t="shared" si="362"/>
        <v>14.400000000000006</v>
      </c>
      <c r="CI82" s="17">
        <f t="shared" si="363"/>
        <v>-43.2</v>
      </c>
      <c r="CJ82" s="17">
        <f t="shared" si="364"/>
        <v>16</v>
      </c>
      <c r="CK82" s="17">
        <f t="shared" si="365"/>
        <v>90</v>
      </c>
      <c r="CL82" s="17">
        <f t="shared" si="366"/>
        <v>71.46880726181422</v>
      </c>
      <c r="CM82" s="17">
        <f t="shared" si="367"/>
        <v>24</v>
      </c>
      <c r="CN82" s="17">
        <f t="shared" si="368"/>
        <v>50</v>
      </c>
      <c r="CO82" s="17">
        <f t="shared" si="369"/>
        <v>65.062647806544774</v>
      </c>
      <c r="CP82" s="17">
        <f t="shared" si="370"/>
        <v>6.4061594552694459</v>
      </c>
      <c r="CQ82" s="17">
        <f t="shared" si="371"/>
        <v>0</v>
      </c>
      <c r="CR82" s="17">
        <f t="shared" si="372"/>
        <v>100</v>
      </c>
      <c r="CS82" s="17">
        <f t="shared" si="373"/>
        <v>26.404773030064671</v>
      </c>
      <c r="CT82" s="17">
        <f t="shared" si="374"/>
        <v>24</v>
      </c>
      <c r="CU82" s="17">
        <f t="shared" si="375"/>
        <v>50</v>
      </c>
      <c r="CV82" s="17">
        <f t="shared" si="376"/>
        <v>65.062647806544774</v>
      </c>
      <c r="CW82" s="17">
        <f t="shared" si="377"/>
        <v>-38.657874776480099</v>
      </c>
      <c r="CX82" s="17">
        <f t="shared" si="315"/>
        <v>-3915.744768</v>
      </c>
      <c r="CY82" s="17">
        <f t="shared" si="315"/>
        <v>-3915.744768</v>
      </c>
      <c r="CZ82" s="17">
        <f t="shared" si="378"/>
        <v>264.95424000000008</v>
      </c>
      <c r="DA82" s="17">
        <f t="shared" si="379"/>
        <v>-794.86271999999997</v>
      </c>
      <c r="DB82" s="17">
        <f t="shared" si="380"/>
        <v>-26593.920000000002</v>
      </c>
      <c r="DC82" s="17">
        <f t="shared" si="381"/>
        <v>3412</v>
      </c>
      <c r="DD82" s="17">
        <f t="shared" si="382"/>
        <v>244.142248</v>
      </c>
      <c r="DE82" s="17">
        <f t="shared" si="383"/>
        <v>17496.000000000007</v>
      </c>
      <c r="DF82" s="17">
        <f t="shared" si="384"/>
        <v>-2002.2909861887999</v>
      </c>
      <c r="DG82" s="17"/>
      <c r="DH82" s="17">
        <f t="shared" si="385"/>
        <v>-10514.941939202587</v>
      </c>
      <c r="DI82" s="17">
        <f t="shared" si="386"/>
        <v>-29573.274204007277</v>
      </c>
      <c r="DJ82" s="17">
        <f t="shared" si="387"/>
        <v>-1128.1492983305427</v>
      </c>
      <c r="DK82" s="17">
        <f t="shared" si="388"/>
        <v>1682.5534002111169</v>
      </c>
      <c r="DL82" s="17">
        <f t="shared" si="389"/>
        <v>-11889.721986188793</v>
      </c>
      <c r="DM82" s="17">
        <f t="shared" si="390"/>
        <v>-39533.812041329293</v>
      </c>
      <c r="DN82" s="17">
        <f t="shared" si="391"/>
        <v>-51423.534027518086</v>
      </c>
    </row>
    <row r="83" spans="3:120" ht="18.600000000000001">
      <c r="C83" s="13">
        <f>IF(D83&lt;&gt;"",COUNTA($D$10:D83),"")</f>
        <v>65</v>
      </c>
      <c r="D83" s="14" t="s">
        <v>213</v>
      </c>
      <c r="E83" s="14">
        <v>2.2999999999999998</v>
      </c>
      <c r="F83" s="14">
        <v>2.2000000000000002</v>
      </c>
      <c r="G83" s="14">
        <v>2.4</v>
      </c>
      <c r="H83" s="14">
        <v>2</v>
      </c>
      <c r="I83" s="14">
        <v>1</v>
      </c>
      <c r="J83" s="14">
        <v>1.75</v>
      </c>
      <c r="K83" s="14">
        <v>3</v>
      </c>
      <c r="L83" s="15">
        <v>0.1</v>
      </c>
      <c r="M83" s="15">
        <v>0</v>
      </c>
      <c r="N83" s="14">
        <v>24</v>
      </c>
      <c r="O83" s="14">
        <v>50</v>
      </c>
      <c r="P83" s="13">
        <v>45</v>
      </c>
      <c r="Q83" s="13">
        <v>85</v>
      </c>
      <c r="R83" s="13" t="s">
        <v>217</v>
      </c>
      <c r="S83" s="13">
        <v>80</v>
      </c>
      <c r="T83" s="13">
        <v>0</v>
      </c>
      <c r="U83" s="13">
        <v>100</v>
      </c>
      <c r="V83" s="13" t="str">
        <f t="shared" si="316"/>
        <v>10K</v>
      </c>
      <c r="W83" s="13">
        <f t="shared" si="317"/>
        <v>80</v>
      </c>
      <c r="X83" s="16">
        <f t="shared" si="318"/>
        <v>54.445599999999992</v>
      </c>
      <c r="Y83" s="16">
        <f t="shared" si="319"/>
        <v>428.59576319999991</v>
      </c>
      <c r="Z83" s="16">
        <f t="shared" si="320"/>
        <v>571.46101759999988</v>
      </c>
      <c r="AA83" s="16">
        <f t="shared" si="321"/>
        <v>57.146101759999993</v>
      </c>
      <c r="AB83" s="16">
        <f t="shared" si="322"/>
        <v>0</v>
      </c>
      <c r="AC83" s="16">
        <f t="shared" si="323"/>
        <v>5.2569903668778801</v>
      </c>
      <c r="AD83" s="16">
        <f t="shared" si="392"/>
        <v>2100</v>
      </c>
      <c r="AE83" s="16">
        <f t="shared" si="325"/>
        <v>2100</v>
      </c>
      <c r="AF83" s="16">
        <f t="shared" si="326"/>
        <v>10</v>
      </c>
      <c r="AG83" s="16">
        <f t="shared" si="327"/>
        <v>5.5</v>
      </c>
      <c r="AH83" s="838" t="s">
        <v>85</v>
      </c>
      <c r="AI83" s="17">
        <f t="shared" si="328"/>
        <v>4.5</v>
      </c>
      <c r="AJ83" s="17">
        <f t="shared" si="329"/>
        <v>5.5</v>
      </c>
      <c r="AK83" s="891"/>
      <c r="AL83" s="18"/>
      <c r="AM83" s="889"/>
      <c r="AN83" s="891"/>
      <c r="AO83" s="888"/>
      <c r="AP83" s="891"/>
      <c r="AQ83" s="891"/>
      <c r="AR83" s="889"/>
      <c r="AS83" s="888"/>
      <c r="AT83" s="888"/>
      <c r="AU83" s="890"/>
      <c r="AV83" s="888"/>
      <c r="AW83" s="888"/>
      <c r="AX83" s="888"/>
      <c r="AY83" s="887"/>
      <c r="AZ83" s="888"/>
      <c r="BA83" s="17">
        <f t="shared" si="330"/>
        <v>14.399999999999991</v>
      </c>
      <c r="BB83" s="17">
        <f t="shared" si="331"/>
        <v>37.799999999999997</v>
      </c>
      <c r="BC83" s="17">
        <f t="shared" si="332"/>
        <v>32</v>
      </c>
      <c r="BD83" s="17">
        <f t="shared" si="333"/>
        <v>85</v>
      </c>
      <c r="BE83" s="17">
        <f t="shared" si="334"/>
        <v>180.86341983910182</v>
      </c>
      <c r="BF83" s="17">
        <f t="shared" si="335"/>
        <v>24</v>
      </c>
      <c r="BG83" s="17">
        <f t="shared" si="336"/>
        <v>50</v>
      </c>
      <c r="BH83" s="17">
        <f t="shared" si="337"/>
        <v>65.062647806544774</v>
      </c>
      <c r="BI83" s="17">
        <f t="shared" si="338"/>
        <v>115.80077203255705</v>
      </c>
      <c r="BJ83" s="17">
        <f t="shared" si="339"/>
        <v>45</v>
      </c>
      <c r="BK83" s="17">
        <f t="shared" si="340"/>
        <v>85</v>
      </c>
      <c r="BL83" s="17">
        <f t="shared" si="341"/>
        <v>380.54120080897206</v>
      </c>
      <c r="BM83" s="17">
        <f t="shared" si="342"/>
        <v>24</v>
      </c>
      <c r="BN83" s="17">
        <f t="shared" si="343"/>
        <v>50</v>
      </c>
      <c r="BO83" s="17">
        <f t="shared" si="344"/>
        <v>65.062647806544774</v>
      </c>
      <c r="BP83" s="17">
        <f t="shared" si="345"/>
        <v>315.4785530024273</v>
      </c>
      <c r="BQ83" s="17">
        <f t="shared" si="346"/>
        <v>3953.3961599999993</v>
      </c>
      <c r="BR83" s="17">
        <f t="shared" si="347"/>
        <v>1506.0556799999993</v>
      </c>
      <c r="BS83" s="17">
        <f t="shared" si="348"/>
        <v>352.80748799999975</v>
      </c>
      <c r="BT83" s="17">
        <f t="shared" si="349"/>
        <v>926.11965599999974</v>
      </c>
      <c r="BU83" s="17">
        <f t="shared" si="350"/>
        <v>23269.68</v>
      </c>
      <c r="BV83" s="17">
        <f t="shared" si="351"/>
        <v>3412</v>
      </c>
      <c r="BW83" s="17">
        <f t="shared" si="352"/>
        <v>325.0946775999999</v>
      </c>
      <c r="BX83" s="17">
        <f t="shared" si="353"/>
        <v>17495.999999999989</v>
      </c>
      <c r="BY83" s="17">
        <f t="shared" si="354"/>
        <v>2332.93245825024</v>
      </c>
      <c r="BZ83" s="17"/>
      <c r="CA83" s="17">
        <f t="shared" si="355"/>
        <v>85810.166416660228</v>
      </c>
      <c r="CB83" s="17">
        <f t="shared" si="356"/>
        <v>241341.0930468569</v>
      </c>
      <c r="CC83" s="17">
        <f t="shared" si="357"/>
        <v>12259.291255222499</v>
      </c>
      <c r="CD83" s="17">
        <f t="shared" si="358"/>
        <v>110333.62129700249</v>
      </c>
      <c r="CE83" s="17">
        <f t="shared" si="359"/>
        <v>50789.103295850226</v>
      </c>
      <c r="CF83" s="17">
        <f t="shared" si="360"/>
        <v>449744.17201574211</v>
      </c>
      <c r="CG83" s="17">
        <f t="shared" si="361"/>
        <v>500533.27531159233</v>
      </c>
      <c r="CH83" s="17">
        <f t="shared" si="362"/>
        <v>14.400000000000006</v>
      </c>
      <c r="CI83" s="17">
        <f t="shared" si="363"/>
        <v>-43.2</v>
      </c>
      <c r="CJ83" s="17">
        <f t="shared" si="364"/>
        <v>16</v>
      </c>
      <c r="CK83" s="17">
        <f t="shared" si="365"/>
        <v>90</v>
      </c>
      <c r="CL83" s="17">
        <f t="shared" si="366"/>
        <v>71.46880726181422</v>
      </c>
      <c r="CM83" s="17">
        <f t="shared" si="367"/>
        <v>24</v>
      </c>
      <c r="CN83" s="17">
        <f t="shared" si="368"/>
        <v>50</v>
      </c>
      <c r="CO83" s="17">
        <f t="shared" si="369"/>
        <v>65.062647806544774</v>
      </c>
      <c r="CP83" s="17">
        <f t="shared" si="370"/>
        <v>6.4061594552694459</v>
      </c>
      <c r="CQ83" s="17">
        <f t="shared" si="371"/>
        <v>0</v>
      </c>
      <c r="CR83" s="17">
        <f t="shared" si="372"/>
        <v>100</v>
      </c>
      <c r="CS83" s="17">
        <f t="shared" si="373"/>
        <v>26.404773030064671</v>
      </c>
      <c r="CT83" s="17">
        <f t="shared" si="374"/>
        <v>24</v>
      </c>
      <c r="CU83" s="17">
        <f t="shared" si="375"/>
        <v>50</v>
      </c>
      <c r="CV83" s="17">
        <f t="shared" si="376"/>
        <v>65.062647806544774</v>
      </c>
      <c r="CW83" s="17">
        <f t="shared" si="377"/>
        <v>-38.657874776480099</v>
      </c>
      <c r="CX83" s="17">
        <f t="shared" si="315"/>
        <v>-4518.1670400000012</v>
      </c>
      <c r="CY83" s="17">
        <f t="shared" si="315"/>
        <v>-4518.1670400000012</v>
      </c>
      <c r="CZ83" s="17">
        <f t="shared" si="378"/>
        <v>352.80748800000009</v>
      </c>
      <c r="DA83" s="17">
        <f t="shared" si="379"/>
        <v>-1058.422464</v>
      </c>
      <c r="DB83" s="17">
        <f t="shared" si="380"/>
        <v>-26593.920000000002</v>
      </c>
      <c r="DC83" s="17">
        <f t="shared" si="381"/>
        <v>3412</v>
      </c>
      <c r="DD83" s="17">
        <f t="shared" si="382"/>
        <v>325.0946775999999</v>
      </c>
      <c r="DE83" s="17">
        <f t="shared" si="383"/>
        <v>17496.000000000007</v>
      </c>
      <c r="DF83" s="17">
        <f t="shared" si="384"/>
        <v>-2666.2085237145602</v>
      </c>
      <c r="DG83" s="17"/>
      <c r="DH83" s="17">
        <f t="shared" si="385"/>
        <v>-10514.941939202587</v>
      </c>
      <c r="DI83" s="17">
        <f t="shared" si="386"/>
        <v>-29573.274204007277</v>
      </c>
      <c r="DJ83" s="17">
        <f t="shared" si="387"/>
        <v>-1502.2198551454069</v>
      </c>
      <c r="DK83" s="17">
        <f t="shared" si="388"/>
        <v>2240.4526855442768</v>
      </c>
      <c r="DL83" s="17">
        <f t="shared" si="389"/>
        <v>-13250.815862114558</v>
      </c>
      <c r="DM83" s="17">
        <f t="shared" si="390"/>
        <v>-39349.983312810997</v>
      </c>
      <c r="DN83" s="17">
        <f t="shared" si="391"/>
        <v>-52600.799174925553</v>
      </c>
    </row>
    <row r="84" spans="3:120" ht="18.600000000000001">
      <c r="C84" s="13">
        <f>IF(D84&lt;&gt;"",COUNTA($D$10:D84),"")</f>
        <v>66</v>
      </c>
      <c r="D84" s="14" t="s">
        <v>214</v>
      </c>
      <c r="E84" s="14">
        <v>2.2000000000000002</v>
      </c>
      <c r="F84" s="14">
        <v>2.8</v>
      </c>
      <c r="G84" s="14">
        <v>2.4</v>
      </c>
      <c r="H84" s="14">
        <v>2</v>
      </c>
      <c r="I84" s="14">
        <v>1</v>
      </c>
      <c r="J84" s="14">
        <v>1.75</v>
      </c>
      <c r="K84" s="14">
        <v>3</v>
      </c>
      <c r="L84" s="15">
        <v>0.1</v>
      </c>
      <c r="M84" s="15">
        <v>0</v>
      </c>
      <c r="N84" s="14">
        <v>24</v>
      </c>
      <c r="O84" s="14">
        <v>50</v>
      </c>
      <c r="P84" s="13">
        <v>45</v>
      </c>
      <c r="Q84" s="13">
        <v>85</v>
      </c>
      <c r="R84" s="13" t="s">
        <v>217</v>
      </c>
      <c r="S84" s="13">
        <v>80</v>
      </c>
      <c r="T84" s="13">
        <v>0</v>
      </c>
      <c r="U84" s="13">
        <v>100</v>
      </c>
      <c r="V84" s="13" t="str">
        <f t="shared" si="316"/>
        <v>10K</v>
      </c>
      <c r="W84" s="13">
        <f t="shared" si="317"/>
        <v>80</v>
      </c>
      <c r="X84" s="16">
        <f t="shared" si="318"/>
        <v>66.281599999999997</v>
      </c>
      <c r="Y84" s="16">
        <f t="shared" si="319"/>
        <v>521.76875519999999</v>
      </c>
      <c r="Z84" s="16">
        <f t="shared" si="320"/>
        <v>695.69167359999994</v>
      </c>
      <c r="AA84" s="16">
        <f t="shared" si="321"/>
        <v>69.569167359999994</v>
      </c>
      <c r="AB84" s="16">
        <f t="shared" si="322"/>
        <v>0</v>
      </c>
      <c r="AC84" s="16">
        <f t="shared" si="323"/>
        <v>6.3998143596774195</v>
      </c>
      <c r="AD84" s="16">
        <f t="shared" si="392"/>
        <v>2225</v>
      </c>
      <c r="AE84" s="16">
        <f t="shared" si="325"/>
        <v>2225</v>
      </c>
      <c r="AF84" s="16">
        <f t="shared" si="326"/>
        <v>10</v>
      </c>
      <c r="AG84" s="16">
        <f t="shared" si="327"/>
        <v>6</v>
      </c>
      <c r="AH84" s="838" t="s">
        <v>85</v>
      </c>
      <c r="AI84" s="17">
        <f t="shared" si="328"/>
        <v>4.5</v>
      </c>
      <c r="AJ84" s="17">
        <f t="shared" si="329"/>
        <v>6</v>
      </c>
      <c r="AK84" s="891"/>
      <c r="AL84" s="18"/>
      <c r="AM84" s="889"/>
      <c r="AN84" s="891"/>
      <c r="AO84" s="888"/>
      <c r="AP84" s="891"/>
      <c r="AQ84" s="891"/>
      <c r="AR84" s="889"/>
      <c r="AS84" s="888"/>
      <c r="AT84" s="888"/>
      <c r="AU84" s="890"/>
      <c r="AV84" s="888"/>
      <c r="AW84" s="888"/>
      <c r="AX84" s="888"/>
      <c r="AY84" s="887"/>
      <c r="AZ84" s="888"/>
      <c r="BA84" s="17">
        <f t="shared" si="330"/>
        <v>14.399999999999991</v>
      </c>
      <c r="BB84" s="17">
        <f t="shared" si="331"/>
        <v>37.799999999999997</v>
      </c>
      <c r="BC84" s="17">
        <f t="shared" si="332"/>
        <v>32</v>
      </c>
      <c r="BD84" s="17">
        <f t="shared" si="333"/>
        <v>85</v>
      </c>
      <c r="BE84" s="17">
        <f t="shared" si="334"/>
        <v>180.86341983910182</v>
      </c>
      <c r="BF84" s="17">
        <f t="shared" si="335"/>
        <v>24</v>
      </c>
      <c r="BG84" s="17">
        <f t="shared" si="336"/>
        <v>50</v>
      </c>
      <c r="BH84" s="17">
        <f t="shared" si="337"/>
        <v>65.062647806544774</v>
      </c>
      <c r="BI84" s="17">
        <f t="shared" si="338"/>
        <v>115.80077203255705</v>
      </c>
      <c r="BJ84" s="17">
        <f t="shared" si="339"/>
        <v>45</v>
      </c>
      <c r="BK84" s="17">
        <f t="shared" si="340"/>
        <v>85</v>
      </c>
      <c r="BL84" s="17">
        <f t="shared" si="341"/>
        <v>380.54120080897206</v>
      </c>
      <c r="BM84" s="17">
        <f t="shared" si="342"/>
        <v>24</v>
      </c>
      <c r="BN84" s="17">
        <f t="shared" si="343"/>
        <v>50</v>
      </c>
      <c r="BO84" s="17">
        <f t="shared" si="344"/>
        <v>65.062647806544774</v>
      </c>
      <c r="BP84" s="17">
        <f t="shared" si="345"/>
        <v>315.4785530024273</v>
      </c>
      <c r="BQ84" s="17">
        <f t="shared" si="346"/>
        <v>4392.6624000000002</v>
      </c>
      <c r="BR84" s="17">
        <f t="shared" si="347"/>
        <v>1673.3951999999992</v>
      </c>
      <c r="BS84" s="17">
        <f t="shared" si="348"/>
        <v>429.50476799999973</v>
      </c>
      <c r="BT84" s="17">
        <f t="shared" si="349"/>
        <v>1127.4500159999998</v>
      </c>
      <c r="BU84" s="17">
        <f t="shared" si="350"/>
        <v>23269.68</v>
      </c>
      <c r="BV84" s="17">
        <f t="shared" si="351"/>
        <v>3412</v>
      </c>
      <c r="BW84" s="17">
        <f t="shared" si="352"/>
        <v>395.76743359999995</v>
      </c>
      <c r="BX84" s="17">
        <f t="shared" si="353"/>
        <v>17495.999999999989</v>
      </c>
      <c r="BY84" s="17">
        <f t="shared" si="354"/>
        <v>2840.0916883046398</v>
      </c>
      <c r="BZ84" s="17"/>
      <c r="CA84" s="17">
        <f t="shared" si="355"/>
        <v>85810.166416660228</v>
      </c>
      <c r="CB84" s="17">
        <f t="shared" si="356"/>
        <v>241341.0930468569</v>
      </c>
      <c r="CC84" s="17">
        <f t="shared" si="357"/>
        <v>14924.354571575217</v>
      </c>
      <c r="CD84" s="17">
        <f t="shared" si="358"/>
        <v>134319.19114417693</v>
      </c>
      <c r="CE84" s="17">
        <f t="shared" si="359"/>
        <v>51806.201521904622</v>
      </c>
      <c r="CF84" s="17">
        <f t="shared" si="360"/>
        <v>476394.80517926929</v>
      </c>
      <c r="CG84" s="17">
        <f t="shared" si="361"/>
        <v>528201.00670117396</v>
      </c>
      <c r="CH84" s="17">
        <f t="shared" si="362"/>
        <v>14.400000000000006</v>
      </c>
      <c r="CI84" s="17">
        <f t="shared" si="363"/>
        <v>-43.2</v>
      </c>
      <c r="CJ84" s="17">
        <f t="shared" si="364"/>
        <v>16</v>
      </c>
      <c r="CK84" s="17">
        <f t="shared" si="365"/>
        <v>90</v>
      </c>
      <c r="CL84" s="17">
        <f t="shared" si="366"/>
        <v>71.46880726181422</v>
      </c>
      <c r="CM84" s="17">
        <f t="shared" si="367"/>
        <v>24</v>
      </c>
      <c r="CN84" s="17">
        <f t="shared" si="368"/>
        <v>50</v>
      </c>
      <c r="CO84" s="17">
        <f t="shared" si="369"/>
        <v>65.062647806544774</v>
      </c>
      <c r="CP84" s="17">
        <f t="shared" si="370"/>
        <v>6.4061594552694459</v>
      </c>
      <c r="CQ84" s="17">
        <f t="shared" si="371"/>
        <v>0</v>
      </c>
      <c r="CR84" s="17">
        <f t="shared" si="372"/>
        <v>100</v>
      </c>
      <c r="CS84" s="17">
        <f t="shared" si="373"/>
        <v>26.404773030064671</v>
      </c>
      <c r="CT84" s="17">
        <f t="shared" si="374"/>
        <v>24</v>
      </c>
      <c r="CU84" s="17">
        <f t="shared" si="375"/>
        <v>50</v>
      </c>
      <c r="CV84" s="17">
        <f t="shared" si="376"/>
        <v>65.062647806544774</v>
      </c>
      <c r="CW84" s="17">
        <f t="shared" si="377"/>
        <v>-38.657874776480099</v>
      </c>
      <c r="CX84" s="17">
        <f t="shared" si="315"/>
        <v>-5020.1856000000007</v>
      </c>
      <c r="CY84" s="17">
        <f t="shared" si="315"/>
        <v>-5020.1856000000007</v>
      </c>
      <c r="CZ84" s="17">
        <f t="shared" si="378"/>
        <v>429.50476800000018</v>
      </c>
      <c r="DA84" s="17">
        <f t="shared" si="379"/>
        <v>-1288.514304</v>
      </c>
      <c r="DB84" s="17">
        <f t="shared" si="380"/>
        <v>-26593.920000000002</v>
      </c>
      <c r="DC84" s="17">
        <f t="shared" si="381"/>
        <v>3412</v>
      </c>
      <c r="DD84" s="17">
        <f t="shared" si="382"/>
        <v>395.76743359999995</v>
      </c>
      <c r="DE84" s="17">
        <f t="shared" si="383"/>
        <v>17496.000000000007</v>
      </c>
      <c r="DF84" s="17">
        <f t="shared" si="384"/>
        <v>-3245.8190723481603</v>
      </c>
      <c r="DG84" s="17"/>
      <c r="DH84" s="17">
        <f t="shared" si="385"/>
        <v>-10514.941939202587</v>
      </c>
      <c r="DI84" s="17">
        <f t="shared" si="386"/>
        <v>-29573.274204007277</v>
      </c>
      <c r="DJ84" s="17">
        <f t="shared" si="387"/>
        <v>-1828.7893888726694</v>
      </c>
      <c r="DK84" s="17">
        <f t="shared" si="388"/>
        <v>2727.5076171843371</v>
      </c>
      <c r="DL84" s="17">
        <f t="shared" si="389"/>
        <v>-14415.166774748159</v>
      </c>
      <c r="DM84" s="17">
        <f t="shared" si="390"/>
        <v>-39189.497914898195</v>
      </c>
      <c r="DN84" s="17">
        <f t="shared" si="391"/>
        <v>-53604.66468964635</v>
      </c>
    </row>
    <row r="85" spans="3:120" ht="18.600000000000001">
      <c r="C85" s="13">
        <f>IF(D85&lt;&gt;"",COUNTA($D$10:D85),"")</f>
        <v>67</v>
      </c>
      <c r="D85" s="14" t="s">
        <v>215</v>
      </c>
      <c r="E85" s="14">
        <v>2.8</v>
      </c>
      <c r="F85" s="14">
        <v>2.4</v>
      </c>
      <c r="G85" s="14">
        <v>2.4</v>
      </c>
      <c r="H85" s="14">
        <v>2</v>
      </c>
      <c r="I85" s="14">
        <v>1</v>
      </c>
      <c r="J85" s="14">
        <v>1.75</v>
      </c>
      <c r="K85" s="14">
        <v>3</v>
      </c>
      <c r="L85" s="15">
        <v>0.1</v>
      </c>
      <c r="M85" s="15">
        <v>0</v>
      </c>
      <c r="N85" s="14">
        <v>24</v>
      </c>
      <c r="O85" s="14">
        <v>50</v>
      </c>
      <c r="P85" s="13">
        <v>45</v>
      </c>
      <c r="Q85" s="13">
        <v>85</v>
      </c>
      <c r="R85" s="13" t="s">
        <v>217</v>
      </c>
      <c r="S85" s="13">
        <v>80</v>
      </c>
      <c r="T85" s="13">
        <v>0</v>
      </c>
      <c r="U85" s="13">
        <v>100</v>
      </c>
      <c r="V85" s="13" t="str">
        <f t="shared" si="316"/>
        <v>10K</v>
      </c>
      <c r="W85" s="13">
        <f t="shared" si="317"/>
        <v>80</v>
      </c>
      <c r="X85" s="16">
        <f t="shared" si="318"/>
        <v>72.307199999999995</v>
      </c>
      <c r="Y85" s="16">
        <f t="shared" si="319"/>
        <v>569.20227839999995</v>
      </c>
      <c r="Z85" s="16">
        <f t="shared" si="320"/>
        <v>758.93637119999994</v>
      </c>
      <c r="AA85" s="16">
        <f t="shared" si="321"/>
        <v>75.893637119999994</v>
      </c>
      <c r="AB85" s="16">
        <f t="shared" si="322"/>
        <v>0</v>
      </c>
      <c r="AC85" s="16">
        <f t="shared" si="323"/>
        <v>6.9816156651026393</v>
      </c>
      <c r="AD85" s="16">
        <f t="shared" si="392"/>
        <v>2300</v>
      </c>
      <c r="AE85" s="16">
        <f t="shared" si="325"/>
        <v>2300</v>
      </c>
      <c r="AF85" s="16">
        <f t="shared" si="326"/>
        <v>10</v>
      </c>
      <c r="AG85" s="16">
        <f t="shared" si="327"/>
        <v>6</v>
      </c>
      <c r="AH85" s="838" t="s">
        <v>85</v>
      </c>
      <c r="AI85" s="17">
        <f t="shared" si="328"/>
        <v>4.5</v>
      </c>
      <c r="AJ85" s="17">
        <f t="shared" si="329"/>
        <v>6</v>
      </c>
      <c r="AK85" s="891"/>
      <c r="AL85" s="18"/>
      <c r="AM85" s="889"/>
      <c r="AN85" s="891"/>
      <c r="AO85" s="888"/>
      <c r="AP85" s="891"/>
      <c r="AQ85" s="891"/>
      <c r="AR85" s="889"/>
      <c r="AS85" s="888"/>
      <c r="AT85" s="888"/>
      <c r="AU85" s="890"/>
      <c r="AV85" s="888"/>
      <c r="AW85" s="888"/>
      <c r="AX85" s="888"/>
      <c r="AY85" s="887"/>
      <c r="AZ85" s="888"/>
      <c r="BA85" s="17">
        <f t="shared" si="330"/>
        <v>14.399999999999991</v>
      </c>
      <c r="BB85" s="17">
        <f t="shared" si="331"/>
        <v>37.799999999999997</v>
      </c>
      <c r="BC85" s="17">
        <f t="shared" si="332"/>
        <v>32</v>
      </c>
      <c r="BD85" s="17">
        <f t="shared" si="333"/>
        <v>85</v>
      </c>
      <c r="BE85" s="17">
        <f t="shared" si="334"/>
        <v>180.86341983910182</v>
      </c>
      <c r="BF85" s="17">
        <f t="shared" si="335"/>
        <v>24</v>
      </c>
      <c r="BG85" s="17">
        <f t="shared" si="336"/>
        <v>50</v>
      </c>
      <c r="BH85" s="17">
        <f t="shared" si="337"/>
        <v>65.062647806544774</v>
      </c>
      <c r="BI85" s="17">
        <f t="shared" si="338"/>
        <v>115.80077203255705</v>
      </c>
      <c r="BJ85" s="17">
        <f t="shared" si="339"/>
        <v>45</v>
      </c>
      <c r="BK85" s="17">
        <f t="shared" si="340"/>
        <v>85</v>
      </c>
      <c r="BL85" s="17">
        <f t="shared" si="341"/>
        <v>380.54120080897206</v>
      </c>
      <c r="BM85" s="17">
        <f t="shared" si="342"/>
        <v>24</v>
      </c>
      <c r="BN85" s="17">
        <f t="shared" si="343"/>
        <v>50</v>
      </c>
      <c r="BO85" s="17">
        <f t="shared" si="344"/>
        <v>65.062647806544774</v>
      </c>
      <c r="BP85" s="17">
        <f t="shared" si="345"/>
        <v>315.4785530024273</v>
      </c>
      <c r="BQ85" s="17">
        <f t="shared" si="346"/>
        <v>4568.368895999999</v>
      </c>
      <c r="BR85" s="17">
        <f t="shared" si="347"/>
        <v>1740.331007999999</v>
      </c>
      <c r="BS85" s="17">
        <f t="shared" si="348"/>
        <v>468.55065599999972</v>
      </c>
      <c r="BT85" s="17">
        <f t="shared" si="349"/>
        <v>1229.9454719999999</v>
      </c>
      <c r="BU85" s="17">
        <f t="shared" si="350"/>
        <v>23269.68</v>
      </c>
      <c r="BV85" s="17">
        <f t="shared" si="351"/>
        <v>3412</v>
      </c>
      <c r="BW85" s="17">
        <f t="shared" si="352"/>
        <v>431.74629119999997</v>
      </c>
      <c r="BX85" s="17">
        <f t="shared" si="353"/>
        <v>17495.999999999989</v>
      </c>
      <c r="BY85" s="17">
        <f t="shared" si="354"/>
        <v>3098.2818417868798</v>
      </c>
      <c r="BZ85" s="17"/>
      <c r="CA85" s="17">
        <f t="shared" si="355"/>
        <v>85810.166416660228</v>
      </c>
      <c r="CB85" s="17">
        <f t="shared" si="356"/>
        <v>241341.0930468569</v>
      </c>
      <c r="CC85" s="17">
        <f t="shared" si="357"/>
        <v>16281.114078082053</v>
      </c>
      <c r="CD85" s="17">
        <f t="shared" si="358"/>
        <v>146530.02670273848</v>
      </c>
      <c r="CE85" s="17">
        <f t="shared" si="359"/>
        <v>52276.077028986867</v>
      </c>
      <c r="CF85" s="17">
        <f t="shared" si="360"/>
        <v>489962.40024433762</v>
      </c>
      <c r="CG85" s="17">
        <f t="shared" si="361"/>
        <v>542238.4772733245</v>
      </c>
      <c r="CH85" s="17">
        <f t="shared" si="362"/>
        <v>14.400000000000006</v>
      </c>
      <c r="CI85" s="17">
        <f t="shared" si="363"/>
        <v>-43.2</v>
      </c>
      <c r="CJ85" s="17">
        <f t="shared" si="364"/>
        <v>16</v>
      </c>
      <c r="CK85" s="17">
        <f t="shared" si="365"/>
        <v>90</v>
      </c>
      <c r="CL85" s="17">
        <f t="shared" si="366"/>
        <v>71.46880726181422</v>
      </c>
      <c r="CM85" s="17">
        <f t="shared" si="367"/>
        <v>24</v>
      </c>
      <c r="CN85" s="17">
        <f t="shared" si="368"/>
        <v>50</v>
      </c>
      <c r="CO85" s="17">
        <f t="shared" si="369"/>
        <v>65.062647806544774</v>
      </c>
      <c r="CP85" s="17">
        <f t="shared" si="370"/>
        <v>6.4061594552694459</v>
      </c>
      <c r="CQ85" s="17">
        <f t="shared" si="371"/>
        <v>0</v>
      </c>
      <c r="CR85" s="17">
        <f t="shared" si="372"/>
        <v>100</v>
      </c>
      <c r="CS85" s="17">
        <f t="shared" si="373"/>
        <v>26.404773030064671</v>
      </c>
      <c r="CT85" s="17">
        <f t="shared" si="374"/>
        <v>24</v>
      </c>
      <c r="CU85" s="17">
        <f t="shared" si="375"/>
        <v>50</v>
      </c>
      <c r="CV85" s="17">
        <f t="shared" si="376"/>
        <v>65.062647806544774</v>
      </c>
      <c r="CW85" s="17">
        <f t="shared" si="377"/>
        <v>-38.657874776480099</v>
      </c>
      <c r="CX85" s="17">
        <f t="shared" si="315"/>
        <v>-5220.9930240000003</v>
      </c>
      <c r="CY85" s="17">
        <f t="shared" si="315"/>
        <v>-5220.9930240000003</v>
      </c>
      <c r="CZ85" s="17">
        <f t="shared" si="378"/>
        <v>468.55065600000012</v>
      </c>
      <c r="DA85" s="17">
        <f t="shared" si="379"/>
        <v>-1405.6519680000001</v>
      </c>
      <c r="DB85" s="17">
        <f t="shared" si="380"/>
        <v>-26593.920000000002</v>
      </c>
      <c r="DC85" s="17">
        <f t="shared" si="381"/>
        <v>3412</v>
      </c>
      <c r="DD85" s="17">
        <f t="shared" si="382"/>
        <v>431.74629119999997</v>
      </c>
      <c r="DE85" s="17">
        <f t="shared" si="383"/>
        <v>17496.000000000007</v>
      </c>
      <c r="DF85" s="17">
        <f t="shared" si="384"/>
        <v>-3540.8935334707203</v>
      </c>
      <c r="DG85" s="17"/>
      <c r="DH85" s="17">
        <f t="shared" si="385"/>
        <v>-10514.941939202587</v>
      </c>
      <c r="DI85" s="17">
        <f t="shared" si="386"/>
        <v>-29573.274204007277</v>
      </c>
      <c r="DJ85" s="17">
        <f t="shared" si="387"/>
        <v>-1995.0429696792755</v>
      </c>
      <c r="DK85" s="17">
        <f t="shared" si="388"/>
        <v>2975.4628551101864</v>
      </c>
      <c r="DL85" s="17">
        <f t="shared" si="389"/>
        <v>-14953.161578270712</v>
      </c>
      <c r="DM85" s="17">
        <f t="shared" si="390"/>
        <v>-39107.796257778959</v>
      </c>
      <c r="DN85" s="17">
        <f t="shared" si="391"/>
        <v>-54060.957836049667</v>
      </c>
    </row>
    <row r="86" spans="3:120">
      <c r="C86" s="13" t="str">
        <f>IF(D86&lt;&gt;"",COUNTA($D$10:D86),"")</f>
        <v/>
      </c>
      <c r="D86" s="19"/>
      <c r="E86" s="19"/>
      <c r="F86" s="19"/>
      <c r="G86" s="19"/>
      <c r="H86" s="19"/>
      <c r="I86" s="19"/>
      <c r="J86" s="19"/>
      <c r="K86" s="19"/>
      <c r="L86" s="19"/>
      <c r="M86" s="19"/>
      <c r="N86" s="19"/>
      <c r="O86" s="19"/>
      <c r="P86" s="19"/>
      <c r="Q86" s="19"/>
      <c r="R86" s="19"/>
      <c r="S86" s="19"/>
      <c r="T86" s="19"/>
      <c r="U86" s="19"/>
      <c r="V86" s="19"/>
      <c r="W86" s="19"/>
      <c r="X86" s="20">
        <f>SUM(X70:X85)</f>
        <v>1144.1108000000002</v>
      </c>
      <c r="Y86" s="20">
        <f t="shared" ref="Y86" si="393">SUM(Y70:Y85)</f>
        <v>9006.4402175999985</v>
      </c>
      <c r="Z86" s="20">
        <f t="shared" ref="Z86" si="394">SUM(Z70:Z85)</f>
        <v>12008.5869568</v>
      </c>
      <c r="AA86" s="20">
        <f t="shared" ref="AA86" si="395">SUM(AA70:AA85)</f>
        <v>1200.8586956799998</v>
      </c>
      <c r="AB86" s="20">
        <f t="shared" ref="AB86" si="396">SUM(AB70:AB85)</f>
        <v>0</v>
      </c>
      <c r="AC86" s="20">
        <f t="shared" ref="AC86" si="397">SUM(AC70:AC85)</f>
        <v>110.46952286761365</v>
      </c>
      <c r="AD86" s="20">
        <f t="shared" ref="AD86" si="398">SUM(AD70:AD85)</f>
        <v>36400</v>
      </c>
      <c r="AE86" s="20">
        <f t="shared" ref="AE86" si="399">SUM(AE70:AE85)</f>
        <v>36400</v>
      </c>
      <c r="AF86" s="20">
        <f t="shared" ref="AF86" si="400">SUM(AF70:AF85)</f>
        <v>158</v>
      </c>
      <c r="AG86" s="20">
        <f t="shared" ref="AG86" si="401">SUM(AG70:AG85)</f>
        <v>94</v>
      </c>
      <c r="AH86" s="841"/>
      <c r="AI86" s="20">
        <f t="shared" ref="AI86" si="402">SUM(AI70:AI85)</f>
        <v>74</v>
      </c>
      <c r="AJ86" s="20">
        <f t="shared" ref="AJ86" si="403">SUM(AJ70:AJ85)</f>
        <v>94</v>
      </c>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2"/>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row>
    <row r="87" spans="3:120">
      <c r="C87" s="13" t="str">
        <f>IF(D87&lt;&gt;"",COUNTA($D$10:D87),"")</f>
        <v/>
      </c>
    </row>
    <row r="88" spans="3:120" ht="29.1">
      <c r="C88" s="8" t="str">
        <f>"Zoning Area  AHU - " &amp; INT((ROW()-8)/20)+1 &amp; "  " &amp;IF(AQ90&gt;0,"Air-Conditioning System " &amp; IF(AH90="D","(DX)",IF(AH90="C","(Chilled Water)","")),IF(AND(N90="Amb",AQ90=0),"Ventilation System","Refer"))</f>
        <v>Zoning Area  AHU - 5  Air-Conditioning System (Chilled Water)</v>
      </c>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39"/>
      <c r="AI88" s="8"/>
      <c r="AJ88" s="8"/>
      <c r="AK88" s="8"/>
      <c r="AL88" s="8"/>
      <c r="AM88" s="8"/>
      <c r="AN88" s="8"/>
      <c r="AO88" s="8"/>
      <c r="AP88" s="8"/>
      <c r="AQ88" s="8"/>
      <c r="AR88" s="8"/>
      <c r="AS88" s="9" t="s">
        <v>221</v>
      </c>
      <c r="AT88" s="10"/>
      <c r="AU88" s="10"/>
      <c r="AV88" s="11"/>
      <c r="AW88" s="9" t="s">
        <v>222</v>
      </c>
      <c r="AX88" s="10"/>
      <c r="AY88" s="10"/>
      <c r="AZ88" s="11"/>
      <c r="BA88" s="12" t="s">
        <v>483</v>
      </c>
      <c r="BB88" s="12"/>
      <c r="BC88" s="12"/>
      <c r="BD88" s="12"/>
      <c r="BE88" s="12"/>
      <c r="BF88" s="12"/>
      <c r="BG88" s="12"/>
      <c r="BH88" s="12"/>
      <c r="BI88" s="12"/>
      <c r="BJ88" s="12"/>
      <c r="BK88" s="12"/>
      <c r="BL88" s="12"/>
      <c r="BM88" s="12"/>
      <c r="BN88" s="12"/>
      <c r="BO88" s="12"/>
      <c r="BP88" s="12"/>
      <c r="BQ88" s="9" t="s">
        <v>484</v>
      </c>
      <c r="BR88" s="10"/>
      <c r="BS88" s="10"/>
      <c r="BT88" s="10"/>
      <c r="BU88" s="10"/>
      <c r="BV88" s="10"/>
      <c r="BW88" s="10"/>
      <c r="BX88" s="10"/>
      <c r="BY88" s="10"/>
      <c r="BZ88" s="11"/>
      <c r="CA88" s="9" t="s">
        <v>485</v>
      </c>
      <c r="CB88" s="10"/>
      <c r="CC88" s="10"/>
      <c r="CD88" s="10"/>
      <c r="CE88" s="9" t="s">
        <v>486</v>
      </c>
      <c r="CF88" s="10"/>
      <c r="CG88" s="11"/>
      <c r="CH88" s="12" t="s">
        <v>487</v>
      </c>
      <c r="CI88" s="12"/>
      <c r="CJ88" s="12"/>
      <c r="CK88" s="12"/>
      <c r="CL88" s="12"/>
      <c r="CM88" s="12"/>
      <c r="CN88" s="12"/>
      <c r="CO88" s="12"/>
      <c r="CP88" s="12"/>
      <c r="CQ88" s="12"/>
      <c r="CR88" s="12"/>
      <c r="CS88" s="12"/>
      <c r="CT88" s="12"/>
      <c r="CU88" s="12"/>
      <c r="CV88" s="12"/>
      <c r="CW88" s="12"/>
      <c r="CX88" s="9" t="s">
        <v>488</v>
      </c>
      <c r="CY88" s="10"/>
      <c r="CZ88" s="10"/>
      <c r="DA88" s="10"/>
      <c r="DB88" s="10"/>
      <c r="DC88" s="10"/>
      <c r="DD88" s="10"/>
      <c r="DE88" s="10"/>
      <c r="DF88" s="10"/>
      <c r="DG88" s="11"/>
      <c r="DH88" s="9" t="s">
        <v>489</v>
      </c>
      <c r="DI88" s="10"/>
      <c r="DJ88" s="10"/>
      <c r="DK88" s="10"/>
      <c r="DL88" s="9"/>
      <c r="DM88" s="10"/>
      <c r="DN88" s="11"/>
      <c r="DO88" s="1"/>
      <c r="DP88" s="1"/>
    </row>
    <row r="89" spans="3:120" ht="120" customHeight="1">
      <c r="C89" s="13">
        <f>IF(D89&lt;&gt;"",COUNTA($D$10:D89),"")</f>
        <v>68</v>
      </c>
      <c r="D89" s="5" t="s">
        <v>165</v>
      </c>
      <c r="E89" s="5" t="s">
        <v>166</v>
      </c>
      <c r="F89" s="5" t="s">
        <v>167</v>
      </c>
      <c r="G89" s="5" t="s">
        <v>168</v>
      </c>
      <c r="H89" s="5" t="s">
        <v>169</v>
      </c>
      <c r="I89" s="5" t="s">
        <v>170</v>
      </c>
      <c r="J89" s="5" t="s">
        <v>171</v>
      </c>
      <c r="K89" s="5" t="s">
        <v>172</v>
      </c>
      <c r="L89" s="5" t="s">
        <v>173</v>
      </c>
      <c r="M89" s="5" t="s">
        <v>174</v>
      </c>
      <c r="N89" s="5" t="s">
        <v>175</v>
      </c>
      <c r="O89" s="5" t="s">
        <v>176</v>
      </c>
      <c r="P89" s="5" t="s">
        <v>177</v>
      </c>
      <c r="Q89" s="5" t="s">
        <v>178</v>
      </c>
      <c r="R89" s="5" t="s">
        <v>199</v>
      </c>
      <c r="S89" s="5" t="s">
        <v>180</v>
      </c>
      <c r="T89" s="5" t="s">
        <v>223</v>
      </c>
      <c r="U89" s="5" t="s">
        <v>224</v>
      </c>
      <c r="V89" s="5" t="s">
        <v>199</v>
      </c>
      <c r="W89" s="5" t="s">
        <v>180</v>
      </c>
      <c r="X89" s="5" t="s">
        <v>225</v>
      </c>
      <c r="Y89" s="5" t="s">
        <v>226</v>
      </c>
      <c r="Z89" s="5" t="s">
        <v>227</v>
      </c>
      <c r="AA89" s="5" t="s">
        <v>228</v>
      </c>
      <c r="AB89" s="5" t="s">
        <v>229</v>
      </c>
      <c r="AC89" s="5" t="s">
        <v>230</v>
      </c>
      <c r="AD89" s="5" t="s">
        <v>231</v>
      </c>
      <c r="AE89" s="5" t="s">
        <v>232</v>
      </c>
      <c r="AF89" s="6" t="s">
        <v>233</v>
      </c>
      <c r="AG89" s="6" t="s">
        <v>234</v>
      </c>
      <c r="AH89" s="6" t="s">
        <v>235</v>
      </c>
      <c r="AI89" s="5" t="s">
        <v>236</v>
      </c>
      <c r="AJ89" s="5" t="s">
        <v>237</v>
      </c>
      <c r="AK89" s="5" t="s">
        <v>238</v>
      </c>
      <c r="AL89" s="5" t="s">
        <v>239</v>
      </c>
      <c r="AM89" s="5" t="s">
        <v>240</v>
      </c>
      <c r="AN89" s="5" t="s">
        <v>241</v>
      </c>
      <c r="AO89" s="5" t="s">
        <v>242</v>
      </c>
      <c r="AP89" s="5" t="s">
        <v>243</v>
      </c>
      <c r="AQ89" s="5" t="s">
        <v>244</v>
      </c>
      <c r="AR89" s="5" t="s">
        <v>245</v>
      </c>
      <c r="AS89" s="5" t="s">
        <v>246</v>
      </c>
      <c r="AT89" s="5" t="s">
        <v>247</v>
      </c>
      <c r="AU89" s="5" t="s">
        <v>248</v>
      </c>
      <c r="AV89" s="5" t="s">
        <v>249</v>
      </c>
      <c r="AW89" s="5" t="s">
        <v>250</v>
      </c>
      <c r="AX89" s="5" t="s">
        <v>251</v>
      </c>
      <c r="AY89" s="5" t="s">
        <v>252</v>
      </c>
      <c r="AZ89" s="5" t="s">
        <v>253</v>
      </c>
      <c r="BA89" s="5" t="s">
        <v>490</v>
      </c>
      <c r="BB89" s="5" t="s">
        <v>491</v>
      </c>
      <c r="BC89" s="5" t="s">
        <v>492</v>
      </c>
      <c r="BD89" s="5" t="s">
        <v>493</v>
      </c>
      <c r="BE89" s="5" t="s">
        <v>494</v>
      </c>
      <c r="BF89" s="5" t="s">
        <v>492</v>
      </c>
      <c r="BG89" s="5" t="s">
        <v>493</v>
      </c>
      <c r="BH89" s="5" t="s">
        <v>495</v>
      </c>
      <c r="BI89" s="5" t="s">
        <v>496</v>
      </c>
      <c r="BJ89" s="5" t="s">
        <v>492</v>
      </c>
      <c r="BK89" s="5" t="s">
        <v>493</v>
      </c>
      <c r="BL89" s="5" t="s">
        <v>497</v>
      </c>
      <c r="BM89" s="5" t="s">
        <v>492</v>
      </c>
      <c r="BN89" s="5" t="s">
        <v>493</v>
      </c>
      <c r="BO89" s="5" t="s">
        <v>495</v>
      </c>
      <c r="BP89" s="5" t="s">
        <v>498</v>
      </c>
      <c r="BQ89" s="5" t="s">
        <v>499</v>
      </c>
      <c r="BR89" s="5" t="s">
        <v>500</v>
      </c>
      <c r="BS89" s="5" t="s">
        <v>501</v>
      </c>
      <c r="BT89" s="5" t="s">
        <v>502</v>
      </c>
      <c r="BU89" s="5" t="s">
        <v>503</v>
      </c>
      <c r="BV89" s="5" t="s">
        <v>504</v>
      </c>
      <c r="BW89" s="5" t="s">
        <v>505</v>
      </c>
      <c r="BX89" s="5" t="s">
        <v>506</v>
      </c>
      <c r="BY89" s="5" t="s">
        <v>173</v>
      </c>
      <c r="BZ89" s="5" t="s">
        <v>174</v>
      </c>
      <c r="CA89" s="5" t="s">
        <v>503</v>
      </c>
      <c r="CB89" s="5" t="s">
        <v>507</v>
      </c>
      <c r="CC89" s="5" t="s">
        <v>173</v>
      </c>
      <c r="CD89" s="5" t="s">
        <v>508</v>
      </c>
      <c r="CE89" s="7" t="s">
        <v>509</v>
      </c>
      <c r="CF89" s="7" t="s">
        <v>510</v>
      </c>
      <c r="CG89" s="7" t="s">
        <v>511</v>
      </c>
      <c r="CH89" s="5" t="s">
        <v>512</v>
      </c>
      <c r="CI89" s="5" t="s">
        <v>513</v>
      </c>
      <c r="CJ89" s="5" t="s">
        <v>492</v>
      </c>
      <c r="CK89" s="5" t="s">
        <v>493</v>
      </c>
      <c r="CL89" s="5" t="s">
        <v>494</v>
      </c>
      <c r="CM89" s="5" t="s">
        <v>492</v>
      </c>
      <c r="CN89" s="5" t="s">
        <v>493</v>
      </c>
      <c r="CO89" s="5" t="s">
        <v>495</v>
      </c>
      <c r="CP89" s="5" t="s">
        <v>496</v>
      </c>
      <c r="CQ89" s="5" t="s">
        <v>492</v>
      </c>
      <c r="CR89" s="5" t="s">
        <v>493</v>
      </c>
      <c r="CS89" s="5" t="s">
        <v>497</v>
      </c>
      <c r="CT89" s="5" t="s">
        <v>492</v>
      </c>
      <c r="CU89" s="5" t="s">
        <v>493</v>
      </c>
      <c r="CV89" s="5" t="s">
        <v>495</v>
      </c>
      <c r="CW89" s="5" t="s">
        <v>498</v>
      </c>
      <c r="CX89" s="5" t="s">
        <v>499</v>
      </c>
      <c r="CY89" s="5" t="s">
        <v>500</v>
      </c>
      <c r="CZ89" s="5" t="s">
        <v>501</v>
      </c>
      <c r="DA89" s="5" t="s">
        <v>502</v>
      </c>
      <c r="DB89" s="5" t="s">
        <v>503</v>
      </c>
      <c r="DC89" s="5" t="s">
        <v>504</v>
      </c>
      <c r="DD89" s="5" t="s">
        <v>505</v>
      </c>
      <c r="DE89" s="5" t="s">
        <v>506</v>
      </c>
      <c r="DF89" s="5" t="s">
        <v>173</v>
      </c>
      <c r="DG89" s="5" t="s">
        <v>174</v>
      </c>
      <c r="DH89" s="5" t="s">
        <v>503</v>
      </c>
      <c r="DI89" s="5" t="s">
        <v>507</v>
      </c>
      <c r="DJ89" s="5" t="s">
        <v>173</v>
      </c>
      <c r="DK89" s="5" t="s">
        <v>508</v>
      </c>
      <c r="DL89" s="7" t="s">
        <v>509</v>
      </c>
      <c r="DM89" s="7" t="s">
        <v>510</v>
      </c>
      <c r="DN89" s="7" t="s">
        <v>511</v>
      </c>
      <c r="DO89" s="2"/>
      <c r="DP89" s="2"/>
    </row>
    <row r="90" spans="3:120" ht="18.600000000000001" customHeight="1">
      <c r="C90" s="13">
        <f>IF(D90&lt;&gt;"",COUNTA($D$10:D90),"")</f>
        <v>69</v>
      </c>
      <c r="D90" s="14" t="s">
        <v>200</v>
      </c>
      <c r="E90" s="14">
        <v>3</v>
      </c>
      <c r="F90" s="14">
        <v>3</v>
      </c>
      <c r="G90" s="14">
        <v>2.4</v>
      </c>
      <c r="H90" s="14">
        <v>1</v>
      </c>
      <c r="I90" s="14">
        <v>2</v>
      </c>
      <c r="J90" s="14">
        <v>1.75</v>
      </c>
      <c r="K90" s="14">
        <v>3</v>
      </c>
      <c r="L90" s="15">
        <v>0.1</v>
      </c>
      <c r="M90" s="15">
        <v>0</v>
      </c>
      <c r="N90" s="14">
        <v>24</v>
      </c>
      <c r="O90" s="14">
        <v>50</v>
      </c>
      <c r="P90" s="13">
        <v>45</v>
      </c>
      <c r="Q90" s="13">
        <v>85</v>
      </c>
      <c r="R90" s="13" t="s">
        <v>218</v>
      </c>
      <c r="S90" s="13">
        <v>20</v>
      </c>
      <c r="T90" s="13">
        <v>0</v>
      </c>
      <c r="U90" s="13">
        <v>100</v>
      </c>
      <c r="V90" s="13" t="str">
        <f>R90</f>
        <v>NC</v>
      </c>
      <c r="W90" s="13">
        <f>S90</f>
        <v>20</v>
      </c>
      <c r="X90" s="16">
        <f>E90*F90*10.76</f>
        <v>96.84</v>
      </c>
      <c r="Y90" s="16">
        <f>X90*G90*3.28</f>
        <v>762.32447999999999</v>
      </c>
      <c r="Z90" s="16">
        <f>Y90*S90/60</f>
        <v>254.10816000000003</v>
      </c>
      <c r="AA90" s="16">
        <f>Z90*L90</f>
        <v>25.410816000000004</v>
      </c>
      <c r="AB90" s="16">
        <f>IF(N90="Amb",Z90,Z90*M90)</f>
        <v>0</v>
      </c>
      <c r="AC90" s="16">
        <f>IF(ISNUMBER(N90), (AA90*0.075*60/2.20462)*BP90/7000, "Ambient")</f>
        <v>2.3375945307263311</v>
      </c>
      <c r="AD90" s="16">
        <f>IF(ISNUMBER(N90), CEILING(CF90/(0.68*BP90),25), "Ambient")</f>
        <v>1600</v>
      </c>
      <c r="AE90" s="16">
        <f>CEILING(MAX((Z90+AA90),AD90),25)</f>
        <v>1600</v>
      </c>
      <c r="AF90" s="16">
        <f>CEILING(IF(OR($R90="ISO 6",$R90="GRADE B",$R90="1K",$R90=1000),AE90*1/175,IF(OR($R90="ISO 5",$R90="GRADE A",$R90=100),AE90*1/100,IF(OR($R90="ISO 7",$R90="GRADE C",$R90="10K",$R90=10000),$AE90*1/250,IF(OR($R90="ISO 8",$R90="GRADE D",$R90="100K",$R90=100000),$AE90*1/250,IF(OR($R90="NC",$R90="20 Micron",$R90="5 Micron",$R90="N C"),$AE90*1/350,0))))),2)</f>
        <v>6</v>
      </c>
      <c r="AG90" s="16">
        <f>IF(ISNUMBER(N90), CEILING(MAX(AI90,AJ90),0.5), "Ambient")</f>
        <v>4</v>
      </c>
      <c r="AH90" s="838" t="s">
        <v>85</v>
      </c>
      <c r="AI90" s="17">
        <f>IF(ISNUMBER(N90), CEILING(CE90/12000,0.5), "Ambient")</f>
        <v>4</v>
      </c>
      <c r="AJ90" s="17">
        <f>IF(ISNUMBER(N90),CEILING(AE90/(IF(AH90="C",400,300)),0.5), "Ambient")</f>
        <v>4</v>
      </c>
      <c r="AK90" s="891">
        <f>CEILING(SUM(AE90:AE105),250)</f>
        <v>27500</v>
      </c>
      <c r="AL90" s="18" t="s">
        <v>254</v>
      </c>
      <c r="AM90" s="889">
        <v>150</v>
      </c>
      <c r="AN90" s="891">
        <f>IF(AK90&lt;=1300,200,IF(AK90&lt;=1600,225,IF(AK90&lt;=2100,250,IF(AK90&lt;=2700,280,IF(AK90&lt;=3450,315,IF(AK90&lt;=4250,355,IF(AK90&lt;=5250,400,IF(AK90&lt;=6750,450,IF(AK90&lt;=8500,500,IF(AK90&lt;=10750,560,IF(AK90&lt;=13500,630,IF(AK90&lt;=17000,710,IF(AK90&lt;=21500,800,IF(AK90&lt;=27000,900,IF(AK90&lt;=34000,1000,IF(AK90&lt;=43000,1120,IF(AK90&lt;=49000,1200,IF(AK90&lt;=68000,1450,"Refer"))))))))))))))))))</f>
        <v>1000</v>
      </c>
      <c r="AO90" s="888">
        <f>IF(AK90*AM90/(6356*0.7*0.9*1.1*25.4)&lt;=1,1,IF(AK90*AM90/(6356*0.7*0.9*1.1*25.4)&lt;=1.5,1.5,IF(AK90*AM90/(6356*0.7*0.9*1.1*25.4)&lt;=2,2,IF(AK90*AM90/(6356*0.7*0.9*1.1*25.4)&lt;=3,3,IF(AK90*AM90/(6356*0.7*0.9*1.1*25.4)&lt;=5,5,IF(AK90*AM90/(6356*0.7*0.9*1.1*25.4)&lt;=7.5,7.5,IF(AK90*AM90/(6356*0.7*0.9*1.1*25.4)&lt;=10,10,IF(AK90*AM90/(6356*0.7*0.9*1.1*25.4)&lt;=12.5,12.5,IF(AK90*AM90/(6356*0.7*0.9*1.1*25.4)&lt;=15,15,IF(AK90*AM90/(6356*0.7*0.9*1.1*25.4)&lt;=20,20,IF(AK90*AM90/(6356*0.7*0.9*1.1*25.4)&lt;=25,25,IF(AK90*AM90/(6356*0.7*0.9*1.1*25.4)&lt;=30,30,IF(AK90*AM90/(6356*0.7*0.9*1.1*25.4)&lt;=40,40,IF(AK90*AM90/(6356*0.7*0.9*1.1*25.4)&lt;=50,50,IF(AK90*AM90/(6356*0.7*0.9*1.1*25.4)&lt;=60,60,IF(AK90*AM90/(6356*0.7*0.9*1.1*25.4)&lt;=75,75,"Refer"))))))))))))))))</f>
        <v>40</v>
      </c>
      <c r="AP90" s="891">
        <f>IF(AND(AQ90=0, N90="Amb"), "Amb",IF((AL91-250)*(AL93-150)*10.76/(1000*1000) &gt;= MAX(AI106,AJ106), 4,IF((AL91-250)*(AL93-150)*10.76*1.5/(1000*1000) &gt;= MAX(AI106,AJ106), 6,IF((AL91-250)*(AL93-150)*10.76*2/(1000*1000) &gt;= MAX(AI106,AJ106), 8, 0))
 )
)</f>
        <v>4</v>
      </c>
      <c r="AQ90" s="891">
        <f>AG106</f>
        <v>74.5</v>
      </c>
      <c r="AR90" s="889">
        <f>_xlfn.SWITCH(TRIM(UPPER(R90)),"ISO 9", 3,"ISO 8", 4,"Grade D", 4,"Class 100,000", 4,"Class 100K", 4,"ISO 7", 3,"Grade C", 3,"Class 10,000", 3,"Class 10K", 3,"ISO 6", 3,"Class 1,000", 3,"Class 1K", 3,"ISO 5", 4,"Grade A", 4,"Grade B", 4,"Class 100", 4,"ISO 4", 3,"ISO 3", 4,"ISO 2", 4,"ISO 1", 4,"NCV20",1,"NCV-10",2,"NCV-5",3,"NCAC-10",1,"NCAC-5",2,"NCAC-1",3,3)</f>
        <v>3</v>
      </c>
      <c r="AS90" s="888">
        <f>MAX(AI106,AJ106)*24/6</f>
        <v>292</v>
      </c>
      <c r="AT90" s="888">
        <f>AS90*0.06309</f>
        <v>18.422279999999997</v>
      </c>
      <c r="AU90" s="890">
        <v>2</v>
      </c>
      <c r="AV90" s="888">
        <f>SQRT((4*AS90*0.00006309)/(3.14*AU90))*1000</f>
        <v>108.3232953049919</v>
      </c>
      <c r="AW90" s="888"/>
      <c r="AX90" s="888"/>
      <c r="AY90" s="887"/>
      <c r="AZ90" s="888"/>
      <c r="BA90" s="17">
        <f>-CONVERT(N90,"C","F")+CONVERT((N90+8),"C","F")</f>
        <v>14.399999999999991</v>
      </c>
      <c r="BB90" s="17">
        <f>CONVERT(P90,"C","F")-CONVERT(N90,"C","F")</f>
        <v>37.799999999999997</v>
      </c>
      <c r="BC90" s="17">
        <f>N90+8</f>
        <v>32</v>
      </c>
      <c r="BD90" s="17">
        <f>BG90+35</f>
        <v>85</v>
      </c>
      <c r="BE90" s="17">
        <f>0.622*7000*(BD90/100)*(6.1078*10^((7.5*BC90)/(237.3+BC90)))/(1013.25-(6.1078*10^((7.5*BC90)/(237.3+BC90)))*BD90/100)</f>
        <v>180.86341983910182</v>
      </c>
      <c r="BF90" s="17">
        <f>N90</f>
        <v>24</v>
      </c>
      <c r="BG90" s="17">
        <f>O90</f>
        <v>50</v>
      </c>
      <c r="BH90" s="17">
        <f>0.622*7000*(BG90/100)*(6.1078*10^((7.5*BF90)/(237.3+BF90)))/(1013.25-(6.1078*10^((7.5*BF90)/(237.3+BF90)))*BG90/100)</f>
        <v>65.062647806544774</v>
      </c>
      <c r="BI90" s="17">
        <f>BE90-BH90</f>
        <v>115.80077203255705</v>
      </c>
      <c r="BJ90" s="17">
        <f>P90</f>
        <v>45</v>
      </c>
      <c r="BK90" s="17">
        <f>Q90</f>
        <v>85</v>
      </c>
      <c r="BL90" s="17">
        <f>0.622*7000*(BK90/100)*(6.1078*10^((7.5*BJ90)/(237.3+BJ90)))/(1013.25-(6.1078*10^((7.5*BJ90)/(237.3+BJ90)))*BK90/100)</f>
        <v>380.54120080897206</v>
      </c>
      <c r="BM90" s="17">
        <f>N90</f>
        <v>24</v>
      </c>
      <c r="BN90" s="17">
        <f>BG90</f>
        <v>50</v>
      </c>
      <c r="BO90" s="17">
        <f>0.622*7000*(BN90/100)*(6.1078*10^((7.5*BM90)/(237.3+BM90)))/(1013.25-(6.1078*10^((7.5*BM90)/(237.3+BM90)))*BN90/100)</f>
        <v>65.062647806544774</v>
      </c>
      <c r="BP90" s="17">
        <f>BL90-BO90</f>
        <v>315.4785530024273</v>
      </c>
      <c r="BQ90" s="17">
        <f>($E90*$G90*10.76*2+$F90*$G90*2*10.76)*$BB90*0.45</f>
        <v>5271.1948799999991</v>
      </c>
      <c r="BR90" s="17">
        <f>($E90*$G90*10.76*2+$F90*$G90*2*10.76)*$BA90*0.45</f>
        <v>2008.0742399999988</v>
      </c>
      <c r="BS90" s="17">
        <f>($E90*$F90*10.76)*$BA90*0.45</f>
        <v>627.52319999999963</v>
      </c>
      <c r="BT90" s="17">
        <f>($E90*$F90*10.76)*$BB90*0.45</f>
        <v>1647.2483999999999</v>
      </c>
      <c r="BU90" s="17">
        <f>$H90*285*1.08*$BB90</f>
        <v>11634.84</v>
      </c>
      <c r="BV90" s="17">
        <f>$I90*1000*3.412</f>
        <v>6824</v>
      </c>
      <c r="BW90" s="17">
        <f>$J90*$X90*3.412</f>
        <v>578.23163999999997</v>
      </c>
      <c r="BX90" s="17">
        <f>$K90*1.08*375*$BA90</f>
        <v>17495.999999999989</v>
      </c>
      <c r="BY90" s="17">
        <f>($AA90+$AB90)*1.08*$BB90</f>
        <v>1037.3711523840002</v>
      </c>
      <c r="BZ90" s="17"/>
      <c r="CA90" s="17">
        <f>$H90*200*0.68*$BP90</f>
        <v>42905.083208330114</v>
      </c>
      <c r="CB90" s="17">
        <f>$K90*375*0.68*$BP90</f>
        <v>241341.0930468569</v>
      </c>
      <c r="CC90" s="17">
        <f>($AA90+$AB90)*0.68*$BP90</f>
        <v>5451.2658743578322</v>
      </c>
      <c r="CD90" s="17">
        <f>($Z90-$AA90)*0.68*$BP90</f>
        <v>49061.392869220486</v>
      </c>
      <c r="CE90" s="17">
        <f>$BQ90+$BU90+$BV90+$BW90+$BX90+$BY90</f>
        <v>42841.637672383993</v>
      </c>
      <c r="CF90" s="17">
        <f>$CA90+$CB90+$CC90+$CD90</f>
        <v>338758.83499876532</v>
      </c>
      <c r="CG90" s="17">
        <f>$CE90+$CF90</f>
        <v>381600.4726711493</v>
      </c>
      <c r="CH90" s="17">
        <f>CONVERT(N90,"C","F")-CONVERT((N90-8),"C","F")</f>
        <v>14.400000000000006</v>
      </c>
      <c r="CI90" s="17">
        <f>CONVERT(T90,"C","F")-CONVERT(N90,"C","F")</f>
        <v>-43.2</v>
      </c>
      <c r="CJ90" s="17">
        <f>CM90-8</f>
        <v>16</v>
      </c>
      <c r="CK90" s="17">
        <f>O90+40</f>
        <v>90</v>
      </c>
      <c r="CL90" s="17">
        <f>0.622*7000*(CK90/100)*(6.1078*10^((7.5*CJ90)/(237.3+CJ90)))/(1013.25-(6.1078*10^((7.5*CJ90)/(237.3+CJ90)))*CK90/100)</f>
        <v>71.46880726181422</v>
      </c>
      <c r="CM90" s="17">
        <f>N90</f>
        <v>24</v>
      </c>
      <c r="CN90" s="17">
        <f>O90</f>
        <v>50</v>
      </c>
      <c r="CO90" s="17">
        <f>0.622*7000*(CN90/100)*(6.1078*10^((7.5*CM90)/(237.3+CM90)))/(1013.25-(6.1078*10^((7.5*CM90)/(237.3+CM90)))*CN90/100)</f>
        <v>65.062647806544774</v>
      </c>
      <c r="CP90" s="17">
        <f>CL90-CO90</f>
        <v>6.4061594552694459</v>
      </c>
      <c r="CQ90" s="17">
        <f>T90</f>
        <v>0</v>
      </c>
      <c r="CR90" s="17">
        <f>U90</f>
        <v>100</v>
      </c>
      <c r="CS90" s="17">
        <f>0.622*7000*(CR90/100)*(6.1078*10^((7.5*CQ90)/(237.3+CQ90)))/(1013.25-(6.1078*10^((7.5*CQ90)/(237.3+CQ90)))*CR90/100)</f>
        <v>26.404773030064671</v>
      </c>
      <c r="CT90" s="17">
        <f>CM90</f>
        <v>24</v>
      </c>
      <c r="CU90" s="17">
        <f>O90</f>
        <v>50</v>
      </c>
      <c r="CV90" s="17">
        <f>0.622*7000*(CU90/100)*(6.1078*10^((7.5*CT90)/(237.3+CT90)))/(1013.25-(6.1078*10^((7.5*CT90)/(237.3+CT90)))*CU90/100)</f>
        <v>65.062647806544774</v>
      </c>
      <c r="CW90" s="17">
        <f>CS90-CV90</f>
        <v>-38.657874776480099</v>
      </c>
      <c r="CX90" s="17">
        <f t="shared" ref="CX90:CY105" si="404">($E90*$G90*10.76*2+$F90*$G90*2*10.76)*$CI90*0.45</f>
        <v>-6024.2227199999998</v>
      </c>
      <c r="CY90" s="17">
        <f t="shared" si="404"/>
        <v>-6024.2227199999998</v>
      </c>
      <c r="CZ90" s="17">
        <f>($E90*$F90*10.76)*$CH90*0.45</f>
        <v>627.52320000000032</v>
      </c>
      <c r="DA90" s="17">
        <f>($E90*$F90*10.76)*$CI90*0.45</f>
        <v>-1882.5696000000003</v>
      </c>
      <c r="DB90" s="17">
        <f>$H90*285*1.08*$CI90</f>
        <v>-13296.960000000001</v>
      </c>
      <c r="DC90" s="17">
        <f>$I90*1000*3.412</f>
        <v>6824</v>
      </c>
      <c r="DD90" s="17">
        <f>$J90*$X90*3.412</f>
        <v>578.23163999999997</v>
      </c>
      <c r="DE90" s="17">
        <f>$K90*1.08*375*$CH90</f>
        <v>17496.000000000007</v>
      </c>
      <c r="DF90" s="17">
        <f>($AA90+$AB90)*1.08*$CI90</f>
        <v>-1185.5670312960003</v>
      </c>
      <c r="DG90" s="17"/>
      <c r="DH90" s="17">
        <f>$H90*200*0.68*CW90</f>
        <v>-5257.4709696012933</v>
      </c>
      <c r="DI90" s="17">
        <f>$K90*375*0.68*CW90</f>
        <v>-29573.274204007277</v>
      </c>
      <c r="DJ90" s="17">
        <f>(AA90+AB90)*0.68*CW90</f>
        <v>-667.98313716940049</v>
      </c>
      <c r="DK90" s="17">
        <f>(Z90-AA90)*0.68*CP90</f>
        <v>996.24872380921431</v>
      </c>
      <c r="DL90" s="17">
        <f>CX90+DA90+CZ90+DB90+DC90+DD90+DE90+DF90</f>
        <v>3136.4354887040072</v>
      </c>
      <c r="DM90" s="17">
        <f>DH90+DI90+DJ90+DK90</f>
        <v>-34502.479586968759</v>
      </c>
      <c r="DN90" s="17">
        <f>DL90+DM90</f>
        <v>-31366.044098264752</v>
      </c>
    </row>
    <row r="91" spans="3:120" ht="18.600000000000001">
      <c r="C91" s="13">
        <f>IF(D91&lt;&gt;"",COUNTA($D$10:D91),"")</f>
        <v>70</v>
      </c>
      <c r="D91" s="14" t="s">
        <v>201</v>
      </c>
      <c r="E91" s="14">
        <v>1.8</v>
      </c>
      <c r="F91" s="14">
        <v>2.2000000000000002</v>
      </c>
      <c r="G91" s="14">
        <v>2.4</v>
      </c>
      <c r="H91" s="14">
        <v>2</v>
      </c>
      <c r="I91" s="14">
        <v>1</v>
      </c>
      <c r="J91" s="14">
        <v>1.75</v>
      </c>
      <c r="K91" s="14">
        <v>3</v>
      </c>
      <c r="L91" s="15">
        <v>0.1</v>
      </c>
      <c r="M91" s="15">
        <v>0</v>
      </c>
      <c r="N91" s="14">
        <v>24</v>
      </c>
      <c r="O91" s="14">
        <v>50</v>
      </c>
      <c r="P91" s="13">
        <v>45</v>
      </c>
      <c r="Q91" s="13">
        <v>85</v>
      </c>
      <c r="R91" s="13" t="s">
        <v>218</v>
      </c>
      <c r="S91" s="13">
        <v>20</v>
      </c>
      <c r="T91" s="13">
        <v>0</v>
      </c>
      <c r="U91" s="13">
        <v>100</v>
      </c>
      <c r="V91" s="13" t="str">
        <f t="shared" ref="V91:V105" si="405">R91</f>
        <v>NC</v>
      </c>
      <c r="W91" s="13">
        <f t="shared" ref="W91:W105" si="406">S91</f>
        <v>20</v>
      </c>
      <c r="X91" s="16">
        <f t="shared" ref="X91:X105" si="407">E91*F91*10.76</f>
        <v>42.6096</v>
      </c>
      <c r="Y91" s="16">
        <f t="shared" ref="Y91:Y105" si="408">X91*G91*3.28</f>
        <v>335.4227712</v>
      </c>
      <c r="Z91" s="16">
        <f t="shared" ref="Z91:Z105" si="409">Y91*S91/60</f>
        <v>111.8075904</v>
      </c>
      <c r="AA91" s="16">
        <f t="shared" ref="AA91:AA105" si="410">Z91*L91</f>
        <v>11.18075904</v>
      </c>
      <c r="AB91" s="16">
        <f t="shared" ref="AB91:AB105" si="411">IF(N91="Amb",Z91,Z91*M91)</f>
        <v>0</v>
      </c>
      <c r="AC91" s="16">
        <f t="shared" ref="AC91:AC105" si="412">IF(ISNUMBER(N91), (AA91*0.075*60/2.20462)*BP91/7000, "Ambient")</f>
        <v>1.0285415935195852</v>
      </c>
      <c r="AD91" s="16">
        <f t="shared" ref="AD91:AD97" si="413">IF(ISNUMBER(N91), CEILING(CF91/(0.68*BP91),25), "Ambient")</f>
        <v>1650</v>
      </c>
      <c r="AE91" s="16">
        <f t="shared" ref="AE91:AE105" si="414">CEILING(MAX((Z91+AA91),AD91),25)</f>
        <v>1650</v>
      </c>
      <c r="AF91" s="16">
        <f t="shared" ref="AF91:AF105" si="415">CEILING(IF(OR($R91="ISO 6",$R91="GRADE B",$R91="1K",$R91=1000),AE91*1/175,IF(OR($R91="ISO 5",$R91="GRADE A",$R91=100),AE91*1/100,IF(OR($R91="ISO 7",$R91="GRADE C",$R91="10K",$R91=10000),$AE91*1/250,IF(OR($R91="ISO 8",$R91="GRADE D",$R91="100K",$R91=100000),$AE91*1/250,IF(OR($R91="NC",$R91="20 Micron",$R91="5 Micron",$R91="N C"),$AE91*1/350,0))))),2)</f>
        <v>6</v>
      </c>
      <c r="AG91" s="16">
        <f t="shared" ref="AG91:AG105" si="416">IF(ISNUMBER(N91), CEILING(MAX(AI91,AJ91),0.5), "Ambient")</f>
        <v>4.5</v>
      </c>
      <c r="AH91" s="838" t="s">
        <v>85</v>
      </c>
      <c r="AI91" s="17">
        <f t="shared" ref="AI91:AI105" si="417">IF(ISNUMBER(N91), CEILING(CE91/12000,0.5), "Ambient")</f>
        <v>4.5</v>
      </c>
      <c r="AJ91" s="17">
        <f t="shared" ref="AJ91:AJ105" si="418">IF(ISNUMBER(N91),CEILING(AE91/(IF(AH91="C",400,300)),0.5), "Ambient")</f>
        <v>4.5</v>
      </c>
      <c r="AK91" s="891"/>
      <c r="AL91" s="18">
        <f>IF(AK90&lt;=2000,950,(IF(AK90&lt;=3000,1150,(IF(AK90&lt;=8000,1550,(IF(AK90&lt;=10000,1750,(IF(AK90&lt;=18000,2050,(IF(AK90&lt;=32000,2900,(IF(AK90&lt;=40000,3600,4000)))))))))))))</f>
        <v>2900</v>
      </c>
      <c r="AM91" s="889"/>
      <c r="AN91" s="891"/>
      <c r="AO91" s="888"/>
      <c r="AP91" s="891"/>
      <c r="AQ91" s="891"/>
      <c r="AR91" s="889"/>
      <c r="AS91" s="888"/>
      <c r="AT91" s="888"/>
      <c r="AU91" s="890"/>
      <c r="AV91" s="888"/>
      <c r="AW91" s="888"/>
      <c r="AX91" s="888"/>
      <c r="AY91" s="887"/>
      <c r="AZ91" s="888"/>
      <c r="BA91" s="17">
        <f t="shared" ref="BA91:BA105" si="419">-CONVERT(N91,"C","F")+CONVERT((N91+8),"C","F")</f>
        <v>14.399999999999991</v>
      </c>
      <c r="BB91" s="17">
        <f t="shared" ref="BB91:BB105" si="420">CONVERT(P91,"C","F")-CONVERT(N91,"C","F")</f>
        <v>37.799999999999997</v>
      </c>
      <c r="BC91" s="17">
        <f t="shared" ref="BC91:BC105" si="421">BF91+8</f>
        <v>32</v>
      </c>
      <c r="BD91" s="17">
        <f t="shared" ref="BD91:BD105" si="422">BG91+35</f>
        <v>85</v>
      </c>
      <c r="BE91" s="17">
        <f t="shared" ref="BE91:BE105" si="423">0.622*7000*(BD91/100)*(6.1078*10^((7.5*BC91)/(237.3+BC91)))/(1013.25-(6.1078*10^((7.5*BC91)/(237.3+BC91)))*BD91/100)</f>
        <v>180.86341983910182</v>
      </c>
      <c r="BF91" s="17">
        <f t="shared" ref="BF91:BF105" si="424">N91</f>
        <v>24</v>
      </c>
      <c r="BG91" s="17">
        <f t="shared" ref="BG91:BG105" si="425">O91</f>
        <v>50</v>
      </c>
      <c r="BH91" s="17">
        <f t="shared" ref="BH91:BH105" si="426">0.622*7000*(BG91/100)*(6.1078*10^((7.5*BF91)/(237.3+BF91)))/(1013.25-(6.1078*10^((7.5*BF91)/(237.3+BF91)))*BG91/100)</f>
        <v>65.062647806544774</v>
      </c>
      <c r="BI91" s="17">
        <f t="shared" ref="BI91:BI105" si="427">BE91-BH91</f>
        <v>115.80077203255705</v>
      </c>
      <c r="BJ91" s="17">
        <f t="shared" ref="BJ91:BJ105" si="428">P91</f>
        <v>45</v>
      </c>
      <c r="BK91" s="17">
        <f t="shared" ref="BK91:BK105" si="429">Q91</f>
        <v>85</v>
      </c>
      <c r="BL91" s="17">
        <f t="shared" ref="BL91:BL105" si="430">0.622*7000*(BK91/100)*(6.1078*10^((7.5*BJ91)/(237.3+BJ91)))/(1013.25-(6.1078*10^((7.5*BJ91)/(237.3+BJ91)))*BK91/100)</f>
        <v>380.54120080897206</v>
      </c>
      <c r="BM91" s="17">
        <f t="shared" ref="BM91:BM105" si="431">BF91</f>
        <v>24</v>
      </c>
      <c r="BN91" s="17">
        <f t="shared" ref="BN91:BN105" si="432">BG91</f>
        <v>50</v>
      </c>
      <c r="BO91" s="17">
        <f t="shared" ref="BO91:BO105" si="433">0.622*7000*(BN91/100)*(6.1078*10^((7.5*BM91)/(237.3+BM91)))/(1013.25-(6.1078*10^((7.5*BM91)/(237.3+BM91)))*BN91/100)</f>
        <v>65.062647806544774</v>
      </c>
      <c r="BP91" s="17">
        <f t="shared" ref="BP91:BP105" si="434">BL91-BO91</f>
        <v>315.4785530024273</v>
      </c>
      <c r="BQ91" s="17">
        <f t="shared" ref="BQ91:BQ105" si="435">(E91*G91*10.76*2+F91*G91*2*10.76)*BB91*0.45</f>
        <v>3514.1299199999999</v>
      </c>
      <c r="BR91" s="17">
        <f t="shared" ref="BR91:BR105" si="436">(E91*G91*10.76*2+F91*G91*2*10.76)*BA91*0.45</f>
        <v>1338.7161599999993</v>
      </c>
      <c r="BS91" s="17">
        <f t="shared" ref="BS91:BS105" si="437">(E91*F91*10.76)*BA91*0.45</f>
        <v>276.11020799999983</v>
      </c>
      <c r="BT91" s="17">
        <f t="shared" ref="BT91:BT105" si="438">(E91*F91*10.76)*BB91*0.45</f>
        <v>724.78929599999992</v>
      </c>
      <c r="BU91" s="17">
        <f t="shared" ref="BU91:BU105" si="439">H91*285*1.08*BB91</f>
        <v>23269.68</v>
      </c>
      <c r="BV91" s="17">
        <f t="shared" ref="BV91:BV105" si="440">I91*1000*3.412</f>
        <v>3412</v>
      </c>
      <c r="BW91" s="17">
        <f t="shared" ref="BW91:BW105" si="441">J91*X91*3.412</f>
        <v>254.42192159999999</v>
      </c>
      <c r="BX91" s="17">
        <f t="shared" ref="BX91:BX105" si="442">K91*1.08*375*BA91</f>
        <v>17495.999999999989</v>
      </c>
      <c r="BY91" s="17">
        <f t="shared" ref="BY91:BY105" si="443">(AA91+AB91)*1.08*BB91</f>
        <v>456.44330704895998</v>
      </c>
      <c r="BZ91" s="17"/>
      <c r="CA91" s="17">
        <f t="shared" ref="CA91:CA105" si="444">H91*200*0.68*BP91</f>
        <v>85810.166416660228</v>
      </c>
      <c r="CB91" s="17">
        <f t="shared" ref="CB91:CB105" si="445">K91*375*0.68*BP91</f>
        <v>241341.0930468569</v>
      </c>
      <c r="CC91" s="17">
        <f t="shared" ref="CC91:CC105" si="446">(AA91+AB91)*0.68*BP91</f>
        <v>2398.5569847174456</v>
      </c>
      <c r="CD91" s="17">
        <f t="shared" ref="CD91:CD105" si="447">($Z91-$AA91)*0.68*$BP91</f>
        <v>21587.012862457013</v>
      </c>
      <c r="CE91" s="17">
        <f t="shared" ref="CE91:CE105" si="448">$BQ91+$BU91+$BV91+$BW91+$BX91+$BY91</f>
        <v>48402.675148648952</v>
      </c>
      <c r="CF91" s="17">
        <f t="shared" ref="CF91:CF105" si="449">$CA91+$CB91+$CC91+$CD91</f>
        <v>351136.82931069157</v>
      </c>
      <c r="CG91" s="17">
        <f t="shared" ref="CG91:CG105" si="450">$CE91+$CF91</f>
        <v>399539.50445934053</v>
      </c>
      <c r="CH91" s="17">
        <f t="shared" ref="CH91:CH105" si="451">CONVERT(N91,"C","F")-CONVERT((N91-8),"C","F")</f>
        <v>14.400000000000006</v>
      </c>
      <c r="CI91" s="17">
        <f t="shared" ref="CI91:CI105" si="452">CONVERT(T91,"C","F")-CONVERT(N91,"C","F")</f>
        <v>-43.2</v>
      </c>
      <c r="CJ91" s="17">
        <f t="shared" ref="CJ91:CJ105" si="453">CM91-8</f>
        <v>16</v>
      </c>
      <c r="CK91" s="17">
        <f t="shared" ref="CK91:CK105" si="454">O91+40</f>
        <v>90</v>
      </c>
      <c r="CL91" s="17">
        <f t="shared" ref="CL91:CL105" si="455">0.622*7000*(CK91/100)*(6.1078*10^((7.5*CJ91)/(237.3+CJ91)))/(1013.25-(6.1078*10^((7.5*CJ91)/(237.3+CJ91)))*CK91/100)</f>
        <v>71.46880726181422</v>
      </c>
      <c r="CM91" s="17">
        <f t="shared" ref="CM91:CM105" si="456">N91</f>
        <v>24</v>
      </c>
      <c r="CN91" s="17">
        <f t="shared" ref="CN91:CN105" si="457">O91</f>
        <v>50</v>
      </c>
      <c r="CO91" s="17">
        <f t="shared" ref="CO91:CO105" si="458">0.622*7000*(CN91/100)*(6.1078*10^((7.5*CM91)/(237.3+CM91)))/(1013.25-(6.1078*10^((7.5*CM91)/(237.3+CM91)))*CN91/100)</f>
        <v>65.062647806544774</v>
      </c>
      <c r="CP91" s="17">
        <f t="shared" ref="CP91:CP105" si="459">CL91-CO91</f>
        <v>6.4061594552694459</v>
      </c>
      <c r="CQ91" s="17">
        <f t="shared" ref="CQ91:CQ105" si="460">T91</f>
        <v>0</v>
      </c>
      <c r="CR91" s="17">
        <f t="shared" ref="CR91:CR105" si="461">U91</f>
        <v>100</v>
      </c>
      <c r="CS91" s="17">
        <f t="shared" ref="CS91:CS105" si="462">0.622*7000*(CR91/100)*(6.1078*10^((7.5*CQ91)/(237.3+CQ91)))/(1013.25-(6.1078*10^((7.5*CQ91)/(237.3+CQ91)))*CR91/100)</f>
        <v>26.404773030064671</v>
      </c>
      <c r="CT91" s="17">
        <f t="shared" ref="CT91:CT105" si="463">CM91</f>
        <v>24</v>
      </c>
      <c r="CU91" s="17">
        <f t="shared" ref="CU91:CU105" si="464">O91</f>
        <v>50</v>
      </c>
      <c r="CV91" s="17">
        <f t="shared" ref="CV91:CV105" si="465">0.622*7000*(CU91/100)*(6.1078*10^((7.5*CT91)/(237.3+CT91)))/(1013.25-(6.1078*10^((7.5*CT91)/(237.3+CT91)))*CU91/100)</f>
        <v>65.062647806544774</v>
      </c>
      <c r="CW91" s="17">
        <f t="shared" ref="CW91:CW105" si="466">CS91-CV91</f>
        <v>-38.657874776480099</v>
      </c>
      <c r="CX91" s="17">
        <f t="shared" si="404"/>
        <v>-4016.1484800000003</v>
      </c>
      <c r="CY91" s="17">
        <f t="shared" si="404"/>
        <v>-4016.1484800000003</v>
      </c>
      <c r="CZ91" s="17">
        <f t="shared" ref="CZ91:CZ105" si="467">($E91*$F91*10.76)*$CH91*0.45</f>
        <v>276.11020800000011</v>
      </c>
      <c r="DA91" s="17">
        <f t="shared" ref="DA91:DA105" si="468">($E91*$F91*10.76)*$CI91*0.45</f>
        <v>-828.33062400000006</v>
      </c>
      <c r="DB91" s="17">
        <f t="shared" ref="DB91:DB105" si="469">$H91*285*1.08*$CI91</f>
        <v>-26593.920000000002</v>
      </c>
      <c r="DC91" s="17">
        <f t="shared" ref="DC91:DC105" si="470">$I91*1000*3.412</f>
        <v>3412</v>
      </c>
      <c r="DD91" s="17">
        <f t="shared" ref="DD91:DD105" si="471">$J91*$X91*3.412</f>
        <v>254.42192159999999</v>
      </c>
      <c r="DE91" s="17">
        <f t="shared" ref="DE91:DE105" si="472">$K91*1.08*375*$CH91</f>
        <v>17496.000000000007</v>
      </c>
      <c r="DF91" s="17">
        <f t="shared" ref="DF91:DF105" si="473">($AA91+$AB91)*1.08*$CI91</f>
        <v>-521.64949377024004</v>
      </c>
      <c r="DG91" s="17"/>
      <c r="DH91" s="17">
        <f t="shared" ref="DH91:DH105" si="474">$H91*200*0.68*CW91</f>
        <v>-10514.941939202587</v>
      </c>
      <c r="DI91" s="17">
        <f t="shared" ref="DI91:DI105" si="475">$K91*375*0.68*CW91</f>
        <v>-29573.274204007277</v>
      </c>
      <c r="DJ91" s="17">
        <f t="shared" ref="DJ91:DJ105" si="476">(AA91+AB91)*0.68*CW91</f>
        <v>-293.91258035453615</v>
      </c>
      <c r="DK91" s="17">
        <f t="shared" ref="DK91:DK105" si="477">(Z91-AA91)*0.68*CP91</f>
        <v>438.34943847605427</v>
      </c>
      <c r="DL91" s="17">
        <f t="shared" ref="DL91:DL105" si="478">CX91+DA91+CZ91+DB91+DC91+DD91+DE91+DF91</f>
        <v>-10521.516468170237</v>
      </c>
      <c r="DM91" s="17">
        <f t="shared" ref="DM91:DM105" si="479">DH91+DI91+DJ91+DK91</f>
        <v>-39943.779285088349</v>
      </c>
      <c r="DN91" s="17">
        <f t="shared" ref="DN91:DN105" si="480">DL91+DM91</f>
        <v>-50465.295753258586</v>
      </c>
    </row>
    <row r="92" spans="3:120" ht="18.600000000000001">
      <c r="C92" s="13">
        <f>IF(D92&lt;&gt;"",COUNTA($D$10:D92),"")</f>
        <v>71</v>
      </c>
      <c r="D92" s="14" t="s">
        <v>202</v>
      </c>
      <c r="E92" s="14">
        <v>1.5</v>
      </c>
      <c r="F92" s="14">
        <v>2.8</v>
      </c>
      <c r="G92" s="14">
        <v>2.4</v>
      </c>
      <c r="H92" s="14">
        <v>2</v>
      </c>
      <c r="I92" s="14">
        <v>3</v>
      </c>
      <c r="J92" s="14">
        <v>1.75</v>
      </c>
      <c r="K92" s="14">
        <v>3</v>
      </c>
      <c r="L92" s="15">
        <v>0.1</v>
      </c>
      <c r="M92" s="15">
        <v>0</v>
      </c>
      <c r="N92" s="14">
        <v>24</v>
      </c>
      <c r="O92" s="14">
        <v>50</v>
      </c>
      <c r="P92" s="13">
        <v>45</v>
      </c>
      <c r="Q92" s="13">
        <v>85</v>
      </c>
      <c r="R92" s="13" t="s">
        <v>218</v>
      </c>
      <c r="S92" s="13">
        <v>20</v>
      </c>
      <c r="T92" s="13">
        <v>0</v>
      </c>
      <c r="U92" s="13">
        <v>100</v>
      </c>
      <c r="V92" s="13" t="str">
        <f t="shared" si="405"/>
        <v>NC</v>
      </c>
      <c r="W92" s="13">
        <f t="shared" si="406"/>
        <v>20</v>
      </c>
      <c r="X92" s="16">
        <f t="shared" si="407"/>
        <v>45.191999999999993</v>
      </c>
      <c r="Y92" s="16">
        <f t="shared" si="408"/>
        <v>355.75142399999993</v>
      </c>
      <c r="Z92" s="16">
        <f t="shared" si="409"/>
        <v>118.58380799999999</v>
      </c>
      <c r="AA92" s="16">
        <f t="shared" si="410"/>
        <v>11.858380799999999</v>
      </c>
      <c r="AB92" s="16">
        <f t="shared" si="411"/>
        <v>0</v>
      </c>
      <c r="AC92" s="16">
        <f t="shared" si="412"/>
        <v>1.0908774476722873</v>
      </c>
      <c r="AD92" s="16">
        <f t="shared" si="413"/>
        <v>1650</v>
      </c>
      <c r="AE92" s="16">
        <f t="shared" si="414"/>
        <v>1650</v>
      </c>
      <c r="AF92" s="16">
        <f t="shared" si="415"/>
        <v>6</v>
      </c>
      <c r="AG92" s="16">
        <f t="shared" si="416"/>
        <v>5</v>
      </c>
      <c r="AH92" s="838" t="s">
        <v>85</v>
      </c>
      <c r="AI92" s="17">
        <f t="shared" si="417"/>
        <v>5</v>
      </c>
      <c r="AJ92" s="17">
        <f t="shared" si="418"/>
        <v>4.5</v>
      </c>
      <c r="AK92" s="891"/>
      <c r="AL92" s="18" t="s">
        <v>255</v>
      </c>
      <c r="AM92" s="889"/>
      <c r="AN92" s="891"/>
      <c r="AO92" s="888"/>
      <c r="AP92" s="891"/>
      <c r="AQ92" s="891"/>
      <c r="AR92" s="889"/>
      <c r="AS92" s="888"/>
      <c r="AT92" s="888"/>
      <c r="AU92" s="890"/>
      <c r="AV92" s="888"/>
      <c r="AW92" s="888"/>
      <c r="AX92" s="888"/>
      <c r="AY92" s="887"/>
      <c r="AZ92" s="888"/>
      <c r="BA92" s="17">
        <f t="shared" si="419"/>
        <v>14.399999999999991</v>
      </c>
      <c r="BB92" s="17">
        <f t="shared" si="420"/>
        <v>37.799999999999997</v>
      </c>
      <c r="BC92" s="17">
        <f t="shared" si="421"/>
        <v>32</v>
      </c>
      <c r="BD92" s="17">
        <f t="shared" si="422"/>
        <v>85</v>
      </c>
      <c r="BE92" s="17">
        <f t="shared" si="423"/>
        <v>180.86341983910182</v>
      </c>
      <c r="BF92" s="17">
        <f t="shared" si="424"/>
        <v>24</v>
      </c>
      <c r="BG92" s="17">
        <f t="shared" si="425"/>
        <v>50</v>
      </c>
      <c r="BH92" s="17">
        <f t="shared" si="426"/>
        <v>65.062647806544774</v>
      </c>
      <c r="BI92" s="17">
        <f t="shared" si="427"/>
        <v>115.80077203255705</v>
      </c>
      <c r="BJ92" s="17">
        <f t="shared" si="428"/>
        <v>45</v>
      </c>
      <c r="BK92" s="17">
        <f t="shared" si="429"/>
        <v>85</v>
      </c>
      <c r="BL92" s="17">
        <f t="shared" si="430"/>
        <v>380.54120080897206</v>
      </c>
      <c r="BM92" s="17">
        <f t="shared" si="431"/>
        <v>24</v>
      </c>
      <c r="BN92" s="17">
        <f t="shared" si="432"/>
        <v>50</v>
      </c>
      <c r="BO92" s="17">
        <f t="shared" si="433"/>
        <v>65.062647806544774</v>
      </c>
      <c r="BP92" s="17">
        <f t="shared" si="434"/>
        <v>315.4785530024273</v>
      </c>
      <c r="BQ92" s="17">
        <f t="shared" si="435"/>
        <v>3777.6896639999995</v>
      </c>
      <c r="BR92" s="17">
        <f t="shared" si="436"/>
        <v>1439.1198719999991</v>
      </c>
      <c r="BS92" s="17">
        <f t="shared" si="437"/>
        <v>292.84415999999976</v>
      </c>
      <c r="BT92" s="17">
        <f t="shared" si="438"/>
        <v>768.71591999999987</v>
      </c>
      <c r="BU92" s="17">
        <f t="shared" si="439"/>
        <v>23269.68</v>
      </c>
      <c r="BV92" s="17">
        <f t="shared" si="440"/>
        <v>10236</v>
      </c>
      <c r="BW92" s="17">
        <f t="shared" si="441"/>
        <v>269.84143199999994</v>
      </c>
      <c r="BX92" s="17">
        <f t="shared" si="442"/>
        <v>17495.999999999989</v>
      </c>
      <c r="BY92" s="17">
        <f t="shared" si="443"/>
        <v>484.10653777919998</v>
      </c>
      <c r="BZ92" s="17"/>
      <c r="CA92" s="17">
        <f t="shared" si="444"/>
        <v>85810.166416660228</v>
      </c>
      <c r="CB92" s="17">
        <f t="shared" si="445"/>
        <v>241341.0930468569</v>
      </c>
      <c r="CC92" s="17">
        <f t="shared" si="446"/>
        <v>2543.9240747003214</v>
      </c>
      <c r="CD92" s="17">
        <f t="shared" si="447"/>
        <v>22895.316672302888</v>
      </c>
      <c r="CE92" s="17">
        <f t="shared" si="448"/>
        <v>55533.317633779181</v>
      </c>
      <c r="CF92" s="17">
        <f t="shared" si="449"/>
        <v>352590.50021052035</v>
      </c>
      <c r="CG92" s="17">
        <f t="shared" si="450"/>
        <v>408123.81784429954</v>
      </c>
      <c r="CH92" s="17">
        <f t="shared" si="451"/>
        <v>14.400000000000006</v>
      </c>
      <c r="CI92" s="17">
        <f t="shared" si="452"/>
        <v>-43.2</v>
      </c>
      <c r="CJ92" s="17">
        <f t="shared" si="453"/>
        <v>16</v>
      </c>
      <c r="CK92" s="17">
        <f t="shared" si="454"/>
        <v>90</v>
      </c>
      <c r="CL92" s="17">
        <f t="shared" si="455"/>
        <v>71.46880726181422</v>
      </c>
      <c r="CM92" s="17">
        <f t="shared" si="456"/>
        <v>24</v>
      </c>
      <c r="CN92" s="17">
        <f t="shared" si="457"/>
        <v>50</v>
      </c>
      <c r="CO92" s="17">
        <f t="shared" si="458"/>
        <v>65.062647806544774</v>
      </c>
      <c r="CP92" s="17">
        <f t="shared" si="459"/>
        <v>6.4061594552694459</v>
      </c>
      <c r="CQ92" s="17">
        <f t="shared" si="460"/>
        <v>0</v>
      </c>
      <c r="CR92" s="17">
        <f t="shared" si="461"/>
        <v>100</v>
      </c>
      <c r="CS92" s="17">
        <f t="shared" si="462"/>
        <v>26.404773030064671</v>
      </c>
      <c r="CT92" s="17">
        <f t="shared" si="463"/>
        <v>24</v>
      </c>
      <c r="CU92" s="17">
        <f t="shared" si="464"/>
        <v>50</v>
      </c>
      <c r="CV92" s="17">
        <f t="shared" si="465"/>
        <v>65.062647806544774</v>
      </c>
      <c r="CW92" s="17">
        <f t="shared" si="466"/>
        <v>-38.657874776480099</v>
      </c>
      <c r="CX92" s="17">
        <f t="shared" si="404"/>
        <v>-4317.3596159999997</v>
      </c>
      <c r="CY92" s="17">
        <f t="shared" si="404"/>
        <v>-4317.3596159999997</v>
      </c>
      <c r="CZ92" s="17">
        <f t="shared" si="467"/>
        <v>292.8441600000001</v>
      </c>
      <c r="DA92" s="17">
        <f t="shared" si="468"/>
        <v>-878.53247999999996</v>
      </c>
      <c r="DB92" s="17">
        <f t="shared" si="469"/>
        <v>-26593.920000000002</v>
      </c>
      <c r="DC92" s="17">
        <f t="shared" si="470"/>
        <v>10236</v>
      </c>
      <c r="DD92" s="17">
        <f t="shared" si="471"/>
        <v>269.84143199999994</v>
      </c>
      <c r="DE92" s="17">
        <f t="shared" si="472"/>
        <v>17496.000000000007</v>
      </c>
      <c r="DF92" s="17">
        <f t="shared" si="473"/>
        <v>-553.26461460480004</v>
      </c>
      <c r="DG92" s="17"/>
      <c r="DH92" s="17">
        <f t="shared" si="474"/>
        <v>-10514.941939202587</v>
      </c>
      <c r="DI92" s="17">
        <f t="shared" si="475"/>
        <v>-29573.274204007277</v>
      </c>
      <c r="DJ92" s="17">
        <f t="shared" si="476"/>
        <v>-311.72546401238685</v>
      </c>
      <c r="DK92" s="17">
        <f t="shared" si="477"/>
        <v>464.91607111096658</v>
      </c>
      <c r="DL92" s="17">
        <f t="shared" si="478"/>
        <v>-4048.3911186047926</v>
      </c>
      <c r="DM92" s="17">
        <f t="shared" si="479"/>
        <v>-39935.025536111287</v>
      </c>
      <c r="DN92" s="17">
        <f t="shared" si="480"/>
        <v>-43983.416654716078</v>
      </c>
    </row>
    <row r="93" spans="3:120" ht="18.600000000000001">
      <c r="C93" s="13">
        <f>IF(D93&lt;&gt;"",COUNTA($D$10:D93),"")</f>
        <v>72</v>
      </c>
      <c r="D93" s="14" t="s">
        <v>203</v>
      </c>
      <c r="E93" s="14">
        <v>2.1</v>
      </c>
      <c r="F93" s="14">
        <v>3.5</v>
      </c>
      <c r="G93" s="14">
        <v>2.4</v>
      </c>
      <c r="H93" s="14">
        <v>0</v>
      </c>
      <c r="I93" s="14">
        <v>1</v>
      </c>
      <c r="J93" s="14">
        <v>1.75</v>
      </c>
      <c r="K93" s="14">
        <v>3</v>
      </c>
      <c r="L93" s="15">
        <v>0.1</v>
      </c>
      <c r="M93" s="15">
        <v>0</v>
      </c>
      <c r="N93" s="14">
        <v>24</v>
      </c>
      <c r="O93" s="14">
        <v>50</v>
      </c>
      <c r="P93" s="13">
        <v>45</v>
      </c>
      <c r="Q93" s="13">
        <v>85</v>
      </c>
      <c r="R93" s="13" t="s">
        <v>218</v>
      </c>
      <c r="S93" s="13">
        <v>20</v>
      </c>
      <c r="T93" s="13">
        <v>0</v>
      </c>
      <c r="U93" s="13">
        <v>100</v>
      </c>
      <c r="V93" s="13" t="str">
        <f t="shared" si="405"/>
        <v>NC</v>
      </c>
      <c r="W93" s="13">
        <f t="shared" si="406"/>
        <v>20</v>
      </c>
      <c r="X93" s="16">
        <f t="shared" si="407"/>
        <v>79.085999999999999</v>
      </c>
      <c r="Y93" s="16">
        <f t="shared" si="408"/>
        <v>622.56499199999996</v>
      </c>
      <c r="Z93" s="16">
        <f t="shared" si="409"/>
        <v>207.52166399999999</v>
      </c>
      <c r="AA93" s="16">
        <f t="shared" si="410"/>
        <v>20.7521664</v>
      </c>
      <c r="AB93" s="16">
        <f t="shared" si="411"/>
        <v>0</v>
      </c>
      <c r="AC93" s="16">
        <f t="shared" si="412"/>
        <v>1.9090355334265032</v>
      </c>
      <c r="AD93" s="16">
        <f t="shared" si="413"/>
        <v>1350</v>
      </c>
      <c r="AE93" s="16">
        <f t="shared" si="414"/>
        <v>1350</v>
      </c>
      <c r="AF93" s="16">
        <f t="shared" si="415"/>
        <v>4</v>
      </c>
      <c r="AG93" s="16">
        <f t="shared" si="416"/>
        <v>3.5</v>
      </c>
      <c r="AH93" s="838" t="s">
        <v>85</v>
      </c>
      <c r="AI93" s="17">
        <f t="shared" si="417"/>
        <v>2.5</v>
      </c>
      <c r="AJ93" s="17">
        <f t="shared" si="418"/>
        <v>3.5</v>
      </c>
      <c r="AK93" s="891"/>
      <c r="AL93" s="18">
        <f>IF(AK90&lt;=2000,950,(IF(AK90&lt;=4000,1100,(IF(AK90&lt;=6000,1250,(IF(AK90&lt;=10000,1550,(IF(AK90&lt;=15000,1750,(IF(AK90&lt;=24000,2050,(IF(AK90&lt;=40000,2900,3600)))))))))))))</f>
        <v>2900</v>
      </c>
      <c r="AM93" s="889"/>
      <c r="AN93" s="891"/>
      <c r="AO93" s="888"/>
      <c r="AP93" s="891"/>
      <c r="AQ93" s="891"/>
      <c r="AR93" s="889"/>
      <c r="AS93" s="888"/>
      <c r="AT93" s="888"/>
      <c r="AU93" s="890"/>
      <c r="AV93" s="888"/>
      <c r="AW93" s="888"/>
      <c r="AX93" s="888"/>
      <c r="AY93" s="887"/>
      <c r="AZ93" s="888"/>
      <c r="BA93" s="17">
        <f t="shared" si="419"/>
        <v>14.399999999999991</v>
      </c>
      <c r="BB93" s="17">
        <f t="shared" si="420"/>
        <v>37.799999999999997</v>
      </c>
      <c r="BC93" s="17">
        <f t="shared" si="421"/>
        <v>32</v>
      </c>
      <c r="BD93" s="17">
        <f t="shared" si="422"/>
        <v>85</v>
      </c>
      <c r="BE93" s="17">
        <f t="shared" si="423"/>
        <v>180.86341983910182</v>
      </c>
      <c r="BF93" s="17">
        <f t="shared" si="424"/>
        <v>24</v>
      </c>
      <c r="BG93" s="17">
        <f t="shared" si="425"/>
        <v>50</v>
      </c>
      <c r="BH93" s="17">
        <f t="shared" si="426"/>
        <v>65.062647806544774</v>
      </c>
      <c r="BI93" s="17">
        <f t="shared" si="427"/>
        <v>115.80077203255705</v>
      </c>
      <c r="BJ93" s="17">
        <f t="shared" si="428"/>
        <v>45</v>
      </c>
      <c r="BK93" s="17">
        <f t="shared" si="429"/>
        <v>85</v>
      </c>
      <c r="BL93" s="17">
        <f t="shared" si="430"/>
        <v>380.54120080897206</v>
      </c>
      <c r="BM93" s="17">
        <f t="shared" si="431"/>
        <v>24</v>
      </c>
      <c r="BN93" s="17">
        <f t="shared" si="432"/>
        <v>50</v>
      </c>
      <c r="BO93" s="17">
        <f t="shared" si="433"/>
        <v>65.062647806544774</v>
      </c>
      <c r="BP93" s="17">
        <f t="shared" si="434"/>
        <v>315.4785530024273</v>
      </c>
      <c r="BQ93" s="17">
        <f t="shared" si="435"/>
        <v>4919.7818879999995</v>
      </c>
      <c r="BR93" s="17">
        <f t="shared" si="436"/>
        <v>1874.2026239999989</v>
      </c>
      <c r="BS93" s="17">
        <f t="shared" si="437"/>
        <v>512.47727999999972</v>
      </c>
      <c r="BT93" s="17">
        <f t="shared" si="438"/>
        <v>1345.2528599999998</v>
      </c>
      <c r="BU93" s="17">
        <f t="shared" si="439"/>
        <v>0</v>
      </c>
      <c r="BV93" s="17">
        <f t="shared" si="440"/>
        <v>3412</v>
      </c>
      <c r="BW93" s="17">
        <f t="shared" si="441"/>
        <v>472.22250599999995</v>
      </c>
      <c r="BX93" s="17">
        <f t="shared" si="442"/>
        <v>17495.999999999989</v>
      </c>
      <c r="BY93" s="17">
        <f t="shared" si="443"/>
        <v>847.18644111360004</v>
      </c>
      <c r="BZ93" s="17"/>
      <c r="CA93" s="17">
        <f t="shared" si="444"/>
        <v>0</v>
      </c>
      <c r="CB93" s="17">
        <f t="shared" si="445"/>
        <v>241341.0930468569</v>
      </c>
      <c r="CC93" s="17">
        <f t="shared" si="446"/>
        <v>4451.8671307255618</v>
      </c>
      <c r="CD93" s="17">
        <f t="shared" si="447"/>
        <v>40066.804176530059</v>
      </c>
      <c r="CE93" s="17">
        <f t="shared" si="448"/>
        <v>27147.19083511359</v>
      </c>
      <c r="CF93" s="17">
        <f t="shared" si="449"/>
        <v>285859.7643541125</v>
      </c>
      <c r="CG93" s="17">
        <f t="shared" si="450"/>
        <v>313006.95518922608</v>
      </c>
      <c r="CH93" s="17">
        <f t="shared" si="451"/>
        <v>14.400000000000006</v>
      </c>
      <c r="CI93" s="17">
        <f t="shared" si="452"/>
        <v>-43.2</v>
      </c>
      <c r="CJ93" s="17">
        <f t="shared" si="453"/>
        <v>16</v>
      </c>
      <c r="CK93" s="17">
        <f t="shared" si="454"/>
        <v>90</v>
      </c>
      <c r="CL93" s="17">
        <f t="shared" si="455"/>
        <v>71.46880726181422</v>
      </c>
      <c r="CM93" s="17">
        <f t="shared" si="456"/>
        <v>24</v>
      </c>
      <c r="CN93" s="17">
        <f t="shared" si="457"/>
        <v>50</v>
      </c>
      <c r="CO93" s="17">
        <f t="shared" si="458"/>
        <v>65.062647806544774</v>
      </c>
      <c r="CP93" s="17">
        <f t="shared" si="459"/>
        <v>6.4061594552694459</v>
      </c>
      <c r="CQ93" s="17">
        <f t="shared" si="460"/>
        <v>0</v>
      </c>
      <c r="CR93" s="17">
        <f t="shared" si="461"/>
        <v>100</v>
      </c>
      <c r="CS93" s="17">
        <f t="shared" si="462"/>
        <v>26.404773030064671</v>
      </c>
      <c r="CT93" s="17">
        <f t="shared" si="463"/>
        <v>24</v>
      </c>
      <c r="CU93" s="17">
        <f t="shared" si="464"/>
        <v>50</v>
      </c>
      <c r="CV93" s="17">
        <f t="shared" si="465"/>
        <v>65.062647806544774</v>
      </c>
      <c r="CW93" s="17">
        <f t="shared" si="466"/>
        <v>-38.657874776480099</v>
      </c>
      <c r="CX93" s="17">
        <f t="shared" si="404"/>
        <v>-5622.6078720000005</v>
      </c>
      <c r="CY93" s="17">
        <f t="shared" si="404"/>
        <v>-5622.6078720000005</v>
      </c>
      <c r="CZ93" s="17">
        <f t="shared" si="467"/>
        <v>512.47728000000018</v>
      </c>
      <c r="DA93" s="17">
        <f t="shared" si="468"/>
        <v>-1537.4318400000002</v>
      </c>
      <c r="DB93" s="17">
        <f t="shared" si="469"/>
        <v>0</v>
      </c>
      <c r="DC93" s="17">
        <f t="shared" si="470"/>
        <v>3412</v>
      </c>
      <c r="DD93" s="17">
        <f t="shared" si="471"/>
        <v>472.22250599999995</v>
      </c>
      <c r="DE93" s="17">
        <f t="shared" si="472"/>
        <v>17496.000000000007</v>
      </c>
      <c r="DF93" s="17">
        <f t="shared" si="473"/>
        <v>-968.21307555840008</v>
      </c>
      <c r="DG93" s="17"/>
      <c r="DH93" s="17">
        <f t="shared" si="474"/>
        <v>0</v>
      </c>
      <c r="DI93" s="17">
        <f t="shared" si="475"/>
        <v>-29573.274204007277</v>
      </c>
      <c r="DJ93" s="17">
        <f t="shared" si="476"/>
        <v>-545.51956202167696</v>
      </c>
      <c r="DK93" s="17">
        <f t="shared" si="477"/>
        <v>813.60312444419162</v>
      </c>
      <c r="DL93" s="17">
        <f t="shared" si="478"/>
        <v>13764.446998441606</v>
      </c>
      <c r="DM93" s="17">
        <f t="shared" si="479"/>
        <v>-29305.190641584762</v>
      </c>
      <c r="DN93" s="17">
        <f t="shared" si="480"/>
        <v>-15540.743643143156</v>
      </c>
    </row>
    <row r="94" spans="3:120" ht="18.600000000000001">
      <c r="C94" s="13">
        <f>IF(D94&lt;&gt;"",COUNTA($D$10:D94),"")</f>
        <v>73</v>
      </c>
      <c r="D94" s="14" t="s">
        <v>204</v>
      </c>
      <c r="E94" s="14">
        <v>2.7</v>
      </c>
      <c r="F94" s="14">
        <v>4</v>
      </c>
      <c r="G94" s="14">
        <v>2.4</v>
      </c>
      <c r="H94" s="14">
        <v>2</v>
      </c>
      <c r="I94" s="14">
        <v>1</v>
      </c>
      <c r="J94" s="14">
        <v>1.75</v>
      </c>
      <c r="K94" s="14">
        <v>3</v>
      </c>
      <c r="L94" s="15">
        <v>0.1</v>
      </c>
      <c r="M94" s="15">
        <v>0</v>
      </c>
      <c r="N94" s="14">
        <v>24</v>
      </c>
      <c r="O94" s="14">
        <v>50</v>
      </c>
      <c r="P94" s="13">
        <v>45</v>
      </c>
      <c r="Q94" s="13">
        <v>85</v>
      </c>
      <c r="R94" s="13" t="s">
        <v>218</v>
      </c>
      <c r="S94" s="13">
        <v>20</v>
      </c>
      <c r="T94" s="13">
        <v>0</v>
      </c>
      <c r="U94" s="13">
        <v>100</v>
      </c>
      <c r="V94" s="13" t="str">
        <f t="shared" si="405"/>
        <v>NC</v>
      </c>
      <c r="W94" s="13">
        <f t="shared" si="406"/>
        <v>20</v>
      </c>
      <c r="X94" s="16">
        <f t="shared" si="407"/>
        <v>116.208</v>
      </c>
      <c r="Y94" s="16">
        <f t="shared" si="408"/>
        <v>914.78937599999995</v>
      </c>
      <c r="Z94" s="16">
        <f t="shared" si="409"/>
        <v>304.92979199999996</v>
      </c>
      <c r="AA94" s="16">
        <f t="shared" si="410"/>
        <v>30.492979199999997</v>
      </c>
      <c r="AB94" s="16">
        <f t="shared" si="411"/>
        <v>0</v>
      </c>
      <c r="AC94" s="16">
        <f t="shared" si="412"/>
        <v>2.8051134368715966</v>
      </c>
      <c r="AD94" s="16">
        <f t="shared" si="413"/>
        <v>1850</v>
      </c>
      <c r="AE94" s="16">
        <f t="shared" si="414"/>
        <v>1850</v>
      </c>
      <c r="AF94" s="16">
        <f t="shared" si="415"/>
        <v>6</v>
      </c>
      <c r="AG94" s="16">
        <f t="shared" si="416"/>
        <v>5</v>
      </c>
      <c r="AH94" s="838" t="s">
        <v>85</v>
      </c>
      <c r="AI94" s="17">
        <f t="shared" si="417"/>
        <v>4.5</v>
      </c>
      <c r="AJ94" s="17">
        <f t="shared" si="418"/>
        <v>5</v>
      </c>
      <c r="AK94" s="891"/>
      <c r="AL94" s="18" t="s">
        <v>256</v>
      </c>
      <c r="AM94" s="889"/>
      <c r="AN94" s="891"/>
      <c r="AO94" s="888"/>
      <c r="AP94" s="891"/>
      <c r="AQ94" s="891"/>
      <c r="AR94" s="889"/>
      <c r="AS94" s="888"/>
      <c r="AT94" s="888"/>
      <c r="AU94" s="890"/>
      <c r="AV94" s="888"/>
      <c r="AW94" s="888"/>
      <c r="AX94" s="888"/>
      <c r="AY94" s="887"/>
      <c r="AZ94" s="888"/>
      <c r="BA94" s="17">
        <f t="shared" si="419"/>
        <v>14.399999999999991</v>
      </c>
      <c r="BB94" s="17">
        <f t="shared" si="420"/>
        <v>37.799999999999997</v>
      </c>
      <c r="BC94" s="17">
        <f t="shared" si="421"/>
        <v>32</v>
      </c>
      <c r="BD94" s="17">
        <f t="shared" si="422"/>
        <v>85</v>
      </c>
      <c r="BE94" s="17">
        <f t="shared" si="423"/>
        <v>180.86341983910182</v>
      </c>
      <c r="BF94" s="17">
        <f t="shared" si="424"/>
        <v>24</v>
      </c>
      <c r="BG94" s="17">
        <f t="shared" si="425"/>
        <v>50</v>
      </c>
      <c r="BH94" s="17">
        <f t="shared" si="426"/>
        <v>65.062647806544774</v>
      </c>
      <c r="BI94" s="17">
        <f t="shared" si="427"/>
        <v>115.80077203255705</v>
      </c>
      <c r="BJ94" s="17">
        <f t="shared" si="428"/>
        <v>45</v>
      </c>
      <c r="BK94" s="17">
        <f t="shared" si="429"/>
        <v>85</v>
      </c>
      <c r="BL94" s="17">
        <f t="shared" si="430"/>
        <v>380.54120080897206</v>
      </c>
      <c r="BM94" s="17">
        <f t="shared" si="431"/>
        <v>24</v>
      </c>
      <c r="BN94" s="17">
        <f t="shared" si="432"/>
        <v>50</v>
      </c>
      <c r="BO94" s="17">
        <f t="shared" si="433"/>
        <v>65.062647806544774</v>
      </c>
      <c r="BP94" s="17">
        <f t="shared" si="434"/>
        <v>315.4785530024273</v>
      </c>
      <c r="BQ94" s="17">
        <f t="shared" si="435"/>
        <v>5886.1676159999997</v>
      </c>
      <c r="BR94" s="17">
        <f t="shared" si="436"/>
        <v>2242.3495679999987</v>
      </c>
      <c r="BS94" s="17">
        <f t="shared" si="437"/>
        <v>753.02783999999963</v>
      </c>
      <c r="BT94" s="17">
        <f t="shared" si="438"/>
        <v>1976.6980799999997</v>
      </c>
      <c r="BU94" s="17">
        <f t="shared" si="439"/>
        <v>23269.68</v>
      </c>
      <c r="BV94" s="17">
        <f t="shared" si="440"/>
        <v>3412</v>
      </c>
      <c r="BW94" s="17">
        <f t="shared" si="441"/>
        <v>693.87796800000001</v>
      </c>
      <c r="BX94" s="17">
        <f t="shared" si="442"/>
        <v>17495.999999999989</v>
      </c>
      <c r="BY94" s="17">
        <f t="shared" si="443"/>
        <v>1244.8453828607996</v>
      </c>
      <c r="BZ94" s="17"/>
      <c r="CA94" s="17">
        <f t="shared" si="444"/>
        <v>85810.166416660228</v>
      </c>
      <c r="CB94" s="17">
        <f t="shared" si="445"/>
        <v>241341.0930468569</v>
      </c>
      <c r="CC94" s="17">
        <f t="shared" si="446"/>
        <v>6541.5190492293968</v>
      </c>
      <c r="CD94" s="17">
        <f t="shared" si="447"/>
        <v>58873.671443064573</v>
      </c>
      <c r="CE94" s="17">
        <f t="shared" si="448"/>
        <v>52002.570966860781</v>
      </c>
      <c r="CF94" s="17">
        <f t="shared" si="449"/>
        <v>392566.44995581108</v>
      </c>
      <c r="CG94" s="17">
        <f t="shared" si="450"/>
        <v>444569.02092267189</v>
      </c>
      <c r="CH94" s="17">
        <f t="shared" si="451"/>
        <v>14.400000000000006</v>
      </c>
      <c r="CI94" s="17">
        <f t="shared" si="452"/>
        <v>-43.2</v>
      </c>
      <c r="CJ94" s="17">
        <f t="shared" si="453"/>
        <v>16</v>
      </c>
      <c r="CK94" s="17">
        <f t="shared" si="454"/>
        <v>90</v>
      </c>
      <c r="CL94" s="17">
        <f t="shared" si="455"/>
        <v>71.46880726181422</v>
      </c>
      <c r="CM94" s="17">
        <f t="shared" si="456"/>
        <v>24</v>
      </c>
      <c r="CN94" s="17">
        <f t="shared" si="457"/>
        <v>50</v>
      </c>
      <c r="CO94" s="17">
        <f t="shared" si="458"/>
        <v>65.062647806544774</v>
      </c>
      <c r="CP94" s="17">
        <f t="shared" si="459"/>
        <v>6.4061594552694459</v>
      </c>
      <c r="CQ94" s="17">
        <f t="shared" si="460"/>
        <v>0</v>
      </c>
      <c r="CR94" s="17">
        <f t="shared" si="461"/>
        <v>100</v>
      </c>
      <c r="CS94" s="17">
        <f t="shared" si="462"/>
        <v>26.404773030064671</v>
      </c>
      <c r="CT94" s="17">
        <f t="shared" si="463"/>
        <v>24</v>
      </c>
      <c r="CU94" s="17">
        <f t="shared" si="464"/>
        <v>50</v>
      </c>
      <c r="CV94" s="17">
        <f t="shared" si="465"/>
        <v>65.062647806544774</v>
      </c>
      <c r="CW94" s="17">
        <f t="shared" si="466"/>
        <v>-38.657874776480099</v>
      </c>
      <c r="CX94" s="17">
        <f t="shared" si="404"/>
        <v>-6727.0487040000007</v>
      </c>
      <c r="CY94" s="17">
        <f t="shared" si="404"/>
        <v>-6727.0487040000007</v>
      </c>
      <c r="CZ94" s="17">
        <f t="shared" si="467"/>
        <v>753.02784000000031</v>
      </c>
      <c r="DA94" s="17">
        <f t="shared" si="468"/>
        <v>-2259.0835200000006</v>
      </c>
      <c r="DB94" s="17">
        <f t="shared" si="469"/>
        <v>-26593.920000000002</v>
      </c>
      <c r="DC94" s="17">
        <f t="shared" si="470"/>
        <v>3412</v>
      </c>
      <c r="DD94" s="17">
        <f t="shared" si="471"/>
        <v>693.87796800000001</v>
      </c>
      <c r="DE94" s="17">
        <f t="shared" si="472"/>
        <v>17496.000000000007</v>
      </c>
      <c r="DF94" s="17">
        <f t="shared" si="473"/>
        <v>-1422.6804375551999</v>
      </c>
      <c r="DG94" s="17"/>
      <c r="DH94" s="17">
        <f t="shared" si="474"/>
        <v>-10514.941939202587</v>
      </c>
      <c r="DI94" s="17">
        <f t="shared" si="475"/>
        <v>-29573.274204007277</v>
      </c>
      <c r="DJ94" s="17">
        <f t="shared" si="476"/>
        <v>-801.57976460328041</v>
      </c>
      <c r="DK94" s="17">
        <f t="shared" si="477"/>
        <v>1195.4984685710569</v>
      </c>
      <c r="DL94" s="17">
        <f t="shared" si="478"/>
        <v>-14647.826853555196</v>
      </c>
      <c r="DM94" s="17">
        <f t="shared" si="479"/>
        <v>-39694.297439242087</v>
      </c>
      <c r="DN94" s="17">
        <f t="shared" si="480"/>
        <v>-54342.124292797285</v>
      </c>
    </row>
    <row r="95" spans="3:120" ht="18.600000000000001">
      <c r="C95" s="13">
        <f>IF(D95&lt;&gt;"",COUNTA($D$10:D95),"")</f>
        <v>74</v>
      </c>
      <c r="D95" s="14" t="s">
        <v>205</v>
      </c>
      <c r="E95" s="14">
        <v>3.8</v>
      </c>
      <c r="F95" s="14">
        <v>4.2</v>
      </c>
      <c r="G95" s="14">
        <v>2.4</v>
      </c>
      <c r="H95" s="14">
        <v>3</v>
      </c>
      <c r="I95" s="14">
        <v>3</v>
      </c>
      <c r="J95" s="14">
        <v>1.75</v>
      </c>
      <c r="K95" s="14">
        <v>3</v>
      </c>
      <c r="L95" s="15">
        <v>0.1</v>
      </c>
      <c r="M95" s="15">
        <v>0</v>
      </c>
      <c r="N95" s="14">
        <v>24</v>
      </c>
      <c r="O95" s="14">
        <v>50</v>
      </c>
      <c r="P95" s="13">
        <v>45</v>
      </c>
      <c r="Q95" s="13">
        <v>85</v>
      </c>
      <c r="R95" s="13" t="s">
        <v>218</v>
      </c>
      <c r="S95" s="13">
        <v>20</v>
      </c>
      <c r="T95" s="13">
        <v>0</v>
      </c>
      <c r="U95" s="13">
        <v>100</v>
      </c>
      <c r="V95" s="13" t="str">
        <f t="shared" si="405"/>
        <v>NC</v>
      </c>
      <c r="W95" s="13">
        <f t="shared" si="406"/>
        <v>20</v>
      </c>
      <c r="X95" s="16">
        <f t="shared" si="407"/>
        <v>171.72959999999998</v>
      </c>
      <c r="Y95" s="16">
        <f t="shared" si="408"/>
        <v>1351.8554111999997</v>
      </c>
      <c r="Z95" s="16">
        <f t="shared" si="409"/>
        <v>450.61847039999992</v>
      </c>
      <c r="AA95" s="16">
        <f t="shared" si="410"/>
        <v>45.061847039999996</v>
      </c>
      <c r="AB95" s="16">
        <f t="shared" si="411"/>
        <v>0</v>
      </c>
      <c r="AC95" s="16">
        <f t="shared" si="412"/>
        <v>4.1453343011546924</v>
      </c>
      <c r="AD95" s="16">
        <f t="shared" si="413"/>
        <v>2200</v>
      </c>
      <c r="AE95" s="16">
        <f t="shared" si="414"/>
        <v>2200</v>
      </c>
      <c r="AF95" s="16">
        <f t="shared" si="415"/>
        <v>8</v>
      </c>
      <c r="AG95" s="16">
        <f t="shared" si="416"/>
        <v>6.5</v>
      </c>
      <c r="AH95" s="838" t="s">
        <v>85</v>
      </c>
      <c r="AI95" s="17">
        <f t="shared" si="417"/>
        <v>6.5</v>
      </c>
      <c r="AJ95" s="17">
        <f t="shared" si="418"/>
        <v>5.5</v>
      </c>
      <c r="AK95" s="891"/>
      <c r="AL95" s="18">
        <f>IF(AL99&lt;4000,AL99,AL99+400)</f>
        <v>5800</v>
      </c>
      <c r="AM95" s="889"/>
      <c r="AN95" s="891"/>
      <c r="AO95" s="888"/>
      <c r="AP95" s="891"/>
      <c r="AQ95" s="891"/>
      <c r="AR95" s="889"/>
      <c r="AS95" s="888"/>
      <c r="AT95" s="888"/>
      <c r="AU95" s="890"/>
      <c r="AV95" s="888"/>
      <c r="AW95" s="888"/>
      <c r="AX95" s="888"/>
      <c r="AY95" s="887"/>
      <c r="AZ95" s="888"/>
      <c r="BA95" s="17">
        <f t="shared" si="419"/>
        <v>14.399999999999991</v>
      </c>
      <c r="BB95" s="17">
        <f t="shared" si="420"/>
        <v>37.799999999999997</v>
      </c>
      <c r="BC95" s="17">
        <f t="shared" si="421"/>
        <v>32</v>
      </c>
      <c r="BD95" s="17">
        <f t="shared" si="422"/>
        <v>85</v>
      </c>
      <c r="BE95" s="17">
        <f t="shared" si="423"/>
        <v>180.86341983910182</v>
      </c>
      <c r="BF95" s="17">
        <f t="shared" si="424"/>
        <v>24</v>
      </c>
      <c r="BG95" s="17">
        <f t="shared" si="425"/>
        <v>50</v>
      </c>
      <c r="BH95" s="17">
        <f t="shared" si="426"/>
        <v>65.062647806544774</v>
      </c>
      <c r="BI95" s="17">
        <f t="shared" si="427"/>
        <v>115.80077203255705</v>
      </c>
      <c r="BJ95" s="17">
        <f t="shared" si="428"/>
        <v>45</v>
      </c>
      <c r="BK95" s="17">
        <f t="shared" si="429"/>
        <v>85</v>
      </c>
      <c r="BL95" s="17">
        <f t="shared" si="430"/>
        <v>380.54120080897206</v>
      </c>
      <c r="BM95" s="17">
        <f t="shared" si="431"/>
        <v>24</v>
      </c>
      <c r="BN95" s="17">
        <f t="shared" si="432"/>
        <v>50</v>
      </c>
      <c r="BO95" s="17">
        <f t="shared" si="433"/>
        <v>65.062647806544774</v>
      </c>
      <c r="BP95" s="17">
        <f t="shared" si="434"/>
        <v>315.4785530024273</v>
      </c>
      <c r="BQ95" s="17">
        <f t="shared" si="435"/>
        <v>7028.2598399999997</v>
      </c>
      <c r="BR95" s="17">
        <f t="shared" si="436"/>
        <v>2677.4323199999981</v>
      </c>
      <c r="BS95" s="17">
        <f t="shared" si="437"/>
        <v>1112.8078079999991</v>
      </c>
      <c r="BT95" s="17">
        <f t="shared" si="438"/>
        <v>2921.1204959999995</v>
      </c>
      <c r="BU95" s="17">
        <f t="shared" si="439"/>
        <v>34904.520000000004</v>
      </c>
      <c r="BV95" s="17">
        <f t="shared" si="440"/>
        <v>10236</v>
      </c>
      <c r="BW95" s="17">
        <f t="shared" si="441"/>
        <v>1025.3974415999999</v>
      </c>
      <c r="BX95" s="17">
        <f t="shared" si="442"/>
        <v>17495.999999999989</v>
      </c>
      <c r="BY95" s="17">
        <f t="shared" si="443"/>
        <v>1839.6048435609598</v>
      </c>
      <c r="BZ95" s="17"/>
      <c r="CA95" s="17">
        <f t="shared" si="444"/>
        <v>128715.24962499036</v>
      </c>
      <c r="CB95" s="17">
        <f t="shared" si="445"/>
        <v>241341.0930468569</v>
      </c>
      <c r="CC95" s="17">
        <f t="shared" si="446"/>
        <v>9666.9114838612204</v>
      </c>
      <c r="CD95" s="17">
        <f t="shared" si="447"/>
        <v>87002.203354750978</v>
      </c>
      <c r="CE95" s="17">
        <f t="shared" si="448"/>
        <v>72529.782125160942</v>
      </c>
      <c r="CF95" s="17">
        <f t="shared" si="449"/>
        <v>466725.45751045947</v>
      </c>
      <c r="CG95" s="17">
        <f t="shared" si="450"/>
        <v>539255.23963562038</v>
      </c>
      <c r="CH95" s="17">
        <f t="shared" si="451"/>
        <v>14.400000000000006</v>
      </c>
      <c r="CI95" s="17">
        <f t="shared" si="452"/>
        <v>-43.2</v>
      </c>
      <c r="CJ95" s="17">
        <f t="shared" si="453"/>
        <v>16</v>
      </c>
      <c r="CK95" s="17">
        <f t="shared" si="454"/>
        <v>90</v>
      </c>
      <c r="CL95" s="17">
        <f t="shared" si="455"/>
        <v>71.46880726181422</v>
      </c>
      <c r="CM95" s="17">
        <f t="shared" si="456"/>
        <v>24</v>
      </c>
      <c r="CN95" s="17">
        <f t="shared" si="457"/>
        <v>50</v>
      </c>
      <c r="CO95" s="17">
        <f t="shared" si="458"/>
        <v>65.062647806544774</v>
      </c>
      <c r="CP95" s="17">
        <f t="shared" si="459"/>
        <v>6.4061594552694459</v>
      </c>
      <c r="CQ95" s="17">
        <f t="shared" si="460"/>
        <v>0</v>
      </c>
      <c r="CR95" s="17">
        <f t="shared" si="461"/>
        <v>100</v>
      </c>
      <c r="CS95" s="17">
        <f t="shared" si="462"/>
        <v>26.404773030064671</v>
      </c>
      <c r="CT95" s="17">
        <f t="shared" si="463"/>
        <v>24</v>
      </c>
      <c r="CU95" s="17">
        <f t="shared" si="464"/>
        <v>50</v>
      </c>
      <c r="CV95" s="17">
        <f t="shared" si="465"/>
        <v>65.062647806544774</v>
      </c>
      <c r="CW95" s="17">
        <f t="shared" si="466"/>
        <v>-38.657874776480099</v>
      </c>
      <c r="CX95" s="17">
        <f t="shared" si="404"/>
        <v>-8032.2969600000006</v>
      </c>
      <c r="CY95" s="17">
        <f t="shared" si="404"/>
        <v>-8032.2969600000006</v>
      </c>
      <c r="CZ95" s="17">
        <f t="shared" si="467"/>
        <v>1112.8078080000003</v>
      </c>
      <c r="DA95" s="17">
        <f t="shared" si="468"/>
        <v>-3338.4234240000001</v>
      </c>
      <c r="DB95" s="17">
        <f t="shared" si="469"/>
        <v>-39890.880000000005</v>
      </c>
      <c r="DC95" s="17">
        <f t="shared" si="470"/>
        <v>10236</v>
      </c>
      <c r="DD95" s="17">
        <f t="shared" si="471"/>
        <v>1025.3974415999999</v>
      </c>
      <c r="DE95" s="17">
        <f t="shared" si="472"/>
        <v>17496.000000000007</v>
      </c>
      <c r="DF95" s="17">
        <f t="shared" si="473"/>
        <v>-2102.4055354982402</v>
      </c>
      <c r="DG95" s="17"/>
      <c r="DH95" s="17">
        <f t="shared" si="474"/>
        <v>-15772.412908803883</v>
      </c>
      <c r="DI95" s="17">
        <f t="shared" si="475"/>
        <v>-29573.274204007277</v>
      </c>
      <c r="DJ95" s="17">
        <f t="shared" si="476"/>
        <v>-1184.55676324707</v>
      </c>
      <c r="DK95" s="17">
        <f t="shared" si="477"/>
        <v>1766.6810702216731</v>
      </c>
      <c r="DL95" s="17">
        <f t="shared" si="478"/>
        <v>-23493.800669898243</v>
      </c>
      <c r="DM95" s="17">
        <f t="shared" si="479"/>
        <v>-44763.562805836555</v>
      </c>
      <c r="DN95" s="17">
        <f t="shared" si="480"/>
        <v>-68257.363475734805</v>
      </c>
    </row>
    <row r="96" spans="3:120" ht="18.600000000000001">
      <c r="C96" s="13">
        <f>IF(D96&lt;&gt;"",COUNTA($D$10:D96),"")</f>
        <v>75</v>
      </c>
      <c r="D96" s="14" t="s">
        <v>206</v>
      </c>
      <c r="E96" s="14">
        <v>3.1</v>
      </c>
      <c r="F96" s="14">
        <v>2.6</v>
      </c>
      <c r="G96" s="14">
        <v>2.4</v>
      </c>
      <c r="H96" s="14">
        <v>2</v>
      </c>
      <c r="I96" s="14">
        <v>1</v>
      </c>
      <c r="J96" s="14">
        <v>1.75</v>
      </c>
      <c r="K96" s="14">
        <v>3</v>
      </c>
      <c r="L96" s="15">
        <v>0.1</v>
      </c>
      <c r="M96" s="15">
        <v>0</v>
      </c>
      <c r="N96" s="14">
        <v>24</v>
      </c>
      <c r="O96" s="14">
        <v>50</v>
      </c>
      <c r="P96" s="13">
        <v>45</v>
      </c>
      <c r="Q96" s="13">
        <v>85</v>
      </c>
      <c r="R96" s="13" t="s">
        <v>218</v>
      </c>
      <c r="S96" s="13">
        <v>20</v>
      </c>
      <c r="T96" s="13">
        <v>0</v>
      </c>
      <c r="U96" s="13">
        <v>100</v>
      </c>
      <c r="V96" s="13" t="str">
        <f t="shared" si="405"/>
        <v>NC</v>
      </c>
      <c r="W96" s="13">
        <f t="shared" si="406"/>
        <v>20</v>
      </c>
      <c r="X96" s="16">
        <f t="shared" si="407"/>
        <v>86.7256</v>
      </c>
      <c r="Y96" s="16">
        <f t="shared" si="408"/>
        <v>682.70392319999996</v>
      </c>
      <c r="Z96" s="16">
        <f t="shared" si="409"/>
        <v>227.56797439999997</v>
      </c>
      <c r="AA96" s="16">
        <f t="shared" si="410"/>
        <v>22.75679744</v>
      </c>
      <c r="AB96" s="16">
        <f t="shared" si="411"/>
        <v>0</v>
      </c>
      <c r="AC96" s="16">
        <f t="shared" si="412"/>
        <v>2.0934457686282468</v>
      </c>
      <c r="AD96" s="16">
        <f t="shared" si="413"/>
        <v>1775</v>
      </c>
      <c r="AE96" s="16">
        <f t="shared" si="414"/>
        <v>1775</v>
      </c>
      <c r="AF96" s="16">
        <f t="shared" si="415"/>
        <v>6</v>
      </c>
      <c r="AG96" s="16">
        <f t="shared" si="416"/>
        <v>4.5</v>
      </c>
      <c r="AH96" s="838" t="s">
        <v>85</v>
      </c>
      <c r="AI96" s="17">
        <f t="shared" si="417"/>
        <v>4.5</v>
      </c>
      <c r="AJ96" s="17">
        <f t="shared" si="418"/>
        <v>4.5</v>
      </c>
      <c r="AK96" s="891"/>
      <c r="AL96" s="18"/>
      <c r="AM96" s="889"/>
      <c r="AN96" s="891"/>
      <c r="AO96" s="888"/>
      <c r="AP96" s="891"/>
      <c r="AQ96" s="891"/>
      <c r="AR96" s="889"/>
      <c r="AS96" s="888"/>
      <c r="AT96" s="888"/>
      <c r="AU96" s="890"/>
      <c r="AV96" s="888"/>
      <c r="AW96" s="888"/>
      <c r="AX96" s="888"/>
      <c r="AY96" s="887"/>
      <c r="AZ96" s="888"/>
      <c r="BA96" s="17">
        <f t="shared" si="419"/>
        <v>14.399999999999991</v>
      </c>
      <c r="BB96" s="17">
        <f t="shared" si="420"/>
        <v>37.799999999999997</v>
      </c>
      <c r="BC96" s="17">
        <f t="shared" si="421"/>
        <v>32</v>
      </c>
      <c r="BD96" s="17">
        <f t="shared" si="422"/>
        <v>85</v>
      </c>
      <c r="BE96" s="17">
        <f t="shared" si="423"/>
        <v>180.86341983910182</v>
      </c>
      <c r="BF96" s="17">
        <f t="shared" si="424"/>
        <v>24</v>
      </c>
      <c r="BG96" s="17">
        <f t="shared" si="425"/>
        <v>50</v>
      </c>
      <c r="BH96" s="17">
        <f t="shared" si="426"/>
        <v>65.062647806544774</v>
      </c>
      <c r="BI96" s="17">
        <f t="shared" si="427"/>
        <v>115.80077203255705</v>
      </c>
      <c r="BJ96" s="17">
        <f t="shared" si="428"/>
        <v>45</v>
      </c>
      <c r="BK96" s="17">
        <f t="shared" si="429"/>
        <v>85</v>
      </c>
      <c r="BL96" s="17">
        <f t="shared" si="430"/>
        <v>380.54120080897206</v>
      </c>
      <c r="BM96" s="17">
        <f t="shared" si="431"/>
        <v>24</v>
      </c>
      <c r="BN96" s="17">
        <f t="shared" si="432"/>
        <v>50</v>
      </c>
      <c r="BO96" s="17">
        <f t="shared" si="433"/>
        <v>65.062647806544774</v>
      </c>
      <c r="BP96" s="17">
        <f t="shared" si="434"/>
        <v>315.4785530024273</v>
      </c>
      <c r="BQ96" s="17">
        <f t="shared" si="435"/>
        <v>5007.6351359999999</v>
      </c>
      <c r="BR96" s="17">
        <f t="shared" si="436"/>
        <v>1907.670527999999</v>
      </c>
      <c r="BS96" s="17">
        <f t="shared" si="437"/>
        <v>561.98188799999969</v>
      </c>
      <c r="BT96" s="17">
        <f t="shared" si="438"/>
        <v>1475.202456</v>
      </c>
      <c r="BU96" s="17">
        <f t="shared" si="439"/>
        <v>23269.68</v>
      </c>
      <c r="BV96" s="17">
        <f t="shared" si="440"/>
        <v>3412</v>
      </c>
      <c r="BW96" s="17">
        <f t="shared" si="441"/>
        <v>517.83855759999994</v>
      </c>
      <c r="BX96" s="17">
        <f t="shared" si="442"/>
        <v>17495.999999999989</v>
      </c>
      <c r="BY96" s="17">
        <f t="shared" si="443"/>
        <v>929.02349869056002</v>
      </c>
      <c r="BZ96" s="17"/>
      <c r="CA96" s="17">
        <f t="shared" si="444"/>
        <v>85810.166416660228</v>
      </c>
      <c r="CB96" s="17">
        <f t="shared" si="445"/>
        <v>241341.0930468569</v>
      </c>
      <c r="CC96" s="17">
        <f t="shared" si="446"/>
        <v>4881.9114385915682</v>
      </c>
      <c r="CD96" s="17">
        <f t="shared" si="447"/>
        <v>43937.202947324113</v>
      </c>
      <c r="CE96" s="17">
        <f t="shared" si="448"/>
        <v>50632.177192290554</v>
      </c>
      <c r="CF96" s="17">
        <f t="shared" si="449"/>
        <v>375970.3738494328</v>
      </c>
      <c r="CG96" s="17">
        <f t="shared" si="450"/>
        <v>426602.55104172335</v>
      </c>
      <c r="CH96" s="17">
        <f t="shared" si="451"/>
        <v>14.400000000000006</v>
      </c>
      <c r="CI96" s="17">
        <f t="shared" si="452"/>
        <v>-43.2</v>
      </c>
      <c r="CJ96" s="17">
        <f t="shared" si="453"/>
        <v>16</v>
      </c>
      <c r="CK96" s="17">
        <f t="shared" si="454"/>
        <v>90</v>
      </c>
      <c r="CL96" s="17">
        <f t="shared" si="455"/>
        <v>71.46880726181422</v>
      </c>
      <c r="CM96" s="17">
        <f t="shared" si="456"/>
        <v>24</v>
      </c>
      <c r="CN96" s="17">
        <f t="shared" si="457"/>
        <v>50</v>
      </c>
      <c r="CO96" s="17">
        <f t="shared" si="458"/>
        <v>65.062647806544774</v>
      </c>
      <c r="CP96" s="17">
        <f t="shared" si="459"/>
        <v>6.4061594552694459</v>
      </c>
      <c r="CQ96" s="17">
        <f t="shared" si="460"/>
        <v>0</v>
      </c>
      <c r="CR96" s="17">
        <f t="shared" si="461"/>
        <v>100</v>
      </c>
      <c r="CS96" s="17">
        <f t="shared" si="462"/>
        <v>26.404773030064671</v>
      </c>
      <c r="CT96" s="17">
        <f t="shared" si="463"/>
        <v>24</v>
      </c>
      <c r="CU96" s="17">
        <f t="shared" si="464"/>
        <v>50</v>
      </c>
      <c r="CV96" s="17">
        <f t="shared" si="465"/>
        <v>65.062647806544774</v>
      </c>
      <c r="CW96" s="17">
        <f t="shared" si="466"/>
        <v>-38.657874776480099</v>
      </c>
      <c r="CX96" s="17">
        <f t="shared" si="404"/>
        <v>-5723.0115840000008</v>
      </c>
      <c r="CY96" s="17">
        <f t="shared" si="404"/>
        <v>-5723.0115840000008</v>
      </c>
      <c r="CZ96" s="17">
        <f t="shared" si="467"/>
        <v>561.98188800000014</v>
      </c>
      <c r="DA96" s="17">
        <f t="shared" si="468"/>
        <v>-1685.9456640000001</v>
      </c>
      <c r="DB96" s="17">
        <f t="shared" si="469"/>
        <v>-26593.920000000002</v>
      </c>
      <c r="DC96" s="17">
        <f t="shared" si="470"/>
        <v>3412</v>
      </c>
      <c r="DD96" s="17">
        <f t="shared" si="471"/>
        <v>517.83855759999994</v>
      </c>
      <c r="DE96" s="17">
        <f t="shared" si="472"/>
        <v>17496.000000000007</v>
      </c>
      <c r="DF96" s="17">
        <f t="shared" si="473"/>
        <v>-1061.7411413606401</v>
      </c>
      <c r="DG96" s="17"/>
      <c r="DH96" s="17">
        <f t="shared" si="474"/>
        <v>-10514.941939202587</v>
      </c>
      <c r="DI96" s="17">
        <f t="shared" si="475"/>
        <v>-29573.274204007277</v>
      </c>
      <c r="DJ96" s="17">
        <f t="shared" si="476"/>
        <v>-598.21600950948516</v>
      </c>
      <c r="DK96" s="17">
        <f t="shared" si="477"/>
        <v>892.19607932247391</v>
      </c>
      <c r="DL96" s="17">
        <f t="shared" si="478"/>
        <v>-13076.797943760635</v>
      </c>
      <c r="DM96" s="17">
        <f t="shared" si="479"/>
        <v>-39794.236073396882</v>
      </c>
      <c r="DN96" s="17">
        <f t="shared" si="480"/>
        <v>-52871.034017157515</v>
      </c>
    </row>
    <row r="97" spans="3:120" ht="18.600000000000001">
      <c r="C97" s="13">
        <f>IF(D97&lt;&gt;"",COUNTA($D$10:D97),"")</f>
        <v>76</v>
      </c>
      <c r="D97" s="14" t="s">
        <v>207</v>
      </c>
      <c r="E97" s="14">
        <v>1.9</v>
      </c>
      <c r="F97" s="14">
        <v>2.4</v>
      </c>
      <c r="G97" s="14">
        <v>2.4</v>
      </c>
      <c r="H97" s="14">
        <v>3</v>
      </c>
      <c r="I97" s="14">
        <v>2</v>
      </c>
      <c r="J97" s="14">
        <v>1.75</v>
      </c>
      <c r="K97" s="14">
        <v>3</v>
      </c>
      <c r="L97" s="15">
        <v>0.1</v>
      </c>
      <c r="M97" s="15">
        <v>0</v>
      </c>
      <c r="N97" s="14">
        <v>24</v>
      </c>
      <c r="O97" s="14">
        <v>50</v>
      </c>
      <c r="P97" s="13">
        <v>45</v>
      </c>
      <c r="Q97" s="13">
        <v>85</v>
      </c>
      <c r="R97" s="13" t="s">
        <v>218</v>
      </c>
      <c r="S97" s="13">
        <v>20</v>
      </c>
      <c r="T97" s="13">
        <v>0</v>
      </c>
      <c r="U97" s="13">
        <v>100</v>
      </c>
      <c r="V97" s="13" t="str">
        <f t="shared" si="405"/>
        <v>NC</v>
      </c>
      <c r="W97" s="13">
        <f t="shared" si="406"/>
        <v>20</v>
      </c>
      <c r="X97" s="16">
        <f t="shared" si="407"/>
        <v>49.065599999999996</v>
      </c>
      <c r="Y97" s="16">
        <f t="shared" si="408"/>
        <v>386.24440319999997</v>
      </c>
      <c r="Z97" s="16">
        <f t="shared" si="409"/>
        <v>128.74813439999997</v>
      </c>
      <c r="AA97" s="16">
        <f t="shared" si="410"/>
        <v>12.874813439999997</v>
      </c>
      <c r="AB97" s="16">
        <f t="shared" si="411"/>
        <v>0</v>
      </c>
      <c r="AC97" s="16">
        <f t="shared" si="412"/>
        <v>1.1843812289013407</v>
      </c>
      <c r="AD97" s="16">
        <f t="shared" si="413"/>
        <v>1875</v>
      </c>
      <c r="AE97" s="16">
        <f t="shared" si="414"/>
        <v>1875</v>
      </c>
      <c r="AF97" s="16">
        <f t="shared" si="415"/>
        <v>6</v>
      </c>
      <c r="AG97" s="16">
        <f t="shared" si="416"/>
        <v>5.5</v>
      </c>
      <c r="AH97" s="838" t="s">
        <v>85</v>
      </c>
      <c r="AI97" s="17">
        <f t="shared" si="417"/>
        <v>5.5</v>
      </c>
      <c r="AJ97" s="17">
        <f t="shared" si="418"/>
        <v>5</v>
      </c>
      <c r="AK97" s="891"/>
      <c r="AL97" s="18"/>
      <c r="AM97" s="889"/>
      <c r="AN97" s="891"/>
      <c r="AO97" s="888"/>
      <c r="AP97" s="891"/>
      <c r="AQ97" s="891"/>
      <c r="AR97" s="889"/>
      <c r="AS97" s="888"/>
      <c r="AT97" s="888"/>
      <c r="AU97" s="890"/>
      <c r="AV97" s="888"/>
      <c r="AW97" s="888"/>
      <c r="AX97" s="888"/>
      <c r="AY97" s="887"/>
      <c r="AZ97" s="888"/>
      <c r="BA97" s="17">
        <f t="shared" si="419"/>
        <v>14.399999999999991</v>
      </c>
      <c r="BB97" s="17">
        <f t="shared" si="420"/>
        <v>37.799999999999997</v>
      </c>
      <c r="BC97" s="17">
        <f t="shared" si="421"/>
        <v>32</v>
      </c>
      <c r="BD97" s="17">
        <f t="shared" si="422"/>
        <v>85</v>
      </c>
      <c r="BE97" s="17">
        <f t="shared" si="423"/>
        <v>180.86341983910182</v>
      </c>
      <c r="BF97" s="17">
        <f t="shared" si="424"/>
        <v>24</v>
      </c>
      <c r="BG97" s="17">
        <f t="shared" si="425"/>
        <v>50</v>
      </c>
      <c r="BH97" s="17">
        <f t="shared" si="426"/>
        <v>65.062647806544774</v>
      </c>
      <c r="BI97" s="17">
        <f t="shared" si="427"/>
        <v>115.80077203255705</v>
      </c>
      <c r="BJ97" s="17">
        <f t="shared" si="428"/>
        <v>45</v>
      </c>
      <c r="BK97" s="17">
        <f t="shared" si="429"/>
        <v>85</v>
      </c>
      <c r="BL97" s="17">
        <f t="shared" si="430"/>
        <v>380.54120080897206</v>
      </c>
      <c r="BM97" s="17">
        <f t="shared" si="431"/>
        <v>24</v>
      </c>
      <c r="BN97" s="17">
        <f t="shared" si="432"/>
        <v>50</v>
      </c>
      <c r="BO97" s="17">
        <f t="shared" si="433"/>
        <v>65.062647806544774</v>
      </c>
      <c r="BP97" s="17">
        <f t="shared" si="434"/>
        <v>315.4785530024273</v>
      </c>
      <c r="BQ97" s="17">
        <f t="shared" si="435"/>
        <v>3777.6896639999995</v>
      </c>
      <c r="BR97" s="17">
        <f t="shared" si="436"/>
        <v>1439.1198719999991</v>
      </c>
      <c r="BS97" s="17">
        <f t="shared" si="437"/>
        <v>317.94508799999977</v>
      </c>
      <c r="BT97" s="17">
        <f t="shared" si="438"/>
        <v>834.6058559999999</v>
      </c>
      <c r="BU97" s="17">
        <f t="shared" si="439"/>
        <v>34904.520000000004</v>
      </c>
      <c r="BV97" s="17">
        <f t="shared" si="440"/>
        <v>6824</v>
      </c>
      <c r="BW97" s="17">
        <f t="shared" si="441"/>
        <v>292.97069759999994</v>
      </c>
      <c r="BX97" s="17">
        <f t="shared" si="442"/>
        <v>17495.999999999989</v>
      </c>
      <c r="BY97" s="17">
        <f t="shared" si="443"/>
        <v>525.60138387455993</v>
      </c>
      <c r="BZ97" s="17"/>
      <c r="CA97" s="17">
        <f t="shared" si="444"/>
        <v>128715.24962499036</v>
      </c>
      <c r="CB97" s="17">
        <f t="shared" si="445"/>
        <v>241341.0930468569</v>
      </c>
      <c r="CC97" s="17">
        <f t="shared" si="446"/>
        <v>2761.9747096746341</v>
      </c>
      <c r="CD97" s="17">
        <f t="shared" si="447"/>
        <v>24857.772387071705</v>
      </c>
      <c r="CE97" s="17">
        <f t="shared" si="448"/>
        <v>63820.781745474553</v>
      </c>
      <c r="CF97" s="17">
        <f t="shared" si="449"/>
        <v>397676.08976859361</v>
      </c>
      <c r="CG97" s="17">
        <f t="shared" si="450"/>
        <v>461496.87151406816</v>
      </c>
      <c r="CH97" s="17">
        <f t="shared" si="451"/>
        <v>14.400000000000006</v>
      </c>
      <c r="CI97" s="17">
        <f t="shared" si="452"/>
        <v>-43.2</v>
      </c>
      <c r="CJ97" s="17">
        <f t="shared" si="453"/>
        <v>16</v>
      </c>
      <c r="CK97" s="17">
        <f t="shared" si="454"/>
        <v>90</v>
      </c>
      <c r="CL97" s="17">
        <f t="shared" si="455"/>
        <v>71.46880726181422</v>
      </c>
      <c r="CM97" s="17">
        <f t="shared" si="456"/>
        <v>24</v>
      </c>
      <c r="CN97" s="17">
        <f t="shared" si="457"/>
        <v>50</v>
      </c>
      <c r="CO97" s="17">
        <f t="shared" si="458"/>
        <v>65.062647806544774</v>
      </c>
      <c r="CP97" s="17">
        <f t="shared" si="459"/>
        <v>6.4061594552694459</v>
      </c>
      <c r="CQ97" s="17">
        <f t="shared" si="460"/>
        <v>0</v>
      </c>
      <c r="CR97" s="17">
        <f t="shared" si="461"/>
        <v>100</v>
      </c>
      <c r="CS97" s="17">
        <f t="shared" si="462"/>
        <v>26.404773030064671</v>
      </c>
      <c r="CT97" s="17">
        <f t="shared" si="463"/>
        <v>24</v>
      </c>
      <c r="CU97" s="17">
        <f t="shared" si="464"/>
        <v>50</v>
      </c>
      <c r="CV97" s="17">
        <f t="shared" si="465"/>
        <v>65.062647806544774</v>
      </c>
      <c r="CW97" s="17">
        <f t="shared" si="466"/>
        <v>-38.657874776480099</v>
      </c>
      <c r="CX97" s="17">
        <f t="shared" si="404"/>
        <v>-4317.3596159999997</v>
      </c>
      <c r="CY97" s="17">
        <f t="shared" si="404"/>
        <v>-4317.3596159999997</v>
      </c>
      <c r="CZ97" s="17">
        <f t="shared" si="467"/>
        <v>317.94508800000011</v>
      </c>
      <c r="DA97" s="17">
        <f t="shared" si="468"/>
        <v>-953.83526399999994</v>
      </c>
      <c r="DB97" s="17">
        <f t="shared" si="469"/>
        <v>-39890.880000000005</v>
      </c>
      <c r="DC97" s="17">
        <f t="shared" si="470"/>
        <v>6824</v>
      </c>
      <c r="DD97" s="17">
        <f t="shared" si="471"/>
        <v>292.97069759999994</v>
      </c>
      <c r="DE97" s="17">
        <f t="shared" si="472"/>
        <v>17496.000000000007</v>
      </c>
      <c r="DF97" s="17">
        <f t="shared" si="473"/>
        <v>-600.68729585663993</v>
      </c>
      <c r="DG97" s="17"/>
      <c r="DH97" s="17">
        <f t="shared" si="474"/>
        <v>-15772.412908803883</v>
      </c>
      <c r="DI97" s="17">
        <f t="shared" si="475"/>
        <v>-29573.274204007277</v>
      </c>
      <c r="DJ97" s="17">
        <f t="shared" si="476"/>
        <v>-338.44478949916277</v>
      </c>
      <c r="DK97" s="17">
        <f t="shared" si="477"/>
        <v>504.76602006333513</v>
      </c>
      <c r="DL97" s="17">
        <f t="shared" si="478"/>
        <v>-20831.846390256636</v>
      </c>
      <c r="DM97" s="17">
        <f t="shared" si="479"/>
        <v>-45179.365882246988</v>
      </c>
      <c r="DN97" s="17">
        <f t="shared" si="480"/>
        <v>-66011.212272503617</v>
      </c>
    </row>
    <row r="98" spans="3:120" ht="18.600000000000001">
      <c r="C98" s="13">
        <f>IF(D98&lt;&gt;"",COUNTA($D$10:D98),"")</f>
        <v>77</v>
      </c>
      <c r="D98" s="14" t="s">
        <v>208</v>
      </c>
      <c r="E98" s="14">
        <v>3</v>
      </c>
      <c r="F98" s="14">
        <v>2.9</v>
      </c>
      <c r="G98" s="14">
        <v>2.4</v>
      </c>
      <c r="H98" s="14">
        <v>2</v>
      </c>
      <c r="I98" s="14">
        <v>1</v>
      </c>
      <c r="J98" s="14">
        <v>1.75</v>
      </c>
      <c r="K98" s="14">
        <v>3</v>
      </c>
      <c r="L98" s="15">
        <v>0.1</v>
      </c>
      <c r="M98" s="15">
        <v>0</v>
      </c>
      <c r="N98" s="14">
        <v>24</v>
      </c>
      <c r="O98" s="14">
        <v>50</v>
      </c>
      <c r="P98" s="13">
        <v>45</v>
      </c>
      <c r="Q98" s="13">
        <v>85</v>
      </c>
      <c r="R98" s="13" t="s">
        <v>218</v>
      </c>
      <c r="S98" s="13">
        <v>20</v>
      </c>
      <c r="T98" s="13">
        <v>0</v>
      </c>
      <c r="U98" s="13">
        <v>100</v>
      </c>
      <c r="V98" s="13" t="str">
        <f t="shared" si="405"/>
        <v>NC</v>
      </c>
      <c r="W98" s="13">
        <f t="shared" si="406"/>
        <v>20</v>
      </c>
      <c r="X98" s="16">
        <f t="shared" si="407"/>
        <v>93.611999999999995</v>
      </c>
      <c r="Y98" s="16">
        <f t="shared" si="408"/>
        <v>736.91366399999993</v>
      </c>
      <c r="Z98" s="16">
        <f t="shared" si="409"/>
        <v>245.63788799999995</v>
      </c>
      <c r="AA98" s="16">
        <f t="shared" si="410"/>
        <v>24.563788799999998</v>
      </c>
      <c r="AB98" s="16">
        <f t="shared" si="411"/>
        <v>0</v>
      </c>
      <c r="AC98" s="16">
        <f t="shared" si="412"/>
        <v>2.2596747130354529</v>
      </c>
      <c r="AD98" s="16">
        <f>IF(ISNUMBER(N98), CEILING(CF98/(0.68*BP98),25), "Ambient")</f>
        <v>1775</v>
      </c>
      <c r="AE98" s="16">
        <f t="shared" si="414"/>
        <v>1775</v>
      </c>
      <c r="AF98" s="16">
        <f t="shared" si="415"/>
        <v>6</v>
      </c>
      <c r="AG98" s="16">
        <f t="shared" si="416"/>
        <v>4.5</v>
      </c>
      <c r="AH98" s="838" t="s">
        <v>85</v>
      </c>
      <c r="AI98" s="17">
        <f t="shared" si="417"/>
        <v>4.5</v>
      </c>
      <c r="AJ98" s="17">
        <f t="shared" si="418"/>
        <v>4.5</v>
      </c>
      <c r="AK98" s="891"/>
      <c r="AL98" s="18"/>
      <c r="AM98" s="889"/>
      <c r="AN98" s="891"/>
      <c r="AO98" s="888"/>
      <c r="AP98" s="891"/>
      <c r="AQ98" s="891"/>
      <c r="AR98" s="889"/>
      <c r="AS98" s="888"/>
      <c r="AT98" s="888"/>
      <c r="AU98" s="890"/>
      <c r="AV98" s="888"/>
      <c r="AW98" s="888"/>
      <c r="AX98" s="888"/>
      <c r="AY98" s="887"/>
      <c r="AZ98" s="888"/>
      <c r="BA98" s="17">
        <f t="shared" si="419"/>
        <v>14.399999999999991</v>
      </c>
      <c r="BB98" s="17">
        <f t="shared" si="420"/>
        <v>37.799999999999997</v>
      </c>
      <c r="BC98" s="17">
        <f t="shared" si="421"/>
        <v>32</v>
      </c>
      <c r="BD98" s="17">
        <f t="shared" si="422"/>
        <v>85</v>
      </c>
      <c r="BE98" s="17">
        <f t="shared" si="423"/>
        <v>180.86341983910182</v>
      </c>
      <c r="BF98" s="17">
        <f t="shared" si="424"/>
        <v>24</v>
      </c>
      <c r="BG98" s="17">
        <f t="shared" si="425"/>
        <v>50</v>
      </c>
      <c r="BH98" s="17">
        <f t="shared" si="426"/>
        <v>65.062647806544774</v>
      </c>
      <c r="BI98" s="17">
        <f t="shared" si="427"/>
        <v>115.80077203255705</v>
      </c>
      <c r="BJ98" s="17">
        <f t="shared" si="428"/>
        <v>45</v>
      </c>
      <c r="BK98" s="17">
        <f t="shared" si="429"/>
        <v>85</v>
      </c>
      <c r="BL98" s="17">
        <f t="shared" si="430"/>
        <v>380.54120080897206</v>
      </c>
      <c r="BM98" s="17">
        <f t="shared" si="431"/>
        <v>24</v>
      </c>
      <c r="BN98" s="17">
        <f t="shared" si="432"/>
        <v>50</v>
      </c>
      <c r="BO98" s="17">
        <f t="shared" si="433"/>
        <v>65.062647806544774</v>
      </c>
      <c r="BP98" s="17">
        <f t="shared" si="434"/>
        <v>315.4785530024273</v>
      </c>
      <c r="BQ98" s="17">
        <f t="shared" si="435"/>
        <v>5183.3416319999997</v>
      </c>
      <c r="BR98" s="17">
        <f t="shared" si="436"/>
        <v>1974.6063359999991</v>
      </c>
      <c r="BS98" s="17">
        <f t="shared" si="437"/>
        <v>606.60575999999958</v>
      </c>
      <c r="BT98" s="17">
        <f t="shared" si="438"/>
        <v>1592.3401199999998</v>
      </c>
      <c r="BU98" s="17">
        <f t="shared" si="439"/>
        <v>23269.68</v>
      </c>
      <c r="BV98" s="17">
        <f t="shared" si="440"/>
        <v>3412</v>
      </c>
      <c r="BW98" s="17">
        <f t="shared" si="441"/>
        <v>558.95725199999993</v>
      </c>
      <c r="BX98" s="17">
        <f t="shared" si="442"/>
        <v>17495.999999999989</v>
      </c>
      <c r="BY98" s="17">
        <f t="shared" si="443"/>
        <v>1002.7921139711999</v>
      </c>
      <c r="BZ98" s="17"/>
      <c r="CA98" s="17">
        <f t="shared" si="444"/>
        <v>85810.166416660228</v>
      </c>
      <c r="CB98" s="17">
        <f t="shared" si="445"/>
        <v>241341.0930468569</v>
      </c>
      <c r="CC98" s="17">
        <f t="shared" si="446"/>
        <v>5269.5570118792357</v>
      </c>
      <c r="CD98" s="17">
        <f t="shared" si="447"/>
        <v>47426.013106913124</v>
      </c>
      <c r="CE98" s="17">
        <f t="shared" si="448"/>
        <v>50922.770997971187</v>
      </c>
      <c r="CF98" s="17">
        <f t="shared" si="449"/>
        <v>379846.82958230947</v>
      </c>
      <c r="CG98" s="17">
        <f t="shared" si="450"/>
        <v>430769.60058028065</v>
      </c>
      <c r="CH98" s="17">
        <f t="shared" si="451"/>
        <v>14.400000000000006</v>
      </c>
      <c r="CI98" s="17">
        <f t="shared" si="452"/>
        <v>-43.2</v>
      </c>
      <c r="CJ98" s="17">
        <f t="shared" si="453"/>
        <v>16</v>
      </c>
      <c r="CK98" s="17">
        <f t="shared" si="454"/>
        <v>90</v>
      </c>
      <c r="CL98" s="17">
        <f t="shared" si="455"/>
        <v>71.46880726181422</v>
      </c>
      <c r="CM98" s="17">
        <f t="shared" si="456"/>
        <v>24</v>
      </c>
      <c r="CN98" s="17">
        <f t="shared" si="457"/>
        <v>50</v>
      </c>
      <c r="CO98" s="17">
        <f t="shared" si="458"/>
        <v>65.062647806544774</v>
      </c>
      <c r="CP98" s="17">
        <f t="shared" si="459"/>
        <v>6.4061594552694459</v>
      </c>
      <c r="CQ98" s="17">
        <f t="shared" si="460"/>
        <v>0</v>
      </c>
      <c r="CR98" s="17">
        <f t="shared" si="461"/>
        <v>100</v>
      </c>
      <c r="CS98" s="17">
        <f t="shared" si="462"/>
        <v>26.404773030064671</v>
      </c>
      <c r="CT98" s="17">
        <f t="shared" si="463"/>
        <v>24</v>
      </c>
      <c r="CU98" s="17">
        <f t="shared" si="464"/>
        <v>50</v>
      </c>
      <c r="CV98" s="17">
        <f t="shared" si="465"/>
        <v>65.062647806544774</v>
      </c>
      <c r="CW98" s="17">
        <f t="shared" si="466"/>
        <v>-38.657874776480099</v>
      </c>
      <c r="CX98" s="17">
        <f t="shared" si="404"/>
        <v>-5923.8190080000013</v>
      </c>
      <c r="CY98" s="17">
        <f t="shared" si="404"/>
        <v>-5923.8190080000013</v>
      </c>
      <c r="CZ98" s="17">
        <f t="shared" si="467"/>
        <v>606.60576000000026</v>
      </c>
      <c r="DA98" s="17">
        <f t="shared" si="468"/>
        <v>-1819.81728</v>
      </c>
      <c r="DB98" s="17">
        <f t="shared" si="469"/>
        <v>-26593.920000000002</v>
      </c>
      <c r="DC98" s="17">
        <f t="shared" si="470"/>
        <v>3412</v>
      </c>
      <c r="DD98" s="17">
        <f t="shared" si="471"/>
        <v>558.95725199999993</v>
      </c>
      <c r="DE98" s="17">
        <f t="shared" si="472"/>
        <v>17496.000000000007</v>
      </c>
      <c r="DF98" s="17">
        <f t="shared" si="473"/>
        <v>-1146.0481302528001</v>
      </c>
      <c r="DG98" s="17"/>
      <c r="DH98" s="17">
        <f t="shared" si="474"/>
        <v>-10514.941939202587</v>
      </c>
      <c r="DI98" s="17">
        <f t="shared" si="475"/>
        <v>-29573.274204007277</v>
      </c>
      <c r="DJ98" s="17">
        <f t="shared" si="476"/>
        <v>-645.71703259708693</v>
      </c>
      <c r="DK98" s="17">
        <f t="shared" si="477"/>
        <v>963.04043301557363</v>
      </c>
      <c r="DL98" s="17">
        <f t="shared" si="478"/>
        <v>-13410.041406252794</v>
      </c>
      <c r="DM98" s="17">
        <f t="shared" si="479"/>
        <v>-39770.89274279138</v>
      </c>
      <c r="DN98" s="17">
        <f t="shared" si="480"/>
        <v>-53180.934149044173</v>
      </c>
    </row>
    <row r="99" spans="3:120" ht="18.600000000000001">
      <c r="C99" s="13">
        <f>IF(D99&lt;&gt;"",COUNTA($D$10:D99),"")</f>
        <v>78</v>
      </c>
      <c r="D99" s="14" t="s">
        <v>209</v>
      </c>
      <c r="E99" s="14">
        <v>2.4</v>
      </c>
      <c r="F99" s="14">
        <v>2</v>
      </c>
      <c r="G99" s="14">
        <v>2.4</v>
      </c>
      <c r="H99" s="14">
        <v>2</v>
      </c>
      <c r="I99" s="14">
        <v>1</v>
      </c>
      <c r="J99" s="14">
        <v>1.75</v>
      </c>
      <c r="K99" s="14">
        <v>3</v>
      </c>
      <c r="L99" s="15">
        <v>0.1</v>
      </c>
      <c r="M99" s="15">
        <v>0</v>
      </c>
      <c r="N99" s="14">
        <v>24</v>
      </c>
      <c r="O99" s="14">
        <v>50</v>
      </c>
      <c r="P99" s="13">
        <v>45</v>
      </c>
      <c r="Q99" s="13">
        <v>85</v>
      </c>
      <c r="R99" s="13" t="s">
        <v>218</v>
      </c>
      <c r="S99" s="13">
        <v>20</v>
      </c>
      <c r="T99" s="13">
        <v>0</v>
      </c>
      <c r="U99" s="13">
        <v>100</v>
      </c>
      <c r="V99" s="13" t="str">
        <f t="shared" si="405"/>
        <v>NC</v>
      </c>
      <c r="W99" s="13">
        <f t="shared" si="406"/>
        <v>20</v>
      </c>
      <c r="X99" s="16">
        <f t="shared" si="407"/>
        <v>51.647999999999996</v>
      </c>
      <c r="Y99" s="16">
        <f t="shared" si="408"/>
        <v>406.57305599999995</v>
      </c>
      <c r="Z99" s="16">
        <f t="shared" si="409"/>
        <v>135.52435199999999</v>
      </c>
      <c r="AA99" s="16">
        <f t="shared" si="410"/>
        <v>13.5524352</v>
      </c>
      <c r="AB99" s="16">
        <f t="shared" si="411"/>
        <v>0</v>
      </c>
      <c r="AC99" s="16">
        <f t="shared" si="412"/>
        <v>1.2467170830540428</v>
      </c>
      <c r="AD99" s="16">
        <f t="shared" ref="AD99:AD105" si="481">IF(ISNUMBER(N99), CEILING(CF99/(0.68*BP99),25), "Ambient")</f>
        <v>1675</v>
      </c>
      <c r="AE99" s="16">
        <f t="shared" si="414"/>
        <v>1675</v>
      </c>
      <c r="AF99" s="16">
        <f t="shared" si="415"/>
        <v>6</v>
      </c>
      <c r="AG99" s="16">
        <f t="shared" si="416"/>
        <v>4.5</v>
      </c>
      <c r="AH99" s="838" t="s">
        <v>85</v>
      </c>
      <c r="AI99" s="17">
        <f t="shared" si="417"/>
        <v>4.5</v>
      </c>
      <c r="AJ99" s="17">
        <f t="shared" si="418"/>
        <v>4.5</v>
      </c>
      <c r="AK99" s="891"/>
      <c r="AL99" s="174">
        <f>IF(AN90&lt;=315,1600,(IF(AN90=355,1650,(IF(AN90=400,1650,(IF(AN90=450,1700,(IF(AN90=500,1700,(IF(AN90=560,1800,(IF(AN90=630,2000,(IF(AN90=710,2200,2500)))))))))))))))+IF(AR90=2,1800,(IF(AR90=3,2300,(IF(AR90=4,3300,0)))))+IF(AP90&lt;=4,600,(IF(AP90&lt;=6,800,(IF(AP90&lt;=8,1000,1200)))))</f>
        <v>5400</v>
      </c>
      <c r="AM99" s="889"/>
      <c r="AN99" s="891"/>
      <c r="AO99" s="888"/>
      <c r="AP99" s="891"/>
      <c r="AQ99" s="891"/>
      <c r="AR99" s="889"/>
      <c r="AS99" s="888"/>
      <c r="AT99" s="888"/>
      <c r="AU99" s="890"/>
      <c r="AV99" s="888"/>
      <c r="AW99" s="888"/>
      <c r="AX99" s="888"/>
      <c r="AY99" s="887"/>
      <c r="AZ99" s="888"/>
      <c r="BA99" s="17">
        <f t="shared" si="419"/>
        <v>14.399999999999991</v>
      </c>
      <c r="BB99" s="17">
        <f t="shared" si="420"/>
        <v>37.799999999999997</v>
      </c>
      <c r="BC99" s="17">
        <f t="shared" si="421"/>
        <v>32</v>
      </c>
      <c r="BD99" s="17">
        <f t="shared" si="422"/>
        <v>85</v>
      </c>
      <c r="BE99" s="17">
        <f t="shared" si="423"/>
        <v>180.86341983910182</v>
      </c>
      <c r="BF99" s="17">
        <f t="shared" si="424"/>
        <v>24</v>
      </c>
      <c r="BG99" s="17">
        <f t="shared" si="425"/>
        <v>50</v>
      </c>
      <c r="BH99" s="17">
        <f t="shared" si="426"/>
        <v>65.062647806544774</v>
      </c>
      <c r="BI99" s="17">
        <f t="shared" si="427"/>
        <v>115.80077203255705</v>
      </c>
      <c r="BJ99" s="17">
        <f t="shared" si="428"/>
        <v>45</v>
      </c>
      <c r="BK99" s="17">
        <f t="shared" si="429"/>
        <v>85</v>
      </c>
      <c r="BL99" s="17">
        <f t="shared" si="430"/>
        <v>380.54120080897206</v>
      </c>
      <c r="BM99" s="17">
        <f t="shared" si="431"/>
        <v>24</v>
      </c>
      <c r="BN99" s="17">
        <f t="shared" si="432"/>
        <v>50</v>
      </c>
      <c r="BO99" s="17">
        <f t="shared" si="433"/>
        <v>65.062647806544774</v>
      </c>
      <c r="BP99" s="17">
        <f t="shared" si="434"/>
        <v>315.4785530024273</v>
      </c>
      <c r="BQ99" s="17">
        <f t="shared" si="435"/>
        <v>3865.5429119999999</v>
      </c>
      <c r="BR99" s="17">
        <f t="shared" si="436"/>
        <v>1472.5877759999992</v>
      </c>
      <c r="BS99" s="17">
        <f t="shared" si="437"/>
        <v>334.67903999999976</v>
      </c>
      <c r="BT99" s="17">
        <f t="shared" si="438"/>
        <v>878.53247999999996</v>
      </c>
      <c r="BU99" s="17">
        <f t="shared" si="439"/>
        <v>23269.68</v>
      </c>
      <c r="BV99" s="17">
        <f t="shared" si="440"/>
        <v>3412</v>
      </c>
      <c r="BW99" s="17">
        <f t="shared" si="441"/>
        <v>308.39020799999997</v>
      </c>
      <c r="BX99" s="17">
        <f t="shared" si="442"/>
        <v>17495.999999999989</v>
      </c>
      <c r="BY99" s="17">
        <f t="shared" si="443"/>
        <v>553.26461460479993</v>
      </c>
      <c r="BZ99" s="17"/>
      <c r="CA99" s="17">
        <f t="shared" si="444"/>
        <v>85810.166416660228</v>
      </c>
      <c r="CB99" s="17">
        <f t="shared" si="445"/>
        <v>241341.0930468569</v>
      </c>
      <c r="CC99" s="17">
        <f t="shared" si="446"/>
        <v>2907.3417996575099</v>
      </c>
      <c r="CD99" s="17">
        <f t="shared" si="447"/>
        <v>26166.076196917587</v>
      </c>
      <c r="CE99" s="17">
        <f t="shared" si="448"/>
        <v>48904.877734604794</v>
      </c>
      <c r="CF99" s="17">
        <f t="shared" si="449"/>
        <v>356224.67746009218</v>
      </c>
      <c r="CG99" s="17">
        <f t="shared" si="450"/>
        <v>405129.55519469699</v>
      </c>
      <c r="CH99" s="17">
        <f t="shared" si="451"/>
        <v>14.400000000000006</v>
      </c>
      <c r="CI99" s="17">
        <f t="shared" si="452"/>
        <v>-43.2</v>
      </c>
      <c r="CJ99" s="17">
        <f t="shared" si="453"/>
        <v>16</v>
      </c>
      <c r="CK99" s="17">
        <f t="shared" si="454"/>
        <v>90</v>
      </c>
      <c r="CL99" s="17">
        <f t="shared" si="455"/>
        <v>71.46880726181422</v>
      </c>
      <c r="CM99" s="17">
        <f t="shared" si="456"/>
        <v>24</v>
      </c>
      <c r="CN99" s="17">
        <f t="shared" si="457"/>
        <v>50</v>
      </c>
      <c r="CO99" s="17">
        <f t="shared" si="458"/>
        <v>65.062647806544774</v>
      </c>
      <c r="CP99" s="17">
        <f t="shared" si="459"/>
        <v>6.4061594552694459</v>
      </c>
      <c r="CQ99" s="17">
        <f t="shared" si="460"/>
        <v>0</v>
      </c>
      <c r="CR99" s="17">
        <f t="shared" si="461"/>
        <v>100</v>
      </c>
      <c r="CS99" s="17">
        <f t="shared" si="462"/>
        <v>26.404773030064671</v>
      </c>
      <c r="CT99" s="17">
        <f t="shared" si="463"/>
        <v>24</v>
      </c>
      <c r="CU99" s="17">
        <f t="shared" si="464"/>
        <v>50</v>
      </c>
      <c r="CV99" s="17">
        <f t="shared" si="465"/>
        <v>65.062647806544774</v>
      </c>
      <c r="CW99" s="17">
        <f t="shared" si="466"/>
        <v>-38.657874776480099</v>
      </c>
      <c r="CX99" s="17">
        <f t="shared" si="404"/>
        <v>-4417.7633280000009</v>
      </c>
      <c r="CY99" s="17">
        <f t="shared" si="404"/>
        <v>-4417.7633280000009</v>
      </c>
      <c r="CZ99" s="17">
        <f t="shared" si="467"/>
        <v>334.67904000000016</v>
      </c>
      <c r="DA99" s="17">
        <f t="shared" si="468"/>
        <v>-1004.0371200000001</v>
      </c>
      <c r="DB99" s="17">
        <f t="shared" si="469"/>
        <v>-26593.920000000002</v>
      </c>
      <c r="DC99" s="17">
        <f t="shared" si="470"/>
        <v>3412</v>
      </c>
      <c r="DD99" s="17">
        <f t="shared" si="471"/>
        <v>308.39020799999997</v>
      </c>
      <c r="DE99" s="17">
        <f t="shared" si="472"/>
        <v>17496.000000000007</v>
      </c>
      <c r="DF99" s="17">
        <f t="shared" si="473"/>
        <v>-632.30241669120005</v>
      </c>
      <c r="DG99" s="17"/>
      <c r="DH99" s="17">
        <f t="shared" si="474"/>
        <v>-10514.941939202587</v>
      </c>
      <c r="DI99" s="17">
        <f t="shared" si="475"/>
        <v>-29573.274204007277</v>
      </c>
      <c r="DJ99" s="17">
        <f t="shared" si="476"/>
        <v>-356.25767315701353</v>
      </c>
      <c r="DK99" s="17">
        <f t="shared" si="477"/>
        <v>531.33265269824756</v>
      </c>
      <c r="DL99" s="17">
        <f t="shared" si="478"/>
        <v>-11096.953616691197</v>
      </c>
      <c r="DM99" s="17">
        <f t="shared" si="479"/>
        <v>-39913.141163668632</v>
      </c>
      <c r="DN99" s="17">
        <f t="shared" si="480"/>
        <v>-51010.094780359825</v>
      </c>
    </row>
    <row r="100" spans="3:120" ht="18.600000000000001">
      <c r="C100" s="13">
        <f>IF(D100&lt;&gt;"",COUNTA($D$10:D100),"")</f>
        <v>79</v>
      </c>
      <c r="D100" s="14" t="s">
        <v>210</v>
      </c>
      <c r="E100" s="14">
        <v>2.1</v>
      </c>
      <c r="F100" s="14">
        <v>1.8</v>
      </c>
      <c r="G100" s="14">
        <v>2.4</v>
      </c>
      <c r="H100" s="14">
        <v>2</v>
      </c>
      <c r="I100" s="14">
        <v>1</v>
      </c>
      <c r="J100" s="14">
        <v>1.75</v>
      </c>
      <c r="K100" s="14">
        <v>3</v>
      </c>
      <c r="L100" s="15">
        <v>0.1</v>
      </c>
      <c r="M100" s="15">
        <v>0</v>
      </c>
      <c r="N100" s="14">
        <v>24</v>
      </c>
      <c r="O100" s="14">
        <v>50</v>
      </c>
      <c r="P100" s="13">
        <v>45</v>
      </c>
      <c r="Q100" s="13">
        <v>85</v>
      </c>
      <c r="R100" s="13" t="s">
        <v>218</v>
      </c>
      <c r="S100" s="13">
        <v>20</v>
      </c>
      <c r="T100" s="13">
        <v>0</v>
      </c>
      <c r="U100" s="13">
        <v>100</v>
      </c>
      <c r="V100" s="13" t="str">
        <f t="shared" si="405"/>
        <v>NC</v>
      </c>
      <c r="W100" s="13">
        <f t="shared" si="406"/>
        <v>20</v>
      </c>
      <c r="X100" s="16">
        <f t="shared" si="407"/>
        <v>40.672800000000002</v>
      </c>
      <c r="Y100" s="16">
        <f t="shared" si="408"/>
        <v>320.17628159999998</v>
      </c>
      <c r="Z100" s="16">
        <f t="shared" si="409"/>
        <v>106.7254272</v>
      </c>
      <c r="AA100" s="16">
        <f t="shared" si="410"/>
        <v>10.672542720000001</v>
      </c>
      <c r="AB100" s="16">
        <f t="shared" si="411"/>
        <v>0</v>
      </c>
      <c r="AC100" s="16">
        <f t="shared" si="412"/>
        <v>0.98178970290505874</v>
      </c>
      <c r="AD100" s="16">
        <f t="shared" si="481"/>
        <v>1650</v>
      </c>
      <c r="AE100" s="16">
        <f t="shared" si="414"/>
        <v>1650</v>
      </c>
      <c r="AF100" s="16">
        <f t="shared" si="415"/>
        <v>6</v>
      </c>
      <c r="AG100" s="16">
        <f t="shared" si="416"/>
        <v>4.5</v>
      </c>
      <c r="AH100" s="838" t="s">
        <v>85</v>
      </c>
      <c r="AI100" s="17">
        <f t="shared" si="417"/>
        <v>4.5</v>
      </c>
      <c r="AJ100" s="17">
        <f t="shared" si="418"/>
        <v>4.5</v>
      </c>
      <c r="AK100" s="891"/>
      <c r="AL100" s="18"/>
      <c r="AM100" s="889"/>
      <c r="AN100" s="891"/>
      <c r="AO100" s="888"/>
      <c r="AP100" s="891"/>
      <c r="AQ100" s="891"/>
      <c r="AR100" s="889"/>
      <c r="AS100" s="888"/>
      <c r="AT100" s="888"/>
      <c r="AU100" s="890"/>
      <c r="AV100" s="888"/>
      <c r="AW100" s="888"/>
      <c r="AX100" s="888"/>
      <c r="AY100" s="887"/>
      <c r="AZ100" s="888"/>
      <c r="BA100" s="17">
        <f t="shared" si="419"/>
        <v>14.399999999999991</v>
      </c>
      <c r="BB100" s="17">
        <f t="shared" si="420"/>
        <v>37.799999999999997</v>
      </c>
      <c r="BC100" s="17">
        <f t="shared" si="421"/>
        <v>32</v>
      </c>
      <c r="BD100" s="17">
        <f t="shared" si="422"/>
        <v>85</v>
      </c>
      <c r="BE100" s="17">
        <f t="shared" si="423"/>
        <v>180.86341983910182</v>
      </c>
      <c r="BF100" s="17">
        <f t="shared" si="424"/>
        <v>24</v>
      </c>
      <c r="BG100" s="17">
        <f t="shared" si="425"/>
        <v>50</v>
      </c>
      <c r="BH100" s="17">
        <f t="shared" si="426"/>
        <v>65.062647806544774</v>
      </c>
      <c r="BI100" s="17">
        <f t="shared" si="427"/>
        <v>115.80077203255705</v>
      </c>
      <c r="BJ100" s="17">
        <f t="shared" si="428"/>
        <v>45</v>
      </c>
      <c r="BK100" s="17">
        <f t="shared" si="429"/>
        <v>85</v>
      </c>
      <c r="BL100" s="17">
        <f t="shared" si="430"/>
        <v>380.54120080897206</v>
      </c>
      <c r="BM100" s="17">
        <f t="shared" si="431"/>
        <v>24</v>
      </c>
      <c r="BN100" s="17">
        <f t="shared" si="432"/>
        <v>50</v>
      </c>
      <c r="BO100" s="17">
        <f t="shared" si="433"/>
        <v>65.062647806544774</v>
      </c>
      <c r="BP100" s="17">
        <f t="shared" si="434"/>
        <v>315.4785530024273</v>
      </c>
      <c r="BQ100" s="17">
        <f t="shared" si="435"/>
        <v>3426.2766719999995</v>
      </c>
      <c r="BR100" s="17">
        <f t="shared" si="436"/>
        <v>1305.2482559999992</v>
      </c>
      <c r="BS100" s="17">
        <f t="shared" si="437"/>
        <v>263.55974399999985</v>
      </c>
      <c r="BT100" s="17">
        <f t="shared" si="438"/>
        <v>691.84432800000002</v>
      </c>
      <c r="BU100" s="17">
        <f t="shared" si="439"/>
        <v>23269.68</v>
      </c>
      <c r="BV100" s="17">
        <f t="shared" si="440"/>
        <v>3412</v>
      </c>
      <c r="BW100" s="17">
        <f t="shared" si="441"/>
        <v>242.85728880000002</v>
      </c>
      <c r="BX100" s="17">
        <f t="shared" si="442"/>
        <v>17495.999999999989</v>
      </c>
      <c r="BY100" s="17">
        <f t="shared" si="443"/>
        <v>435.69588400127998</v>
      </c>
      <c r="BZ100" s="17"/>
      <c r="CA100" s="17">
        <f t="shared" si="444"/>
        <v>85810.166416660228</v>
      </c>
      <c r="CB100" s="17">
        <f t="shared" si="445"/>
        <v>241341.0930468569</v>
      </c>
      <c r="CC100" s="17">
        <f t="shared" si="446"/>
        <v>2289.5316672302893</v>
      </c>
      <c r="CD100" s="17">
        <f t="shared" si="447"/>
        <v>20605.785005072605</v>
      </c>
      <c r="CE100" s="17">
        <f t="shared" si="448"/>
        <v>48282.509844801272</v>
      </c>
      <c r="CF100" s="17">
        <f t="shared" si="449"/>
        <v>350046.57613582001</v>
      </c>
      <c r="CG100" s="17">
        <f t="shared" si="450"/>
        <v>398329.08598062128</v>
      </c>
      <c r="CH100" s="17">
        <f t="shared" si="451"/>
        <v>14.400000000000006</v>
      </c>
      <c r="CI100" s="17">
        <f t="shared" si="452"/>
        <v>-43.2</v>
      </c>
      <c r="CJ100" s="17">
        <f t="shared" si="453"/>
        <v>16</v>
      </c>
      <c r="CK100" s="17">
        <f t="shared" si="454"/>
        <v>90</v>
      </c>
      <c r="CL100" s="17">
        <f t="shared" si="455"/>
        <v>71.46880726181422</v>
      </c>
      <c r="CM100" s="17">
        <f t="shared" si="456"/>
        <v>24</v>
      </c>
      <c r="CN100" s="17">
        <f t="shared" si="457"/>
        <v>50</v>
      </c>
      <c r="CO100" s="17">
        <f t="shared" si="458"/>
        <v>65.062647806544774</v>
      </c>
      <c r="CP100" s="17">
        <f t="shared" si="459"/>
        <v>6.4061594552694459</v>
      </c>
      <c r="CQ100" s="17">
        <f t="shared" si="460"/>
        <v>0</v>
      </c>
      <c r="CR100" s="17">
        <f t="shared" si="461"/>
        <v>100</v>
      </c>
      <c r="CS100" s="17">
        <f t="shared" si="462"/>
        <v>26.404773030064671</v>
      </c>
      <c r="CT100" s="17">
        <f t="shared" si="463"/>
        <v>24</v>
      </c>
      <c r="CU100" s="17">
        <f t="shared" si="464"/>
        <v>50</v>
      </c>
      <c r="CV100" s="17">
        <f t="shared" si="465"/>
        <v>65.062647806544774</v>
      </c>
      <c r="CW100" s="17">
        <f t="shared" si="466"/>
        <v>-38.657874776480099</v>
      </c>
      <c r="CX100" s="17">
        <f t="shared" si="404"/>
        <v>-3915.744768</v>
      </c>
      <c r="CY100" s="17">
        <f t="shared" si="404"/>
        <v>-3915.744768</v>
      </c>
      <c r="CZ100" s="17">
        <f t="shared" si="467"/>
        <v>263.55974400000014</v>
      </c>
      <c r="DA100" s="17">
        <f t="shared" si="468"/>
        <v>-790.67923200000007</v>
      </c>
      <c r="DB100" s="17">
        <f t="shared" si="469"/>
        <v>-26593.920000000002</v>
      </c>
      <c r="DC100" s="17">
        <f t="shared" si="470"/>
        <v>3412</v>
      </c>
      <c r="DD100" s="17">
        <f t="shared" si="471"/>
        <v>242.85728880000002</v>
      </c>
      <c r="DE100" s="17">
        <f t="shared" si="472"/>
        <v>17496.000000000007</v>
      </c>
      <c r="DF100" s="17">
        <f t="shared" si="473"/>
        <v>-497.9381531443201</v>
      </c>
      <c r="DG100" s="17"/>
      <c r="DH100" s="17">
        <f t="shared" si="474"/>
        <v>-10514.941939202587</v>
      </c>
      <c r="DI100" s="17">
        <f t="shared" si="475"/>
        <v>-29573.274204007277</v>
      </c>
      <c r="DJ100" s="17">
        <f t="shared" si="476"/>
        <v>-280.55291761114819</v>
      </c>
      <c r="DK100" s="17">
        <f t="shared" si="477"/>
        <v>418.42446399987</v>
      </c>
      <c r="DL100" s="17">
        <f t="shared" si="478"/>
        <v>-10383.865120344313</v>
      </c>
      <c r="DM100" s="17">
        <f t="shared" si="479"/>
        <v>-39950.344596821138</v>
      </c>
      <c r="DN100" s="17">
        <f t="shared" si="480"/>
        <v>-50334.209717165453</v>
      </c>
    </row>
    <row r="101" spans="3:120" ht="18.600000000000001">
      <c r="C101" s="13">
        <f>IF(D101&lt;&gt;"",COUNTA($D$10:D101),"")</f>
        <v>80</v>
      </c>
      <c r="D101" s="14" t="s">
        <v>211</v>
      </c>
      <c r="E101" s="14">
        <v>1.8</v>
      </c>
      <c r="F101" s="14">
        <v>1.9</v>
      </c>
      <c r="G101" s="14">
        <v>2.4</v>
      </c>
      <c r="H101" s="14">
        <v>2</v>
      </c>
      <c r="I101" s="14">
        <v>1</v>
      </c>
      <c r="J101" s="14">
        <v>1.75</v>
      </c>
      <c r="K101" s="14">
        <v>3</v>
      </c>
      <c r="L101" s="15">
        <v>0.1</v>
      </c>
      <c r="M101" s="15">
        <v>0</v>
      </c>
      <c r="N101" s="14">
        <v>24</v>
      </c>
      <c r="O101" s="14">
        <v>50</v>
      </c>
      <c r="P101" s="13">
        <v>45</v>
      </c>
      <c r="Q101" s="13">
        <v>85</v>
      </c>
      <c r="R101" s="13" t="s">
        <v>218</v>
      </c>
      <c r="S101" s="13">
        <v>20</v>
      </c>
      <c r="T101" s="13">
        <v>0</v>
      </c>
      <c r="U101" s="13">
        <v>100</v>
      </c>
      <c r="V101" s="13" t="str">
        <f t="shared" si="405"/>
        <v>NC</v>
      </c>
      <c r="W101" s="13">
        <f t="shared" si="406"/>
        <v>20</v>
      </c>
      <c r="X101" s="16">
        <f t="shared" si="407"/>
        <v>36.799199999999999</v>
      </c>
      <c r="Y101" s="16">
        <f t="shared" si="408"/>
        <v>289.68330239999995</v>
      </c>
      <c r="Z101" s="16">
        <f t="shared" si="409"/>
        <v>96.561100799999991</v>
      </c>
      <c r="AA101" s="16">
        <f t="shared" si="410"/>
        <v>9.6561100799999995</v>
      </c>
      <c r="AB101" s="16">
        <f t="shared" si="411"/>
        <v>0</v>
      </c>
      <c r="AC101" s="16">
        <f t="shared" si="412"/>
        <v>0.8882859216760054</v>
      </c>
      <c r="AD101" s="16">
        <f t="shared" si="481"/>
        <v>1625</v>
      </c>
      <c r="AE101" s="16">
        <f t="shared" si="414"/>
        <v>1625</v>
      </c>
      <c r="AF101" s="16">
        <f t="shared" si="415"/>
        <v>6</v>
      </c>
      <c r="AG101" s="16">
        <f t="shared" si="416"/>
        <v>4.5</v>
      </c>
      <c r="AH101" s="838" t="s">
        <v>85</v>
      </c>
      <c r="AI101" s="17">
        <f t="shared" si="417"/>
        <v>4.5</v>
      </c>
      <c r="AJ101" s="17">
        <f t="shared" si="418"/>
        <v>4.5</v>
      </c>
      <c r="AK101" s="891"/>
      <c r="AL101" s="18"/>
      <c r="AM101" s="889"/>
      <c r="AN101" s="891"/>
      <c r="AO101" s="888"/>
      <c r="AP101" s="891"/>
      <c r="AQ101" s="891"/>
      <c r="AR101" s="889"/>
      <c r="AS101" s="888"/>
      <c r="AT101" s="888"/>
      <c r="AU101" s="890"/>
      <c r="AV101" s="888"/>
      <c r="AW101" s="888"/>
      <c r="AX101" s="888"/>
      <c r="AY101" s="887"/>
      <c r="AZ101" s="888"/>
      <c r="BA101" s="17">
        <f t="shared" si="419"/>
        <v>14.399999999999991</v>
      </c>
      <c r="BB101" s="17">
        <f t="shared" si="420"/>
        <v>37.799999999999997</v>
      </c>
      <c r="BC101" s="17">
        <f t="shared" si="421"/>
        <v>32</v>
      </c>
      <c r="BD101" s="17">
        <f t="shared" si="422"/>
        <v>85</v>
      </c>
      <c r="BE101" s="17">
        <f t="shared" si="423"/>
        <v>180.86341983910182</v>
      </c>
      <c r="BF101" s="17">
        <f t="shared" si="424"/>
        <v>24</v>
      </c>
      <c r="BG101" s="17">
        <f t="shared" si="425"/>
        <v>50</v>
      </c>
      <c r="BH101" s="17">
        <f t="shared" si="426"/>
        <v>65.062647806544774</v>
      </c>
      <c r="BI101" s="17">
        <f t="shared" si="427"/>
        <v>115.80077203255705</v>
      </c>
      <c r="BJ101" s="17">
        <f t="shared" si="428"/>
        <v>45</v>
      </c>
      <c r="BK101" s="17">
        <f t="shared" si="429"/>
        <v>85</v>
      </c>
      <c r="BL101" s="17">
        <f t="shared" si="430"/>
        <v>380.54120080897206</v>
      </c>
      <c r="BM101" s="17">
        <f t="shared" si="431"/>
        <v>24</v>
      </c>
      <c r="BN101" s="17">
        <f t="shared" si="432"/>
        <v>50</v>
      </c>
      <c r="BO101" s="17">
        <f t="shared" si="433"/>
        <v>65.062647806544774</v>
      </c>
      <c r="BP101" s="17">
        <f t="shared" si="434"/>
        <v>315.4785530024273</v>
      </c>
      <c r="BQ101" s="17">
        <f t="shared" si="435"/>
        <v>3250.5701760000002</v>
      </c>
      <c r="BR101" s="17">
        <f t="shared" si="436"/>
        <v>1238.3124479999992</v>
      </c>
      <c r="BS101" s="17">
        <f t="shared" si="437"/>
        <v>238.45881599999987</v>
      </c>
      <c r="BT101" s="17">
        <f t="shared" si="438"/>
        <v>625.95439199999998</v>
      </c>
      <c r="BU101" s="17">
        <f t="shared" si="439"/>
        <v>23269.68</v>
      </c>
      <c r="BV101" s="17">
        <f t="shared" si="440"/>
        <v>3412</v>
      </c>
      <c r="BW101" s="17">
        <f t="shared" si="441"/>
        <v>219.7280232</v>
      </c>
      <c r="BX101" s="17">
        <f t="shared" si="442"/>
        <v>17495.999999999989</v>
      </c>
      <c r="BY101" s="17">
        <f t="shared" si="443"/>
        <v>394.20103790591997</v>
      </c>
      <c r="BZ101" s="17"/>
      <c r="CA101" s="17">
        <f t="shared" si="444"/>
        <v>85810.166416660228</v>
      </c>
      <c r="CB101" s="17">
        <f t="shared" si="445"/>
        <v>241341.0930468569</v>
      </c>
      <c r="CC101" s="17">
        <f t="shared" si="446"/>
        <v>2071.4810322559756</v>
      </c>
      <c r="CD101" s="17">
        <f t="shared" si="447"/>
        <v>18643.32929030378</v>
      </c>
      <c r="CE101" s="17">
        <f t="shared" si="448"/>
        <v>48042.179237105913</v>
      </c>
      <c r="CF101" s="17">
        <f t="shared" si="449"/>
        <v>347866.0697860769</v>
      </c>
      <c r="CG101" s="17">
        <f t="shared" si="450"/>
        <v>395908.24902318278</v>
      </c>
      <c r="CH101" s="17">
        <f t="shared" si="451"/>
        <v>14.400000000000006</v>
      </c>
      <c r="CI101" s="17">
        <f t="shared" si="452"/>
        <v>-43.2</v>
      </c>
      <c r="CJ101" s="17">
        <f t="shared" si="453"/>
        <v>16</v>
      </c>
      <c r="CK101" s="17">
        <f t="shared" si="454"/>
        <v>90</v>
      </c>
      <c r="CL101" s="17">
        <f t="shared" si="455"/>
        <v>71.46880726181422</v>
      </c>
      <c r="CM101" s="17">
        <f t="shared" si="456"/>
        <v>24</v>
      </c>
      <c r="CN101" s="17">
        <f t="shared" si="457"/>
        <v>50</v>
      </c>
      <c r="CO101" s="17">
        <f t="shared" si="458"/>
        <v>65.062647806544774</v>
      </c>
      <c r="CP101" s="17">
        <f t="shared" si="459"/>
        <v>6.4061594552694459</v>
      </c>
      <c r="CQ101" s="17">
        <f t="shared" si="460"/>
        <v>0</v>
      </c>
      <c r="CR101" s="17">
        <f t="shared" si="461"/>
        <v>100</v>
      </c>
      <c r="CS101" s="17">
        <f t="shared" si="462"/>
        <v>26.404773030064671</v>
      </c>
      <c r="CT101" s="17">
        <f t="shared" si="463"/>
        <v>24</v>
      </c>
      <c r="CU101" s="17">
        <f t="shared" si="464"/>
        <v>50</v>
      </c>
      <c r="CV101" s="17">
        <f t="shared" si="465"/>
        <v>65.062647806544774</v>
      </c>
      <c r="CW101" s="17">
        <f t="shared" si="466"/>
        <v>-38.657874776480099</v>
      </c>
      <c r="CX101" s="17">
        <f t="shared" si="404"/>
        <v>-3714.9373440000004</v>
      </c>
      <c r="CY101" s="17">
        <f t="shared" si="404"/>
        <v>-3714.9373440000004</v>
      </c>
      <c r="CZ101" s="17">
        <f t="shared" si="467"/>
        <v>238.45881600000007</v>
      </c>
      <c r="DA101" s="17">
        <f t="shared" si="468"/>
        <v>-715.3764480000001</v>
      </c>
      <c r="DB101" s="17">
        <f t="shared" si="469"/>
        <v>-26593.920000000002</v>
      </c>
      <c r="DC101" s="17">
        <f t="shared" si="470"/>
        <v>3412</v>
      </c>
      <c r="DD101" s="17">
        <f t="shared" si="471"/>
        <v>219.7280232</v>
      </c>
      <c r="DE101" s="17">
        <f t="shared" si="472"/>
        <v>17496.000000000007</v>
      </c>
      <c r="DF101" s="17">
        <f t="shared" si="473"/>
        <v>-450.51547189248004</v>
      </c>
      <c r="DG101" s="17"/>
      <c r="DH101" s="17">
        <f t="shared" si="474"/>
        <v>-10514.941939202587</v>
      </c>
      <c r="DI101" s="17">
        <f t="shared" si="475"/>
        <v>-29573.274204007277</v>
      </c>
      <c r="DJ101" s="17">
        <f t="shared" si="476"/>
        <v>-253.8335921243721</v>
      </c>
      <c r="DK101" s="17">
        <f t="shared" si="477"/>
        <v>378.57451504750134</v>
      </c>
      <c r="DL101" s="17">
        <f t="shared" si="478"/>
        <v>-10108.562424692473</v>
      </c>
      <c r="DM101" s="17">
        <f t="shared" si="479"/>
        <v>-39963.475220286738</v>
      </c>
      <c r="DN101" s="17">
        <f t="shared" si="480"/>
        <v>-50072.037644979209</v>
      </c>
    </row>
    <row r="102" spans="3:120" ht="18.600000000000001">
      <c r="C102" s="13">
        <f>IF(D102&lt;&gt;"",COUNTA($D$10:D102),"")</f>
        <v>81</v>
      </c>
      <c r="D102" s="14" t="s">
        <v>212</v>
      </c>
      <c r="E102" s="14">
        <v>1.9</v>
      </c>
      <c r="F102" s="14">
        <v>2</v>
      </c>
      <c r="G102" s="14">
        <v>2.4</v>
      </c>
      <c r="H102" s="14">
        <v>2</v>
      </c>
      <c r="I102" s="14">
        <v>1</v>
      </c>
      <c r="J102" s="14">
        <v>1.75</v>
      </c>
      <c r="K102" s="14">
        <v>3</v>
      </c>
      <c r="L102" s="15">
        <v>0.1</v>
      </c>
      <c r="M102" s="15">
        <v>0</v>
      </c>
      <c r="N102" s="14">
        <v>24</v>
      </c>
      <c r="O102" s="14">
        <v>50</v>
      </c>
      <c r="P102" s="13">
        <v>45</v>
      </c>
      <c r="Q102" s="13">
        <v>85</v>
      </c>
      <c r="R102" s="13" t="s">
        <v>218</v>
      </c>
      <c r="S102" s="13">
        <v>20</v>
      </c>
      <c r="T102" s="13">
        <v>0</v>
      </c>
      <c r="U102" s="13">
        <v>100</v>
      </c>
      <c r="V102" s="13" t="str">
        <f t="shared" si="405"/>
        <v>NC</v>
      </c>
      <c r="W102" s="13">
        <f t="shared" si="406"/>
        <v>20</v>
      </c>
      <c r="X102" s="16">
        <f t="shared" si="407"/>
        <v>40.887999999999998</v>
      </c>
      <c r="Y102" s="16">
        <f t="shared" si="408"/>
        <v>321.87033599999995</v>
      </c>
      <c r="Z102" s="16">
        <f t="shared" si="409"/>
        <v>107.29011199999998</v>
      </c>
      <c r="AA102" s="16">
        <f t="shared" si="410"/>
        <v>10.729011199999999</v>
      </c>
      <c r="AB102" s="16">
        <f t="shared" si="411"/>
        <v>0</v>
      </c>
      <c r="AC102" s="16">
        <f t="shared" si="412"/>
        <v>0.9869843574177839</v>
      </c>
      <c r="AD102" s="16">
        <f t="shared" si="481"/>
        <v>1650</v>
      </c>
      <c r="AE102" s="16">
        <f t="shared" si="414"/>
        <v>1650</v>
      </c>
      <c r="AF102" s="16">
        <f t="shared" si="415"/>
        <v>6</v>
      </c>
      <c r="AG102" s="16">
        <f t="shared" si="416"/>
        <v>4.5</v>
      </c>
      <c r="AH102" s="838" t="s">
        <v>85</v>
      </c>
      <c r="AI102" s="17">
        <f t="shared" si="417"/>
        <v>4.5</v>
      </c>
      <c r="AJ102" s="17">
        <f t="shared" si="418"/>
        <v>4.5</v>
      </c>
      <c r="AK102" s="891"/>
      <c r="AL102" s="18"/>
      <c r="AM102" s="889"/>
      <c r="AN102" s="891"/>
      <c r="AO102" s="888"/>
      <c r="AP102" s="891"/>
      <c r="AQ102" s="891"/>
      <c r="AR102" s="889"/>
      <c r="AS102" s="888"/>
      <c r="AT102" s="888"/>
      <c r="AU102" s="890"/>
      <c r="AV102" s="888"/>
      <c r="AW102" s="888"/>
      <c r="AX102" s="888"/>
      <c r="AY102" s="887"/>
      <c r="AZ102" s="888"/>
      <c r="BA102" s="17">
        <f t="shared" si="419"/>
        <v>14.399999999999991</v>
      </c>
      <c r="BB102" s="17">
        <f t="shared" si="420"/>
        <v>37.799999999999997</v>
      </c>
      <c r="BC102" s="17">
        <f t="shared" si="421"/>
        <v>32</v>
      </c>
      <c r="BD102" s="17">
        <f t="shared" si="422"/>
        <v>85</v>
      </c>
      <c r="BE102" s="17">
        <f t="shared" si="423"/>
        <v>180.86341983910182</v>
      </c>
      <c r="BF102" s="17">
        <f t="shared" si="424"/>
        <v>24</v>
      </c>
      <c r="BG102" s="17">
        <f t="shared" si="425"/>
        <v>50</v>
      </c>
      <c r="BH102" s="17">
        <f t="shared" si="426"/>
        <v>65.062647806544774</v>
      </c>
      <c r="BI102" s="17">
        <f t="shared" si="427"/>
        <v>115.80077203255705</v>
      </c>
      <c r="BJ102" s="17">
        <f t="shared" si="428"/>
        <v>45</v>
      </c>
      <c r="BK102" s="17">
        <f t="shared" si="429"/>
        <v>85</v>
      </c>
      <c r="BL102" s="17">
        <f t="shared" si="430"/>
        <v>380.54120080897206</v>
      </c>
      <c r="BM102" s="17">
        <f t="shared" si="431"/>
        <v>24</v>
      </c>
      <c r="BN102" s="17">
        <f t="shared" si="432"/>
        <v>50</v>
      </c>
      <c r="BO102" s="17">
        <f t="shared" si="433"/>
        <v>65.062647806544774</v>
      </c>
      <c r="BP102" s="17">
        <f t="shared" si="434"/>
        <v>315.4785530024273</v>
      </c>
      <c r="BQ102" s="17">
        <f t="shared" si="435"/>
        <v>3426.2766719999991</v>
      </c>
      <c r="BR102" s="17">
        <f t="shared" si="436"/>
        <v>1305.2482559999989</v>
      </c>
      <c r="BS102" s="17">
        <f t="shared" si="437"/>
        <v>264.95423999999986</v>
      </c>
      <c r="BT102" s="17">
        <f t="shared" si="438"/>
        <v>695.50487999999984</v>
      </c>
      <c r="BU102" s="17">
        <f t="shared" si="439"/>
        <v>23269.68</v>
      </c>
      <c r="BV102" s="17">
        <f t="shared" si="440"/>
        <v>3412</v>
      </c>
      <c r="BW102" s="17">
        <f t="shared" si="441"/>
        <v>244.142248</v>
      </c>
      <c r="BX102" s="17">
        <f t="shared" si="442"/>
        <v>17495.999999999989</v>
      </c>
      <c r="BY102" s="17">
        <f t="shared" si="443"/>
        <v>438.00115322879992</v>
      </c>
      <c r="BZ102" s="17"/>
      <c r="CA102" s="17">
        <f t="shared" si="444"/>
        <v>85810.166416660228</v>
      </c>
      <c r="CB102" s="17">
        <f t="shared" si="445"/>
        <v>241341.0930468569</v>
      </c>
      <c r="CC102" s="17">
        <f t="shared" si="446"/>
        <v>2301.6455913955283</v>
      </c>
      <c r="CD102" s="17">
        <f t="shared" si="447"/>
        <v>20714.810322559752</v>
      </c>
      <c r="CE102" s="17">
        <f t="shared" si="448"/>
        <v>48286.100073228787</v>
      </c>
      <c r="CF102" s="17">
        <f t="shared" si="449"/>
        <v>350167.71537747234</v>
      </c>
      <c r="CG102" s="17">
        <f t="shared" si="450"/>
        <v>398453.81545070111</v>
      </c>
      <c r="CH102" s="17">
        <f t="shared" si="451"/>
        <v>14.400000000000006</v>
      </c>
      <c r="CI102" s="17">
        <f t="shared" si="452"/>
        <v>-43.2</v>
      </c>
      <c r="CJ102" s="17">
        <f t="shared" si="453"/>
        <v>16</v>
      </c>
      <c r="CK102" s="17">
        <f t="shared" si="454"/>
        <v>90</v>
      </c>
      <c r="CL102" s="17">
        <f t="shared" si="455"/>
        <v>71.46880726181422</v>
      </c>
      <c r="CM102" s="17">
        <f t="shared" si="456"/>
        <v>24</v>
      </c>
      <c r="CN102" s="17">
        <f t="shared" si="457"/>
        <v>50</v>
      </c>
      <c r="CO102" s="17">
        <f t="shared" si="458"/>
        <v>65.062647806544774</v>
      </c>
      <c r="CP102" s="17">
        <f t="shared" si="459"/>
        <v>6.4061594552694459</v>
      </c>
      <c r="CQ102" s="17">
        <f t="shared" si="460"/>
        <v>0</v>
      </c>
      <c r="CR102" s="17">
        <f t="shared" si="461"/>
        <v>100</v>
      </c>
      <c r="CS102" s="17">
        <f t="shared" si="462"/>
        <v>26.404773030064671</v>
      </c>
      <c r="CT102" s="17">
        <f t="shared" si="463"/>
        <v>24</v>
      </c>
      <c r="CU102" s="17">
        <f t="shared" si="464"/>
        <v>50</v>
      </c>
      <c r="CV102" s="17">
        <f t="shared" si="465"/>
        <v>65.062647806544774</v>
      </c>
      <c r="CW102" s="17">
        <f t="shared" si="466"/>
        <v>-38.657874776480099</v>
      </c>
      <c r="CX102" s="17">
        <f t="shared" si="404"/>
        <v>-3915.744768</v>
      </c>
      <c r="CY102" s="17">
        <f t="shared" si="404"/>
        <v>-3915.744768</v>
      </c>
      <c r="CZ102" s="17">
        <f t="shared" si="467"/>
        <v>264.95424000000008</v>
      </c>
      <c r="DA102" s="17">
        <f t="shared" si="468"/>
        <v>-794.86271999999997</v>
      </c>
      <c r="DB102" s="17">
        <f t="shared" si="469"/>
        <v>-26593.920000000002</v>
      </c>
      <c r="DC102" s="17">
        <f t="shared" si="470"/>
        <v>3412</v>
      </c>
      <c r="DD102" s="17">
        <f t="shared" si="471"/>
        <v>244.142248</v>
      </c>
      <c r="DE102" s="17">
        <f t="shared" si="472"/>
        <v>17496.000000000007</v>
      </c>
      <c r="DF102" s="17">
        <f t="shared" si="473"/>
        <v>-500.57274654719998</v>
      </c>
      <c r="DG102" s="17"/>
      <c r="DH102" s="17">
        <f t="shared" si="474"/>
        <v>-10514.941939202587</v>
      </c>
      <c r="DI102" s="17">
        <f t="shared" si="475"/>
        <v>-29573.274204007277</v>
      </c>
      <c r="DJ102" s="17">
        <f t="shared" si="476"/>
        <v>-282.03732458263568</v>
      </c>
      <c r="DK102" s="17">
        <f t="shared" si="477"/>
        <v>420.63835005277923</v>
      </c>
      <c r="DL102" s="17">
        <f t="shared" si="478"/>
        <v>-10388.003746547192</v>
      </c>
      <c r="DM102" s="17">
        <f t="shared" si="479"/>
        <v>-39949.615117739719</v>
      </c>
      <c r="DN102" s="17">
        <f t="shared" si="480"/>
        <v>-50337.618864286909</v>
      </c>
    </row>
    <row r="103" spans="3:120" ht="18.600000000000001">
      <c r="C103" s="13">
        <f>IF(D103&lt;&gt;"",COUNTA($D$10:D103),"")</f>
        <v>82</v>
      </c>
      <c r="D103" s="14" t="s">
        <v>213</v>
      </c>
      <c r="E103" s="14">
        <v>2.2999999999999998</v>
      </c>
      <c r="F103" s="14">
        <v>2.2000000000000002</v>
      </c>
      <c r="G103" s="14">
        <v>2.4</v>
      </c>
      <c r="H103" s="14">
        <v>2</v>
      </c>
      <c r="I103" s="14">
        <v>1</v>
      </c>
      <c r="J103" s="14">
        <v>1.75</v>
      </c>
      <c r="K103" s="14">
        <v>3</v>
      </c>
      <c r="L103" s="15">
        <v>0.1</v>
      </c>
      <c r="M103" s="15">
        <v>0</v>
      </c>
      <c r="N103" s="14">
        <v>24</v>
      </c>
      <c r="O103" s="14">
        <v>50</v>
      </c>
      <c r="P103" s="13">
        <v>45</v>
      </c>
      <c r="Q103" s="13">
        <v>85</v>
      </c>
      <c r="R103" s="13" t="s">
        <v>218</v>
      </c>
      <c r="S103" s="13">
        <v>20</v>
      </c>
      <c r="T103" s="13">
        <v>0</v>
      </c>
      <c r="U103" s="13">
        <v>100</v>
      </c>
      <c r="V103" s="13" t="str">
        <f t="shared" si="405"/>
        <v>NC</v>
      </c>
      <c r="W103" s="13">
        <f t="shared" si="406"/>
        <v>20</v>
      </c>
      <c r="X103" s="16">
        <f t="shared" si="407"/>
        <v>54.445599999999992</v>
      </c>
      <c r="Y103" s="16">
        <f t="shared" si="408"/>
        <v>428.59576319999991</v>
      </c>
      <c r="Z103" s="16">
        <f t="shared" si="409"/>
        <v>142.86525439999997</v>
      </c>
      <c r="AA103" s="16">
        <f t="shared" si="410"/>
        <v>14.286525439999998</v>
      </c>
      <c r="AB103" s="16">
        <f t="shared" si="411"/>
        <v>0</v>
      </c>
      <c r="AC103" s="16">
        <f t="shared" si="412"/>
        <v>1.31424759171947</v>
      </c>
      <c r="AD103" s="16">
        <f t="shared" si="481"/>
        <v>1675</v>
      </c>
      <c r="AE103" s="16">
        <f t="shared" si="414"/>
        <v>1675</v>
      </c>
      <c r="AF103" s="16">
        <f t="shared" si="415"/>
        <v>6</v>
      </c>
      <c r="AG103" s="16">
        <f t="shared" si="416"/>
        <v>4.5</v>
      </c>
      <c r="AH103" s="838" t="s">
        <v>85</v>
      </c>
      <c r="AI103" s="17">
        <f t="shared" si="417"/>
        <v>4.5</v>
      </c>
      <c r="AJ103" s="17">
        <f t="shared" si="418"/>
        <v>4.5</v>
      </c>
      <c r="AK103" s="891"/>
      <c r="AL103" s="18"/>
      <c r="AM103" s="889"/>
      <c r="AN103" s="891"/>
      <c r="AO103" s="888"/>
      <c r="AP103" s="891"/>
      <c r="AQ103" s="891"/>
      <c r="AR103" s="889"/>
      <c r="AS103" s="888"/>
      <c r="AT103" s="888"/>
      <c r="AU103" s="890"/>
      <c r="AV103" s="888"/>
      <c r="AW103" s="888"/>
      <c r="AX103" s="888"/>
      <c r="AY103" s="887"/>
      <c r="AZ103" s="888"/>
      <c r="BA103" s="17">
        <f t="shared" si="419"/>
        <v>14.399999999999991</v>
      </c>
      <c r="BB103" s="17">
        <f t="shared" si="420"/>
        <v>37.799999999999997</v>
      </c>
      <c r="BC103" s="17">
        <f t="shared" si="421"/>
        <v>32</v>
      </c>
      <c r="BD103" s="17">
        <f t="shared" si="422"/>
        <v>85</v>
      </c>
      <c r="BE103" s="17">
        <f t="shared" si="423"/>
        <v>180.86341983910182</v>
      </c>
      <c r="BF103" s="17">
        <f t="shared" si="424"/>
        <v>24</v>
      </c>
      <c r="BG103" s="17">
        <f t="shared" si="425"/>
        <v>50</v>
      </c>
      <c r="BH103" s="17">
        <f t="shared" si="426"/>
        <v>65.062647806544774</v>
      </c>
      <c r="BI103" s="17">
        <f t="shared" si="427"/>
        <v>115.80077203255705</v>
      </c>
      <c r="BJ103" s="17">
        <f t="shared" si="428"/>
        <v>45</v>
      </c>
      <c r="BK103" s="17">
        <f t="shared" si="429"/>
        <v>85</v>
      </c>
      <c r="BL103" s="17">
        <f t="shared" si="430"/>
        <v>380.54120080897206</v>
      </c>
      <c r="BM103" s="17">
        <f t="shared" si="431"/>
        <v>24</v>
      </c>
      <c r="BN103" s="17">
        <f t="shared" si="432"/>
        <v>50</v>
      </c>
      <c r="BO103" s="17">
        <f t="shared" si="433"/>
        <v>65.062647806544774</v>
      </c>
      <c r="BP103" s="17">
        <f t="shared" si="434"/>
        <v>315.4785530024273</v>
      </c>
      <c r="BQ103" s="17">
        <f t="shared" si="435"/>
        <v>3953.3961599999993</v>
      </c>
      <c r="BR103" s="17">
        <f t="shared" si="436"/>
        <v>1506.0556799999993</v>
      </c>
      <c r="BS103" s="17">
        <f t="shared" si="437"/>
        <v>352.80748799999975</v>
      </c>
      <c r="BT103" s="17">
        <f t="shared" si="438"/>
        <v>926.11965599999974</v>
      </c>
      <c r="BU103" s="17">
        <f t="shared" si="439"/>
        <v>23269.68</v>
      </c>
      <c r="BV103" s="17">
        <f t="shared" si="440"/>
        <v>3412</v>
      </c>
      <c r="BW103" s="17">
        <f t="shared" si="441"/>
        <v>325.0946775999999</v>
      </c>
      <c r="BX103" s="17">
        <f t="shared" si="442"/>
        <v>17495.999999999989</v>
      </c>
      <c r="BY103" s="17">
        <f t="shared" si="443"/>
        <v>583.23311456255999</v>
      </c>
      <c r="BZ103" s="17"/>
      <c r="CA103" s="17">
        <f t="shared" si="444"/>
        <v>85810.166416660228</v>
      </c>
      <c r="CB103" s="17">
        <f t="shared" si="445"/>
        <v>241341.0930468569</v>
      </c>
      <c r="CC103" s="17">
        <f t="shared" si="446"/>
        <v>3064.8228138056247</v>
      </c>
      <c r="CD103" s="17">
        <f t="shared" si="447"/>
        <v>27583.405324250623</v>
      </c>
      <c r="CE103" s="17">
        <f t="shared" si="448"/>
        <v>49039.403952162545</v>
      </c>
      <c r="CF103" s="17">
        <f t="shared" si="449"/>
        <v>357799.48760157335</v>
      </c>
      <c r="CG103" s="17">
        <f t="shared" si="450"/>
        <v>406838.89155373588</v>
      </c>
      <c r="CH103" s="17">
        <f t="shared" si="451"/>
        <v>14.400000000000006</v>
      </c>
      <c r="CI103" s="17">
        <f t="shared" si="452"/>
        <v>-43.2</v>
      </c>
      <c r="CJ103" s="17">
        <f t="shared" si="453"/>
        <v>16</v>
      </c>
      <c r="CK103" s="17">
        <f t="shared" si="454"/>
        <v>90</v>
      </c>
      <c r="CL103" s="17">
        <f t="shared" si="455"/>
        <v>71.46880726181422</v>
      </c>
      <c r="CM103" s="17">
        <f t="shared" si="456"/>
        <v>24</v>
      </c>
      <c r="CN103" s="17">
        <f t="shared" si="457"/>
        <v>50</v>
      </c>
      <c r="CO103" s="17">
        <f t="shared" si="458"/>
        <v>65.062647806544774</v>
      </c>
      <c r="CP103" s="17">
        <f t="shared" si="459"/>
        <v>6.4061594552694459</v>
      </c>
      <c r="CQ103" s="17">
        <f t="shared" si="460"/>
        <v>0</v>
      </c>
      <c r="CR103" s="17">
        <f t="shared" si="461"/>
        <v>100</v>
      </c>
      <c r="CS103" s="17">
        <f t="shared" si="462"/>
        <v>26.404773030064671</v>
      </c>
      <c r="CT103" s="17">
        <f t="shared" si="463"/>
        <v>24</v>
      </c>
      <c r="CU103" s="17">
        <f t="shared" si="464"/>
        <v>50</v>
      </c>
      <c r="CV103" s="17">
        <f t="shared" si="465"/>
        <v>65.062647806544774</v>
      </c>
      <c r="CW103" s="17">
        <f t="shared" si="466"/>
        <v>-38.657874776480099</v>
      </c>
      <c r="CX103" s="17">
        <f t="shared" si="404"/>
        <v>-4518.1670400000012</v>
      </c>
      <c r="CY103" s="17">
        <f t="shared" si="404"/>
        <v>-4518.1670400000012</v>
      </c>
      <c r="CZ103" s="17">
        <f t="shared" si="467"/>
        <v>352.80748800000009</v>
      </c>
      <c r="DA103" s="17">
        <f t="shared" si="468"/>
        <v>-1058.422464</v>
      </c>
      <c r="DB103" s="17">
        <f t="shared" si="469"/>
        <v>-26593.920000000002</v>
      </c>
      <c r="DC103" s="17">
        <f t="shared" si="470"/>
        <v>3412</v>
      </c>
      <c r="DD103" s="17">
        <f t="shared" si="471"/>
        <v>325.0946775999999</v>
      </c>
      <c r="DE103" s="17">
        <f t="shared" si="472"/>
        <v>17496.000000000007</v>
      </c>
      <c r="DF103" s="17">
        <f t="shared" si="473"/>
        <v>-666.55213092864005</v>
      </c>
      <c r="DG103" s="17"/>
      <c r="DH103" s="17">
        <f t="shared" si="474"/>
        <v>-10514.941939202587</v>
      </c>
      <c r="DI103" s="17">
        <f t="shared" si="475"/>
        <v>-29573.274204007277</v>
      </c>
      <c r="DJ103" s="17">
        <f t="shared" si="476"/>
        <v>-375.55496378635172</v>
      </c>
      <c r="DK103" s="17">
        <f t="shared" si="477"/>
        <v>560.11317138606921</v>
      </c>
      <c r="DL103" s="17">
        <f t="shared" si="478"/>
        <v>-11251.159469328637</v>
      </c>
      <c r="DM103" s="17">
        <f t="shared" si="479"/>
        <v>-39903.65793561015</v>
      </c>
      <c r="DN103" s="17">
        <f t="shared" si="480"/>
        <v>-51154.817404938789</v>
      </c>
    </row>
    <row r="104" spans="3:120" ht="18.600000000000001">
      <c r="C104" s="13">
        <f>IF(D104&lt;&gt;"",COUNTA($D$10:D104),"")</f>
        <v>83</v>
      </c>
      <c r="D104" s="14" t="s">
        <v>214</v>
      </c>
      <c r="E104" s="14">
        <v>2.2000000000000002</v>
      </c>
      <c r="F104" s="14">
        <v>2.8</v>
      </c>
      <c r="G104" s="14">
        <v>2.4</v>
      </c>
      <c r="H104" s="14">
        <v>2</v>
      </c>
      <c r="I104" s="14">
        <v>1</v>
      </c>
      <c r="J104" s="14">
        <v>1.75</v>
      </c>
      <c r="K104" s="14">
        <v>3</v>
      </c>
      <c r="L104" s="15">
        <v>0.1</v>
      </c>
      <c r="M104" s="15">
        <v>0</v>
      </c>
      <c r="N104" s="14">
        <v>24</v>
      </c>
      <c r="O104" s="14">
        <v>50</v>
      </c>
      <c r="P104" s="13">
        <v>45</v>
      </c>
      <c r="Q104" s="13">
        <v>85</v>
      </c>
      <c r="R104" s="13" t="s">
        <v>218</v>
      </c>
      <c r="S104" s="13">
        <v>20</v>
      </c>
      <c r="T104" s="13">
        <v>0</v>
      </c>
      <c r="U104" s="13">
        <v>100</v>
      </c>
      <c r="V104" s="13" t="str">
        <f t="shared" si="405"/>
        <v>NC</v>
      </c>
      <c r="W104" s="13">
        <f t="shared" si="406"/>
        <v>20</v>
      </c>
      <c r="X104" s="16">
        <f t="shared" si="407"/>
        <v>66.281599999999997</v>
      </c>
      <c r="Y104" s="16">
        <f t="shared" si="408"/>
        <v>521.76875519999999</v>
      </c>
      <c r="Z104" s="16">
        <f t="shared" si="409"/>
        <v>173.92291839999999</v>
      </c>
      <c r="AA104" s="16">
        <f t="shared" si="410"/>
        <v>17.392291839999999</v>
      </c>
      <c r="AB104" s="16">
        <f t="shared" si="411"/>
        <v>0</v>
      </c>
      <c r="AC104" s="16">
        <f t="shared" si="412"/>
        <v>1.5999535899193549</v>
      </c>
      <c r="AD104" s="16">
        <f t="shared" si="481"/>
        <v>1700</v>
      </c>
      <c r="AE104" s="16">
        <f t="shared" si="414"/>
        <v>1700</v>
      </c>
      <c r="AF104" s="16">
        <f t="shared" si="415"/>
        <v>6</v>
      </c>
      <c r="AG104" s="16">
        <f t="shared" si="416"/>
        <v>4.5</v>
      </c>
      <c r="AH104" s="838" t="s">
        <v>85</v>
      </c>
      <c r="AI104" s="17">
        <f t="shared" si="417"/>
        <v>4.5</v>
      </c>
      <c r="AJ104" s="17">
        <f t="shared" si="418"/>
        <v>4.5</v>
      </c>
      <c r="AK104" s="891"/>
      <c r="AL104" s="18"/>
      <c r="AM104" s="889"/>
      <c r="AN104" s="891"/>
      <c r="AO104" s="888"/>
      <c r="AP104" s="891"/>
      <c r="AQ104" s="891"/>
      <c r="AR104" s="889"/>
      <c r="AS104" s="888"/>
      <c r="AT104" s="888"/>
      <c r="AU104" s="890"/>
      <c r="AV104" s="888"/>
      <c r="AW104" s="888"/>
      <c r="AX104" s="888"/>
      <c r="AY104" s="887"/>
      <c r="AZ104" s="888"/>
      <c r="BA104" s="17">
        <f t="shared" si="419"/>
        <v>14.399999999999991</v>
      </c>
      <c r="BB104" s="17">
        <f t="shared" si="420"/>
        <v>37.799999999999997</v>
      </c>
      <c r="BC104" s="17">
        <f t="shared" si="421"/>
        <v>32</v>
      </c>
      <c r="BD104" s="17">
        <f t="shared" si="422"/>
        <v>85</v>
      </c>
      <c r="BE104" s="17">
        <f t="shared" si="423"/>
        <v>180.86341983910182</v>
      </c>
      <c r="BF104" s="17">
        <f t="shared" si="424"/>
        <v>24</v>
      </c>
      <c r="BG104" s="17">
        <f t="shared" si="425"/>
        <v>50</v>
      </c>
      <c r="BH104" s="17">
        <f t="shared" si="426"/>
        <v>65.062647806544774</v>
      </c>
      <c r="BI104" s="17">
        <f t="shared" si="427"/>
        <v>115.80077203255705</v>
      </c>
      <c r="BJ104" s="17">
        <f t="shared" si="428"/>
        <v>45</v>
      </c>
      <c r="BK104" s="17">
        <f t="shared" si="429"/>
        <v>85</v>
      </c>
      <c r="BL104" s="17">
        <f t="shared" si="430"/>
        <v>380.54120080897206</v>
      </c>
      <c r="BM104" s="17">
        <f t="shared" si="431"/>
        <v>24</v>
      </c>
      <c r="BN104" s="17">
        <f t="shared" si="432"/>
        <v>50</v>
      </c>
      <c r="BO104" s="17">
        <f t="shared" si="433"/>
        <v>65.062647806544774</v>
      </c>
      <c r="BP104" s="17">
        <f t="shared" si="434"/>
        <v>315.4785530024273</v>
      </c>
      <c r="BQ104" s="17">
        <f t="shared" si="435"/>
        <v>4392.6624000000002</v>
      </c>
      <c r="BR104" s="17">
        <f t="shared" si="436"/>
        <v>1673.3951999999992</v>
      </c>
      <c r="BS104" s="17">
        <f t="shared" si="437"/>
        <v>429.50476799999973</v>
      </c>
      <c r="BT104" s="17">
        <f t="shared" si="438"/>
        <v>1127.4500159999998</v>
      </c>
      <c r="BU104" s="17">
        <f t="shared" si="439"/>
        <v>23269.68</v>
      </c>
      <c r="BV104" s="17">
        <f t="shared" si="440"/>
        <v>3412</v>
      </c>
      <c r="BW104" s="17">
        <f t="shared" si="441"/>
        <v>395.76743359999995</v>
      </c>
      <c r="BX104" s="17">
        <f t="shared" si="442"/>
        <v>17495.999999999989</v>
      </c>
      <c r="BY104" s="17">
        <f t="shared" si="443"/>
        <v>710.02292207615994</v>
      </c>
      <c r="BZ104" s="17"/>
      <c r="CA104" s="17">
        <f t="shared" si="444"/>
        <v>85810.166416660228</v>
      </c>
      <c r="CB104" s="17">
        <f t="shared" si="445"/>
        <v>241341.0930468569</v>
      </c>
      <c r="CC104" s="17">
        <f t="shared" si="446"/>
        <v>3731.0886428938043</v>
      </c>
      <c r="CD104" s="17">
        <f t="shared" si="447"/>
        <v>33579.797786044233</v>
      </c>
      <c r="CE104" s="17">
        <f t="shared" si="448"/>
        <v>49676.132755676146</v>
      </c>
      <c r="CF104" s="17">
        <f t="shared" si="449"/>
        <v>364462.14589245518</v>
      </c>
      <c r="CG104" s="17">
        <f t="shared" si="450"/>
        <v>414138.27864813135</v>
      </c>
      <c r="CH104" s="17">
        <f t="shared" si="451"/>
        <v>14.400000000000006</v>
      </c>
      <c r="CI104" s="17">
        <f t="shared" si="452"/>
        <v>-43.2</v>
      </c>
      <c r="CJ104" s="17">
        <f t="shared" si="453"/>
        <v>16</v>
      </c>
      <c r="CK104" s="17">
        <f t="shared" si="454"/>
        <v>90</v>
      </c>
      <c r="CL104" s="17">
        <f t="shared" si="455"/>
        <v>71.46880726181422</v>
      </c>
      <c r="CM104" s="17">
        <f t="shared" si="456"/>
        <v>24</v>
      </c>
      <c r="CN104" s="17">
        <f t="shared" si="457"/>
        <v>50</v>
      </c>
      <c r="CO104" s="17">
        <f t="shared" si="458"/>
        <v>65.062647806544774</v>
      </c>
      <c r="CP104" s="17">
        <f t="shared" si="459"/>
        <v>6.4061594552694459</v>
      </c>
      <c r="CQ104" s="17">
        <f t="shared" si="460"/>
        <v>0</v>
      </c>
      <c r="CR104" s="17">
        <f t="shared" si="461"/>
        <v>100</v>
      </c>
      <c r="CS104" s="17">
        <f t="shared" si="462"/>
        <v>26.404773030064671</v>
      </c>
      <c r="CT104" s="17">
        <f t="shared" si="463"/>
        <v>24</v>
      </c>
      <c r="CU104" s="17">
        <f t="shared" si="464"/>
        <v>50</v>
      </c>
      <c r="CV104" s="17">
        <f t="shared" si="465"/>
        <v>65.062647806544774</v>
      </c>
      <c r="CW104" s="17">
        <f t="shared" si="466"/>
        <v>-38.657874776480099</v>
      </c>
      <c r="CX104" s="17">
        <f t="shared" si="404"/>
        <v>-5020.1856000000007</v>
      </c>
      <c r="CY104" s="17">
        <f t="shared" si="404"/>
        <v>-5020.1856000000007</v>
      </c>
      <c r="CZ104" s="17">
        <f t="shared" si="467"/>
        <v>429.50476800000018</v>
      </c>
      <c r="DA104" s="17">
        <f t="shared" si="468"/>
        <v>-1288.514304</v>
      </c>
      <c r="DB104" s="17">
        <f t="shared" si="469"/>
        <v>-26593.920000000002</v>
      </c>
      <c r="DC104" s="17">
        <f t="shared" si="470"/>
        <v>3412</v>
      </c>
      <c r="DD104" s="17">
        <f t="shared" si="471"/>
        <v>395.76743359999995</v>
      </c>
      <c r="DE104" s="17">
        <f t="shared" si="472"/>
        <v>17496.000000000007</v>
      </c>
      <c r="DF104" s="17">
        <f t="shared" si="473"/>
        <v>-811.45476808704007</v>
      </c>
      <c r="DG104" s="17"/>
      <c r="DH104" s="17">
        <f t="shared" si="474"/>
        <v>-10514.941939202587</v>
      </c>
      <c r="DI104" s="17">
        <f t="shared" si="475"/>
        <v>-29573.274204007277</v>
      </c>
      <c r="DJ104" s="17">
        <f t="shared" si="476"/>
        <v>-457.19734721816735</v>
      </c>
      <c r="DK104" s="17">
        <f t="shared" si="477"/>
        <v>681.87690429608426</v>
      </c>
      <c r="DL104" s="17">
        <f t="shared" si="478"/>
        <v>-11980.802470487039</v>
      </c>
      <c r="DM104" s="17">
        <f t="shared" si="479"/>
        <v>-39863.536586131951</v>
      </c>
      <c r="DN104" s="17">
        <f t="shared" si="480"/>
        <v>-51844.339056618992</v>
      </c>
    </row>
    <row r="105" spans="3:120" ht="18.600000000000001">
      <c r="C105" s="13">
        <f>IF(D105&lt;&gt;"",COUNTA($D$10:D105),"")</f>
        <v>84</v>
      </c>
      <c r="D105" s="14" t="s">
        <v>215</v>
      </c>
      <c r="E105" s="14">
        <v>2.8</v>
      </c>
      <c r="F105" s="14">
        <v>2.4</v>
      </c>
      <c r="G105" s="14">
        <v>2.4</v>
      </c>
      <c r="H105" s="14">
        <v>2</v>
      </c>
      <c r="I105" s="14">
        <v>1</v>
      </c>
      <c r="J105" s="14">
        <v>1.75</v>
      </c>
      <c r="K105" s="14">
        <v>3</v>
      </c>
      <c r="L105" s="15">
        <v>0.1</v>
      </c>
      <c r="M105" s="15">
        <v>0</v>
      </c>
      <c r="N105" s="14">
        <v>24</v>
      </c>
      <c r="O105" s="14">
        <v>50</v>
      </c>
      <c r="P105" s="13">
        <v>45</v>
      </c>
      <c r="Q105" s="13">
        <v>85</v>
      </c>
      <c r="R105" s="13" t="s">
        <v>218</v>
      </c>
      <c r="S105" s="13">
        <v>20</v>
      </c>
      <c r="T105" s="13">
        <v>0</v>
      </c>
      <c r="U105" s="13">
        <v>100</v>
      </c>
      <c r="V105" s="13" t="str">
        <f t="shared" si="405"/>
        <v>NC</v>
      </c>
      <c r="W105" s="13">
        <f t="shared" si="406"/>
        <v>20</v>
      </c>
      <c r="X105" s="16">
        <f t="shared" si="407"/>
        <v>72.307199999999995</v>
      </c>
      <c r="Y105" s="16">
        <f t="shared" si="408"/>
        <v>569.20227839999995</v>
      </c>
      <c r="Z105" s="16">
        <f t="shared" si="409"/>
        <v>189.73409279999998</v>
      </c>
      <c r="AA105" s="16">
        <f t="shared" si="410"/>
        <v>18.973409279999998</v>
      </c>
      <c r="AB105" s="16">
        <f t="shared" si="411"/>
        <v>0</v>
      </c>
      <c r="AC105" s="16">
        <f t="shared" si="412"/>
        <v>1.7454039162756598</v>
      </c>
      <c r="AD105" s="16">
        <f t="shared" si="481"/>
        <v>1725</v>
      </c>
      <c r="AE105" s="16">
        <f t="shared" si="414"/>
        <v>1725</v>
      </c>
      <c r="AF105" s="16">
        <f t="shared" si="415"/>
        <v>6</v>
      </c>
      <c r="AG105" s="16">
        <f t="shared" si="416"/>
        <v>4.5</v>
      </c>
      <c r="AH105" s="838" t="s">
        <v>85</v>
      </c>
      <c r="AI105" s="17">
        <f t="shared" si="417"/>
        <v>4.5</v>
      </c>
      <c r="AJ105" s="17">
        <f t="shared" si="418"/>
        <v>4.5</v>
      </c>
      <c r="AK105" s="891"/>
      <c r="AL105" s="18"/>
      <c r="AM105" s="889"/>
      <c r="AN105" s="891"/>
      <c r="AO105" s="888"/>
      <c r="AP105" s="891"/>
      <c r="AQ105" s="891"/>
      <c r="AR105" s="889"/>
      <c r="AS105" s="888"/>
      <c r="AT105" s="888"/>
      <c r="AU105" s="890"/>
      <c r="AV105" s="888"/>
      <c r="AW105" s="888"/>
      <c r="AX105" s="888"/>
      <c r="AY105" s="887"/>
      <c r="AZ105" s="888"/>
      <c r="BA105" s="17">
        <f t="shared" si="419"/>
        <v>14.399999999999991</v>
      </c>
      <c r="BB105" s="17">
        <f t="shared" si="420"/>
        <v>37.799999999999997</v>
      </c>
      <c r="BC105" s="17">
        <f t="shared" si="421"/>
        <v>32</v>
      </c>
      <c r="BD105" s="17">
        <f t="shared" si="422"/>
        <v>85</v>
      </c>
      <c r="BE105" s="17">
        <f t="shared" si="423"/>
        <v>180.86341983910182</v>
      </c>
      <c r="BF105" s="17">
        <f t="shared" si="424"/>
        <v>24</v>
      </c>
      <c r="BG105" s="17">
        <f t="shared" si="425"/>
        <v>50</v>
      </c>
      <c r="BH105" s="17">
        <f t="shared" si="426"/>
        <v>65.062647806544774</v>
      </c>
      <c r="BI105" s="17">
        <f t="shared" si="427"/>
        <v>115.80077203255705</v>
      </c>
      <c r="BJ105" s="17">
        <f t="shared" si="428"/>
        <v>45</v>
      </c>
      <c r="BK105" s="17">
        <f t="shared" si="429"/>
        <v>85</v>
      </c>
      <c r="BL105" s="17">
        <f t="shared" si="430"/>
        <v>380.54120080897206</v>
      </c>
      <c r="BM105" s="17">
        <f t="shared" si="431"/>
        <v>24</v>
      </c>
      <c r="BN105" s="17">
        <f t="shared" si="432"/>
        <v>50</v>
      </c>
      <c r="BO105" s="17">
        <f t="shared" si="433"/>
        <v>65.062647806544774</v>
      </c>
      <c r="BP105" s="17">
        <f t="shared" si="434"/>
        <v>315.4785530024273</v>
      </c>
      <c r="BQ105" s="17">
        <f t="shared" si="435"/>
        <v>4568.368895999999</v>
      </c>
      <c r="BR105" s="17">
        <f t="shared" si="436"/>
        <v>1740.331007999999</v>
      </c>
      <c r="BS105" s="17">
        <f t="shared" si="437"/>
        <v>468.55065599999972</v>
      </c>
      <c r="BT105" s="17">
        <f t="shared" si="438"/>
        <v>1229.9454719999999</v>
      </c>
      <c r="BU105" s="17">
        <f t="shared" si="439"/>
        <v>23269.68</v>
      </c>
      <c r="BV105" s="17">
        <f t="shared" si="440"/>
        <v>3412</v>
      </c>
      <c r="BW105" s="17">
        <f t="shared" si="441"/>
        <v>431.74629119999997</v>
      </c>
      <c r="BX105" s="17">
        <f t="shared" si="442"/>
        <v>17495.999999999989</v>
      </c>
      <c r="BY105" s="17">
        <f t="shared" si="443"/>
        <v>774.57046044671995</v>
      </c>
      <c r="BZ105" s="17"/>
      <c r="CA105" s="17">
        <f t="shared" si="444"/>
        <v>85810.166416660228</v>
      </c>
      <c r="CB105" s="17">
        <f t="shared" si="445"/>
        <v>241341.0930468569</v>
      </c>
      <c r="CC105" s="17">
        <f t="shared" si="446"/>
        <v>4070.2785195205133</v>
      </c>
      <c r="CD105" s="17">
        <f t="shared" si="447"/>
        <v>36632.506675684621</v>
      </c>
      <c r="CE105" s="17">
        <f t="shared" si="448"/>
        <v>49952.365647646708</v>
      </c>
      <c r="CF105" s="17">
        <f t="shared" si="449"/>
        <v>367854.04465872224</v>
      </c>
      <c r="CG105" s="17">
        <f t="shared" si="450"/>
        <v>417806.41030636895</v>
      </c>
      <c r="CH105" s="17">
        <f t="shared" si="451"/>
        <v>14.400000000000006</v>
      </c>
      <c r="CI105" s="17">
        <f t="shared" si="452"/>
        <v>-43.2</v>
      </c>
      <c r="CJ105" s="17">
        <f t="shared" si="453"/>
        <v>16</v>
      </c>
      <c r="CK105" s="17">
        <f t="shared" si="454"/>
        <v>90</v>
      </c>
      <c r="CL105" s="17">
        <f t="shared" si="455"/>
        <v>71.46880726181422</v>
      </c>
      <c r="CM105" s="17">
        <f t="shared" si="456"/>
        <v>24</v>
      </c>
      <c r="CN105" s="17">
        <f t="shared" si="457"/>
        <v>50</v>
      </c>
      <c r="CO105" s="17">
        <f t="shared" si="458"/>
        <v>65.062647806544774</v>
      </c>
      <c r="CP105" s="17">
        <f t="shared" si="459"/>
        <v>6.4061594552694459</v>
      </c>
      <c r="CQ105" s="17">
        <f t="shared" si="460"/>
        <v>0</v>
      </c>
      <c r="CR105" s="17">
        <f t="shared" si="461"/>
        <v>100</v>
      </c>
      <c r="CS105" s="17">
        <f t="shared" si="462"/>
        <v>26.404773030064671</v>
      </c>
      <c r="CT105" s="17">
        <f t="shared" si="463"/>
        <v>24</v>
      </c>
      <c r="CU105" s="17">
        <f t="shared" si="464"/>
        <v>50</v>
      </c>
      <c r="CV105" s="17">
        <f t="shared" si="465"/>
        <v>65.062647806544774</v>
      </c>
      <c r="CW105" s="17">
        <f t="shared" si="466"/>
        <v>-38.657874776480099</v>
      </c>
      <c r="CX105" s="17">
        <f t="shared" si="404"/>
        <v>-5220.9930240000003</v>
      </c>
      <c r="CY105" s="17">
        <f t="shared" si="404"/>
        <v>-5220.9930240000003</v>
      </c>
      <c r="CZ105" s="17">
        <f t="shared" si="467"/>
        <v>468.55065600000012</v>
      </c>
      <c r="DA105" s="17">
        <f t="shared" si="468"/>
        <v>-1405.6519680000001</v>
      </c>
      <c r="DB105" s="17">
        <f t="shared" si="469"/>
        <v>-26593.920000000002</v>
      </c>
      <c r="DC105" s="17">
        <f t="shared" si="470"/>
        <v>3412</v>
      </c>
      <c r="DD105" s="17">
        <f t="shared" si="471"/>
        <v>431.74629119999997</v>
      </c>
      <c r="DE105" s="17">
        <f t="shared" si="472"/>
        <v>17496.000000000007</v>
      </c>
      <c r="DF105" s="17">
        <f t="shared" si="473"/>
        <v>-885.22338336768007</v>
      </c>
      <c r="DG105" s="17"/>
      <c r="DH105" s="17">
        <f t="shared" si="474"/>
        <v>-10514.941939202587</v>
      </c>
      <c r="DI105" s="17">
        <f t="shared" si="475"/>
        <v>-29573.274204007277</v>
      </c>
      <c r="DJ105" s="17">
        <f t="shared" si="476"/>
        <v>-498.76074241981888</v>
      </c>
      <c r="DK105" s="17">
        <f t="shared" si="477"/>
        <v>743.8657137775466</v>
      </c>
      <c r="DL105" s="17">
        <f t="shared" si="478"/>
        <v>-12297.491428167672</v>
      </c>
      <c r="DM105" s="17">
        <f t="shared" si="479"/>
        <v>-39843.111171852142</v>
      </c>
      <c r="DN105" s="17">
        <f t="shared" si="480"/>
        <v>-52140.602600019818</v>
      </c>
    </row>
    <row r="106" spans="3:120">
      <c r="C106" s="13" t="str">
        <f>IF(D106&lt;&gt;"",COUNTA($D$10:D106),"")</f>
        <v/>
      </c>
      <c r="D106" s="19"/>
      <c r="E106" s="19"/>
      <c r="F106" s="19"/>
      <c r="G106" s="19"/>
      <c r="H106" s="19"/>
      <c r="I106" s="19"/>
      <c r="J106" s="19"/>
      <c r="K106" s="19"/>
      <c r="L106" s="19"/>
      <c r="M106" s="19"/>
      <c r="N106" s="19"/>
      <c r="O106" s="19"/>
      <c r="P106" s="19"/>
      <c r="Q106" s="19"/>
      <c r="R106" s="19"/>
      <c r="S106" s="19"/>
      <c r="T106" s="19"/>
      <c r="U106" s="19"/>
      <c r="V106" s="19"/>
      <c r="W106" s="19"/>
      <c r="X106" s="20">
        <f>SUM(X90:X105)</f>
        <v>1144.1108000000002</v>
      </c>
      <c r="Y106" s="20">
        <f t="shared" ref="Y106" si="482">SUM(Y90:Y105)</f>
        <v>9006.4402175999985</v>
      </c>
      <c r="Z106" s="20">
        <f t="shared" ref="Z106" si="483">SUM(Z90:Z105)</f>
        <v>3002.1467392</v>
      </c>
      <c r="AA106" s="20">
        <f t="shared" ref="AA106" si="484">SUM(AA90:AA105)</f>
        <v>300.21467391999994</v>
      </c>
      <c r="AB106" s="20">
        <f t="shared" ref="AB106" si="485">SUM(AB90:AB105)</f>
        <v>0</v>
      </c>
      <c r="AC106" s="20">
        <f t="shared" ref="AC106" si="486">SUM(AC90:AC105)</f>
        <v>27.617380716903412</v>
      </c>
      <c r="AD106" s="20">
        <f t="shared" ref="AD106" si="487">SUM(AD90:AD105)</f>
        <v>27425</v>
      </c>
      <c r="AE106" s="20">
        <f t="shared" ref="AE106" si="488">SUM(AE90:AE105)</f>
        <v>27425</v>
      </c>
      <c r="AF106" s="20">
        <f t="shared" ref="AF106" si="489">SUM(AF90:AF105)</f>
        <v>96</v>
      </c>
      <c r="AG106" s="20">
        <f t="shared" ref="AG106" si="490">SUM(AG90:AG105)</f>
        <v>74.5</v>
      </c>
      <c r="AH106" s="841"/>
      <c r="AI106" s="20">
        <f t="shared" ref="AI106" si="491">SUM(AI90:AI105)</f>
        <v>73</v>
      </c>
      <c r="AJ106" s="20">
        <f t="shared" ref="AJ106" si="492">SUM(AJ90:AJ105)</f>
        <v>72.5</v>
      </c>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2"/>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row>
    <row r="107" spans="3:120">
      <c r="C107" s="13" t="str">
        <f>IF(D107&lt;&gt;"",COUNTA($D$10:D107),"")</f>
        <v/>
      </c>
    </row>
    <row r="108" spans="3:120" ht="29.1">
      <c r="C108" s="8" t="str">
        <f>"Zoning Area  AHU - " &amp; INT((ROW()-8)/20)+1 &amp; "  " &amp;IF(AQ110&gt;0,"Air-Conditioning System " &amp; IF(AH110="D","(DX)",IF(AH110="C","(Chilled Water)","")),IF(AND(N110="Amb",AQ110=0),"Ventilation System","Refer"))</f>
        <v>Zoning Area  AHU - 6  Air-Conditioning System (DX)</v>
      </c>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39"/>
      <c r="AI108" s="8"/>
      <c r="AJ108" s="8"/>
      <c r="AK108" s="8"/>
      <c r="AL108" s="8"/>
      <c r="AM108" s="8"/>
      <c r="AN108" s="8"/>
      <c r="AO108" s="8"/>
      <c r="AP108" s="8"/>
      <c r="AQ108" s="8"/>
      <c r="AR108" s="8"/>
      <c r="AS108" s="9" t="s">
        <v>221</v>
      </c>
      <c r="AT108" s="10"/>
      <c r="AU108" s="10"/>
      <c r="AV108" s="11"/>
      <c r="AW108" s="9" t="s">
        <v>222</v>
      </c>
      <c r="AX108" s="10"/>
      <c r="AY108" s="10"/>
      <c r="AZ108" s="11"/>
      <c r="BA108" s="12" t="s">
        <v>483</v>
      </c>
      <c r="BB108" s="12"/>
      <c r="BC108" s="12"/>
      <c r="BD108" s="12"/>
      <c r="BE108" s="12"/>
      <c r="BF108" s="12"/>
      <c r="BG108" s="12"/>
      <c r="BH108" s="12"/>
      <c r="BI108" s="12"/>
      <c r="BJ108" s="12"/>
      <c r="BK108" s="12"/>
      <c r="BL108" s="12"/>
      <c r="BM108" s="12"/>
      <c r="BN108" s="12"/>
      <c r="BO108" s="12"/>
      <c r="BP108" s="12"/>
      <c r="BQ108" s="9" t="s">
        <v>484</v>
      </c>
      <c r="BR108" s="10"/>
      <c r="BS108" s="10"/>
      <c r="BT108" s="10"/>
      <c r="BU108" s="10"/>
      <c r="BV108" s="10"/>
      <c r="BW108" s="10"/>
      <c r="BX108" s="10"/>
      <c r="BY108" s="10"/>
      <c r="BZ108" s="11"/>
      <c r="CA108" s="9" t="s">
        <v>485</v>
      </c>
      <c r="CB108" s="10"/>
      <c r="CC108" s="10"/>
      <c r="CD108" s="10"/>
      <c r="CE108" s="9" t="s">
        <v>486</v>
      </c>
      <c r="CF108" s="10"/>
      <c r="CG108" s="11"/>
      <c r="CH108" s="12" t="s">
        <v>487</v>
      </c>
      <c r="CI108" s="12"/>
      <c r="CJ108" s="12"/>
      <c r="CK108" s="12"/>
      <c r="CL108" s="12"/>
      <c r="CM108" s="12"/>
      <c r="CN108" s="12"/>
      <c r="CO108" s="12"/>
      <c r="CP108" s="12"/>
      <c r="CQ108" s="12"/>
      <c r="CR108" s="12"/>
      <c r="CS108" s="12"/>
      <c r="CT108" s="12"/>
      <c r="CU108" s="12"/>
      <c r="CV108" s="12"/>
      <c r="CW108" s="12"/>
      <c r="CX108" s="9" t="s">
        <v>488</v>
      </c>
      <c r="CY108" s="10"/>
      <c r="CZ108" s="10"/>
      <c r="DA108" s="10"/>
      <c r="DB108" s="10"/>
      <c r="DC108" s="10"/>
      <c r="DD108" s="10"/>
      <c r="DE108" s="10"/>
      <c r="DF108" s="10"/>
      <c r="DG108" s="11"/>
      <c r="DH108" s="9" t="s">
        <v>489</v>
      </c>
      <c r="DI108" s="10"/>
      <c r="DJ108" s="10"/>
      <c r="DK108" s="10"/>
      <c r="DL108" s="9"/>
      <c r="DM108" s="10"/>
      <c r="DN108" s="11"/>
      <c r="DO108" s="1"/>
      <c r="DP108" s="1"/>
    </row>
    <row r="109" spans="3:120" ht="120" customHeight="1">
      <c r="C109" s="13">
        <f>IF(D109&lt;&gt;"",COUNTA($D$10:D109),"")</f>
        <v>85</v>
      </c>
      <c r="D109" s="5" t="s">
        <v>165</v>
      </c>
      <c r="E109" s="5" t="s">
        <v>166</v>
      </c>
      <c r="F109" s="5" t="s">
        <v>167</v>
      </c>
      <c r="G109" s="5" t="s">
        <v>168</v>
      </c>
      <c r="H109" s="5" t="s">
        <v>169</v>
      </c>
      <c r="I109" s="5" t="s">
        <v>170</v>
      </c>
      <c r="J109" s="5" t="s">
        <v>171</v>
      </c>
      <c r="K109" s="5" t="s">
        <v>172</v>
      </c>
      <c r="L109" s="5" t="s">
        <v>173</v>
      </c>
      <c r="M109" s="5" t="s">
        <v>174</v>
      </c>
      <c r="N109" s="5" t="s">
        <v>175</v>
      </c>
      <c r="O109" s="5" t="s">
        <v>176</v>
      </c>
      <c r="P109" s="5" t="s">
        <v>177</v>
      </c>
      <c r="Q109" s="5" t="s">
        <v>178</v>
      </c>
      <c r="R109" s="5" t="s">
        <v>199</v>
      </c>
      <c r="S109" s="5" t="s">
        <v>180</v>
      </c>
      <c r="T109" s="5" t="s">
        <v>223</v>
      </c>
      <c r="U109" s="5" t="s">
        <v>224</v>
      </c>
      <c r="V109" s="5" t="s">
        <v>199</v>
      </c>
      <c r="W109" s="5" t="s">
        <v>180</v>
      </c>
      <c r="X109" s="5" t="s">
        <v>225</v>
      </c>
      <c r="Y109" s="5" t="s">
        <v>226</v>
      </c>
      <c r="Z109" s="5" t="s">
        <v>227</v>
      </c>
      <c r="AA109" s="5" t="s">
        <v>228</v>
      </c>
      <c r="AB109" s="5" t="s">
        <v>229</v>
      </c>
      <c r="AC109" s="5" t="s">
        <v>230</v>
      </c>
      <c r="AD109" s="5" t="s">
        <v>231</v>
      </c>
      <c r="AE109" s="5" t="s">
        <v>232</v>
      </c>
      <c r="AF109" s="6" t="s">
        <v>233</v>
      </c>
      <c r="AG109" s="6" t="s">
        <v>234</v>
      </c>
      <c r="AH109" s="6" t="s">
        <v>235</v>
      </c>
      <c r="AI109" s="5" t="s">
        <v>236</v>
      </c>
      <c r="AJ109" s="5" t="s">
        <v>237</v>
      </c>
      <c r="AK109" s="5" t="s">
        <v>238</v>
      </c>
      <c r="AL109" s="5" t="s">
        <v>239</v>
      </c>
      <c r="AM109" s="5" t="s">
        <v>240</v>
      </c>
      <c r="AN109" s="5" t="s">
        <v>241</v>
      </c>
      <c r="AO109" s="5" t="s">
        <v>242</v>
      </c>
      <c r="AP109" s="5" t="s">
        <v>243</v>
      </c>
      <c r="AQ109" s="5" t="s">
        <v>244</v>
      </c>
      <c r="AR109" s="5" t="s">
        <v>245</v>
      </c>
      <c r="AS109" s="5" t="s">
        <v>246</v>
      </c>
      <c r="AT109" s="5" t="s">
        <v>247</v>
      </c>
      <c r="AU109" s="5" t="s">
        <v>248</v>
      </c>
      <c r="AV109" s="5" t="s">
        <v>249</v>
      </c>
      <c r="AW109" s="5" t="s">
        <v>250</v>
      </c>
      <c r="AX109" s="5" t="s">
        <v>251</v>
      </c>
      <c r="AY109" s="5" t="s">
        <v>252</v>
      </c>
      <c r="AZ109" s="5" t="s">
        <v>253</v>
      </c>
      <c r="BA109" s="5" t="s">
        <v>490</v>
      </c>
      <c r="BB109" s="5" t="s">
        <v>491</v>
      </c>
      <c r="BC109" s="5" t="s">
        <v>492</v>
      </c>
      <c r="BD109" s="5" t="s">
        <v>493</v>
      </c>
      <c r="BE109" s="5" t="s">
        <v>494</v>
      </c>
      <c r="BF109" s="5" t="s">
        <v>492</v>
      </c>
      <c r="BG109" s="5" t="s">
        <v>493</v>
      </c>
      <c r="BH109" s="5" t="s">
        <v>495</v>
      </c>
      <c r="BI109" s="5" t="s">
        <v>496</v>
      </c>
      <c r="BJ109" s="5" t="s">
        <v>492</v>
      </c>
      <c r="BK109" s="5" t="s">
        <v>493</v>
      </c>
      <c r="BL109" s="5" t="s">
        <v>497</v>
      </c>
      <c r="BM109" s="5" t="s">
        <v>492</v>
      </c>
      <c r="BN109" s="5" t="s">
        <v>493</v>
      </c>
      <c r="BO109" s="5" t="s">
        <v>495</v>
      </c>
      <c r="BP109" s="5" t="s">
        <v>498</v>
      </c>
      <c r="BQ109" s="5" t="s">
        <v>499</v>
      </c>
      <c r="BR109" s="5" t="s">
        <v>500</v>
      </c>
      <c r="BS109" s="5" t="s">
        <v>501</v>
      </c>
      <c r="BT109" s="5" t="s">
        <v>502</v>
      </c>
      <c r="BU109" s="5" t="s">
        <v>503</v>
      </c>
      <c r="BV109" s="5" t="s">
        <v>504</v>
      </c>
      <c r="BW109" s="5" t="s">
        <v>505</v>
      </c>
      <c r="BX109" s="5" t="s">
        <v>506</v>
      </c>
      <c r="BY109" s="5" t="s">
        <v>173</v>
      </c>
      <c r="BZ109" s="5" t="s">
        <v>174</v>
      </c>
      <c r="CA109" s="5" t="s">
        <v>503</v>
      </c>
      <c r="CB109" s="5" t="s">
        <v>507</v>
      </c>
      <c r="CC109" s="5" t="s">
        <v>173</v>
      </c>
      <c r="CD109" s="5" t="s">
        <v>508</v>
      </c>
      <c r="CE109" s="7" t="s">
        <v>509</v>
      </c>
      <c r="CF109" s="7" t="s">
        <v>510</v>
      </c>
      <c r="CG109" s="7" t="s">
        <v>511</v>
      </c>
      <c r="CH109" s="5" t="s">
        <v>512</v>
      </c>
      <c r="CI109" s="5" t="s">
        <v>513</v>
      </c>
      <c r="CJ109" s="5" t="s">
        <v>492</v>
      </c>
      <c r="CK109" s="5" t="s">
        <v>493</v>
      </c>
      <c r="CL109" s="5" t="s">
        <v>494</v>
      </c>
      <c r="CM109" s="5" t="s">
        <v>492</v>
      </c>
      <c r="CN109" s="5" t="s">
        <v>493</v>
      </c>
      <c r="CO109" s="5" t="s">
        <v>495</v>
      </c>
      <c r="CP109" s="5" t="s">
        <v>496</v>
      </c>
      <c r="CQ109" s="5" t="s">
        <v>492</v>
      </c>
      <c r="CR109" s="5" t="s">
        <v>493</v>
      </c>
      <c r="CS109" s="5" t="s">
        <v>497</v>
      </c>
      <c r="CT109" s="5" t="s">
        <v>492</v>
      </c>
      <c r="CU109" s="5" t="s">
        <v>493</v>
      </c>
      <c r="CV109" s="5" t="s">
        <v>495</v>
      </c>
      <c r="CW109" s="5" t="s">
        <v>498</v>
      </c>
      <c r="CX109" s="5" t="s">
        <v>499</v>
      </c>
      <c r="CY109" s="5" t="s">
        <v>500</v>
      </c>
      <c r="CZ109" s="5" t="s">
        <v>501</v>
      </c>
      <c r="DA109" s="5" t="s">
        <v>502</v>
      </c>
      <c r="DB109" s="5" t="s">
        <v>503</v>
      </c>
      <c r="DC109" s="5" t="s">
        <v>504</v>
      </c>
      <c r="DD109" s="5" t="s">
        <v>505</v>
      </c>
      <c r="DE109" s="5" t="s">
        <v>506</v>
      </c>
      <c r="DF109" s="5" t="s">
        <v>173</v>
      </c>
      <c r="DG109" s="5" t="s">
        <v>174</v>
      </c>
      <c r="DH109" s="5" t="s">
        <v>503</v>
      </c>
      <c r="DI109" s="5" t="s">
        <v>507</v>
      </c>
      <c r="DJ109" s="5" t="s">
        <v>173</v>
      </c>
      <c r="DK109" s="5" t="s">
        <v>508</v>
      </c>
      <c r="DL109" s="7" t="s">
        <v>509</v>
      </c>
      <c r="DM109" s="7" t="s">
        <v>510</v>
      </c>
      <c r="DN109" s="7" t="s">
        <v>511</v>
      </c>
      <c r="DO109" s="2"/>
      <c r="DP109" s="2"/>
    </row>
    <row r="110" spans="3:120" ht="18.600000000000001" customHeight="1">
      <c r="C110" s="13">
        <f>IF(D110&lt;&gt;"",COUNTA($D$10:D110),"")</f>
        <v>86</v>
      </c>
      <c r="D110" s="14" t="s">
        <v>200</v>
      </c>
      <c r="E110" s="14">
        <v>3</v>
      </c>
      <c r="F110" s="14">
        <v>3</v>
      </c>
      <c r="G110" s="14">
        <v>2.4</v>
      </c>
      <c r="H110" s="14">
        <v>1</v>
      </c>
      <c r="I110" s="14">
        <v>2</v>
      </c>
      <c r="J110" s="14">
        <v>1.75</v>
      </c>
      <c r="K110" s="14">
        <v>3</v>
      </c>
      <c r="L110" s="15">
        <v>0.1</v>
      </c>
      <c r="M110" s="15">
        <v>0</v>
      </c>
      <c r="N110" s="14">
        <v>24</v>
      </c>
      <c r="O110" s="14">
        <v>50</v>
      </c>
      <c r="P110" s="13">
        <v>45</v>
      </c>
      <c r="Q110" s="13">
        <v>85</v>
      </c>
      <c r="R110" s="13" t="s">
        <v>219</v>
      </c>
      <c r="S110" s="13">
        <v>25</v>
      </c>
      <c r="T110" s="13">
        <v>0</v>
      </c>
      <c r="U110" s="13">
        <v>100</v>
      </c>
      <c r="V110" s="13" t="str">
        <f>R110</f>
        <v>5 Micron</v>
      </c>
      <c r="W110" s="13">
        <f>S110</f>
        <v>25</v>
      </c>
      <c r="X110" s="16">
        <f>E110*F110*10.76</f>
        <v>96.84</v>
      </c>
      <c r="Y110" s="16">
        <f>X110*G110*3.28</f>
        <v>762.32447999999999</v>
      </c>
      <c r="Z110" s="16">
        <f>Y110*S110/60</f>
        <v>317.6352</v>
      </c>
      <c r="AA110" s="16">
        <f>Z110*L110</f>
        <v>31.76352</v>
      </c>
      <c r="AB110" s="16">
        <f>IF(N110="Amb",Z110,Z110*M110)</f>
        <v>0</v>
      </c>
      <c r="AC110" s="16">
        <f>IF(ISNUMBER(N110), (AA110*0.075*60/2.20462)*BP110/7000, "Ambient")</f>
        <v>2.9219931634079126</v>
      </c>
      <c r="AD110" s="16">
        <f>IF(ISNUMBER(N110), CEILING(CF110/(0.68*BP110),25), "Ambient")</f>
        <v>1650</v>
      </c>
      <c r="AE110" s="16">
        <f>CEILING(MAX((Z110+AA110),AD110),25)</f>
        <v>1650</v>
      </c>
      <c r="AF110" s="16">
        <f>CEILING(IF(OR($R110="ISO 6",$R110="GRADE B",$R110="1K",$R110=1000),AE110*1/175,IF(OR($R110="ISO 5",$R110="GRADE A",$R110=100),AE110*1/100,IF(OR($R110="ISO 7",$R110="GRADE C",$R110="10K",$R110=10000),$AE110*1/250,IF(OR($R110="ISO 8",$R110="GRADE D",$R110="100K",$R110=100000),$AE110*1/250,IF(OR($R110="NC",$R110="20 Micron",$R110="5 Micron",$R110="N C"),$AE110*1/350,0))))),2)</f>
        <v>6</v>
      </c>
      <c r="AG110" s="16">
        <f>IF(ISNUMBER(N110), CEILING(MAX(AI110,AJ110),0.5), "Ambient")</f>
        <v>5.5</v>
      </c>
      <c r="AH110" s="838" t="s">
        <v>84</v>
      </c>
      <c r="AI110" s="17">
        <f>IF(ISNUMBER(N110), CEILING(CE110/12000,0.5), "Ambient")</f>
        <v>4</v>
      </c>
      <c r="AJ110" s="17">
        <f>IF(ISNUMBER(N110),CEILING(AE110/(IF(AH110="C",400,300)),0.5), "Ambient")</f>
        <v>5.5</v>
      </c>
      <c r="AK110" s="891">
        <f>CEILING(SUM(AE110:AE125),250)</f>
        <v>28250</v>
      </c>
      <c r="AL110" s="18" t="s">
        <v>254</v>
      </c>
      <c r="AM110" s="889">
        <v>150</v>
      </c>
      <c r="AN110" s="891">
        <f>IF(AK110&lt;=1300,200,IF(AK110&lt;=1600,225,IF(AK110&lt;=2100,250,IF(AK110&lt;=2700,280,IF(AK110&lt;=3450,315,IF(AK110&lt;=4250,355,IF(AK110&lt;=5250,400,IF(AK110&lt;=6750,450,IF(AK110&lt;=8500,500,IF(AK110&lt;=10750,560,IF(AK110&lt;=13500,630,IF(AK110&lt;=17000,710,IF(AK110&lt;=21500,800,IF(AK110&lt;=27000,900,IF(AK110&lt;=34000,1000,IF(AK110&lt;=43000,1120,IF(AK110&lt;=49000,1200,IF(AK110&lt;=68000,1450,"Refer"))))))))))))))))))</f>
        <v>1000</v>
      </c>
      <c r="AO110" s="888">
        <f>IF(AK110*AM110/(6356*0.7*0.9*1.1*25.4)&lt;=1,1,IF(AK110*AM110/(6356*0.7*0.9*1.1*25.4)&lt;=1.5,1.5,IF(AK110*AM110/(6356*0.7*0.9*1.1*25.4)&lt;=2,2,IF(AK110*AM110/(6356*0.7*0.9*1.1*25.4)&lt;=3,3,IF(AK110*AM110/(6356*0.7*0.9*1.1*25.4)&lt;=5,5,IF(AK110*AM110/(6356*0.7*0.9*1.1*25.4)&lt;=7.5,7.5,IF(AK110*AM110/(6356*0.7*0.9*1.1*25.4)&lt;=10,10,IF(AK110*AM110/(6356*0.7*0.9*1.1*25.4)&lt;=12.5,12.5,IF(AK110*AM110/(6356*0.7*0.9*1.1*25.4)&lt;=15,15,IF(AK110*AM110/(6356*0.7*0.9*1.1*25.4)&lt;=20,20,IF(AK110*AM110/(6356*0.7*0.9*1.1*25.4)&lt;=25,25,IF(AK110*AM110/(6356*0.7*0.9*1.1*25.4)&lt;=30,30,IF(AK110*AM110/(6356*0.7*0.9*1.1*25.4)&lt;=40,40,IF(AK110*AM110/(6356*0.7*0.9*1.1*25.4)&lt;=50,50,IF(AK110*AM110/(6356*0.7*0.9*1.1*25.4)&lt;=60,60,IF(AK110*AM110/(6356*0.7*0.9*1.1*25.4)&lt;=75,75,"Refer"))))))))))))))))</f>
        <v>40</v>
      </c>
      <c r="AP110" s="891">
        <f>IF(AND(AQ110=0, N110="Amb"), "Amb",IF((AL111-250)*(AL113-150)*10.76/(1000*1000) &gt;= MAX(AI126,AJ126), 4,IF((AL111-250)*(AL113-150)*10.76*1.5/(1000*1000) &gt;= MAX(AI126,AJ126), 6,IF((AL111-250)*(AL113-150)*10.76*2/(1000*1000) &gt;= MAX(AI126,AJ126), 8, 0))
 )
)</f>
        <v>6</v>
      </c>
      <c r="AQ110" s="891">
        <f>AG126</f>
        <v>98</v>
      </c>
      <c r="AR110" s="889">
        <f>_xlfn.SWITCH(TRIM(UPPER(R110)),"ISO 9", 3,"ISO 8", 4,"Grade D", 4,"Class 100,000", 4,"Class 100K", 4,"ISO 7", 3,"Grade C", 3,"Class 10,000", 3,"Class 10K", 3,"ISO 6", 3,"Class 1,000", 3,"Class 1K", 3,"ISO 5", 4,"Grade A", 4,"Grade B", 4,"Class 100", 4,"ISO 4", 3,"ISO 3", 4,"ISO 2", 4,"ISO 1", 4,"NCV20",1,"NCV-10",2,"NCV-5",3,"NCAC-10",1,"NCAC-5",2,"NCAC-1",3,3)</f>
        <v>3</v>
      </c>
      <c r="AS110" s="888">
        <f>MAX(AI126,AJ126)*24/6</f>
        <v>392</v>
      </c>
      <c r="AT110" s="888">
        <f>AS110*0.06309</f>
        <v>24.731279999999998</v>
      </c>
      <c r="AU110" s="890">
        <v>2</v>
      </c>
      <c r="AV110" s="888">
        <f>SQRT((4*AS110*0.00006309)/(3.14*AU110))*1000</f>
        <v>125.50859589411436</v>
      </c>
      <c r="AW110" s="888"/>
      <c r="AX110" s="888"/>
      <c r="AY110" s="887"/>
      <c r="AZ110" s="888"/>
      <c r="BA110" s="17">
        <f>-CONVERT(N110,"C","F")+CONVERT((N110+8),"C","F")</f>
        <v>14.399999999999991</v>
      </c>
      <c r="BB110" s="17">
        <f>CONVERT(P110,"C","F")-CONVERT(N110,"C","F")</f>
        <v>37.799999999999997</v>
      </c>
      <c r="BC110" s="17">
        <f>N110+8</f>
        <v>32</v>
      </c>
      <c r="BD110" s="17">
        <f>BG110+35</f>
        <v>85</v>
      </c>
      <c r="BE110" s="17">
        <f>0.622*7000*(BD110/100)*(6.1078*10^((7.5*BC110)/(237.3+BC110)))/(1013.25-(6.1078*10^((7.5*BC110)/(237.3+BC110)))*BD110/100)</f>
        <v>180.86341983910182</v>
      </c>
      <c r="BF110" s="17">
        <f>N110</f>
        <v>24</v>
      </c>
      <c r="BG110" s="17">
        <f>O110</f>
        <v>50</v>
      </c>
      <c r="BH110" s="17">
        <f>0.622*7000*(BG110/100)*(6.1078*10^((7.5*BF110)/(237.3+BF110)))/(1013.25-(6.1078*10^((7.5*BF110)/(237.3+BF110)))*BG110/100)</f>
        <v>65.062647806544774</v>
      </c>
      <c r="BI110" s="17">
        <f>BE110-BH110</f>
        <v>115.80077203255705</v>
      </c>
      <c r="BJ110" s="17">
        <f>P110</f>
        <v>45</v>
      </c>
      <c r="BK110" s="17">
        <f>Q110</f>
        <v>85</v>
      </c>
      <c r="BL110" s="17">
        <f>0.622*7000*(BK110/100)*(6.1078*10^((7.5*BJ110)/(237.3+BJ110)))/(1013.25-(6.1078*10^((7.5*BJ110)/(237.3+BJ110)))*BK110/100)</f>
        <v>380.54120080897206</v>
      </c>
      <c r="BM110" s="17">
        <f>N110</f>
        <v>24</v>
      </c>
      <c r="BN110" s="17">
        <f>BG110</f>
        <v>50</v>
      </c>
      <c r="BO110" s="17">
        <f>0.622*7000*(BN110/100)*(6.1078*10^((7.5*BM110)/(237.3+BM110)))/(1013.25-(6.1078*10^((7.5*BM110)/(237.3+BM110)))*BN110/100)</f>
        <v>65.062647806544774</v>
      </c>
      <c r="BP110" s="17">
        <f>BL110-BO110</f>
        <v>315.4785530024273</v>
      </c>
      <c r="BQ110" s="17">
        <f>($E110*$G110*10.76*2+$F110*$G110*2*10.76)*$BB110*0.45</f>
        <v>5271.1948799999991</v>
      </c>
      <c r="BR110" s="17">
        <f>($E110*$G110*10.76*2+$F110*$G110*2*10.76)*$BA110*0.45</f>
        <v>2008.0742399999988</v>
      </c>
      <c r="BS110" s="17">
        <f>($E110*$F110*10.76)*$BA110*0.45</f>
        <v>627.52319999999963</v>
      </c>
      <c r="BT110" s="17">
        <f>($E110*$F110*10.76)*$BB110*0.45</f>
        <v>1647.2483999999999</v>
      </c>
      <c r="BU110" s="17">
        <f>$H110*285*1.08*$BB110</f>
        <v>11634.84</v>
      </c>
      <c r="BV110" s="17">
        <f>$I110*1000*3.412</f>
        <v>6824</v>
      </c>
      <c r="BW110" s="17">
        <f>$J110*$X110*3.412</f>
        <v>578.23163999999997</v>
      </c>
      <c r="BX110" s="17">
        <f>$K110*1.08*375*$BA110</f>
        <v>17495.999999999989</v>
      </c>
      <c r="BY110" s="17">
        <f>($AA110+$AB110)*1.08*$BB110</f>
        <v>1296.71394048</v>
      </c>
      <c r="BZ110" s="17"/>
      <c r="CA110" s="17">
        <f>$H110*200*0.68*$BP110</f>
        <v>42905.083208330114</v>
      </c>
      <c r="CB110" s="17">
        <f>$K110*375*0.68*$BP110</f>
        <v>241341.0930468569</v>
      </c>
      <c r="CC110" s="17">
        <f>($AA110+$AB110)*0.68*$BP110</f>
        <v>6814.0823429472894</v>
      </c>
      <c r="CD110" s="17">
        <f>($Z110-$AA110)*0.68*$BP110</f>
        <v>61326.741086525595</v>
      </c>
      <c r="CE110" s="17">
        <f>$BQ110+$BU110+$BV110+$BW110+$BX110+$BY110</f>
        <v>43100.980460479987</v>
      </c>
      <c r="CF110" s="17">
        <f>$CA110+$CB110+$CC110+$CD110</f>
        <v>352386.99968465994</v>
      </c>
      <c r="CG110" s="17">
        <f>$CE110+$CF110</f>
        <v>395487.98014513991</v>
      </c>
      <c r="CH110" s="17">
        <f>CONVERT(N110,"C","F")-CONVERT((N110-8),"C","F")</f>
        <v>14.400000000000006</v>
      </c>
      <c r="CI110" s="17">
        <f>CONVERT(T110,"C","F")-CONVERT(N110,"C","F")</f>
        <v>-43.2</v>
      </c>
      <c r="CJ110" s="17">
        <f>CM110-8</f>
        <v>16</v>
      </c>
      <c r="CK110" s="17">
        <f>O110+40</f>
        <v>90</v>
      </c>
      <c r="CL110" s="17">
        <f>0.622*7000*(CK110/100)*(6.1078*10^((7.5*CJ110)/(237.3+CJ110)))/(1013.25-(6.1078*10^((7.5*CJ110)/(237.3+CJ110)))*CK110/100)</f>
        <v>71.46880726181422</v>
      </c>
      <c r="CM110" s="17">
        <f>N110</f>
        <v>24</v>
      </c>
      <c r="CN110" s="17">
        <f>O110</f>
        <v>50</v>
      </c>
      <c r="CO110" s="17">
        <f>0.622*7000*(CN110/100)*(6.1078*10^((7.5*CM110)/(237.3+CM110)))/(1013.25-(6.1078*10^((7.5*CM110)/(237.3+CM110)))*CN110/100)</f>
        <v>65.062647806544774</v>
      </c>
      <c r="CP110" s="17">
        <f>CL110-CO110</f>
        <v>6.4061594552694459</v>
      </c>
      <c r="CQ110" s="17">
        <f>T110</f>
        <v>0</v>
      </c>
      <c r="CR110" s="17">
        <f>U110</f>
        <v>100</v>
      </c>
      <c r="CS110" s="17">
        <f>0.622*7000*(CR110/100)*(6.1078*10^((7.5*CQ110)/(237.3+CQ110)))/(1013.25-(6.1078*10^((7.5*CQ110)/(237.3+CQ110)))*CR110/100)</f>
        <v>26.404773030064671</v>
      </c>
      <c r="CT110" s="17">
        <f>CM110</f>
        <v>24</v>
      </c>
      <c r="CU110" s="17">
        <f>O110</f>
        <v>50</v>
      </c>
      <c r="CV110" s="17">
        <f>0.622*7000*(CU110/100)*(6.1078*10^((7.5*CT110)/(237.3+CT110)))/(1013.25-(6.1078*10^((7.5*CT110)/(237.3+CT110)))*CU110/100)</f>
        <v>65.062647806544774</v>
      </c>
      <c r="CW110" s="17">
        <f>CS110-CV110</f>
        <v>-38.657874776480099</v>
      </c>
      <c r="CX110" s="17">
        <f t="shared" ref="CX110:CY125" si="493">($E110*$G110*10.76*2+$F110*$G110*2*10.76)*$CI110*0.45</f>
        <v>-6024.2227199999998</v>
      </c>
      <c r="CY110" s="17">
        <f t="shared" si="493"/>
        <v>-6024.2227199999998</v>
      </c>
      <c r="CZ110" s="17">
        <f>($E110*$F110*10.76)*$CH110*0.45</f>
        <v>627.52320000000032</v>
      </c>
      <c r="DA110" s="17">
        <f>($E110*$F110*10.76)*$CI110*0.45</f>
        <v>-1882.5696000000003</v>
      </c>
      <c r="DB110" s="17">
        <f>$H110*285*1.08*$CI110</f>
        <v>-13296.960000000001</v>
      </c>
      <c r="DC110" s="17">
        <f>$I110*1000*3.412</f>
        <v>6824</v>
      </c>
      <c r="DD110" s="17">
        <f>$J110*$X110*3.412</f>
        <v>578.23163999999997</v>
      </c>
      <c r="DE110" s="17">
        <f>$K110*1.08*375*$CH110</f>
        <v>17496.000000000007</v>
      </c>
      <c r="DF110" s="17">
        <f>($AA110+$AB110)*1.08*$CI110</f>
        <v>-1481.9587891200003</v>
      </c>
      <c r="DG110" s="17"/>
      <c r="DH110" s="17">
        <f>$H110*200*0.68*CW110</f>
        <v>-5257.4709696012933</v>
      </c>
      <c r="DI110" s="17">
        <f>$K110*375*0.68*CW110</f>
        <v>-29573.274204007277</v>
      </c>
      <c r="DJ110" s="17">
        <f>(AA110+AB110)*0.68*CW110</f>
        <v>-834.97892146175047</v>
      </c>
      <c r="DK110" s="17">
        <f>(Z110-AA110)*0.68*CP110</f>
        <v>1245.3109047615178</v>
      </c>
      <c r="DL110" s="17">
        <f>CX110+DA110+CZ110+DB110+DC110+DD110+DE110+DF110</f>
        <v>2840.0437308800069</v>
      </c>
      <c r="DM110" s="17">
        <f>DH110+DI110+DJ110+DK110</f>
        <v>-34420.413190308805</v>
      </c>
      <c r="DN110" s="17">
        <f>DL110+DM110</f>
        <v>-31580.369459428799</v>
      </c>
    </row>
    <row r="111" spans="3:120" ht="18.600000000000001">
      <c r="C111" s="13">
        <f>IF(D111&lt;&gt;"",COUNTA($D$10:D111),"")</f>
        <v>87</v>
      </c>
      <c r="D111" s="14" t="s">
        <v>201</v>
      </c>
      <c r="E111" s="14">
        <v>1.8</v>
      </c>
      <c r="F111" s="14">
        <v>2.2000000000000002</v>
      </c>
      <c r="G111" s="14">
        <v>2.4</v>
      </c>
      <c r="H111" s="14">
        <v>2</v>
      </c>
      <c r="I111" s="14">
        <v>1</v>
      </c>
      <c r="J111" s="14">
        <v>1.75</v>
      </c>
      <c r="K111" s="14">
        <v>3</v>
      </c>
      <c r="L111" s="15">
        <v>0.1</v>
      </c>
      <c r="M111" s="15">
        <v>0</v>
      </c>
      <c r="N111" s="14">
        <v>24</v>
      </c>
      <c r="O111" s="14">
        <v>50</v>
      </c>
      <c r="P111" s="13">
        <v>45</v>
      </c>
      <c r="Q111" s="13">
        <v>85</v>
      </c>
      <c r="R111" s="13" t="s">
        <v>219</v>
      </c>
      <c r="S111" s="13">
        <v>25</v>
      </c>
      <c r="T111" s="13">
        <v>0</v>
      </c>
      <c r="U111" s="13">
        <v>100</v>
      </c>
      <c r="V111" s="13" t="str">
        <f t="shared" ref="V111:V125" si="494">R111</f>
        <v>5 Micron</v>
      </c>
      <c r="W111" s="13">
        <f t="shared" ref="W111:W125" si="495">S111</f>
        <v>25</v>
      </c>
      <c r="X111" s="16">
        <f t="shared" ref="X111:X125" si="496">E111*F111*10.76</f>
        <v>42.6096</v>
      </c>
      <c r="Y111" s="16">
        <f t="shared" ref="Y111:Y125" si="497">X111*G111*3.28</f>
        <v>335.4227712</v>
      </c>
      <c r="Z111" s="16">
        <f t="shared" ref="Z111:Z125" si="498">Y111*S111/60</f>
        <v>139.759488</v>
      </c>
      <c r="AA111" s="16">
        <f t="shared" ref="AA111:AA125" si="499">Z111*L111</f>
        <v>13.975948800000001</v>
      </c>
      <c r="AB111" s="16">
        <f t="shared" ref="AB111:AB125" si="500">IF(N111="Amb",Z111,Z111*M111)</f>
        <v>0</v>
      </c>
      <c r="AC111" s="16">
        <f t="shared" ref="AC111:AC125" si="501">IF(ISNUMBER(N111), (AA111*0.075*60/2.20462)*BP111/7000, "Ambient")</f>
        <v>1.2856769918994819</v>
      </c>
      <c r="AD111" s="16">
        <f t="shared" ref="AD111:AD117" si="502">IF(ISNUMBER(N111), CEILING(CF111/(0.68*BP111),25), "Ambient")</f>
        <v>1675</v>
      </c>
      <c r="AE111" s="16">
        <f t="shared" ref="AE111:AE125" si="503">CEILING(MAX((Z111+AA111),AD111),25)</f>
        <v>1675</v>
      </c>
      <c r="AF111" s="16">
        <f t="shared" ref="AF111:AF125" si="504">CEILING(IF(OR($R111="ISO 6",$R111="GRADE B",$R111="1K",$R111=1000),AE111*1/175,IF(OR($R111="ISO 5",$R111="GRADE A",$R111=100),AE111*1/100,IF(OR($R111="ISO 7",$R111="GRADE C",$R111="10K",$R111=10000),$AE111*1/250,IF(OR($R111="ISO 8",$R111="GRADE D",$R111="100K",$R111=100000),$AE111*1/250,IF(OR($R111="NC",$R111="20 Micron",$R111="5 Micron",$R111="N C"),$AE111*1/350,0))))),2)</f>
        <v>6</v>
      </c>
      <c r="AG111" s="16">
        <f t="shared" ref="AG111:AG125" si="505">IF(ISNUMBER(N111), CEILING(MAX(AI111,AJ111),0.5), "Ambient")</f>
        <v>6</v>
      </c>
      <c r="AH111" s="838" t="s">
        <v>84</v>
      </c>
      <c r="AI111" s="17">
        <f t="shared" ref="AI111:AI125" si="506">IF(ISNUMBER(N111), CEILING(CE111/12000,0.5), "Ambient")</f>
        <v>4.5</v>
      </c>
      <c r="AJ111" s="17">
        <f t="shared" ref="AJ111:AJ125" si="507">IF(ISNUMBER(N111),CEILING(AE111/(IF(AH111="C",400,300)),0.5), "Ambient")</f>
        <v>6</v>
      </c>
      <c r="AK111" s="891"/>
      <c r="AL111" s="18">
        <f>IF(AK110&lt;=2000,950,(IF(AK110&lt;=3000,1150,(IF(AK110&lt;=8000,1550,(IF(AK110&lt;=10000,1750,(IF(AK110&lt;=18000,2050,(IF(AK110&lt;=32000,2900,(IF(AK110&lt;=40000,3600,4000)))))))))))))</f>
        <v>2900</v>
      </c>
      <c r="AM111" s="889"/>
      <c r="AN111" s="891"/>
      <c r="AO111" s="888"/>
      <c r="AP111" s="891"/>
      <c r="AQ111" s="891"/>
      <c r="AR111" s="889"/>
      <c r="AS111" s="888"/>
      <c r="AT111" s="888"/>
      <c r="AU111" s="890"/>
      <c r="AV111" s="888"/>
      <c r="AW111" s="888"/>
      <c r="AX111" s="888"/>
      <c r="AY111" s="887"/>
      <c r="AZ111" s="888"/>
      <c r="BA111" s="17">
        <f t="shared" ref="BA111:BA125" si="508">-CONVERT(N111,"C","F")+CONVERT((N111+8),"C","F")</f>
        <v>14.399999999999991</v>
      </c>
      <c r="BB111" s="17">
        <f t="shared" ref="BB111:BB125" si="509">CONVERT(P111,"C","F")-CONVERT(N111,"C","F")</f>
        <v>37.799999999999997</v>
      </c>
      <c r="BC111" s="17">
        <f t="shared" ref="BC111:BC125" si="510">BF111+8</f>
        <v>32</v>
      </c>
      <c r="BD111" s="17">
        <f t="shared" ref="BD111:BD125" si="511">BG111+35</f>
        <v>85</v>
      </c>
      <c r="BE111" s="17">
        <f t="shared" ref="BE111:BE125" si="512">0.622*7000*(BD111/100)*(6.1078*10^((7.5*BC111)/(237.3+BC111)))/(1013.25-(6.1078*10^((7.5*BC111)/(237.3+BC111)))*BD111/100)</f>
        <v>180.86341983910182</v>
      </c>
      <c r="BF111" s="17">
        <f t="shared" ref="BF111:BF125" si="513">N111</f>
        <v>24</v>
      </c>
      <c r="BG111" s="17">
        <f t="shared" ref="BG111:BG125" si="514">O111</f>
        <v>50</v>
      </c>
      <c r="BH111" s="17">
        <f t="shared" ref="BH111:BH125" si="515">0.622*7000*(BG111/100)*(6.1078*10^((7.5*BF111)/(237.3+BF111)))/(1013.25-(6.1078*10^((7.5*BF111)/(237.3+BF111)))*BG111/100)</f>
        <v>65.062647806544774</v>
      </c>
      <c r="BI111" s="17">
        <f t="shared" ref="BI111:BI125" si="516">BE111-BH111</f>
        <v>115.80077203255705</v>
      </c>
      <c r="BJ111" s="17">
        <f t="shared" ref="BJ111:BJ125" si="517">P111</f>
        <v>45</v>
      </c>
      <c r="BK111" s="17">
        <f t="shared" ref="BK111:BK125" si="518">Q111</f>
        <v>85</v>
      </c>
      <c r="BL111" s="17">
        <f t="shared" ref="BL111:BL125" si="519">0.622*7000*(BK111/100)*(6.1078*10^((7.5*BJ111)/(237.3+BJ111)))/(1013.25-(6.1078*10^((7.5*BJ111)/(237.3+BJ111)))*BK111/100)</f>
        <v>380.54120080897206</v>
      </c>
      <c r="BM111" s="17">
        <f t="shared" ref="BM111:BM125" si="520">BF111</f>
        <v>24</v>
      </c>
      <c r="BN111" s="17">
        <f t="shared" ref="BN111:BN125" si="521">BG111</f>
        <v>50</v>
      </c>
      <c r="BO111" s="17">
        <f t="shared" ref="BO111:BO125" si="522">0.622*7000*(BN111/100)*(6.1078*10^((7.5*BM111)/(237.3+BM111)))/(1013.25-(6.1078*10^((7.5*BM111)/(237.3+BM111)))*BN111/100)</f>
        <v>65.062647806544774</v>
      </c>
      <c r="BP111" s="17">
        <f t="shared" ref="BP111:BP125" si="523">BL111-BO111</f>
        <v>315.4785530024273</v>
      </c>
      <c r="BQ111" s="17">
        <f t="shared" ref="BQ111:BQ125" si="524">(E111*G111*10.76*2+F111*G111*2*10.76)*BB111*0.45</f>
        <v>3514.1299199999999</v>
      </c>
      <c r="BR111" s="17">
        <f t="shared" ref="BR111:BR125" si="525">(E111*G111*10.76*2+F111*G111*2*10.76)*BA111*0.45</f>
        <v>1338.7161599999993</v>
      </c>
      <c r="BS111" s="17">
        <f t="shared" ref="BS111:BS125" si="526">(E111*F111*10.76)*BA111*0.45</f>
        <v>276.11020799999983</v>
      </c>
      <c r="BT111" s="17">
        <f t="shared" ref="BT111:BT125" si="527">(E111*F111*10.76)*BB111*0.45</f>
        <v>724.78929599999992</v>
      </c>
      <c r="BU111" s="17">
        <f t="shared" ref="BU111:BU125" si="528">H111*285*1.08*BB111</f>
        <v>23269.68</v>
      </c>
      <c r="BV111" s="17">
        <f t="shared" ref="BV111:BV125" si="529">I111*1000*3.412</f>
        <v>3412</v>
      </c>
      <c r="BW111" s="17">
        <f t="shared" ref="BW111:BW125" si="530">J111*X111*3.412</f>
        <v>254.42192159999999</v>
      </c>
      <c r="BX111" s="17">
        <f t="shared" ref="BX111:BX125" si="531">K111*1.08*375*BA111</f>
        <v>17495.999999999989</v>
      </c>
      <c r="BY111" s="17">
        <f t="shared" ref="BY111:BY125" si="532">(AA111+AB111)*1.08*BB111</f>
        <v>570.55413381120002</v>
      </c>
      <c r="BZ111" s="17"/>
      <c r="CA111" s="17">
        <f t="shared" ref="CA111:CA125" si="533">H111*200*0.68*BP111</f>
        <v>85810.166416660228</v>
      </c>
      <c r="CB111" s="17">
        <f t="shared" ref="CB111:CB125" si="534">K111*375*0.68*BP111</f>
        <v>241341.0930468569</v>
      </c>
      <c r="CC111" s="17">
        <f t="shared" ref="CC111:CC125" si="535">(AA111+AB111)*0.68*BP111</f>
        <v>2998.1962308968073</v>
      </c>
      <c r="CD111" s="17">
        <f t="shared" ref="CD111:CD125" si="536">($Z111-$AA111)*0.68*$BP111</f>
        <v>26983.766078071265</v>
      </c>
      <c r="CE111" s="17">
        <f t="shared" ref="CE111:CE125" si="537">$BQ111+$BU111+$BV111+$BW111+$BX111+$BY111</f>
        <v>48516.785975411192</v>
      </c>
      <c r="CF111" s="17">
        <f t="shared" ref="CF111:CF125" si="538">$CA111+$CB111+$CC111+$CD111</f>
        <v>357133.22177248518</v>
      </c>
      <c r="CG111" s="17">
        <f t="shared" ref="CG111:CG125" si="539">$CE111+$CF111</f>
        <v>405650.00774789636</v>
      </c>
      <c r="CH111" s="17">
        <f t="shared" ref="CH111:CH125" si="540">CONVERT(N111,"C","F")-CONVERT((N111-8),"C","F")</f>
        <v>14.400000000000006</v>
      </c>
      <c r="CI111" s="17">
        <f t="shared" ref="CI111:CI125" si="541">CONVERT(T111,"C","F")-CONVERT(N111,"C","F")</f>
        <v>-43.2</v>
      </c>
      <c r="CJ111" s="17">
        <f t="shared" ref="CJ111:CJ125" si="542">CM111-8</f>
        <v>16</v>
      </c>
      <c r="CK111" s="17">
        <f t="shared" ref="CK111:CK125" si="543">O111+40</f>
        <v>90</v>
      </c>
      <c r="CL111" s="17">
        <f t="shared" ref="CL111:CL125" si="544">0.622*7000*(CK111/100)*(6.1078*10^((7.5*CJ111)/(237.3+CJ111)))/(1013.25-(6.1078*10^((7.5*CJ111)/(237.3+CJ111)))*CK111/100)</f>
        <v>71.46880726181422</v>
      </c>
      <c r="CM111" s="17">
        <f t="shared" ref="CM111:CM125" si="545">N111</f>
        <v>24</v>
      </c>
      <c r="CN111" s="17">
        <f t="shared" ref="CN111:CN125" si="546">O111</f>
        <v>50</v>
      </c>
      <c r="CO111" s="17">
        <f t="shared" ref="CO111:CO125" si="547">0.622*7000*(CN111/100)*(6.1078*10^((7.5*CM111)/(237.3+CM111)))/(1013.25-(6.1078*10^((7.5*CM111)/(237.3+CM111)))*CN111/100)</f>
        <v>65.062647806544774</v>
      </c>
      <c r="CP111" s="17">
        <f t="shared" ref="CP111:CP125" si="548">CL111-CO111</f>
        <v>6.4061594552694459</v>
      </c>
      <c r="CQ111" s="17">
        <f t="shared" ref="CQ111:CQ125" si="549">T111</f>
        <v>0</v>
      </c>
      <c r="CR111" s="17">
        <f t="shared" ref="CR111:CR125" si="550">U111</f>
        <v>100</v>
      </c>
      <c r="CS111" s="17">
        <f t="shared" ref="CS111:CS125" si="551">0.622*7000*(CR111/100)*(6.1078*10^((7.5*CQ111)/(237.3+CQ111)))/(1013.25-(6.1078*10^((7.5*CQ111)/(237.3+CQ111)))*CR111/100)</f>
        <v>26.404773030064671</v>
      </c>
      <c r="CT111" s="17">
        <f t="shared" ref="CT111:CT125" si="552">CM111</f>
        <v>24</v>
      </c>
      <c r="CU111" s="17">
        <f t="shared" ref="CU111:CU125" si="553">O111</f>
        <v>50</v>
      </c>
      <c r="CV111" s="17">
        <f t="shared" ref="CV111:CV125" si="554">0.622*7000*(CU111/100)*(6.1078*10^((7.5*CT111)/(237.3+CT111)))/(1013.25-(6.1078*10^((7.5*CT111)/(237.3+CT111)))*CU111/100)</f>
        <v>65.062647806544774</v>
      </c>
      <c r="CW111" s="17">
        <f t="shared" ref="CW111:CW125" si="555">CS111-CV111</f>
        <v>-38.657874776480099</v>
      </c>
      <c r="CX111" s="17">
        <f t="shared" si="493"/>
        <v>-4016.1484800000003</v>
      </c>
      <c r="CY111" s="17">
        <f t="shared" si="493"/>
        <v>-4016.1484800000003</v>
      </c>
      <c r="CZ111" s="17">
        <f t="shared" ref="CZ111:CZ125" si="556">($E111*$F111*10.76)*$CH111*0.45</f>
        <v>276.11020800000011</v>
      </c>
      <c r="DA111" s="17">
        <f t="shared" ref="DA111:DA125" si="557">($E111*$F111*10.76)*$CI111*0.45</f>
        <v>-828.33062400000006</v>
      </c>
      <c r="DB111" s="17">
        <f t="shared" ref="DB111:DB125" si="558">$H111*285*1.08*$CI111</f>
        <v>-26593.920000000002</v>
      </c>
      <c r="DC111" s="17">
        <f t="shared" ref="DC111:DC125" si="559">$I111*1000*3.412</f>
        <v>3412</v>
      </c>
      <c r="DD111" s="17">
        <f t="shared" ref="DD111:DD125" si="560">$J111*$X111*3.412</f>
        <v>254.42192159999999</v>
      </c>
      <c r="DE111" s="17">
        <f t="shared" ref="DE111:DE125" si="561">$K111*1.08*375*$CH111</f>
        <v>17496.000000000007</v>
      </c>
      <c r="DF111" s="17">
        <f t="shared" ref="DF111:DF125" si="562">($AA111+$AB111)*1.08*$CI111</f>
        <v>-652.06186721280017</v>
      </c>
      <c r="DG111" s="17"/>
      <c r="DH111" s="17">
        <f t="shared" ref="DH111:DH125" si="563">$H111*200*0.68*CW111</f>
        <v>-10514.941939202587</v>
      </c>
      <c r="DI111" s="17">
        <f t="shared" ref="DI111:DI125" si="564">$K111*375*0.68*CW111</f>
        <v>-29573.274204007277</v>
      </c>
      <c r="DJ111" s="17">
        <f t="shared" ref="DJ111:DJ125" si="565">(AA111+AB111)*0.68*CW111</f>
        <v>-367.39072544317025</v>
      </c>
      <c r="DK111" s="17">
        <f t="shared" ref="DK111:DK125" si="566">(Z111-AA111)*0.68*CP111</f>
        <v>547.93679809506784</v>
      </c>
      <c r="DL111" s="17">
        <f t="shared" ref="DL111:DL125" si="567">CX111+DA111+CZ111+DB111+DC111+DD111+DE111+DF111</f>
        <v>-10651.928841612797</v>
      </c>
      <c r="DM111" s="17">
        <f t="shared" ref="DM111:DM125" si="568">DH111+DI111+DJ111+DK111</f>
        <v>-39907.670070557964</v>
      </c>
      <c r="DN111" s="17">
        <f t="shared" ref="DN111:DN125" si="569">DL111+DM111</f>
        <v>-50559.598912170761</v>
      </c>
    </row>
    <row r="112" spans="3:120" ht="18.600000000000001">
      <c r="C112" s="13">
        <f>IF(D112&lt;&gt;"",COUNTA($D$10:D112),"")</f>
        <v>88</v>
      </c>
      <c r="D112" s="14" t="s">
        <v>202</v>
      </c>
      <c r="E112" s="14">
        <v>1.5</v>
      </c>
      <c r="F112" s="14">
        <v>2.8</v>
      </c>
      <c r="G112" s="14">
        <v>2.4</v>
      </c>
      <c r="H112" s="14">
        <v>2</v>
      </c>
      <c r="I112" s="14">
        <v>3</v>
      </c>
      <c r="J112" s="14">
        <v>1.75</v>
      </c>
      <c r="K112" s="14">
        <v>3</v>
      </c>
      <c r="L112" s="15">
        <v>0.1</v>
      </c>
      <c r="M112" s="15">
        <v>0</v>
      </c>
      <c r="N112" s="14">
        <v>24</v>
      </c>
      <c r="O112" s="14">
        <v>50</v>
      </c>
      <c r="P112" s="13">
        <v>45</v>
      </c>
      <c r="Q112" s="13">
        <v>85</v>
      </c>
      <c r="R112" s="13" t="s">
        <v>219</v>
      </c>
      <c r="S112" s="13">
        <v>25</v>
      </c>
      <c r="T112" s="13">
        <v>0</v>
      </c>
      <c r="U112" s="13">
        <v>100</v>
      </c>
      <c r="V112" s="13" t="str">
        <f t="shared" si="494"/>
        <v>5 Micron</v>
      </c>
      <c r="W112" s="13">
        <f t="shared" si="495"/>
        <v>25</v>
      </c>
      <c r="X112" s="16">
        <f t="shared" si="496"/>
        <v>45.191999999999993</v>
      </c>
      <c r="Y112" s="16">
        <f t="shared" si="497"/>
        <v>355.75142399999993</v>
      </c>
      <c r="Z112" s="16">
        <f t="shared" si="498"/>
        <v>148.22975999999997</v>
      </c>
      <c r="AA112" s="16">
        <f t="shared" si="499"/>
        <v>14.822975999999997</v>
      </c>
      <c r="AB112" s="16">
        <f t="shared" si="500"/>
        <v>0</v>
      </c>
      <c r="AC112" s="16">
        <f t="shared" si="501"/>
        <v>1.363596809590359</v>
      </c>
      <c r="AD112" s="16">
        <f t="shared" si="502"/>
        <v>1675</v>
      </c>
      <c r="AE112" s="16">
        <f t="shared" si="503"/>
        <v>1675</v>
      </c>
      <c r="AF112" s="16">
        <f t="shared" si="504"/>
        <v>6</v>
      </c>
      <c r="AG112" s="16">
        <f t="shared" si="505"/>
        <v>6</v>
      </c>
      <c r="AH112" s="838" t="s">
        <v>84</v>
      </c>
      <c r="AI112" s="17">
        <f t="shared" si="506"/>
        <v>5</v>
      </c>
      <c r="AJ112" s="17">
        <f t="shared" si="507"/>
        <v>6</v>
      </c>
      <c r="AK112" s="891"/>
      <c r="AL112" s="18" t="s">
        <v>255</v>
      </c>
      <c r="AM112" s="889"/>
      <c r="AN112" s="891"/>
      <c r="AO112" s="888"/>
      <c r="AP112" s="891"/>
      <c r="AQ112" s="891"/>
      <c r="AR112" s="889"/>
      <c r="AS112" s="888"/>
      <c r="AT112" s="888"/>
      <c r="AU112" s="890"/>
      <c r="AV112" s="888"/>
      <c r="AW112" s="888"/>
      <c r="AX112" s="888"/>
      <c r="AY112" s="887"/>
      <c r="AZ112" s="888"/>
      <c r="BA112" s="17">
        <f t="shared" si="508"/>
        <v>14.399999999999991</v>
      </c>
      <c r="BB112" s="17">
        <f t="shared" si="509"/>
        <v>37.799999999999997</v>
      </c>
      <c r="BC112" s="17">
        <f t="shared" si="510"/>
        <v>32</v>
      </c>
      <c r="BD112" s="17">
        <f t="shared" si="511"/>
        <v>85</v>
      </c>
      <c r="BE112" s="17">
        <f t="shared" si="512"/>
        <v>180.86341983910182</v>
      </c>
      <c r="BF112" s="17">
        <f t="shared" si="513"/>
        <v>24</v>
      </c>
      <c r="BG112" s="17">
        <f t="shared" si="514"/>
        <v>50</v>
      </c>
      <c r="BH112" s="17">
        <f t="shared" si="515"/>
        <v>65.062647806544774</v>
      </c>
      <c r="BI112" s="17">
        <f t="shared" si="516"/>
        <v>115.80077203255705</v>
      </c>
      <c r="BJ112" s="17">
        <f t="shared" si="517"/>
        <v>45</v>
      </c>
      <c r="BK112" s="17">
        <f t="shared" si="518"/>
        <v>85</v>
      </c>
      <c r="BL112" s="17">
        <f t="shared" si="519"/>
        <v>380.54120080897206</v>
      </c>
      <c r="BM112" s="17">
        <f t="shared" si="520"/>
        <v>24</v>
      </c>
      <c r="BN112" s="17">
        <f t="shared" si="521"/>
        <v>50</v>
      </c>
      <c r="BO112" s="17">
        <f t="shared" si="522"/>
        <v>65.062647806544774</v>
      </c>
      <c r="BP112" s="17">
        <f t="shared" si="523"/>
        <v>315.4785530024273</v>
      </c>
      <c r="BQ112" s="17">
        <f t="shared" si="524"/>
        <v>3777.6896639999995</v>
      </c>
      <c r="BR112" s="17">
        <f t="shared" si="525"/>
        <v>1439.1198719999991</v>
      </c>
      <c r="BS112" s="17">
        <f t="shared" si="526"/>
        <v>292.84415999999976</v>
      </c>
      <c r="BT112" s="17">
        <f t="shared" si="527"/>
        <v>768.71591999999987</v>
      </c>
      <c r="BU112" s="17">
        <f t="shared" si="528"/>
        <v>23269.68</v>
      </c>
      <c r="BV112" s="17">
        <f t="shared" si="529"/>
        <v>10236</v>
      </c>
      <c r="BW112" s="17">
        <f t="shared" si="530"/>
        <v>269.84143199999994</v>
      </c>
      <c r="BX112" s="17">
        <f t="shared" si="531"/>
        <v>17495.999999999989</v>
      </c>
      <c r="BY112" s="17">
        <f t="shared" si="532"/>
        <v>605.13317222399985</v>
      </c>
      <c r="BZ112" s="17"/>
      <c r="CA112" s="17">
        <f t="shared" si="533"/>
        <v>85810.166416660228</v>
      </c>
      <c r="CB112" s="17">
        <f t="shared" si="534"/>
        <v>241341.0930468569</v>
      </c>
      <c r="CC112" s="17">
        <f t="shared" si="535"/>
        <v>3179.9050933754011</v>
      </c>
      <c r="CD112" s="17">
        <f t="shared" si="536"/>
        <v>28619.145840378605</v>
      </c>
      <c r="CE112" s="17">
        <f t="shared" si="537"/>
        <v>55654.344268223984</v>
      </c>
      <c r="CF112" s="17">
        <f t="shared" si="538"/>
        <v>358950.31039727113</v>
      </c>
      <c r="CG112" s="17">
        <f t="shared" si="539"/>
        <v>414604.65466549509</v>
      </c>
      <c r="CH112" s="17">
        <f t="shared" si="540"/>
        <v>14.400000000000006</v>
      </c>
      <c r="CI112" s="17">
        <f t="shared" si="541"/>
        <v>-43.2</v>
      </c>
      <c r="CJ112" s="17">
        <f t="shared" si="542"/>
        <v>16</v>
      </c>
      <c r="CK112" s="17">
        <f t="shared" si="543"/>
        <v>90</v>
      </c>
      <c r="CL112" s="17">
        <f t="shared" si="544"/>
        <v>71.46880726181422</v>
      </c>
      <c r="CM112" s="17">
        <f t="shared" si="545"/>
        <v>24</v>
      </c>
      <c r="CN112" s="17">
        <f t="shared" si="546"/>
        <v>50</v>
      </c>
      <c r="CO112" s="17">
        <f t="shared" si="547"/>
        <v>65.062647806544774</v>
      </c>
      <c r="CP112" s="17">
        <f t="shared" si="548"/>
        <v>6.4061594552694459</v>
      </c>
      <c r="CQ112" s="17">
        <f t="shared" si="549"/>
        <v>0</v>
      </c>
      <c r="CR112" s="17">
        <f t="shared" si="550"/>
        <v>100</v>
      </c>
      <c r="CS112" s="17">
        <f t="shared" si="551"/>
        <v>26.404773030064671</v>
      </c>
      <c r="CT112" s="17">
        <f t="shared" si="552"/>
        <v>24</v>
      </c>
      <c r="CU112" s="17">
        <f t="shared" si="553"/>
        <v>50</v>
      </c>
      <c r="CV112" s="17">
        <f t="shared" si="554"/>
        <v>65.062647806544774</v>
      </c>
      <c r="CW112" s="17">
        <f t="shared" si="555"/>
        <v>-38.657874776480099</v>
      </c>
      <c r="CX112" s="17">
        <f t="shared" si="493"/>
        <v>-4317.3596159999997</v>
      </c>
      <c r="CY112" s="17">
        <f t="shared" si="493"/>
        <v>-4317.3596159999997</v>
      </c>
      <c r="CZ112" s="17">
        <f t="shared" si="556"/>
        <v>292.8441600000001</v>
      </c>
      <c r="DA112" s="17">
        <f t="shared" si="557"/>
        <v>-878.53247999999996</v>
      </c>
      <c r="DB112" s="17">
        <f t="shared" si="558"/>
        <v>-26593.920000000002</v>
      </c>
      <c r="DC112" s="17">
        <f t="shared" si="559"/>
        <v>10236</v>
      </c>
      <c r="DD112" s="17">
        <f t="shared" si="560"/>
        <v>269.84143199999994</v>
      </c>
      <c r="DE112" s="17">
        <f t="shared" si="561"/>
        <v>17496.000000000007</v>
      </c>
      <c r="DF112" s="17">
        <f t="shared" si="562"/>
        <v>-691.58076825599994</v>
      </c>
      <c r="DG112" s="17"/>
      <c r="DH112" s="17">
        <f t="shared" si="563"/>
        <v>-10514.941939202587</v>
      </c>
      <c r="DI112" s="17">
        <f t="shared" si="564"/>
        <v>-29573.274204007277</v>
      </c>
      <c r="DJ112" s="17">
        <f t="shared" si="565"/>
        <v>-389.65683001548348</v>
      </c>
      <c r="DK112" s="17">
        <f t="shared" si="566"/>
        <v>581.14508888870807</v>
      </c>
      <c r="DL112" s="17">
        <f t="shared" si="567"/>
        <v>-4186.7072722559924</v>
      </c>
      <c r="DM112" s="17">
        <f t="shared" si="568"/>
        <v>-39896.727884336644</v>
      </c>
      <c r="DN112" s="17">
        <f t="shared" si="569"/>
        <v>-44083.435156592634</v>
      </c>
    </row>
    <row r="113" spans="3:120" ht="18.600000000000001">
      <c r="C113" s="13">
        <f>IF(D113&lt;&gt;"",COUNTA($D$10:D113),"")</f>
        <v>89</v>
      </c>
      <c r="D113" s="14" t="s">
        <v>203</v>
      </c>
      <c r="E113" s="14">
        <v>2.1</v>
      </c>
      <c r="F113" s="14">
        <v>3.5</v>
      </c>
      <c r="G113" s="14">
        <v>2.4</v>
      </c>
      <c r="H113" s="14">
        <v>0</v>
      </c>
      <c r="I113" s="14">
        <v>1</v>
      </c>
      <c r="J113" s="14">
        <v>1.75</v>
      </c>
      <c r="K113" s="14">
        <v>3</v>
      </c>
      <c r="L113" s="15">
        <v>0.1</v>
      </c>
      <c r="M113" s="15">
        <v>0</v>
      </c>
      <c r="N113" s="14">
        <v>24</v>
      </c>
      <c r="O113" s="14">
        <v>50</v>
      </c>
      <c r="P113" s="13">
        <v>45</v>
      </c>
      <c r="Q113" s="13">
        <v>85</v>
      </c>
      <c r="R113" s="13" t="s">
        <v>219</v>
      </c>
      <c r="S113" s="13">
        <v>25</v>
      </c>
      <c r="T113" s="13">
        <v>0</v>
      </c>
      <c r="U113" s="13">
        <v>100</v>
      </c>
      <c r="V113" s="13" t="str">
        <f t="shared" si="494"/>
        <v>5 Micron</v>
      </c>
      <c r="W113" s="13">
        <f t="shared" si="495"/>
        <v>25</v>
      </c>
      <c r="X113" s="16">
        <f t="shared" si="496"/>
        <v>79.085999999999999</v>
      </c>
      <c r="Y113" s="16">
        <f t="shared" si="497"/>
        <v>622.56499199999996</v>
      </c>
      <c r="Z113" s="16">
        <f t="shared" si="498"/>
        <v>259.40208000000001</v>
      </c>
      <c r="AA113" s="16">
        <f t="shared" si="499"/>
        <v>25.940208000000002</v>
      </c>
      <c r="AB113" s="16">
        <f t="shared" si="500"/>
        <v>0</v>
      </c>
      <c r="AC113" s="16">
        <f t="shared" si="501"/>
        <v>2.3862944167831293</v>
      </c>
      <c r="AD113" s="16">
        <f t="shared" si="502"/>
        <v>1400</v>
      </c>
      <c r="AE113" s="16">
        <f t="shared" si="503"/>
        <v>1400</v>
      </c>
      <c r="AF113" s="16">
        <f t="shared" si="504"/>
        <v>4</v>
      </c>
      <c r="AG113" s="16">
        <f t="shared" si="505"/>
        <v>5</v>
      </c>
      <c r="AH113" s="838" t="s">
        <v>84</v>
      </c>
      <c r="AI113" s="17">
        <f t="shared" si="506"/>
        <v>2.5</v>
      </c>
      <c r="AJ113" s="17">
        <f t="shared" si="507"/>
        <v>5</v>
      </c>
      <c r="AK113" s="891"/>
      <c r="AL113" s="18">
        <f>IF(AK110&lt;=2000,950,(IF(AK110&lt;=4000,1100,(IF(AK110&lt;=6000,1250,(IF(AK110&lt;=10000,1550,(IF(AK110&lt;=15000,1750,(IF(AK110&lt;=24000,2050,(IF(AK110&lt;=40000,2900,3600)))))))))))))</f>
        <v>2900</v>
      </c>
      <c r="AM113" s="889"/>
      <c r="AN113" s="891"/>
      <c r="AO113" s="888"/>
      <c r="AP113" s="891"/>
      <c r="AQ113" s="891"/>
      <c r="AR113" s="889"/>
      <c r="AS113" s="888"/>
      <c r="AT113" s="888"/>
      <c r="AU113" s="890"/>
      <c r="AV113" s="888"/>
      <c r="AW113" s="888"/>
      <c r="AX113" s="888"/>
      <c r="AY113" s="887"/>
      <c r="AZ113" s="888"/>
      <c r="BA113" s="17">
        <f t="shared" si="508"/>
        <v>14.399999999999991</v>
      </c>
      <c r="BB113" s="17">
        <f t="shared" si="509"/>
        <v>37.799999999999997</v>
      </c>
      <c r="BC113" s="17">
        <f t="shared" si="510"/>
        <v>32</v>
      </c>
      <c r="BD113" s="17">
        <f t="shared" si="511"/>
        <v>85</v>
      </c>
      <c r="BE113" s="17">
        <f t="shared" si="512"/>
        <v>180.86341983910182</v>
      </c>
      <c r="BF113" s="17">
        <f t="shared" si="513"/>
        <v>24</v>
      </c>
      <c r="BG113" s="17">
        <f t="shared" si="514"/>
        <v>50</v>
      </c>
      <c r="BH113" s="17">
        <f t="shared" si="515"/>
        <v>65.062647806544774</v>
      </c>
      <c r="BI113" s="17">
        <f t="shared" si="516"/>
        <v>115.80077203255705</v>
      </c>
      <c r="BJ113" s="17">
        <f t="shared" si="517"/>
        <v>45</v>
      </c>
      <c r="BK113" s="17">
        <f t="shared" si="518"/>
        <v>85</v>
      </c>
      <c r="BL113" s="17">
        <f t="shared" si="519"/>
        <v>380.54120080897206</v>
      </c>
      <c r="BM113" s="17">
        <f t="shared" si="520"/>
        <v>24</v>
      </c>
      <c r="BN113" s="17">
        <f t="shared" si="521"/>
        <v>50</v>
      </c>
      <c r="BO113" s="17">
        <f t="shared" si="522"/>
        <v>65.062647806544774</v>
      </c>
      <c r="BP113" s="17">
        <f t="shared" si="523"/>
        <v>315.4785530024273</v>
      </c>
      <c r="BQ113" s="17">
        <f t="shared" si="524"/>
        <v>4919.7818879999995</v>
      </c>
      <c r="BR113" s="17">
        <f t="shared" si="525"/>
        <v>1874.2026239999989</v>
      </c>
      <c r="BS113" s="17">
        <f t="shared" si="526"/>
        <v>512.47727999999972</v>
      </c>
      <c r="BT113" s="17">
        <f t="shared" si="527"/>
        <v>1345.2528599999998</v>
      </c>
      <c r="BU113" s="17">
        <f t="shared" si="528"/>
        <v>0</v>
      </c>
      <c r="BV113" s="17">
        <f t="shared" si="529"/>
        <v>3412</v>
      </c>
      <c r="BW113" s="17">
        <f t="shared" si="530"/>
        <v>472.22250599999995</v>
      </c>
      <c r="BX113" s="17">
        <f t="shared" si="531"/>
        <v>17495.999999999989</v>
      </c>
      <c r="BY113" s="17">
        <f t="shared" si="532"/>
        <v>1058.9830513920001</v>
      </c>
      <c r="BZ113" s="17"/>
      <c r="CA113" s="17">
        <f t="shared" si="533"/>
        <v>0</v>
      </c>
      <c r="CB113" s="17">
        <f t="shared" si="534"/>
        <v>241341.0930468569</v>
      </c>
      <c r="CC113" s="17">
        <f t="shared" si="535"/>
        <v>5564.8339134069529</v>
      </c>
      <c r="CD113" s="17">
        <f t="shared" si="536"/>
        <v>50083.50522066257</v>
      </c>
      <c r="CE113" s="17">
        <f t="shared" si="537"/>
        <v>27358.987445391987</v>
      </c>
      <c r="CF113" s="17">
        <f t="shared" si="538"/>
        <v>296989.43218092644</v>
      </c>
      <c r="CG113" s="17">
        <f t="shared" si="539"/>
        <v>324348.41962631844</v>
      </c>
      <c r="CH113" s="17">
        <f t="shared" si="540"/>
        <v>14.400000000000006</v>
      </c>
      <c r="CI113" s="17">
        <f t="shared" si="541"/>
        <v>-43.2</v>
      </c>
      <c r="CJ113" s="17">
        <f t="shared" si="542"/>
        <v>16</v>
      </c>
      <c r="CK113" s="17">
        <f t="shared" si="543"/>
        <v>90</v>
      </c>
      <c r="CL113" s="17">
        <f t="shared" si="544"/>
        <v>71.46880726181422</v>
      </c>
      <c r="CM113" s="17">
        <f t="shared" si="545"/>
        <v>24</v>
      </c>
      <c r="CN113" s="17">
        <f t="shared" si="546"/>
        <v>50</v>
      </c>
      <c r="CO113" s="17">
        <f t="shared" si="547"/>
        <v>65.062647806544774</v>
      </c>
      <c r="CP113" s="17">
        <f t="shared" si="548"/>
        <v>6.4061594552694459</v>
      </c>
      <c r="CQ113" s="17">
        <f t="shared" si="549"/>
        <v>0</v>
      </c>
      <c r="CR113" s="17">
        <f t="shared" si="550"/>
        <v>100</v>
      </c>
      <c r="CS113" s="17">
        <f t="shared" si="551"/>
        <v>26.404773030064671</v>
      </c>
      <c r="CT113" s="17">
        <f t="shared" si="552"/>
        <v>24</v>
      </c>
      <c r="CU113" s="17">
        <f t="shared" si="553"/>
        <v>50</v>
      </c>
      <c r="CV113" s="17">
        <f t="shared" si="554"/>
        <v>65.062647806544774</v>
      </c>
      <c r="CW113" s="17">
        <f t="shared" si="555"/>
        <v>-38.657874776480099</v>
      </c>
      <c r="CX113" s="17">
        <f t="shared" si="493"/>
        <v>-5622.6078720000005</v>
      </c>
      <c r="CY113" s="17">
        <f t="shared" si="493"/>
        <v>-5622.6078720000005</v>
      </c>
      <c r="CZ113" s="17">
        <f t="shared" si="556"/>
        <v>512.47728000000018</v>
      </c>
      <c r="DA113" s="17">
        <f t="shared" si="557"/>
        <v>-1537.4318400000002</v>
      </c>
      <c r="DB113" s="17">
        <f t="shared" si="558"/>
        <v>0</v>
      </c>
      <c r="DC113" s="17">
        <f t="shared" si="559"/>
        <v>3412</v>
      </c>
      <c r="DD113" s="17">
        <f t="shared" si="560"/>
        <v>472.22250599999995</v>
      </c>
      <c r="DE113" s="17">
        <f t="shared" si="561"/>
        <v>17496.000000000007</v>
      </c>
      <c r="DF113" s="17">
        <f t="shared" si="562"/>
        <v>-1210.2663444480002</v>
      </c>
      <c r="DG113" s="17"/>
      <c r="DH113" s="17">
        <f t="shared" si="563"/>
        <v>0</v>
      </c>
      <c r="DI113" s="17">
        <f t="shared" si="564"/>
        <v>-29573.274204007277</v>
      </c>
      <c r="DJ113" s="17">
        <f t="shared" si="565"/>
        <v>-681.89945252709629</v>
      </c>
      <c r="DK113" s="17">
        <f t="shared" si="566"/>
        <v>1017.0039055552395</v>
      </c>
      <c r="DL113" s="17">
        <f t="shared" si="567"/>
        <v>13522.393729552006</v>
      </c>
      <c r="DM113" s="17">
        <f t="shared" si="568"/>
        <v>-29238.169750979134</v>
      </c>
      <c r="DN113" s="17">
        <f t="shared" si="569"/>
        <v>-15715.776021427127</v>
      </c>
    </row>
    <row r="114" spans="3:120" ht="18.600000000000001">
      <c r="C114" s="13">
        <f>IF(D114&lt;&gt;"",COUNTA($D$10:D114),"")</f>
        <v>90</v>
      </c>
      <c r="D114" s="14" t="s">
        <v>204</v>
      </c>
      <c r="E114" s="14">
        <v>2.7</v>
      </c>
      <c r="F114" s="14">
        <v>4</v>
      </c>
      <c r="G114" s="14">
        <v>2.4</v>
      </c>
      <c r="H114" s="14">
        <v>2</v>
      </c>
      <c r="I114" s="14">
        <v>1</v>
      </c>
      <c r="J114" s="14">
        <v>1.75</v>
      </c>
      <c r="K114" s="14">
        <v>3</v>
      </c>
      <c r="L114" s="15">
        <v>0.1</v>
      </c>
      <c r="M114" s="15">
        <v>0</v>
      </c>
      <c r="N114" s="14">
        <v>24</v>
      </c>
      <c r="O114" s="14">
        <v>50</v>
      </c>
      <c r="P114" s="13">
        <v>45</v>
      </c>
      <c r="Q114" s="13">
        <v>85</v>
      </c>
      <c r="R114" s="13" t="s">
        <v>219</v>
      </c>
      <c r="S114" s="13">
        <v>25</v>
      </c>
      <c r="T114" s="13">
        <v>0</v>
      </c>
      <c r="U114" s="13">
        <v>100</v>
      </c>
      <c r="V114" s="13" t="str">
        <f t="shared" si="494"/>
        <v>5 Micron</v>
      </c>
      <c r="W114" s="13">
        <f t="shared" si="495"/>
        <v>25</v>
      </c>
      <c r="X114" s="16">
        <f t="shared" si="496"/>
        <v>116.208</v>
      </c>
      <c r="Y114" s="16">
        <f t="shared" si="497"/>
        <v>914.78937599999995</v>
      </c>
      <c r="Z114" s="16">
        <f t="shared" si="498"/>
        <v>381.16223999999994</v>
      </c>
      <c r="AA114" s="16">
        <f t="shared" si="499"/>
        <v>38.116223999999995</v>
      </c>
      <c r="AB114" s="16">
        <f t="shared" si="500"/>
        <v>0</v>
      </c>
      <c r="AC114" s="16">
        <f t="shared" si="501"/>
        <v>3.506391796089495</v>
      </c>
      <c r="AD114" s="16">
        <f t="shared" si="502"/>
        <v>1925</v>
      </c>
      <c r="AE114" s="16">
        <f t="shared" si="503"/>
        <v>1925</v>
      </c>
      <c r="AF114" s="16">
        <f t="shared" si="504"/>
        <v>6</v>
      </c>
      <c r="AG114" s="16">
        <f t="shared" si="505"/>
        <v>6.5</v>
      </c>
      <c r="AH114" s="838" t="s">
        <v>84</v>
      </c>
      <c r="AI114" s="17">
        <f t="shared" si="506"/>
        <v>4.5</v>
      </c>
      <c r="AJ114" s="17">
        <f t="shared" si="507"/>
        <v>6.5</v>
      </c>
      <c r="AK114" s="891"/>
      <c r="AL114" s="18" t="s">
        <v>256</v>
      </c>
      <c r="AM114" s="889"/>
      <c r="AN114" s="891"/>
      <c r="AO114" s="888"/>
      <c r="AP114" s="891"/>
      <c r="AQ114" s="891"/>
      <c r="AR114" s="889"/>
      <c r="AS114" s="888"/>
      <c r="AT114" s="888"/>
      <c r="AU114" s="890"/>
      <c r="AV114" s="888"/>
      <c r="AW114" s="888"/>
      <c r="AX114" s="888"/>
      <c r="AY114" s="887"/>
      <c r="AZ114" s="888"/>
      <c r="BA114" s="17">
        <f t="shared" si="508"/>
        <v>14.399999999999991</v>
      </c>
      <c r="BB114" s="17">
        <f t="shared" si="509"/>
        <v>37.799999999999997</v>
      </c>
      <c r="BC114" s="17">
        <f t="shared" si="510"/>
        <v>32</v>
      </c>
      <c r="BD114" s="17">
        <f t="shared" si="511"/>
        <v>85</v>
      </c>
      <c r="BE114" s="17">
        <f t="shared" si="512"/>
        <v>180.86341983910182</v>
      </c>
      <c r="BF114" s="17">
        <f t="shared" si="513"/>
        <v>24</v>
      </c>
      <c r="BG114" s="17">
        <f t="shared" si="514"/>
        <v>50</v>
      </c>
      <c r="BH114" s="17">
        <f t="shared" si="515"/>
        <v>65.062647806544774</v>
      </c>
      <c r="BI114" s="17">
        <f t="shared" si="516"/>
        <v>115.80077203255705</v>
      </c>
      <c r="BJ114" s="17">
        <f t="shared" si="517"/>
        <v>45</v>
      </c>
      <c r="BK114" s="17">
        <f t="shared" si="518"/>
        <v>85</v>
      </c>
      <c r="BL114" s="17">
        <f t="shared" si="519"/>
        <v>380.54120080897206</v>
      </c>
      <c r="BM114" s="17">
        <f t="shared" si="520"/>
        <v>24</v>
      </c>
      <c r="BN114" s="17">
        <f t="shared" si="521"/>
        <v>50</v>
      </c>
      <c r="BO114" s="17">
        <f t="shared" si="522"/>
        <v>65.062647806544774</v>
      </c>
      <c r="BP114" s="17">
        <f t="shared" si="523"/>
        <v>315.4785530024273</v>
      </c>
      <c r="BQ114" s="17">
        <f t="shared" si="524"/>
        <v>5886.1676159999997</v>
      </c>
      <c r="BR114" s="17">
        <f t="shared" si="525"/>
        <v>2242.3495679999987</v>
      </c>
      <c r="BS114" s="17">
        <f t="shared" si="526"/>
        <v>753.02783999999963</v>
      </c>
      <c r="BT114" s="17">
        <f t="shared" si="527"/>
        <v>1976.6980799999997</v>
      </c>
      <c r="BU114" s="17">
        <f t="shared" si="528"/>
        <v>23269.68</v>
      </c>
      <c r="BV114" s="17">
        <f t="shared" si="529"/>
        <v>3412</v>
      </c>
      <c r="BW114" s="17">
        <f t="shared" si="530"/>
        <v>693.87796800000001</v>
      </c>
      <c r="BX114" s="17">
        <f t="shared" si="531"/>
        <v>17495.999999999989</v>
      </c>
      <c r="BY114" s="17">
        <f t="shared" si="532"/>
        <v>1556.0567285759998</v>
      </c>
      <c r="BZ114" s="17"/>
      <c r="CA114" s="17">
        <f t="shared" si="533"/>
        <v>85810.166416660228</v>
      </c>
      <c r="CB114" s="17">
        <f t="shared" si="534"/>
        <v>241341.0930468569</v>
      </c>
      <c r="CC114" s="17">
        <f t="shared" si="535"/>
        <v>8176.8988115367465</v>
      </c>
      <c r="CD114" s="17">
        <f t="shared" si="536"/>
        <v>73592.089303830711</v>
      </c>
      <c r="CE114" s="17">
        <f t="shared" si="537"/>
        <v>52313.782312575982</v>
      </c>
      <c r="CF114" s="17">
        <f t="shared" si="538"/>
        <v>408920.24757888453</v>
      </c>
      <c r="CG114" s="17">
        <f t="shared" si="539"/>
        <v>461234.02989146049</v>
      </c>
      <c r="CH114" s="17">
        <f t="shared" si="540"/>
        <v>14.400000000000006</v>
      </c>
      <c r="CI114" s="17">
        <f t="shared" si="541"/>
        <v>-43.2</v>
      </c>
      <c r="CJ114" s="17">
        <f t="shared" si="542"/>
        <v>16</v>
      </c>
      <c r="CK114" s="17">
        <f t="shared" si="543"/>
        <v>90</v>
      </c>
      <c r="CL114" s="17">
        <f t="shared" si="544"/>
        <v>71.46880726181422</v>
      </c>
      <c r="CM114" s="17">
        <f t="shared" si="545"/>
        <v>24</v>
      </c>
      <c r="CN114" s="17">
        <f t="shared" si="546"/>
        <v>50</v>
      </c>
      <c r="CO114" s="17">
        <f t="shared" si="547"/>
        <v>65.062647806544774</v>
      </c>
      <c r="CP114" s="17">
        <f t="shared" si="548"/>
        <v>6.4061594552694459</v>
      </c>
      <c r="CQ114" s="17">
        <f t="shared" si="549"/>
        <v>0</v>
      </c>
      <c r="CR114" s="17">
        <f t="shared" si="550"/>
        <v>100</v>
      </c>
      <c r="CS114" s="17">
        <f t="shared" si="551"/>
        <v>26.404773030064671</v>
      </c>
      <c r="CT114" s="17">
        <f t="shared" si="552"/>
        <v>24</v>
      </c>
      <c r="CU114" s="17">
        <f t="shared" si="553"/>
        <v>50</v>
      </c>
      <c r="CV114" s="17">
        <f t="shared" si="554"/>
        <v>65.062647806544774</v>
      </c>
      <c r="CW114" s="17">
        <f t="shared" si="555"/>
        <v>-38.657874776480099</v>
      </c>
      <c r="CX114" s="17">
        <f t="shared" si="493"/>
        <v>-6727.0487040000007</v>
      </c>
      <c r="CY114" s="17">
        <f t="shared" si="493"/>
        <v>-6727.0487040000007</v>
      </c>
      <c r="CZ114" s="17">
        <f t="shared" si="556"/>
        <v>753.02784000000031</v>
      </c>
      <c r="DA114" s="17">
        <f t="shared" si="557"/>
        <v>-2259.0835200000006</v>
      </c>
      <c r="DB114" s="17">
        <f t="shared" si="558"/>
        <v>-26593.920000000002</v>
      </c>
      <c r="DC114" s="17">
        <f t="shared" si="559"/>
        <v>3412</v>
      </c>
      <c r="DD114" s="17">
        <f t="shared" si="560"/>
        <v>693.87796800000001</v>
      </c>
      <c r="DE114" s="17">
        <f t="shared" si="561"/>
        <v>17496.000000000007</v>
      </c>
      <c r="DF114" s="17">
        <f t="shared" si="562"/>
        <v>-1778.3505469439999</v>
      </c>
      <c r="DG114" s="17"/>
      <c r="DH114" s="17">
        <f t="shared" si="563"/>
        <v>-10514.941939202587</v>
      </c>
      <c r="DI114" s="17">
        <f t="shared" si="564"/>
        <v>-29573.274204007277</v>
      </c>
      <c r="DJ114" s="17">
        <f t="shared" si="565"/>
        <v>-1001.9747057541005</v>
      </c>
      <c r="DK114" s="17">
        <f t="shared" si="566"/>
        <v>1494.3730857138212</v>
      </c>
      <c r="DL114" s="17">
        <f t="shared" si="567"/>
        <v>-15003.496962943997</v>
      </c>
      <c r="DM114" s="17">
        <f t="shared" si="568"/>
        <v>-39595.817763250147</v>
      </c>
      <c r="DN114" s="17">
        <f t="shared" si="569"/>
        <v>-54599.314726194141</v>
      </c>
    </row>
    <row r="115" spans="3:120" ht="18.600000000000001">
      <c r="C115" s="13">
        <f>IF(D115&lt;&gt;"",COUNTA($D$10:D115),"")</f>
        <v>91</v>
      </c>
      <c r="D115" s="14" t="s">
        <v>205</v>
      </c>
      <c r="E115" s="14">
        <v>3.8</v>
      </c>
      <c r="F115" s="14">
        <v>4.2</v>
      </c>
      <c r="G115" s="14">
        <v>2.4</v>
      </c>
      <c r="H115" s="14">
        <v>3</v>
      </c>
      <c r="I115" s="14">
        <v>3</v>
      </c>
      <c r="J115" s="14">
        <v>1.75</v>
      </c>
      <c r="K115" s="14">
        <v>3</v>
      </c>
      <c r="L115" s="15">
        <v>0.1</v>
      </c>
      <c r="M115" s="15">
        <v>0</v>
      </c>
      <c r="N115" s="14">
        <v>24</v>
      </c>
      <c r="O115" s="14">
        <v>50</v>
      </c>
      <c r="P115" s="13">
        <v>45</v>
      </c>
      <c r="Q115" s="13">
        <v>85</v>
      </c>
      <c r="R115" s="13" t="s">
        <v>219</v>
      </c>
      <c r="S115" s="13">
        <v>25</v>
      </c>
      <c r="T115" s="13">
        <v>0</v>
      </c>
      <c r="U115" s="13">
        <v>100</v>
      </c>
      <c r="V115" s="13" t="str">
        <f t="shared" si="494"/>
        <v>5 Micron</v>
      </c>
      <c r="W115" s="13">
        <f t="shared" si="495"/>
        <v>25</v>
      </c>
      <c r="X115" s="16">
        <f t="shared" si="496"/>
        <v>171.72959999999998</v>
      </c>
      <c r="Y115" s="16">
        <f t="shared" si="497"/>
        <v>1351.8554111999997</v>
      </c>
      <c r="Z115" s="16">
        <f t="shared" si="498"/>
        <v>563.27308799999992</v>
      </c>
      <c r="AA115" s="16">
        <f t="shared" si="499"/>
        <v>56.327308799999997</v>
      </c>
      <c r="AB115" s="16">
        <f t="shared" si="500"/>
        <v>0</v>
      </c>
      <c r="AC115" s="16">
        <f t="shared" si="501"/>
        <v>5.181667876443365</v>
      </c>
      <c r="AD115" s="16">
        <f t="shared" si="502"/>
        <v>2300</v>
      </c>
      <c r="AE115" s="16">
        <f t="shared" si="503"/>
        <v>2300</v>
      </c>
      <c r="AF115" s="16">
        <f t="shared" si="504"/>
        <v>8</v>
      </c>
      <c r="AG115" s="16">
        <f t="shared" si="505"/>
        <v>8</v>
      </c>
      <c r="AH115" s="838" t="s">
        <v>84</v>
      </c>
      <c r="AI115" s="17">
        <f t="shared" si="506"/>
        <v>6.5</v>
      </c>
      <c r="AJ115" s="17">
        <f t="shared" si="507"/>
        <v>8</v>
      </c>
      <c r="AK115" s="891"/>
      <c r="AL115" s="18">
        <f>IF(AL119&lt;4000,AL119,AL119+400)</f>
        <v>6000</v>
      </c>
      <c r="AM115" s="889"/>
      <c r="AN115" s="891"/>
      <c r="AO115" s="888"/>
      <c r="AP115" s="891"/>
      <c r="AQ115" s="891"/>
      <c r="AR115" s="889"/>
      <c r="AS115" s="888"/>
      <c r="AT115" s="888"/>
      <c r="AU115" s="890"/>
      <c r="AV115" s="888"/>
      <c r="AW115" s="888"/>
      <c r="AX115" s="888"/>
      <c r="AY115" s="887"/>
      <c r="AZ115" s="888"/>
      <c r="BA115" s="17">
        <f t="shared" si="508"/>
        <v>14.399999999999991</v>
      </c>
      <c r="BB115" s="17">
        <f t="shared" si="509"/>
        <v>37.799999999999997</v>
      </c>
      <c r="BC115" s="17">
        <f t="shared" si="510"/>
        <v>32</v>
      </c>
      <c r="BD115" s="17">
        <f t="shared" si="511"/>
        <v>85</v>
      </c>
      <c r="BE115" s="17">
        <f t="shared" si="512"/>
        <v>180.86341983910182</v>
      </c>
      <c r="BF115" s="17">
        <f t="shared" si="513"/>
        <v>24</v>
      </c>
      <c r="BG115" s="17">
        <f t="shared" si="514"/>
        <v>50</v>
      </c>
      <c r="BH115" s="17">
        <f t="shared" si="515"/>
        <v>65.062647806544774</v>
      </c>
      <c r="BI115" s="17">
        <f t="shared" si="516"/>
        <v>115.80077203255705</v>
      </c>
      <c r="BJ115" s="17">
        <f t="shared" si="517"/>
        <v>45</v>
      </c>
      <c r="BK115" s="17">
        <f t="shared" si="518"/>
        <v>85</v>
      </c>
      <c r="BL115" s="17">
        <f t="shared" si="519"/>
        <v>380.54120080897206</v>
      </c>
      <c r="BM115" s="17">
        <f t="shared" si="520"/>
        <v>24</v>
      </c>
      <c r="BN115" s="17">
        <f t="shared" si="521"/>
        <v>50</v>
      </c>
      <c r="BO115" s="17">
        <f t="shared" si="522"/>
        <v>65.062647806544774</v>
      </c>
      <c r="BP115" s="17">
        <f t="shared" si="523"/>
        <v>315.4785530024273</v>
      </c>
      <c r="BQ115" s="17">
        <f t="shared" si="524"/>
        <v>7028.2598399999997</v>
      </c>
      <c r="BR115" s="17">
        <f t="shared" si="525"/>
        <v>2677.4323199999981</v>
      </c>
      <c r="BS115" s="17">
        <f t="shared" si="526"/>
        <v>1112.8078079999991</v>
      </c>
      <c r="BT115" s="17">
        <f t="shared" si="527"/>
        <v>2921.1204959999995</v>
      </c>
      <c r="BU115" s="17">
        <f t="shared" si="528"/>
        <v>34904.520000000004</v>
      </c>
      <c r="BV115" s="17">
        <f t="shared" si="529"/>
        <v>10236</v>
      </c>
      <c r="BW115" s="17">
        <f t="shared" si="530"/>
        <v>1025.3974415999999</v>
      </c>
      <c r="BX115" s="17">
        <f t="shared" si="531"/>
        <v>17495.999999999989</v>
      </c>
      <c r="BY115" s="17">
        <f t="shared" si="532"/>
        <v>2299.5060544511998</v>
      </c>
      <c r="BZ115" s="17"/>
      <c r="CA115" s="17">
        <f t="shared" si="533"/>
        <v>128715.24962499036</v>
      </c>
      <c r="CB115" s="17">
        <f t="shared" si="534"/>
        <v>241341.0930468569</v>
      </c>
      <c r="CC115" s="17">
        <f t="shared" si="535"/>
        <v>12083.639354826526</v>
      </c>
      <c r="CD115" s="17">
        <f t="shared" si="536"/>
        <v>108752.75419343873</v>
      </c>
      <c r="CE115" s="17">
        <f t="shared" si="537"/>
        <v>72989.683336051181</v>
      </c>
      <c r="CF115" s="17">
        <f t="shared" si="538"/>
        <v>490892.73622011254</v>
      </c>
      <c r="CG115" s="17">
        <f t="shared" si="539"/>
        <v>563882.41955616372</v>
      </c>
      <c r="CH115" s="17">
        <f t="shared" si="540"/>
        <v>14.400000000000006</v>
      </c>
      <c r="CI115" s="17">
        <f t="shared" si="541"/>
        <v>-43.2</v>
      </c>
      <c r="CJ115" s="17">
        <f t="shared" si="542"/>
        <v>16</v>
      </c>
      <c r="CK115" s="17">
        <f t="shared" si="543"/>
        <v>90</v>
      </c>
      <c r="CL115" s="17">
        <f t="shared" si="544"/>
        <v>71.46880726181422</v>
      </c>
      <c r="CM115" s="17">
        <f t="shared" si="545"/>
        <v>24</v>
      </c>
      <c r="CN115" s="17">
        <f t="shared" si="546"/>
        <v>50</v>
      </c>
      <c r="CO115" s="17">
        <f t="shared" si="547"/>
        <v>65.062647806544774</v>
      </c>
      <c r="CP115" s="17">
        <f t="shared" si="548"/>
        <v>6.4061594552694459</v>
      </c>
      <c r="CQ115" s="17">
        <f t="shared" si="549"/>
        <v>0</v>
      </c>
      <c r="CR115" s="17">
        <f t="shared" si="550"/>
        <v>100</v>
      </c>
      <c r="CS115" s="17">
        <f t="shared" si="551"/>
        <v>26.404773030064671</v>
      </c>
      <c r="CT115" s="17">
        <f t="shared" si="552"/>
        <v>24</v>
      </c>
      <c r="CU115" s="17">
        <f t="shared" si="553"/>
        <v>50</v>
      </c>
      <c r="CV115" s="17">
        <f t="shared" si="554"/>
        <v>65.062647806544774</v>
      </c>
      <c r="CW115" s="17">
        <f t="shared" si="555"/>
        <v>-38.657874776480099</v>
      </c>
      <c r="CX115" s="17">
        <f t="shared" si="493"/>
        <v>-8032.2969600000006</v>
      </c>
      <c r="CY115" s="17">
        <f t="shared" si="493"/>
        <v>-8032.2969600000006</v>
      </c>
      <c r="CZ115" s="17">
        <f t="shared" si="556"/>
        <v>1112.8078080000003</v>
      </c>
      <c r="DA115" s="17">
        <f t="shared" si="557"/>
        <v>-3338.4234240000001</v>
      </c>
      <c r="DB115" s="17">
        <f t="shared" si="558"/>
        <v>-39890.880000000005</v>
      </c>
      <c r="DC115" s="17">
        <f t="shared" si="559"/>
        <v>10236</v>
      </c>
      <c r="DD115" s="17">
        <f t="shared" si="560"/>
        <v>1025.3974415999999</v>
      </c>
      <c r="DE115" s="17">
        <f t="shared" si="561"/>
        <v>17496.000000000007</v>
      </c>
      <c r="DF115" s="17">
        <f t="shared" si="562"/>
        <v>-2628.0069193728004</v>
      </c>
      <c r="DG115" s="17"/>
      <c r="DH115" s="17">
        <f t="shared" si="563"/>
        <v>-15772.412908803883</v>
      </c>
      <c r="DI115" s="17">
        <f t="shared" si="564"/>
        <v>-29573.274204007277</v>
      </c>
      <c r="DJ115" s="17">
        <f t="shared" si="565"/>
        <v>-1480.6959540588375</v>
      </c>
      <c r="DK115" s="17">
        <f t="shared" si="566"/>
        <v>2208.3513377770914</v>
      </c>
      <c r="DL115" s="17">
        <f t="shared" si="567"/>
        <v>-24019.402053772803</v>
      </c>
      <c r="DM115" s="17">
        <f t="shared" si="568"/>
        <v>-44618.031729092902</v>
      </c>
      <c r="DN115" s="17">
        <f t="shared" si="569"/>
        <v>-68637.433782865701</v>
      </c>
    </row>
    <row r="116" spans="3:120" ht="18.600000000000001">
      <c r="C116" s="13">
        <f>IF(D116&lt;&gt;"",COUNTA($D$10:D116),"")</f>
        <v>92</v>
      </c>
      <c r="D116" s="14" t="s">
        <v>206</v>
      </c>
      <c r="E116" s="14">
        <v>3.1</v>
      </c>
      <c r="F116" s="14">
        <v>2.6</v>
      </c>
      <c r="G116" s="14">
        <v>2.4</v>
      </c>
      <c r="H116" s="14">
        <v>2</v>
      </c>
      <c r="I116" s="14">
        <v>1</v>
      </c>
      <c r="J116" s="14">
        <v>1.75</v>
      </c>
      <c r="K116" s="14">
        <v>3</v>
      </c>
      <c r="L116" s="15">
        <v>0.1</v>
      </c>
      <c r="M116" s="15">
        <v>0</v>
      </c>
      <c r="N116" s="14">
        <v>24</v>
      </c>
      <c r="O116" s="14">
        <v>50</v>
      </c>
      <c r="P116" s="13">
        <v>45</v>
      </c>
      <c r="Q116" s="13">
        <v>85</v>
      </c>
      <c r="R116" s="13" t="s">
        <v>219</v>
      </c>
      <c r="S116" s="13">
        <v>25</v>
      </c>
      <c r="T116" s="13">
        <v>0</v>
      </c>
      <c r="U116" s="13">
        <v>100</v>
      </c>
      <c r="V116" s="13" t="str">
        <f t="shared" si="494"/>
        <v>5 Micron</v>
      </c>
      <c r="W116" s="13">
        <f t="shared" si="495"/>
        <v>25</v>
      </c>
      <c r="X116" s="16">
        <f t="shared" si="496"/>
        <v>86.7256</v>
      </c>
      <c r="Y116" s="16">
        <f t="shared" si="497"/>
        <v>682.70392319999996</v>
      </c>
      <c r="Z116" s="16">
        <f t="shared" si="498"/>
        <v>284.459968</v>
      </c>
      <c r="AA116" s="16">
        <f t="shared" si="499"/>
        <v>28.445996800000003</v>
      </c>
      <c r="AB116" s="16">
        <f t="shared" si="500"/>
        <v>0</v>
      </c>
      <c r="AC116" s="16">
        <f t="shared" si="501"/>
        <v>2.6168072107853093</v>
      </c>
      <c r="AD116" s="16">
        <f t="shared" si="502"/>
        <v>1825</v>
      </c>
      <c r="AE116" s="16">
        <f t="shared" si="503"/>
        <v>1825</v>
      </c>
      <c r="AF116" s="16">
        <f t="shared" si="504"/>
        <v>6</v>
      </c>
      <c r="AG116" s="16">
        <f t="shared" si="505"/>
        <v>6.5</v>
      </c>
      <c r="AH116" s="838" t="s">
        <v>84</v>
      </c>
      <c r="AI116" s="17">
        <f t="shared" si="506"/>
        <v>4.5</v>
      </c>
      <c r="AJ116" s="17">
        <f t="shared" si="507"/>
        <v>6.5</v>
      </c>
      <c r="AK116" s="891"/>
      <c r="AL116" s="18"/>
      <c r="AM116" s="889"/>
      <c r="AN116" s="891"/>
      <c r="AO116" s="888"/>
      <c r="AP116" s="891"/>
      <c r="AQ116" s="891"/>
      <c r="AR116" s="889"/>
      <c r="AS116" s="888"/>
      <c r="AT116" s="888"/>
      <c r="AU116" s="890"/>
      <c r="AV116" s="888"/>
      <c r="AW116" s="888"/>
      <c r="AX116" s="888"/>
      <c r="AY116" s="887"/>
      <c r="AZ116" s="888"/>
      <c r="BA116" s="17">
        <f t="shared" si="508"/>
        <v>14.399999999999991</v>
      </c>
      <c r="BB116" s="17">
        <f t="shared" si="509"/>
        <v>37.799999999999997</v>
      </c>
      <c r="BC116" s="17">
        <f t="shared" si="510"/>
        <v>32</v>
      </c>
      <c r="BD116" s="17">
        <f t="shared" si="511"/>
        <v>85</v>
      </c>
      <c r="BE116" s="17">
        <f t="shared" si="512"/>
        <v>180.86341983910182</v>
      </c>
      <c r="BF116" s="17">
        <f t="shared" si="513"/>
        <v>24</v>
      </c>
      <c r="BG116" s="17">
        <f t="shared" si="514"/>
        <v>50</v>
      </c>
      <c r="BH116" s="17">
        <f t="shared" si="515"/>
        <v>65.062647806544774</v>
      </c>
      <c r="BI116" s="17">
        <f t="shared" si="516"/>
        <v>115.80077203255705</v>
      </c>
      <c r="BJ116" s="17">
        <f t="shared" si="517"/>
        <v>45</v>
      </c>
      <c r="BK116" s="17">
        <f t="shared" si="518"/>
        <v>85</v>
      </c>
      <c r="BL116" s="17">
        <f t="shared" si="519"/>
        <v>380.54120080897206</v>
      </c>
      <c r="BM116" s="17">
        <f t="shared" si="520"/>
        <v>24</v>
      </c>
      <c r="BN116" s="17">
        <f t="shared" si="521"/>
        <v>50</v>
      </c>
      <c r="BO116" s="17">
        <f t="shared" si="522"/>
        <v>65.062647806544774</v>
      </c>
      <c r="BP116" s="17">
        <f t="shared" si="523"/>
        <v>315.4785530024273</v>
      </c>
      <c r="BQ116" s="17">
        <f t="shared" si="524"/>
        <v>5007.6351359999999</v>
      </c>
      <c r="BR116" s="17">
        <f t="shared" si="525"/>
        <v>1907.670527999999</v>
      </c>
      <c r="BS116" s="17">
        <f t="shared" si="526"/>
        <v>561.98188799999969</v>
      </c>
      <c r="BT116" s="17">
        <f t="shared" si="527"/>
        <v>1475.202456</v>
      </c>
      <c r="BU116" s="17">
        <f t="shared" si="528"/>
        <v>23269.68</v>
      </c>
      <c r="BV116" s="17">
        <f t="shared" si="529"/>
        <v>3412</v>
      </c>
      <c r="BW116" s="17">
        <f t="shared" si="530"/>
        <v>517.83855759999994</v>
      </c>
      <c r="BX116" s="17">
        <f t="shared" si="531"/>
        <v>17495.999999999989</v>
      </c>
      <c r="BY116" s="17">
        <f t="shared" si="532"/>
        <v>1161.2793733632002</v>
      </c>
      <c r="BZ116" s="17"/>
      <c r="CA116" s="17">
        <f t="shared" si="533"/>
        <v>85810.166416660228</v>
      </c>
      <c r="CB116" s="17">
        <f t="shared" si="534"/>
        <v>241341.0930468569</v>
      </c>
      <c r="CC116" s="17">
        <f t="shared" si="535"/>
        <v>6102.3892982394618</v>
      </c>
      <c r="CD116" s="17">
        <f t="shared" si="536"/>
        <v>54921.503684155155</v>
      </c>
      <c r="CE116" s="17">
        <f t="shared" si="537"/>
        <v>50864.433066963189</v>
      </c>
      <c r="CF116" s="17">
        <f t="shared" si="538"/>
        <v>388175.15244591178</v>
      </c>
      <c r="CG116" s="17">
        <f t="shared" si="539"/>
        <v>439039.585512875</v>
      </c>
      <c r="CH116" s="17">
        <f t="shared" si="540"/>
        <v>14.400000000000006</v>
      </c>
      <c r="CI116" s="17">
        <f t="shared" si="541"/>
        <v>-43.2</v>
      </c>
      <c r="CJ116" s="17">
        <f t="shared" si="542"/>
        <v>16</v>
      </c>
      <c r="CK116" s="17">
        <f t="shared" si="543"/>
        <v>90</v>
      </c>
      <c r="CL116" s="17">
        <f t="shared" si="544"/>
        <v>71.46880726181422</v>
      </c>
      <c r="CM116" s="17">
        <f t="shared" si="545"/>
        <v>24</v>
      </c>
      <c r="CN116" s="17">
        <f t="shared" si="546"/>
        <v>50</v>
      </c>
      <c r="CO116" s="17">
        <f t="shared" si="547"/>
        <v>65.062647806544774</v>
      </c>
      <c r="CP116" s="17">
        <f t="shared" si="548"/>
        <v>6.4061594552694459</v>
      </c>
      <c r="CQ116" s="17">
        <f t="shared" si="549"/>
        <v>0</v>
      </c>
      <c r="CR116" s="17">
        <f t="shared" si="550"/>
        <v>100</v>
      </c>
      <c r="CS116" s="17">
        <f t="shared" si="551"/>
        <v>26.404773030064671</v>
      </c>
      <c r="CT116" s="17">
        <f t="shared" si="552"/>
        <v>24</v>
      </c>
      <c r="CU116" s="17">
        <f t="shared" si="553"/>
        <v>50</v>
      </c>
      <c r="CV116" s="17">
        <f t="shared" si="554"/>
        <v>65.062647806544774</v>
      </c>
      <c r="CW116" s="17">
        <f t="shared" si="555"/>
        <v>-38.657874776480099</v>
      </c>
      <c r="CX116" s="17">
        <f t="shared" si="493"/>
        <v>-5723.0115840000008</v>
      </c>
      <c r="CY116" s="17">
        <f t="shared" si="493"/>
        <v>-5723.0115840000008</v>
      </c>
      <c r="CZ116" s="17">
        <f t="shared" si="556"/>
        <v>561.98188800000014</v>
      </c>
      <c r="DA116" s="17">
        <f t="shared" si="557"/>
        <v>-1685.9456640000001</v>
      </c>
      <c r="DB116" s="17">
        <f t="shared" si="558"/>
        <v>-26593.920000000002</v>
      </c>
      <c r="DC116" s="17">
        <f t="shared" si="559"/>
        <v>3412</v>
      </c>
      <c r="DD116" s="17">
        <f t="shared" si="560"/>
        <v>517.83855759999994</v>
      </c>
      <c r="DE116" s="17">
        <f t="shared" si="561"/>
        <v>17496.000000000007</v>
      </c>
      <c r="DF116" s="17">
        <f t="shared" si="562"/>
        <v>-1327.1764267008002</v>
      </c>
      <c r="DG116" s="17"/>
      <c r="DH116" s="17">
        <f t="shared" si="563"/>
        <v>-10514.941939202587</v>
      </c>
      <c r="DI116" s="17">
        <f t="shared" si="564"/>
        <v>-29573.274204007277</v>
      </c>
      <c r="DJ116" s="17">
        <f t="shared" si="565"/>
        <v>-747.77001188685665</v>
      </c>
      <c r="DK116" s="17">
        <f t="shared" si="566"/>
        <v>1115.2450991530927</v>
      </c>
      <c r="DL116" s="17">
        <f t="shared" si="567"/>
        <v>-13342.233229100795</v>
      </c>
      <c r="DM116" s="17">
        <f t="shared" si="568"/>
        <v>-39720.741055943632</v>
      </c>
      <c r="DN116" s="17">
        <f t="shared" si="569"/>
        <v>-53062.974285044431</v>
      </c>
    </row>
    <row r="117" spans="3:120" ht="18.600000000000001">
      <c r="C117" s="13">
        <f>IF(D117&lt;&gt;"",COUNTA($D$10:D117),"")</f>
        <v>93</v>
      </c>
      <c r="D117" s="14" t="s">
        <v>207</v>
      </c>
      <c r="E117" s="14">
        <v>1.9</v>
      </c>
      <c r="F117" s="14">
        <v>2.4</v>
      </c>
      <c r="G117" s="14">
        <v>2.4</v>
      </c>
      <c r="H117" s="14">
        <v>3</v>
      </c>
      <c r="I117" s="14">
        <v>2</v>
      </c>
      <c r="J117" s="14">
        <v>1.75</v>
      </c>
      <c r="K117" s="14">
        <v>3</v>
      </c>
      <c r="L117" s="15">
        <v>0.1</v>
      </c>
      <c r="M117" s="15">
        <v>0</v>
      </c>
      <c r="N117" s="14">
        <v>24</v>
      </c>
      <c r="O117" s="14">
        <v>50</v>
      </c>
      <c r="P117" s="13">
        <v>45</v>
      </c>
      <c r="Q117" s="13">
        <v>85</v>
      </c>
      <c r="R117" s="13" t="s">
        <v>219</v>
      </c>
      <c r="S117" s="13">
        <v>25</v>
      </c>
      <c r="T117" s="13">
        <v>0</v>
      </c>
      <c r="U117" s="13">
        <v>100</v>
      </c>
      <c r="V117" s="13" t="str">
        <f t="shared" si="494"/>
        <v>5 Micron</v>
      </c>
      <c r="W117" s="13">
        <f t="shared" si="495"/>
        <v>25</v>
      </c>
      <c r="X117" s="16">
        <f t="shared" si="496"/>
        <v>49.065599999999996</v>
      </c>
      <c r="Y117" s="16">
        <f t="shared" si="497"/>
        <v>386.24440319999997</v>
      </c>
      <c r="Z117" s="16">
        <f t="shared" si="498"/>
        <v>160.93516799999998</v>
      </c>
      <c r="AA117" s="16">
        <f t="shared" si="499"/>
        <v>16.0935168</v>
      </c>
      <c r="AB117" s="16">
        <f t="shared" si="500"/>
        <v>0</v>
      </c>
      <c r="AC117" s="16">
        <f t="shared" si="501"/>
        <v>1.4804765361266761</v>
      </c>
      <c r="AD117" s="16">
        <f t="shared" si="502"/>
        <v>1900</v>
      </c>
      <c r="AE117" s="16">
        <f t="shared" si="503"/>
        <v>1900</v>
      </c>
      <c r="AF117" s="16">
        <f t="shared" si="504"/>
        <v>6</v>
      </c>
      <c r="AG117" s="16">
        <f t="shared" si="505"/>
        <v>6.5</v>
      </c>
      <c r="AH117" s="838" t="s">
        <v>84</v>
      </c>
      <c r="AI117" s="17">
        <f t="shared" si="506"/>
        <v>5.5</v>
      </c>
      <c r="AJ117" s="17">
        <f t="shared" si="507"/>
        <v>6.5</v>
      </c>
      <c r="AK117" s="891"/>
      <c r="AL117" s="18"/>
      <c r="AM117" s="889"/>
      <c r="AN117" s="891"/>
      <c r="AO117" s="888"/>
      <c r="AP117" s="891"/>
      <c r="AQ117" s="891"/>
      <c r="AR117" s="889"/>
      <c r="AS117" s="888"/>
      <c r="AT117" s="888"/>
      <c r="AU117" s="890"/>
      <c r="AV117" s="888"/>
      <c r="AW117" s="888"/>
      <c r="AX117" s="888"/>
      <c r="AY117" s="887"/>
      <c r="AZ117" s="888"/>
      <c r="BA117" s="17">
        <f t="shared" si="508"/>
        <v>14.399999999999991</v>
      </c>
      <c r="BB117" s="17">
        <f t="shared" si="509"/>
        <v>37.799999999999997</v>
      </c>
      <c r="BC117" s="17">
        <f t="shared" si="510"/>
        <v>32</v>
      </c>
      <c r="BD117" s="17">
        <f t="shared" si="511"/>
        <v>85</v>
      </c>
      <c r="BE117" s="17">
        <f t="shared" si="512"/>
        <v>180.86341983910182</v>
      </c>
      <c r="BF117" s="17">
        <f t="shared" si="513"/>
        <v>24</v>
      </c>
      <c r="BG117" s="17">
        <f t="shared" si="514"/>
        <v>50</v>
      </c>
      <c r="BH117" s="17">
        <f t="shared" si="515"/>
        <v>65.062647806544774</v>
      </c>
      <c r="BI117" s="17">
        <f t="shared" si="516"/>
        <v>115.80077203255705</v>
      </c>
      <c r="BJ117" s="17">
        <f t="shared" si="517"/>
        <v>45</v>
      </c>
      <c r="BK117" s="17">
        <f t="shared" si="518"/>
        <v>85</v>
      </c>
      <c r="BL117" s="17">
        <f t="shared" si="519"/>
        <v>380.54120080897206</v>
      </c>
      <c r="BM117" s="17">
        <f t="shared" si="520"/>
        <v>24</v>
      </c>
      <c r="BN117" s="17">
        <f t="shared" si="521"/>
        <v>50</v>
      </c>
      <c r="BO117" s="17">
        <f t="shared" si="522"/>
        <v>65.062647806544774</v>
      </c>
      <c r="BP117" s="17">
        <f t="shared" si="523"/>
        <v>315.4785530024273</v>
      </c>
      <c r="BQ117" s="17">
        <f t="shared" si="524"/>
        <v>3777.6896639999995</v>
      </c>
      <c r="BR117" s="17">
        <f t="shared" si="525"/>
        <v>1439.1198719999991</v>
      </c>
      <c r="BS117" s="17">
        <f t="shared" si="526"/>
        <v>317.94508799999977</v>
      </c>
      <c r="BT117" s="17">
        <f t="shared" si="527"/>
        <v>834.6058559999999</v>
      </c>
      <c r="BU117" s="17">
        <f t="shared" si="528"/>
        <v>34904.520000000004</v>
      </c>
      <c r="BV117" s="17">
        <f t="shared" si="529"/>
        <v>6824</v>
      </c>
      <c r="BW117" s="17">
        <f t="shared" si="530"/>
        <v>292.97069759999994</v>
      </c>
      <c r="BX117" s="17">
        <f t="shared" si="531"/>
        <v>17495.999999999989</v>
      </c>
      <c r="BY117" s="17">
        <f t="shared" si="532"/>
        <v>657.00172984319988</v>
      </c>
      <c r="BZ117" s="17"/>
      <c r="CA117" s="17">
        <f t="shared" si="533"/>
        <v>128715.24962499036</v>
      </c>
      <c r="CB117" s="17">
        <f t="shared" si="534"/>
        <v>241341.0930468569</v>
      </c>
      <c r="CC117" s="17">
        <f t="shared" si="535"/>
        <v>3452.4683870932931</v>
      </c>
      <c r="CD117" s="17">
        <f t="shared" si="536"/>
        <v>31072.215483839631</v>
      </c>
      <c r="CE117" s="17">
        <f t="shared" si="537"/>
        <v>63952.182091443196</v>
      </c>
      <c r="CF117" s="17">
        <f t="shared" si="538"/>
        <v>404581.02654278016</v>
      </c>
      <c r="CG117" s="17">
        <f t="shared" si="539"/>
        <v>468533.20863422338</v>
      </c>
      <c r="CH117" s="17">
        <f t="shared" si="540"/>
        <v>14.400000000000006</v>
      </c>
      <c r="CI117" s="17">
        <f t="shared" si="541"/>
        <v>-43.2</v>
      </c>
      <c r="CJ117" s="17">
        <f t="shared" si="542"/>
        <v>16</v>
      </c>
      <c r="CK117" s="17">
        <f t="shared" si="543"/>
        <v>90</v>
      </c>
      <c r="CL117" s="17">
        <f t="shared" si="544"/>
        <v>71.46880726181422</v>
      </c>
      <c r="CM117" s="17">
        <f t="shared" si="545"/>
        <v>24</v>
      </c>
      <c r="CN117" s="17">
        <f t="shared" si="546"/>
        <v>50</v>
      </c>
      <c r="CO117" s="17">
        <f t="shared" si="547"/>
        <v>65.062647806544774</v>
      </c>
      <c r="CP117" s="17">
        <f t="shared" si="548"/>
        <v>6.4061594552694459</v>
      </c>
      <c r="CQ117" s="17">
        <f t="shared" si="549"/>
        <v>0</v>
      </c>
      <c r="CR117" s="17">
        <f t="shared" si="550"/>
        <v>100</v>
      </c>
      <c r="CS117" s="17">
        <f t="shared" si="551"/>
        <v>26.404773030064671</v>
      </c>
      <c r="CT117" s="17">
        <f t="shared" si="552"/>
        <v>24</v>
      </c>
      <c r="CU117" s="17">
        <f t="shared" si="553"/>
        <v>50</v>
      </c>
      <c r="CV117" s="17">
        <f t="shared" si="554"/>
        <v>65.062647806544774</v>
      </c>
      <c r="CW117" s="17">
        <f t="shared" si="555"/>
        <v>-38.657874776480099</v>
      </c>
      <c r="CX117" s="17">
        <f t="shared" si="493"/>
        <v>-4317.3596159999997</v>
      </c>
      <c r="CY117" s="17">
        <f t="shared" si="493"/>
        <v>-4317.3596159999997</v>
      </c>
      <c r="CZ117" s="17">
        <f t="shared" si="556"/>
        <v>317.94508800000011</v>
      </c>
      <c r="DA117" s="17">
        <f t="shared" si="557"/>
        <v>-953.83526399999994</v>
      </c>
      <c r="DB117" s="17">
        <f t="shared" si="558"/>
        <v>-39890.880000000005</v>
      </c>
      <c r="DC117" s="17">
        <f t="shared" si="559"/>
        <v>6824</v>
      </c>
      <c r="DD117" s="17">
        <f t="shared" si="560"/>
        <v>292.97069759999994</v>
      </c>
      <c r="DE117" s="17">
        <f t="shared" si="561"/>
        <v>17496.000000000007</v>
      </c>
      <c r="DF117" s="17">
        <f t="shared" si="562"/>
        <v>-750.85911982080006</v>
      </c>
      <c r="DG117" s="17"/>
      <c r="DH117" s="17">
        <f t="shared" si="563"/>
        <v>-15772.412908803883</v>
      </c>
      <c r="DI117" s="17">
        <f t="shared" si="564"/>
        <v>-29573.274204007277</v>
      </c>
      <c r="DJ117" s="17">
        <f t="shared" si="565"/>
        <v>-423.05598687395354</v>
      </c>
      <c r="DK117" s="17">
        <f t="shared" si="566"/>
        <v>630.95752507916882</v>
      </c>
      <c r="DL117" s="17">
        <f t="shared" si="567"/>
        <v>-20982.0182142208</v>
      </c>
      <c r="DM117" s="17">
        <f t="shared" si="568"/>
        <v>-45137.785574605943</v>
      </c>
      <c r="DN117" s="17">
        <f t="shared" si="569"/>
        <v>-66119.803788826743</v>
      </c>
    </row>
    <row r="118" spans="3:120" ht="18.600000000000001">
      <c r="C118" s="13">
        <f>IF(D118&lt;&gt;"",COUNTA($D$10:D118),"")</f>
        <v>94</v>
      </c>
      <c r="D118" s="14" t="s">
        <v>208</v>
      </c>
      <c r="E118" s="14">
        <v>3</v>
      </c>
      <c r="F118" s="14">
        <v>2.9</v>
      </c>
      <c r="G118" s="14">
        <v>2.4</v>
      </c>
      <c r="H118" s="14">
        <v>2</v>
      </c>
      <c r="I118" s="14">
        <v>1</v>
      </c>
      <c r="J118" s="14">
        <v>1.75</v>
      </c>
      <c r="K118" s="14">
        <v>3</v>
      </c>
      <c r="L118" s="15">
        <v>0.1</v>
      </c>
      <c r="M118" s="15">
        <v>0</v>
      </c>
      <c r="N118" s="14">
        <v>24</v>
      </c>
      <c r="O118" s="14">
        <v>50</v>
      </c>
      <c r="P118" s="13">
        <v>45</v>
      </c>
      <c r="Q118" s="13">
        <v>85</v>
      </c>
      <c r="R118" s="13" t="s">
        <v>219</v>
      </c>
      <c r="S118" s="13">
        <v>25</v>
      </c>
      <c r="T118" s="13">
        <v>0</v>
      </c>
      <c r="U118" s="13">
        <v>100</v>
      </c>
      <c r="V118" s="13" t="str">
        <f t="shared" si="494"/>
        <v>5 Micron</v>
      </c>
      <c r="W118" s="13">
        <f t="shared" si="495"/>
        <v>25</v>
      </c>
      <c r="X118" s="16">
        <f t="shared" si="496"/>
        <v>93.611999999999995</v>
      </c>
      <c r="Y118" s="16">
        <f t="shared" si="497"/>
        <v>736.91366399999993</v>
      </c>
      <c r="Z118" s="16">
        <f t="shared" si="498"/>
        <v>307.04735999999997</v>
      </c>
      <c r="AA118" s="16">
        <f t="shared" si="499"/>
        <v>30.704735999999997</v>
      </c>
      <c r="AB118" s="16">
        <f t="shared" si="500"/>
        <v>0</v>
      </c>
      <c r="AC118" s="16">
        <f t="shared" si="501"/>
        <v>2.8245933912943157</v>
      </c>
      <c r="AD118" s="16">
        <f>IF(ISNUMBER(N118), CEILING(CF118/(0.68*BP118),25), "Ambient")</f>
        <v>1850</v>
      </c>
      <c r="AE118" s="16">
        <f t="shared" si="503"/>
        <v>1850</v>
      </c>
      <c r="AF118" s="16">
        <f t="shared" si="504"/>
        <v>6</v>
      </c>
      <c r="AG118" s="16">
        <f t="shared" si="505"/>
        <v>6.5</v>
      </c>
      <c r="AH118" s="838" t="s">
        <v>84</v>
      </c>
      <c r="AI118" s="17">
        <f t="shared" si="506"/>
        <v>4.5</v>
      </c>
      <c r="AJ118" s="17">
        <f t="shared" si="507"/>
        <v>6.5</v>
      </c>
      <c r="AK118" s="891"/>
      <c r="AL118" s="18"/>
      <c r="AM118" s="889"/>
      <c r="AN118" s="891"/>
      <c r="AO118" s="888"/>
      <c r="AP118" s="891"/>
      <c r="AQ118" s="891"/>
      <c r="AR118" s="889"/>
      <c r="AS118" s="888"/>
      <c r="AT118" s="888"/>
      <c r="AU118" s="890"/>
      <c r="AV118" s="888"/>
      <c r="AW118" s="888"/>
      <c r="AX118" s="888"/>
      <c r="AY118" s="887"/>
      <c r="AZ118" s="888"/>
      <c r="BA118" s="17">
        <f t="shared" si="508"/>
        <v>14.399999999999991</v>
      </c>
      <c r="BB118" s="17">
        <f t="shared" si="509"/>
        <v>37.799999999999997</v>
      </c>
      <c r="BC118" s="17">
        <f t="shared" si="510"/>
        <v>32</v>
      </c>
      <c r="BD118" s="17">
        <f t="shared" si="511"/>
        <v>85</v>
      </c>
      <c r="BE118" s="17">
        <f t="shared" si="512"/>
        <v>180.86341983910182</v>
      </c>
      <c r="BF118" s="17">
        <f t="shared" si="513"/>
        <v>24</v>
      </c>
      <c r="BG118" s="17">
        <f t="shared" si="514"/>
        <v>50</v>
      </c>
      <c r="BH118" s="17">
        <f t="shared" si="515"/>
        <v>65.062647806544774</v>
      </c>
      <c r="BI118" s="17">
        <f t="shared" si="516"/>
        <v>115.80077203255705</v>
      </c>
      <c r="BJ118" s="17">
        <f t="shared" si="517"/>
        <v>45</v>
      </c>
      <c r="BK118" s="17">
        <f t="shared" si="518"/>
        <v>85</v>
      </c>
      <c r="BL118" s="17">
        <f t="shared" si="519"/>
        <v>380.54120080897206</v>
      </c>
      <c r="BM118" s="17">
        <f t="shared" si="520"/>
        <v>24</v>
      </c>
      <c r="BN118" s="17">
        <f t="shared" si="521"/>
        <v>50</v>
      </c>
      <c r="BO118" s="17">
        <f t="shared" si="522"/>
        <v>65.062647806544774</v>
      </c>
      <c r="BP118" s="17">
        <f t="shared" si="523"/>
        <v>315.4785530024273</v>
      </c>
      <c r="BQ118" s="17">
        <f t="shared" si="524"/>
        <v>5183.3416319999997</v>
      </c>
      <c r="BR118" s="17">
        <f t="shared" si="525"/>
        <v>1974.6063359999991</v>
      </c>
      <c r="BS118" s="17">
        <f t="shared" si="526"/>
        <v>606.60575999999958</v>
      </c>
      <c r="BT118" s="17">
        <f t="shared" si="527"/>
        <v>1592.3401199999998</v>
      </c>
      <c r="BU118" s="17">
        <f t="shared" si="528"/>
        <v>23269.68</v>
      </c>
      <c r="BV118" s="17">
        <f t="shared" si="529"/>
        <v>3412</v>
      </c>
      <c r="BW118" s="17">
        <f t="shared" si="530"/>
        <v>558.95725199999993</v>
      </c>
      <c r="BX118" s="17">
        <f t="shared" si="531"/>
        <v>17495.999999999989</v>
      </c>
      <c r="BY118" s="17">
        <f t="shared" si="532"/>
        <v>1253.490142464</v>
      </c>
      <c r="BZ118" s="17"/>
      <c r="CA118" s="17">
        <f t="shared" si="533"/>
        <v>85810.166416660228</v>
      </c>
      <c r="CB118" s="17">
        <f t="shared" si="534"/>
        <v>241341.0930468569</v>
      </c>
      <c r="CC118" s="17">
        <f t="shared" si="535"/>
        <v>6586.9462648490462</v>
      </c>
      <c r="CD118" s="17">
        <f t="shared" si="536"/>
        <v>59282.516383641414</v>
      </c>
      <c r="CE118" s="17">
        <f t="shared" si="537"/>
        <v>51173.469026463987</v>
      </c>
      <c r="CF118" s="17">
        <f t="shared" si="538"/>
        <v>393020.72211200756</v>
      </c>
      <c r="CG118" s="17">
        <f t="shared" si="539"/>
        <v>444194.19113847153</v>
      </c>
      <c r="CH118" s="17">
        <f t="shared" si="540"/>
        <v>14.400000000000006</v>
      </c>
      <c r="CI118" s="17">
        <f t="shared" si="541"/>
        <v>-43.2</v>
      </c>
      <c r="CJ118" s="17">
        <f t="shared" si="542"/>
        <v>16</v>
      </c>
      <c r="CK118" s="17">
        <f t="shared" si="543"/>
        <v>90</v>
      </c>
      <c r="CL118" s="17">
        <f t="shared" si="544"/>
        <v>71.46880726181422</v>
      </c>
      <c r="CM118" s="17">
        <f t="shared" si="545"/>
        <v>24</v>
      </c>
      <c r="CN118" s="17">
        <f t="shared" si="546"/>
        <v>50</v>
      </c>
      <c r="CO118" s="17">
        <f t="shared" si="547"/>
        <v>65.062647806544774</v>
      </c>
      <c r="CP118" s="17">
        <f t="shared" si="548"/>
        <v>6.4061594552694459</v>
      </c>
      <c r="CQ118" s="17">
        <f t="shared" si="549"/>
        <v>0</v>
      </c>
      <c r="CR118" s="17">
        <f t="shared" si="550"/>
        <v>100</v>
      </c>
      <c r="CS118" s="17">
        <f t="shared" si="551"/>
        <v>26.404773030064671</v>
      </c>
      <c r="CT118" s="17">
        <f t="shared" si="552"/>
        <v>24</v>
      </c>
      <c r="CU118" s="17">
        <f t="shared" si="553"/>
        <v>50</v>
      </c>
      <c r="CV118" s="17">
        <f t="shared" si="554"/>
        <v>65.062647806544774</v>
      </c>
      <c r="CW118" s="17">
        <f t="shared" si="555"/>
        <v>-38.657874776480099</v>
      </c>
      <c r="CX118" s="17">
        <f t="shared" si="493"/>
        <v>-5923.8190080000013</v>
      </c>
      <c r="CY118" s="17">
        <f t="shared" si="493"/>
        <v>-5923.8190080000013</v>
      </c>
      <c r="CZ118" s="17">
        <f t="shared" si="556"/>
        <v>606.60576000000026</v>
      </c>
      <c r="DA118" s="17">
        <f t="shared" si="557"/>
        <v>-1819.81728</v>
      </c>
      <c r="DB118" s="17">
        <f t="shared" si="558"/>
        <v>-26593.920000000002</v>
      </c>
      <c r="DC118" s="17">
        <f t="shared" si="559"/>
        <v>3412</v>
      </c>
      <c r="DD118" s="17">
        <f t="shared" si="560"/>
        <v>558.95725199999993</v>
      </c>
      <c r="DE118" s="17">
        <f t="shared" si="561"/>
        <v>17496.000000000007</v>
      </c>
      <c r="DF118" s="17">
        <f t="shared" si="562"/>
        <v>-1432.560162816</v>
      </c>
      <c r="DG118" s="17"/>
      <c r="DH118" s="17">
        <f t="shared" si="563"/>
        <v>-10514.941939202587</v>
      </c>
      <c r="DI118" s="17">
        <f t="shared" si="564"/>
        <v>-29573.274204007277</v>
      </c>
      <c r="DJ118" s="17">
        <f t="shared" si="565"/>
        <v>-807.14629074635877</v>
      </c>
      <c r="DK118" s="17">
        <f t="shared" si="566"/>
        <v>1203.8005412694672</v>
      </c>
      <c r="DL118" s="17">
        <f t="shared" si="567"/>
        <v>-13696.553438815994</v>
      </c>
      <c r="DM118" s="17">
        <f t="shared" si="568"/>
        <v>-39691.561892686754</v>
      </c>
      <c r="DN118" s="17">
        <f t="shared" si="569"/>
        <v>-53388.115331502748</v>
      </c>
    </row>
    <row r="119" spans="3:120" ht="18.600000000000001">
      <c r="C119" s="13">
        <f>IF(D119&lt;&gt;"",COUNTA($D$10:D119),"")</f>
        <v>95</v>
      </c>
      <c r="D119" s="14" t="s">
        <v>209</v>
      </c>
      <c r="E119" s="14">
        <v>2.4</v>
      </c>
      <c r="F119" s="14">
        <v>2</v>
      </c>
      <c r="G119" s="14">
        <v>2.4</v>
      </c>
      <c r="H119" s="14">
        <v>2</v>
      </c>
      <c r="I119" s="14">
        <v>1</v>
      </c>
      <c r="J119" s="14">
        <v>1.75</v>
      </c>
      <c r="K119" s="14">
        <v>3</v>
      </c>
      <c r="L119" s="15">
        <v>0.1</v>
      </c>
      <c r="M119" s="15">
        <v>0</v>
      </c>
      <c r="N119" s="14">
        <v>24</v>
      </c>
      <c r="O119" s="14">
        <v>50</v>
      </c>
      <c r="P119" s="13">
        <v>45</v>
      </c>
      <c r="Q119" s="13">
        <v>85</v>
      </c>
      <c r="R119" s="13" t="s">
        <v>219</v>
      </c>
      <c r="S119" s="13">
        <v>25</v>
      </c>
      <c r="T119" s="13">
        <v>0</v>
      </c>
      <c r="U119" s="13">
        <v>100</v>
      </c>
      <c r="V119" s="13" t="str">
        <f t="shared" si="494"/>
        <v>5 Micron</v>
      </c>
      <c r="W119" s="13">
        <f t="shared" si="495"/>
        <v>25</v>
      </c>
      <c r="X119" s="16">
        <f t="shared" si="496"/>
        <v>51.647999999999996</v>
      </c>
      <c r="Y119" s="16">
        <f t="shared" si="497"/>
        <v>406.57305599999995</v>
      </c>
      <c r="Z119" s="16">
        <f t="shared" si="498"/>
        <v>169.40543999999997</v>
      </c>
      <c r="AA119" s="16">
        <f t="shared" si="499"/>
        <v>16.940543999999999</v>
      </c>
      <c r="AB119" s="16">
        <f t="shared" si="500"/>
        <v>0</v>
      </c>
      <c r="AC119" s="16">
        <f t="shared" si="501"/>
        <v>1.5583963538175534</v>
      </c>
      <c r="AD119" s="16">
        <f t="shared" ref="AD119:AD125" si="570">IF(ISNUMBER(N119), CEILING(CF119/(0.68*BP119),25), "Ambient")</f>
        <v>1700</v>
      </c>
      <c r="AE119" s="16">
        <f t="shared" si="503"/>
        <v>1700</v>
      </c>
      <c r="AF119" s="16">
        <f t="shared" si="504"/>
        <v>6</v>
      </c>
      <c r="AG119" s="16">
        <f t="shared" si="505"/>
        <v>6</v>
      </c>
      <c r="AH119" s="838" t="s">
        <v>84</v>
      </c>
      <c r="AI119" s="17">
        <f t="shared" si="506"/>
        <v>4.5</v>
      </c>
      <c r="AJ119" s="17">
        <f t="shared" si="507"/>
        <v>6</v>
      </c>
      <c r="AK119" s="891"/>
      <c r="AL119" s="174">
        <f>IF(AN110&lt;=315,1600,(IF(AN110=355,1650,(IF(AN110=400,1650,(IF(AN110=450,1700,(IF(AN110=500,1700,(IF(AN110=560,1800,(IF(AN110=630,2000,(IF(AN110=710,2200,2500)))))))))))))))+IF(AR110=2,1800,(IF(AR110=3,2300,(IF(AR110=4,3300,0)))))+IF(AP110&lt;=4,600,(IF(AP110&lt;=6,800,(IF(AP110&lt;=8,1000,1200)))))</f>
        <v>5600</v>
      </c>
      <c r="AM119" s="889"/>
      <c r="AN119" s="891"/>
      <c r="AO119" s="888"/>
      <c r="AP119" s="891"/>
      <c r="AQ119" s="891"/>
      <c r="AR119" s="889"/>
      <c r="AS119" s="888"/>
      <c r="AT119" s="888"/>
      <c r="AU119" s="890"/>
      <c r="AV119" s="888"/>
      <c r="AW119" s="888"/>
      <c r="AX119" s="888"/>
      <c r="AY119" s="887"/>
      <c r="AZ119" s="888"/>
      <c r="BA119" s="17">
        <f t="shared" si="508"/>
        <v>14.399999999999991</v>
      </c>
      <c r="BB119" s="17">
        <f t="shared" si="509"/>
        <v>37.799999999999997</v>
      </c>
      <c r="BC119" s="17">
        <f t="shared" si="510"/>
        <v>32</v>
      </c>
      <c r="BD119" s="17">
        <f t="shared" si="511"/>
        <v>85</v>
      </c>
      <c r="BE119" s="17">
        <f t="shared" si="512"/>
        <v>180.86341983910182</v>
      </c>
      <c r="BF119" s="17">
        <f t="shared" si="513"/>
        <v>24</v>
      </c>
      <c r="BG119" s="17">
        <f t="shared" si="514"/>
        <v>50</v>
      </c>
      <c r="BH119" s="17">
        <f t="shared" si="515"/>
        <v>65.062647806544774</v>
      </c>
      <c r="BI119" s="17">
        <f t="shared" si="516"/>
        <v>115.80077203255705</v>
      </c>
      <c r="BJ119" s="17">
        <f t="shared" si="517"/>
        <v>45</v>
      </c>
      <c r="BK119" s="17">
        <f t="shared" si="518"/>
        <v>85</v>
      </c>
      <c r="BL119" s="17">
        <f t="shared" si="519"/>
        <v>380.54120080897206</v>
      </c>
      <c r="BM119" s="17">
        <f t="shared" si="520"/>
        <v>24</v>
      </c>
      <c r="BN119" s="17">
        <f t="shared" si="521"/>
        <v>50</v>
      </c>
      <c r="BO119" s="17">
        <f t="shared" si="522"/>
        <v>65.062647806544774</v>
      </c>
      <c r="BP119" s="17">
        <f t="shared" si="523"/>
        <v>315.4785530024273</v>
      </c>
      <c r="BQ119" s="17">
        <f t="shared" si="524"/>
        <v>3865.5429119999999</v>
      </c>
      <c r="BR119" s="17">
        <f t="shared" si="525"/>
        <v>1472.5877759999992</v>
      </c>
      <c r="BS119" s="17">
        <f t="shared" si="526"/>
        <v>334.67903999999976</v>
      </c>
      <c r="BT119" s="17">
        <f t="shared" si="527"/>
        <v>878.53247999999996</v>
      </c>
      <c r="BU119" s="17">
        <f t="shared" si="528"/>
        <v>23269.68</v>
      </c>
      <c r="BV119" s="17">
        <f t="shared" si="529"/>
        <v>3412</v>
      </c>
      <c r="BW119" s="17">
        <f t="shared" si="530"/>
        <v>308.39020799999997</v>
      </c>
      <c r="BX119" s="17">
        <f t="shared" si="531"/>
        <v>17495.999999999989</v>
      </c>
      <c r="BY119" s="17">
        <f t="shared" si="532"/>
        <v>691.58076825599994</v>
      </c>
      <c r="BZ119" s="17"/>
      <c r="CA119" s="17">
        <f t="shared" si="533"/>
        <v>85810.166416660228</v>
      </c>
      <c r="CB119" s="17">
        <f t="shared" si="534"/>
        <v>241341.0930468569</v>
      </c>
      <c r="CC119" s="17">
        <f t="shared" si="535"/>
        <v>3634.1772495718874</v>
      </c>
      <c r="CD119" s="17">
        <f t="shared" si="536"/>
        <v>32707.595246146986</v>
      </c>
      <c r="CE119" s="17">
        <f t="shared" si="537"/>
        <v>49043.193888255992</v>
      </c>
      <c r="CF119" s="17">
        <f t="shared" si="538"/>
        <v>363493.03195923602</v>
      </c>
      <c r="CG119" s="17">
        <f t="shared" si="539"/>
        <v>412536.22584749199</v>
      </c>
      <c r="CH119" s="17">
        <f t="shared" si="540"/>
        <v>14.400000000000006</v>
      </c>
      <c r="CI119" s="17">
        <f t="shared" si="541"/>
        <v>-43.2</v>
      </c>
      <c r="CJ119" s="17">
        <f t="shared" si="542"/>
        <v>16</v>
      </c>
      <c r="CK119" s="17">
        <f t="shared" si="543"/>
        <v>90</v>
      </c>
      <c r="CL119" s="17">
        <f t="shared" si="544"/>
        <v>71.46880726181422</v>
      </c>
      <c r="CM119" s="17">
        <f t="shared" si="545"/>
        <v>24</v>
      </c>
      <c r="CN119" s="17">
        <f t="shared" si="546"/>
        <v>50</v>
      </c>
      <c r="CO119" s="17">
        <f t="shared" si="547"/>
        <v>65.062647806544774</v>
      </c>
      <c r="CP119" s="17">
        <f t="shared" si="548"/>
        <v>6.4061594552694459</v>
      </c>
      <c r="CQ119" s="17">
        <f t="shared" si="549"/>
        <v>0</v>
      </c>
      <c r="CR119" s="17">
        <f t="shared" si="550"/>
        <v>100</v>
      </c>
      <c r="CS119" s="17">
        <f t="shared" si="551"/>
        <v>26.404773030064671</v>
      </c>
      <c r="CT119" s="17">
        <f t="shared" si="552"/>
        <v>24</v>
      </c>
      <c r="CU119" s="17">
        <f t="shared" si="553"/>
        <v>50</v>
      </c>
      <c r="CV119" s="17">
        <f t="shared" si="554"/>
        <v>65.062647806544774</v>
      </c>
      <c r="CW119" s="17">
        <f t="shared" si="555"/>
        <v>-38.657874776480099</v>
      </c>
      <c r="CX119" s="17">
        <f t="shared" si="493"/>
        <v>-4417.7633280000009</v>
      </c>
      <c r="CY119" s="17">
        <f t="shared" si="493"/>
        <v>-4417.7633280000009</v>
      </c>
      <c r="CZ119" s="17">
        <f t="shared" si="556"/>
        <v>334.67904000000016</v>
      </c>
      <c r="DA119" s="17">
        <f t="shared" si="557"/>
        <v>-1004.0371200000001</v>
      </c>
      <c r="DB119" s="17">
        <f t="shared" si="558"/>
        <v>-26593.920000000002</v>
      </c>
      <c r="DC119" s="17">
        <f t="shared" si="559"/>
        <v>3412</v>
      </c>
      <c r="DD119" s="17">
        <f t="shared" si="560"/>
        <v>308.39020799999997</v>
      </c>
      <c r="DE119" s="17">
        <f t="shared" si="561"/>
        <v>17496.000000000007</v>
      </c>
      <c r="DF119" s="17">
        <f t="shared" si="562"/>
        <v>-790.37802086400006</v>
      </c>
      <c r="DG119" s="17"/>
      <c r="DH119" s="17">
        <f t="shared" si="563"/>
        <v>-10514.941939202587</v>
      </c>
      <c r="DI119" s="17">
        <f t="shared" si="564"/>
        <v>-29573.274204007277</v>
      </c>
      <c r="DJ119" s="17">
        <f t="shared" si="565"/>
        <v>-445.32209144626688</v>
      </c>
      <c r="DK119" s="17">
        <f t="shared" si="566"/>
        <v>664.16581587280939</v>
      </c>
      <c r="DL119" s="17">
        <f t="shared" si="567"/>
        <v>-11255.029220863997</v>
      </c>
      <c r="DM119" s="17">
        <f t="shared" si="568"/>
        <v>-39869.372418783321</v>
      </c>
      <c r="DN119" s="17">
        <f t="shared" si="569"/>
        <v>-51124.401639647316</v>
      </c>
    </row>
    <row r="120" spans="3:120" ht="18.600000000000001">
      <c r="C120" s="13">
        <f>IF(D120&lt;&gt;"",COUNTA($D$10:D120),"")</f>
        <v>96</v>
      </c>
      <c r="D120" s="14" t="s">
        <v>210</v>
      </c>
      <c r="E120" s="14">
        <v>2.1</v>
      </c>
      <c r="F120" s="14">
        <v>1.8</v>
      </c>
      <c r="G120" s="14">
        <v>2.4</v>
      </c>
      <c r="H120" s="14">
        <v>2</v>
      </c>
      <c r="I120" s="14">
        <v>1</v>
      </c>
      <c r="J120" s="14">
        <v>1.75</v>
      </c>
      <c r="K120" s="14">
        <v>3</v>
      </c>
      <c r="L120" s="15">
        <v>0.1</v>
      </c>
      <c r="M120" s="15">
        <v>0</v>
      </c>
      <c r="N120" s="14">
        <v>24</v>
      </c>
      <c r="O120" s="14">
        <v>50</v>
      </c>
      <c r="P120" s="13">
        <v>45</v>
      </c>
      <c r="Q120" s="13">
        <v>85</v>
      </c>
      <c r="R120" s="13" t="s">
        <v>219</v>
      </c>
      <c r="S120" s="13">
        <v>25</v>
      </c>
      <c r="T120" s="13">
        <v>0</v>
      </c>
      <c r="U120" s="13">
        <v>100</v>
      </c>
      <c r="V120" s="13" t="str">
        <f t="shared" si="494"/>
        <v>5 Micron</v>
      </c>
      <c r="W120" s="13">
        <f t="shared" si="495"/>
        <v>25</v>
      </c>
      <c r="X120" s="16">
        <f t="shared" si="496"/>
        <v>40.672800000000002</v>
      </c>
      <c r="Y120" s="16">
        <f t="shared" si="497"/>
        <v>320.17628159999998</v>
      </c>
      <c r="Z120" s="16">
        <f t="shared" si="498"/>
        <v>133.40678399999999</v>
      </c>
      <c r="AA120" s="16">
        <f t="shared" si="499"/>
        <v>13.3406784</v>
      </c>
      <c r="AB120" s="16">
        <f t="shared" si="500"/>
        <v>0</v>
      </c>
      <c r="AC120" s="16">
        <f t="shared" si="501"/>
        <v>1.2272371286313235</v>
      </c>
      <c r="AD120" s="16">
        <f t="shared" si="570"/>
        <v>1675</v>
      </c>
      <c r="AE120" s="16">
        <f t="shared" si="503"/>
        <v>1675</v>
      </c>
      <c r="AF120" s="16">
        <f t="shared" si="504"/>
        <v>6</v>
      </c>
      <c r="AG120" s="16">
        <f t="shared" si="505"/>
        <v>6</v>
      </c>
      <c r="AH120" s="838" t="s">
        <v>84</v>
      </c>
      <c r="AI120" s="17">
        <f t="shared" si="506"/>
        <v>4.5</v>
      </c>
      <c r="AJ120" s="17">
        <f t="shared" si="507"/>
        <v>6</v>
      </c>
      <c r="AK120" s="891"/>
      <c r="AL120" s="18"/>
      <c r="AM120" s="889"/>
      <c r="AN120" s="891"/>
      <c r="AO120" s="888"/>
      <c r="AP120" s="891"/>
      <c r="AQ120" s="891"/>
      <c r="AR120" s="889"/>
      <c r="AS120" s="888"/>
      <c r="AT120" s="888"/>
      <c r="AU120" s="890"/>
      <c r="AV120" s="888"/>
      <c r="AW120" s="888"/>
      <c r="AX120" s="888"/>
      <c r="AY120" s="887"/>
      <c r="AZ120" s="888"/>
      <c r="BA120" s="17">
        <f t="shared" si="508"/>
        <v>14.399999999999991</v>
      </c>
      <c r="BB120" s="17">
        <f t="shared" si="509"/>
        <v>37.799999999999997</v>
      </c>
      <c r="BC120" s="17">
        <f t="shared" si="510"/>
        <v>32</v>
      </c>
      <c r="BD120" s="17">
        <f t="shared" si="511"/>
        <v>85</v>
      </c>
      <c r="BE120" s="17">
        <f t="shared" si="512"/>
        <v>180.86341983910182</v>
      </c>
      <c r="BF120" s="17">
        <f t="shared" si="513"/>
        <v>24</v>
      </c>
      <c r="BG120" s="17">
        <f t="shared" si="514"/>
        <v>50</v>
      </c>
      <c r="BH120" s="17">
        <f t="shared" si="515"/>
        <v>65.062647806544774</v>
      </c>
      <c r="BI120" s="17">
        <f t="shared" si="516"/>
        <v>115.80077203255705</v>
      </c>
      <c r="BJ120" s="17">
        <f t="shared" si="517"/>
        <v>45</v>
      </c>
      <c r="BK120" s="17">
        <f t="shared" si="518"/>
        <v>85</v>
      </c>
      <c r="BL120" s="17">
        <f t="shared" si="519"/>
        <v>380.54120080897206</v>
      </c>
      <c r="BM120" s="17">
        <f t="shared" si="520"/>
        <v>24</v>
      </c>
      <c r="BN120" s="17">
        <f t="shared" si="521"/>
        <v>50</v>
      </c>
      <c r="BO120" s="17">
        <f t="shared" si="522"/>
        <v>65.062647806544774</v>
      </c>
      <c r="BP120" s="17">
        <f t="shared" si="523"/>
        <v>315.4785530024273</v>
      </c>
      <c r="BQ120" s="17">
        <f t="shared" si="524"/>
        <v>3426.2766719999995</v>
      </c>
      <c r="BR120" s="17">
        <f t="shared" si="525"/>
        <v>1305.2482559999992</v>
      </c>
      <c r="BS120" s="17">
        <f t="shared" si="526"/>
        <v>263.55974399999985</v>
      </c>
      <c r="BT120" s="17">
        <f t="shared" si="527"/>
        <v>691.84432800000002</v>
      </c>
      <c r="BU120" s="17">
        <f t="shared" si="528"/>
        <v>23269.68</v>
      </c>
      <c r="BV120" s="17">
        <f t="shared" si="529"/>
        <v>3412</v>
      </c>
      <c r="BW120" s="17">
        <f t="shared" si="530"/>
        <v>242.85728880000002</v>
      </c>
      <c r="BX120" s="17">
        <f t="shared" si="531"/>
        <v>17495.999999999989</v>
      </c>
      <c r="BY120" s="17">
        <f t="shared" si="532"/>
        <v>544.61985500160006</v>
      </c>
      <c r="BZ120" s="17"/>
      <c r="CA120" s="17">
        <f t="shared" si="533"/>
        <v>85810.166416660228</v>
      </c>
      <c r="CB120" s="17">
        <f t="shared" si="534"/>
        <v>241341.0930468569</v>
      </c>
      <c r="CC120" s="17">
        <f t="shared" si="535"/>
        <v>2861.914584037861</v>
      </c>
      <c r="CD120" s="17">
        <f t="shared" si="536"/>
        <v>25757.23125634075</v>
      </c>
      <c r="CE120" s="17">
        <f t="shared" si="537"/>
        <v>48391.433815801589</v>
      </c>
      <c r="CF120" s="17">
        <f t="shared" si="538"/>
        <v>355770.40530389571</v>
      </c>
      <c r="CG120" s="17">
        <f t="shared" si="539"/>
        <v>404161.83911969728</v>
      </c>
      <c r="CH120" s="17">
        <f t="shared" si="540"/>
        <v>14.400000000000006</v>
      </c>
      <c r="CI120" s="17">
        <f t="shared" si="541"/>
        <v>-43.2</v>
      </c>
      <c r="CJ120" s="17">
        <f t="shared" si="542"/>
        <v>16</v>
      </c>
      <c r="CK120" s="17">
        <f t="shared" si="543"/>
        <v>90</v>
      </c>
      <c r="CL120" s="17">
        <f t="shared" si="544"/>
        <v>71.46880726181422</v>
      </c>
      <c r="CM120" s="17">
        <f t="shared" si="545"/>
        <v>24</v>
      </c>
      <c r="CN120" s="17">
        <f t="shared" si="546"/>
        <v>50</v>
      </c>
      <c r="CO120" s="17">
        <f t="shared" si="547"/>
        <v>65.062647806544774</v>
      </c>
      <c r="CP120" s="17">
        <f t="shared" si="548"/>
        <v>6.4061594552694459</v>
      </c>
      <c r="CQ120" s="17">
        <f t="shared" si="549"/>
        <v>0</v>
      </c>
      <c r="CR120" s="17">
        <f t="shared" si="550"/>
        <v>100</v>
      </c>
      <c r="CS120" s="17">
        <f t="shared" si="551"/>
        <v>26.404773030064671</v>
      </c>
      <c r="CT120" s="17">
        <f t="shared" si="552"/>
        <v>24</v>
      </c>
      <c r="CU120" s="17">
        <f t="shared" si="553"/>
        <v>50</v>
      </c>
      <c r="CV120" s="17">
        <f t="shared" si="554"/>
        <v>65.062647806544774</v>
      </c>
      <c r="CW120" s="17">
        <f t="shared" si="555"/>
        <v>-38.657874776480099</v>
      </c>
      <c r="CX120" s="17">
        <f t="shared" si="493"/>
        <v>-3915.744768</v>
      </c>
      <c r="CY120" s="17">
        <f t="shared" si="493"/>
        <v>-3915.744768</v>
      </c>
      <c r="CZ120" s="17">
        <f t="shared" si="556"/>
        <v>263.55974400000014</v>
      </c>
      <c r="DA120" s="17">
        <f t="shared" si="557"/>
        <v>-790.67923200000007</v>
      </c>
      <c r="DB120" s="17">
        <f t="shared" si="558"/>
        <v>-26593.920000000002</v>
      </c>
      <c r="DC120" s="17">
        <f t="shared" si="559"/>
        <v>3412</v>
      </c>
      <c r="DD120" s="17">
        <f t="shared" si="560"/>
        <v>242.85728880000002</v>
      </c>
      <c r="DE120" s="17">
        <f t="shared" si="561"/>
        <v>17496.000000000007</v>
      </c>
      <c r="DF120" s="17">
        <f t="shared" si="562"/>
        <v>-622.42269143040005</v>
      </c>
      <c r="DG120" s="17"/>
      <c r="DH120" s="17">
        <f t="shared" si="563"/>
        <v>-10514.941939202587</v>
      </c>
      <c r="DI120" s="17">
        <f t="shared" si="564"/>
        <v>-29573.274204007277</v>
      </c>
      <c r="DJ120" s="17">
        <f t="shared" si="565"/>
        <v>-350.69114701393516</v>
      </c>
      <c r="DK120" s="17">
        <f t="shared" si="566"/>
        <v>523.03057999983741</v>
      </c>
      <c r="DL120" s="17">
        <f t="shared" si="567"/>
        <v>-10508.349658630394</v>
      </c>
      <c r="DM120" s="17">
        <f t="shared" si="568"/>
        <v>-39915.876710223965</v>
      </c>
      <c r="DN120" s="17">
        <f t="shared" si="569"/>
        <v>-50424.226368854361</v>
      </c>
    </row>
    <row r="121" spans="3:120" ht="18.600000000000001">
      <c r="C121" s="13">
        <f>IF(D121&lt;&gt;"",COUNTA($D$10:D121),"")</f>
        <v>97</v>
      </c>
      <c r="D121" s="14" t="s">
        <v>211</v>
      </c>
      <c r="E121" s="14">
        <v>1.8</v>
      </c>
      <c r="F121" s="14">
        <v>1.9</v>
      </c>
      <c r="G121" s="14">
        <v>2.4</v>
      </c>
      <c r="H121" s="14">
        <v>2</v>
      </c>
      <c r="I121" s="14">
        <v>1</v>
      </c>
      <c r="J121" s="14">
        <v>1.75</v>
      </c>
      <c r="K121" s="14">
        <v>3</v>
      </c>
      <c r="L121" s="15">
        <v>0.1</v>
      </c>
      <c r="M121" s="15">
        <v>0</v>
      </c>
      <c r="N121" s="14">
        <v>24</v>
      </c>
      <c r="O121" s="14">
        <v>50</v>
      </c>
      <c r="P121" s="13">
        <v>45</v>
      </c>
      <c r="Q121" s="13">
        <v>85</v>
      </c>
      <c r="R121" s="13" t="s">
        <v>219</v>
      </c>
      <c r="S121" s="13">
        <v>25</v>
      </c>
      <c r="T121" s="13">
        <v>0</v>
      </c>
      <c r="U121" s="13">
        <v>100</v>
      </c>
      <c r="V121" s="13" t="str">
        <f t="shared" si="494"/>
        <v>5 Micron</v>
      </c>
      <c r="W121" s="13">
        <f t="shared" si="495"/>
        <v>25</v>
      </c>
      <c r="X121" s="16">
        <f t="shared" si="496"/>
        <v>36.799199999999999</v>
      </c>
      <c r="Y121" s="16">
        <f t="shared" si="497"/>
        <v>289.68330239999995</v>
      </c>
      <c r="Z121" s="16">
        <f t="shared" si="498"/>
        <v>120.70137599999998</v>
      </c>
      <c r="AA121" s="16">
        <f t="shared" si="499"/>
        <v>12.070137599999999</v>
      </c>
      <c r="AB121" s="16">
        <f t="shared" si="500"/>
        <v>0</v>
      </c>
      <c r="AC121" s="16">
        <f t="shared" si="501"/>
        <v>1.1103574020950069</v>
      </c>
      <c r="AD121" s="16">
        <f t="shared" si="570"/>
        <v>1650</v>
      </c>
      <c r="AE121" s="16">
        <f t="shared" si="503"/>
        <v>1650</v>
      </c>
      <c r="AF121" s="16">
        <f t="shared" si="504"/>
        <v>6</v>
      </c>
      <c r="AG121" s="16">
        <f t="shared" si="505"/>
        <v>5.5</v>
      </c>
      <c r="AH121" s="838" t="s">
        <v>84</v>
      </c>
      <c r="AI121" s="17">
        <f t="shared" si="506"/>
        <v>4.5</v>
      </c>
      <c r="AJ121" s="17">
        <f t="shared" si="507"/>
        <v>5.5</v>
      </c>
      <c r="AK121" s="891"/>
      <c r="AL121" s="18"/>
      <c r="AM121" s="889"/>
      <c r="AN121" s="891"/>
      <c r="AO121" s="888"/>
      <c r="AP121" s="891"/>
      <c r="AQ121" s="891"/>
      <c r="AR121" s="889"/>
      <c r="AS121" s="888"/>
      <c r="AT121" s="888"/>
      <c r="AU121" s="890"/>
      <c r="AV121" s="888"/>
      <c r="AW121" s="888"/>
      <c r="AX121" s="888"/>
      <c r="AY121" s="887"/>
      <c r="AZ121" s="888"/>
      <c r="BA121" s="17">
        <f t="shared" si="508"/>
        <v>14.399999999999991</v>
      </c>
      <c r="BB121" s="17">
        <f t="shared" si="509"/>
        <v>37.799999999999997</v>
      </c>
      <c r="BC121" s="17">
        <f t="shared" si="510"/>
        <v>32</v>
      </c>
      <c r="BD121" s="17">
        <f t="shared" si="511"/>
        <v>85</v>
      </c>
      <c r="BE121" s="17">
        <f t="shared" si="512"/>
        <v>180.86341983910182</v>
      </c>
      <c r="BF121" s="17">
        <f t="shared" si="513"/>
        <v>24</v>
      </c>
      <c r="BG121" s="17">
        <f t="shared" si="514"/>
        <v>50</v>
      </c>
      <c r="BH121" s="17">
        <f t="shared" si="515"/>
        <v>65.062647806544774</v>
      </c>
      <c r="BI121" s="17">
        <f t="shared" si="516"/>
        <v>115.80077203255705</v>
      </c>
      <c r="BJ121" s="17">
        <f t="shared" si="517"/>
        <v>45</v>
      </c>
      <c r="BK121" s="17">
        <f t="shared" si="518"/>
        <v>85</v>
      </c>
      <c r="BL121" s="17">
        <f t="shared" si="519"/>
        <v>380.54120080897206</v>
      </c>
      <c r="BM121" s="17">
        <f t="shared" si="520"/>
        <v>24</v>
      </c>
      <c r="BN121" s="17">
        <f t="shared" si="521"/>
        <v>50</v>
      </c>
      <c r="BO121" s="17">
        <f t="shared" si="522"/>
        <v>65.062647806544774</v>
      </c>
      <c r="BP121" s="17">
        <f t="shared" si="523"/>
        <v>315.4785530024273</v>
      </c>
      <c r="BQ121" s="17">
        <f t="shared" si="524"/>
        <v>3250.5701760000002</v>
      </c>
      <c r="BR121" s="17">
        <f t="shared" si="525"/>
        <v>1238.3124479999992</v>
      </c>
      <c r="BS121" s="17">
        <f t="shared" si="526"/>
        <v>238.45881599999987</v>
      </c>
      <c r="BT121" s="17">
        <f t="shared" si="527"/>
        <v>625.95439199999998</v>
      </c>
      <c r="BU121" s="17">
        <f t="shared" si="528"/>
        <v>23269.68</v>
      </c>
      <c r="BV121" s="17">
        <f t="shared" si="529"/>
        <v>3412</v>
      </c>
      <c r="BW121" s="17">
        <f t="shared" si="530"/>
        <v>219.7280232</v>
      </c>
      <c r="BX121" s="17">
        <f t="shared" si="531"/>
        <v>17495.999999999989</v>
      </c>
      <c r="BY121" s="17">
        <f t="shared" si="532"/>
        <v>492.75129738239997</v>
      </c>
      <c r="BZ121" s="17"/>
      <c r="CA121" s="17">
        <f t="shared" si="533"/>
        <v>85810.166416660228</v>
      </c>
      <c r="CB121" s="17">
        <f t="shared" si="534"/>
        <v>241341.0930468569</v>
      </c>
      <c r="CC121" s="17">
        <f t="shared" si="535"/>
        <v>2589.3512903199694</v>
      </c>
      <c r="CD121" s="17">
        <f t="shared" si="536"/>
        <v>23304.161612879725</v>
      </c>
      <c r="CE121" s="17">
        <f t="shared" si="537"/>
        <v>48140.729496582389</v>
      </c>
      <c r="CF121" s="17">
        <f t="shared" si="538"/>
        <v>353044.77236671682</v>
      </c>
      <c r="CG121" s="17">
        <f t="shared" si="539"/>
        <v>401185.50186329923</v>
      </c>
      <c r="CH121" s="17">
        <f t="shared" si="540"/>
        <v>14.400000000000006</v>
      </c>
      <c r="CI121" s="17">
        <f t="shared" si="541"/>
        <v>-43.2</v>
      </c>
      <c r="CJ121" s="17">
        <f t="shared" si="542"/>
        <v>16</v>
      </c>
      <c r="CK121" s="17">
        <f t="shared" si="543"/>
        <v>90</v>
      </c>
      <c r="CL121" s="17">
        <f t="shared" si="544"/>
        <v>71.46880726181422</v>
      </c>
      <c r="CM121" s="17">
        <f t="shared" si="545"/>
        <v>24</v>
      </c>
      <c r="CN121" s="17">
        <f t="shared" si="546"/>
        <v>50</v>
      </c>
      <c r="CO121" s="17">
        <f t="shared" si="547"/>
        <v>65.062647806544774</v>
      </c>
      <c r="CP121" s="17">
        <f t="shared" si="548"/>
        <v>6.4061594552694459</v>
      </c>
      <c r="CQ121" s="17">
        <f t="shared" si="549"/>
        <v>0</v>
      </c>
      <c r="CR121" s="17">
        <f t="shared" si="550"/>
        <v>100</v>
      </c>
      <c r="CS121" s="17">
        <f t="shared" si="551"/>
        <v>26.404773030064671</v>
      </c>
      <c r="CT121" s="17">
        <f t="shared" si="552"/>
        <v>24</v>
      </c>
      <c r="CU121" s="17">
        <f t="shared" si="553"/>
        <v>50</v>
      </c>
      <c r="CV121" s="17">
        <f t="shared" si="554"/>
        <v>65.062647806544774</v>
      </c>
      <c r="CW121" s="17">
        <f t="shared" si="555"/>
        <v>-38.657874776480099</v>
      </c>
      <c r="CX121" s="17">
        <f t="shared" si="493"/>
        <v>-3714.9373440000004</v>
      </c>
      <c r="CY121" s="17">
        <f t="shared" si="493"/>
        <v>-3714.9373440000004</v>
      </c>
      <c r="CZ121" s="17">
        <f t="shared" si="556"/>
        <v>238.45881600000007</v>
      </c>
      <c r="DA121" s="17">
        <f t="shared" si="557"/>
        <v>-715.3764480000001</v>
      </c>
      <c r="DB121" s="17">
        <f t="shared" si="558"/>
        <v>-26593.920000000002</v>
      </c>
      <c r="DC121" s="17">
        <f t="shared" si="559"/>
        <v>3412</v>
      </c>
      <c r="DD121" s="17">
        <f t="shared" si="560"/>
        <v>219.7280232</v>
      </c>
      <c r="DE121" s="17">
        <f t="shared" si="561"/>
        <v>17496.000000000007</v>
      </c>
      <c r="DF121" s="17">
        <f t="shared" si="562"/>
        <v>-563.14433986560005</v>
      </c>
      <c r="DG121" s="17"/>
      <c r="DH121" s="17">
        <f t="shared" si="563"/>
        <v>-10514.941939202587</v>
      </c>
      <c r="DI121" s="17">
        <f t="shared" si="564"/>
        <v>-29573.274204007277</v>
      </c>
      <c r="DJ121" s="17">
        <f t="shared" si="565"/>
        <v>-317.29199015546516</v>
      </c>
      <c r="DK121" s="17">
        <f t="shared" si="566"/>
        <v>473.21814380937667</v>
      </c>
      <c r="DL121" s="17">
        <f t="shared" si="567"/>
        <v>-10221.191292665591</v>
      </c>
      <c r="DM121" s="17">
        <f t="shared" si="568"/>
        <v>-39932.289989555953</v>
      </c>
      <c r="DN121" s="17">
        <f t="shared" si="569"/>
        <v>-50153.481282221546</v>
      </c>
    </row>
    <row r="122" spans="3:120" ht="18.600000000000001">
      <c r="C122" s="13">
        <f>IF(D122&lt;&gt;"",COUNTA($D$10:D122),"")</f>
        <v>98</v>
      </c>
      <c r="D122" s="14" t="s">
        <v>212</v>
      </c>
      <c r="E122" s="14">
        <v>1.9</v>
      </c>
      <c r="F122" s="14">
        <v>2</v>
      </c>
      <c r="G122" s="14">
        <v>2.4</v>
      </c>
      <c r="H122" s="14">
        <v>2</v>
      </c>
      <c r="I122" s="14">
        <v>1</v>
      </c>
      <c r="J122" s="14">
        <v>1.75</v>
      </c>
      <c r="K122" s="14">
        <v>3</v>
      </c>
      <c r="L122" s="15">
        <v>0.1</v>
      </c>
      <c r="M122" s="15">
        <v>0</v>
      </c>
      <c r="N122" s="14">
        <v>24</v>
      </c>
      <c r="O122" s="14">
        <v>50</v>
      </c>
      <c r="P122" s="13">
        <v>45</v>
      </c>
      <c r="Q122" s="13">
        <v>85</v>
      </c>
      <c r="R122" s="13" t="s">
        <v>219</v>
      </c>
      <c r="S122" s="13">
        <v>25</v>
      </c>
      <c r="T122" s="13">
        <v>0</v>
      </c>
      <c r="U122" s="13">
        <v>100</v>
      </c>
      <c r="V122" s="13" t="str">
        <f t="shared" si="494"/>
        <v>5 Micron</v>
      </c>
      <c r="W122" s="13">
        <f t="shared" si="495"/>
        <v>25</v>
      </c>
      <c r="X122" s="16">
        <f t="shared" si="496"/>
        <v>40.887999999999998</v>
      </c>
      <c r="Y122" s="16">
        <f t="shared" si="497"/>
        <v>321.87033599999995</v>
      </c>
      <c r="Z122" s="16">
        <f t="shared" si="498"/>
        <v>134.11263999999997</v>
      </c>
      <c r="AA122" s="16">
        <f t="shared" si="499"/>
        <v>13.411263999999997</v>
      </c>
      <c r="AB122" s="16">
        <f t="shared" si="500"/>
        <v>0</v>
      </c>
      <c r="AC122" s="16">
        <f t="shared" si="501"/>
        <v>1.2337304467722296</v>
      </c>
      <c r="AD122" s="16">
        <f t="shared" si="570"/>
        <v>1675</v>
      </c>
      <c r="AE122" s="16">
        <f t="shared" si="503"/>
        <v>1675</v>
      </c>
      <c r="AF122" s="16">
        <f t="shared" si="504"/>
        <v>6</v>
      </c>
      <c r="AG122" s="16">
        <f t="shared" si="505"/>
        <v>6</v>
      </c>
      <c r="AH122" s="838" t="s">
        <v>84</v>
      </c>
      <c r="AI122" s="17">
        <f t="shared" si="506"/>
        <v>4.5</v>
      </c>
      <c r="AJ122" s="17">
        <f t="shared" si="507"/>
        <v>6</v>
      </c>
      <c r="AK122" s="891"/>
      <c r="AL122" s="18"/>
      <c r="AM122" s="889"/>
      <c r="AN122" s="891"/>
      <c r="AO122" s="888"/>
      <c r="AP122" s="891"/>
      <c r="AQ122" s="891"/>
      <c r="AR122" s="889"/>
      <c r="AS122" s="888"/>
      <c r="AT122" s="888"/>
      <c r="AU122" s="890"/>
      <c r="AV122" s="888"/>
      <c r="AW122" s="888"/>
      <c r="AX122" s="888"/>
      <c r="AY122" s="887"/>
      <c r="AZ122" s="888"/>
      <c r="BA122" s="17">
        <f t="shared" si="508"/>
        <v>14.399999999999991</v>
      </c>
      <c r="BB122" s="17">
        <f t="shared" si="509"/>
        <v>37.799999999999997</v>
      </c>
      <c r="BC122" s="17">
        <f t="shared" si="510"/>
        <v>32</v>
      </c>
      <c r="BD122" s="17">
        <f t="shared" si="511"/>
        <v>85</v>
      </c>
      <c r="BE122" s="17">
        <f t="shared" si="512"/>
        <v>180.86341983910182</v>
      </c>
      <c r="BF122" s="17">
        <f t="shared" si="513"/>
        <v>24</v>
      </c>
      <c r="BG122" s="17">
        <f t="shared" si="514"/>
        <v>50</v>
      </c>
      <c r="BH122" s="17">
        <f t="shared" si="515"/>
        <v>65.062647806544774</v>
      </c>
      <c r="BI122" s="17">
        <f t="shared" si="516"/>
        <v>115.80077203255705</v>
      </c>
      <c r="BJ122" s="17">
        <f t="shared" si="517"/>
        <v>45</v>
      </c>
      <c r="BK122" s="17">
        <f t="shared" si="518"/>
        <v>85</v>
      </c>
      <c r="BL122" s="17">
        <f t="shared" si="519"/>
        <v>380.54120080897206</v>
      </c>
      <c r="BM122" s="17">
        <f t="shared" si="520"/>
        <v>24</v>
      </c>
      <c r="BN122" s="17">
        <f t="shared" si="521"/>
        <v>50</v>
      </c>
      <c r="BO122" s="17">
        <f t="shared" si="522"/>
        <v>65.062647806544774</v>
      </c>
      <c r="BP122" s="17">
        <f t="shared" si="523"/>
        <v>315.4785530024273</v>
      </c>
      <c r="BQ122" s="17">
        <f t="shared" si="524"/>
        <v>3426.2766719999991</v>
      </c>
      <c r="BR122" s="17">
        <f t="shared" si="525"/>
        <v>1305.2482559999989</v>
      </c>
      <c r="BS122" s="17">
        <f t="shared" si="526"/>
        <v>264.95423999999986</v>
      </c>
      <c r="BT122" s="17">
        <f t="shared" si="527"/>
        <v>695.50487999999984</v>
      </c>
      <c r="BU122" s="17">
        <f t="shared" si="528"/>
        <v>23269.68</v>
      </c>
      <c r="BV122" s="17">
        <f t="shared" si="529"/>
        <v>3412</v>
      </c>
      <c r="BW122" s="17">
        <f t="shared" si="530"/>
        <v>244.142248</v>
      </c>
      <c r="BX122" s="17">
        <f t="shared" si="531"/>
        <v>17495.999999999989</v>
      </c>
      <c r="BY122" s="17">
        <f t="shared" si="532"/>
        <v>547.5014415359999</v>
      </c>
      <c r="BZ122" s="17"/>
      <c r="CA122" s="17">
        <f t="shared" si="533"/>
        <v>85810.166416660228</v>
      </c>
      <c r="CB122" s="17">
        <f t="shared" si="534"/>
        <v>241341.0930468569</v>
      </c>
      <c r="CC122" s="17">
        <f t="shared" si="535"/>
        <v>2877.0569892444105</v>
      </c>
      <c r="CD122" s="17">
        <f t="shared" si="536"/>
        <v>25893.512903199691</v>
      </c>
      <c r="CE122" s="17">
        <f t="shared" si="537"/>
        <v>48395.600361535988</v>
      </c>
      <c r="CF122" s="17">
        <f t="shared" si="538"/>
        <v>355921.82935596124</v>
      </c>
      <c r="CG122" s="17">
        <f t="shared" si="539"/>
        <v>404317.4297174972</v>
      </c>
      <c r="CH122" s="17">
        <f t="shared" si="540"/>
        <v>14.400000000000006</v>
      </c>
      <c r="CI122" s="17">
        <f t="shared" si="541"/>
        <v>-43.2</v>
      </c>
      <c r="CJ122" s="17">
        <f t="shared" si="542"/>
        <v>16</v>
      </c>
      <c r="CK122" s="17">
        <f t="shared" si="543"/>
        <v>90</v>
      </c>
      <c r="CL122" s="17">
        <f t="shared" si="544"/>
        <v>71.46880726181422</v>
      </c>
      <c r="CM122" s="17">
        <f t="shared" si="545"/>
        <v>24</v>
      </c>
      <c r="CN122" s="17">
        <f t="shared" si="546"/>
        <v>50</v>
      </c>
      <c r="CO122" s="17">
        <f t="shared" si="547"/>
        <v>65.062647806544774</v>
      </c>
      <c r="CP122" s="17">
        <f t="shared" si="548"/>
        <v>6.4061594552694459</v>
      </c>
      <c r="CQ122" s="17">
        <f t="shared" si="549"/>
        <v>0</v>
      </c>
      <c r="CR122" s="17">
        <f t="shared" si="550"/>
        <v>100</v>
      </c>
      <c r="CS122" s="17">
        <f t="shared" si="551"/>
        <v>26.404773030064671</v>
      </c>
      <c r="CT122" s="17">
        <f t="shared" si="552"/>
        <v>24</v>
      </c>
      <c r="CU122" s="17">
        <f t="shared" si="553"/>
        <v>50</v>
      </c>
      <c r="CV122" s="17">
        <f t="shared" si="554"/>
        <v>65.062647806544774</v>
      </c>
      <c r="CW122" s="17">
        <f t="shared" si="555"/>
        <v>-38.657874776480099</v>
      </c>
      <c r="CX122" s="17">
        <f t="shared" si="493"/>
        <v>-3915.744768</v>
      </c>
      <c r="CY122" s="17">
        <f t="shared" si="493"/>
        <v>-3915.744768</v>
      </c>
      <c r="CZ122" s="17">
        <f t="shared" si="556"/>
        <v>264.95424000000008</v>
      </c>
      <c r="DA122" s="17">
        <f t="shared" si="557"/>
        <v>-794.86271999999997</v>
      </c>
      <c r="DB122" s="17">
        <f t="shared" si="558"/>
        <v>-26593.920000000002</v>
      </c>
      <c r="DC122" s="17">
        <f t="shared" si="559"/>
        <v>3412</v>
      </c>
      <c r="DD122" s="17">
        <f t="shared" si="560"/>
        <v>244.142248</v>
      </c>
      <c r="DE122" s="17">
        <f t="shared" si="561"/>
        <v>17496.000000000007</v>
      </c>
      <c r="DF122" s="17">
        <f t="shared" si="562"/>
        <v>-625.71593318399994</v>
      </c>
      <c r="DG122" s="17"/>
      <c r="DH122" s="17">
        <f t="shared" si="563"/>
        <v>-10514.941939202587</v>
      </c>
      <c r="DI122" s="17">
        <f t="shared" si="564"/>
        <v>-29573.274204007277</v>
      </c>
      <c r="DJ122" s="17">
        <f t="shared" si="565"/>
        <v>-352.54665572829458</v>
      </c>
      <c r="DK122" s="17">
        <f t="shared" si="566"/>
        <v>525.79793756597405</v>
      </c>
      <c r="DL122" s="17">
        <f t="shared" si="567"/>
        <v>-10513.146933183993</v>
      </c>
      <c r="DM122" s="17">
        <f t="shared" si="568"/>
        <v>-39914.964861372187</v>
      </c>
      <c r="DN122" s="17">
        <f t="shared" si="569"/>
        <v>-50428.111794556178</v>
      </c>
    </row>
    <row r="123" spans="3:120" ht="18.600000000000001">
      <c r="C123" s="13">
        <f>IF(D123&lt;&gt;"",COUNTA($D$10:D123),"")</f>
        <v>99</v>
      </c>
      <c r="D123" s="14" t="s">
        <v>213</v>
      </c>
      <c r="E123" s="14">
        <v>2.2999999999999998</v>
      </c>
      <c r="F123" s="14">
        <v>2.2000000000000002</v>
      </c>
      <c r="G123" s="14">
        <v>2.4</v>
      </c>
      <c r="H123" s="14">
        <v>2</v>
      </c>
      <c r="I123" s="14">
        <v>1</v>
      </c>
      <c r="J123" s="14">
        <v>1.75</v>
      </c>
      <c r="K123" s="14">
        <v>3</v>
      </c>
      <c r="L123" s="15">
        <v>0.1</v>
      </c>
      <c r="M123" s="15">
        <v>0</v>
      </c>
      <c r="N123" s="14">
        <v>24</v>
      </c>
      <c r="O123" s="14">
        <v>50</v>
      </c>
      <c r="P123" s="13">
        <v>45</v>
      </c>
      <c r="Q123" s="13">
        <v>85</v>
      </c>
      <c r="R123" s="13" t="s">
        <v>219</v>
      </c>
      <c r="S123" s="13">
        <v>25</v>
      </c>
      <c r="T123" s="13">
        <v>0</v>
      </c>
      <c r="U123" s="13">
        <v>100</v>
      </c>
      <c r="V123" s="13" t="str">
        <f t="shared" si="494"/>
        <v>5 Micron</v>
      </c>
      <c r="W123" s="13">
        <f t="shared" si="495"/>
        <v>25</v>
      </c>
      <c r="X123" s="16">
        <f t="shared" si="496"/>
        <v>54.445599999999992</v>
      </c>
      <c r="Y123" s="16">
        <f t="shared" si="497"/>
        <v>428.59576319999991</v>
      </c>
      <c r="Z123" s="16">
        <f t="shared" si="498"/>
        <v>178.58156799999998</v>
      </c>
      <c r="AA123" s="16">
        <f t="shared" si="499"/>
        <v>17.8581568</v>
      </c>
      <c r="AB123" s="16">
        <f t="shared" si="500"/>
        <v>0</v>
      </c>
      <c r="AC123" s="16">
        <f t="shared" si="501"/>
        <v>1.6428094896493377</v>
      </c>
      <c r="AD123" s="16">
        <f t="shared" si="570"/>
        <v>1725</v>
      </c>
      <c r="AE123" s="16">
        <f t="shared" si="503"/>
        <v>1725</v>
      </c>
      <c r="AF123" s="16">
        <f t="shared" si="504"/>
        <v>6</v>
      </c>
      <c r="AG123" s="16">
        <f t="shared" si="505"/>
        <v>6</v>
      </c>
      <c r="AH123" s="838" t="s">
        <v>84</v>
      </c>
      <c r="AI123" s="17">
        <f t="shared" si="506"/>
        <v>4.5</v>
      </c>
      <c r="AJ123" s="17">
        <f t="shared" si="507"/>
        <v>6</v>
      </c>
      <c r="AK123" s="891"/>
      <c r="AL123" s="18"/>
      <c r="AM123" s="889"/>
      <c r="AN123" s="891"/>
      <c r="AO123" s="888"/>
      <c r="AP123" s="891"/>
      <c r="AQ123" s="891"/>
      <c r="AR123" s="889"/>
      <c r="AS123" s="888"/>
      <c r="AT123" s="888"/>
      <c r="AU123" s="890"/>
      <c r="AV123" s="888"/>
      <c r="AW123" s="888"/>
      <c r="AX123" s="888"/>
      <c r="AY123" s="887"/>
      <c r="AZ123" s="888"/>
      <c r="BA123" s="17">
        <f t="shared" si="508"/>
        <v>14.399999999999991</v>
      </c>
      <c r="BB123" s="17">
        <f t="shared" si="509"/>
        <v>37.799999999999997</v>
      </c>
      <c r="BC123" s="17">
        <f t="shared" si="510"/>
        <v>32</v>
      </c>
      <c r="BD123" s="17">
        <f t="shared" si="511"/>
        <v>85</v>
      </c>
      <c r="BE123" s="17">
        <f t="shared" si="512"/>
        <v>180.86341983910182</v>
      </c>
      <c r="BF123" s="17">
        <f t="shared" si="513"/>
        <v>24</v>
      </c>
      <c r="BG123" s="17">
        <f t="shared" si="514"/>
        <v>50</v>
      </c>
      <c r="BH123" s="17">
        <f t="shared" si="515"/>
        <v>65.062647806544774</v>
      </c>
      <c r="BI123" s="17">
        <f t="shared" si="516"/>
        <v>115.80077203255705</v>
      </c>
      <c r="BJ123" s="17">
        <f t="shared" si="517"/>
        <v>45</v>
      </c>
      <c r="BK123" s="17">
        <f t="shared" si="518"/>
        <v>85</v>
      </c>
      <c r="BL123" s="17">
        <f t="shared" si="519"/>
        <v>380.54120080897206</v>
      </c>
      <c r="BM123" s="17">
        <f t="shared" si="520"/>
        <v>24</v>
      </c>
      <c r="BN123" s="17">
        <f t="shared" si="521"/>
        <v>50</v>
      </c>
      <c r="BO123" s="17">
        <f t="shared" si="522"/>
        <v>65.062647806544774</v>
      </c>
      <c r="BP123" s="17">
        <f t="shared" si="523"/>
        <v>315.4785530024273</v>
      </c>
      <c r="BQ123" s="17">
        <f t="shared" si="524"/>
        <v>3953.3961599999993</v>
      </c>
      <c r="BR123" s="17">
        <f t="shared" si="525"/>
        <v>1506.0556799999993</v>
      </c>
      <c r="BS123" s="17">
        <f t="shared" si="526"/>
        <v>352.80748799999975</v>
      </c>
      <c r="BT123" s="17">
        <f t="shared" si="527"/>
        <v>926.11965599999974</v>
      </c>
      <c r="BU123" s="17">
        <f t="shared" si="528"/>
        <v>23269.68</v>
      </c>
      <c r="BV123" s="17">
        <f t="shared" si="529"/>
        <v>3412</v>
      </c>
      <c r="BW123" s="17">
        <f t="shared" si="530"/>
        <v>325.0946775999999</v>
      </c>
      <c r="BX123" s="17">
        <f t="shared" si="531"/>
        <v>17495.999999999989</v>
      </c>
      <c r="BY123" s="17">
        <f t="shared" si="532"/>
        <v>729.04139320319996</v>
      </c>
      <c r="BZ123" s="17"/>
      <c r="CA123" s="17">
        <f t="shared" si="533"/>
        <v>85810.166416660228</v>
      </c>
      <c r="CB123" s="17">
        <f t="shared" si="534"/>
        <v>241341.0930468569</v>
      </c>
      <c r="CC123" s="17">
        <f t="shared" si="535"/>
        <v>3831.0285172570316</v>
      </c>
      <c r="CD123" s="17">
        <f t="shared" si="536"/>
        <v>34479.256655313278</v>
      </c>
      <c r="CE123" s="17">
        <f t="shared" si="537"/>
        <v>49185.21223080319</v>
      </c>
      <c r="CF123" s="17">
        <f t="shared" si="538"/>
        <v>365461.54463608738</v>
      </c>
      <c r="CG123" s="17">
        <f t="shared" si="539"/>
        <v>414646.75686689059</v>
      </c>
      <c r="CH123" s="17">
        <f t="shared" si="540"/>
        <v>14.400000000000006</v>
      </c>
      <c r="CI123" s="17">
        <f t="shared" si="541"/>
        <v>-43.2</v>
      </c>
      <c r="CJ123" s="17">
        <f t="shared" si="542"/>
        <v>16</v>
      </c>
      <c r="CK123" s="17">
        <f t="shared" si="543"/>
        <v>90</v>
      </c>
      <c r="CL123" s="17">
        <f t="shared" si="544"/>
        <v>71.46880726181422</v>
      </c>
      <c r="CM123" s="17">
        <f t="shared" si="545"/>
        <v>24</v>
      </c>
      <c r="CN123" s="17">
        <f t="shared" si="546"/>
        <v>50</v>
      </c>
      <c r="CO123" s="17">
        <f t="shared" si="547"/>
        <v>65.062647806544774</v>
      </c>
      <c r="CP123" s="17">
        <f t="shared" si="548"/>
        <v>6.4061594552694459</v>
      </c>
      <c r="CQ123" s="17">
        <f t="shared" si="549"/>
        <v>0</v>
      </c>
      <c r="CR123" s="17">
        <f t="shared" si="550"/>
        <v>100</v>
      </c>
      <c r="CS123" s="17">
        <f t="shared" si="551"/>
        <v>26.404773030064671</v>
      </c>
      <c r="CT123" s="17">
        <f t="shared" si="552"/>
        <v>24</v>
      </c>
      <c r="CU123" s="17">
        <f t="shared" si="553"/>
        <v>50</v>
      </c>
      <c r="CV123" s="17">
        <f t="shared" si="554"/>
        <v>65.062647806544774</v>
      </c>
      <c r="CW123" s="17">
        <f t="shared" si="555"/>
        <v>-38.657874776480099</v>
      </c>
      <c r="CX123" s="17">
        <f t="shared" si="493"/>
        <v>-4518.1670400000012</v>
      </c>
      <c r="CY123" s="17">
        <f t="shared" si="493"/>
        <v>-4518.1670400000012</v>
      </c>
      <c r="CZ123" s="17">
        <f t="shared" si="556"/>
        <v>352.80748800000009</v>
      </c>
      <c r="DA123" s="17">
        <f t="shared" si="557"/>
        <v>-1058.422464</v>
      </c>
      <c r="DB123" s="17">
        <f t="shared" si="558"/>
        <v>-26593.920000000002</v>
      </c>
      <c r="DC123" s="17">
        <f t="shared" si="559"/>
        <v>3412</v>
      </c>
      <c r="DD123" s="17">
        <f t="shared" si="560"/>
        <v>325.0946775999999</v>
      </c>
      <c r="DE123" s="17">
        <f t="shared" si="561"/>
        <v>17496.000000000007</v>
      </c>
      <c r="DF123" s="17">
        <f t="shared" si="562"/>
        <v>-833.19016366080018</v>
      </c>
      <c r="DG123" s="17"/>
      <c r="DH123" s="17">
        <f t="shared" si="563"/>
        <v>-10514.941939202587</v>
      </c>
      <c r="DI123" s="17">
        <f t="shared" si="564"/>
        <v>-29573.274204007277</v>
      </c>
      <c r="DJ123" s="17">
        <f t="shared" si="565"/>
        <v>-469.44370473293969</v>
      </c>
      <c r="DK123" s="17">
        <f t="shared" si="566"/>
        <v>700.1414642325866</v>
      </c>
      <c r="DL123" s="17">
        <f t="shared" si="567"/>
        <v>-11417.797502060797</v>
      </c>
      <c r="DM123" s="17">
        <f t="shared" si="568"/>
        <v>-39857.518383710223</v>
      </c>
      <c r="DN123" s="17">
        <f t="shared" si="569"/>
        <v>-51275.315885771022</v>
      </c>
    </row>
    <row r="124" spans="3:120" ht="18.600000000000001">
      <c r="C124" s="13">
        <f>IF(D124&lt;&gt;"",COUNTA($D$10:D124),"")</f>
        <v>100</v>
      </c>
      <c r="D124" s="14" t="s">
        <v>214</v>
      </c>
      <c r="E124" s="14">
        <v>2.2000000000000002</v>
      </c>
      <c r="F124" s="14">
        <v>2.8</v>
      </c>
      <c r="G124" s="14">
        <v>2.4</v>
      </c>
      <c r="H124" s="14">
        <v>2</v>
      </c>
      <c r="I124" s="14">
        <v>1</v>
      </c>
      <c r="J124" s="14">
        <v>1.75</v>
      </c>
      <c r="K124" s="14">
        <v>3</v>
      </c>
      <c r="L124" s="15">
        <v>0.1</v>
      </c>
      <c r="M124" s="15">
        <v>0</v>
      </c>
      <c r="N124" s="14">
        <v>24</v>
      </c>
      <c r="O124" s="14">
        <v>50</v>
      </c>
      <c r="P124" s="13">
        <v>45</v>
      </c>
      <c r="Q124" s="13">
        <v>85</v>
      </c>
      <c r="R124" s="13" t="s">
        <v>219</v>
      </c>
      <c r="S124" s="13">
        <v>25</v>
      </c>
      <c r="T124" s="13">
        <v>0</v>
      </c>
      <c r="U124" s="13">
        <v>100</v>
      </c>
      <c r="V124" s="13" t="str">
        <f t="shared" si="494"/>
        <v>5 Micron</v>
      </c>
      <c r="W124" s="13">
        <f t="shared" si="495"/>
        <v>25</v>
      </c>
      <c r="X124" s="16">
        <f t="shared" si="496"/>
        <v>66.281599999999997</v>
      </c>
      <c r="Y124" s="16">
        <f t="shared" si="497"/>
        <v>521.76875519999999</v>
      </c>
      <c r="Z124" s="16">
        <f t="shared" si="498"/>
        <v>217.403648</v>
      </c>
      <c r="AA124" s="16">
        <f t="shared" si="499"/>
        <v>21.740364800000002</v>
      </c>
      <c r="AB124" s="16">
        <f t="shared" si="500"/>
        <v>0</v>
      </c>
      <c r="AC124" s="16">
        <f t="shared" si="501"/>
        <v>1.9999419873991939</v>
      </c>
      <c r="AD124" s="16">
        <f t="shared" si="570"/>
        <v>1750</v>
      </c>
      <c r="AE124" s="16">
        <f t="shared" si="503"/>
        <v>1750</v>
      </c>
      <c r="AF124" s="16">
        <f t="shared" si="504"/>
        <v>6</v>
      </c>
      <c r="AG124" s="16">
        <f t="shared" si="505"/>
        <v>6</v>
      </c>
      <c r="AH124" s="838" t="s">
        <v>84</v>
      </c>
      <c r="AI124" s="17">
        <f t="shared" si="506"/>
        <v>4.5</v>
      </c>
      <c r="AJ124" s="17">
        <f t="shared" si="507"/>
        <v>6</v>
      </c>
      <c r="AK124" s="891"/>
      <c r="AL124" s="18"/>
      <c r="AM124" s="889"/>
      <c r="AN124" s="891"/>
      <c r="AO124" s="888"/>
      <c r="AP124" s="891"/>
      <c r="AQ124" s="891"/>
      <c r="AR124" s="889"/>
      <c r="AS124" s="888"/>
      <c r="AT124" s="888"/>
      <c r="AU124" s="890"/>
      <c r="AV124" s="888"/>
      <c r="AW124" s="888"/>
      <c r="AX124" s="888"/>
      <c r="AY124" s="887"/>
      <c r="AZ124" s="888"/>
      <c r="BA124" s="17">
        <f t="shared" si="508"/>
        <v>14.399999999999991</v>
      </c>
      <c r="BB124" s="17">
        <f t="shared" si="509"/>
        <v>37.799999999999997</v>
      </c>
      <c r="BC124" s="17">
        <f t="shared" si="510"/>
        <v>32</v>
      </c>
      <c r="BD124" s="17">
        <f t="shared" si="511"/>
        <v>85</v>
      </c>
      <c r="BE124" s="17">
        <f t="shared" si="512"/>
        <v>180.86341983910182</v>
      </c>
      <c r="BF124" s="17">
        <f t="shared" si="513"/>
        <v>24</v>
      </c>
      <c r="BG124" s="17">
        <f t="shared" si="514"/>
        <v>50</v>
      </c>
      <c r="BH124" s="17">
        <f t="shared" si="515"/>
        <v>65.062647806544774</v>
      </c>
      <c r="BI124" s="17">
        <f t="shared" si="516"/>
        <v>115.80077203255705</v>
      </c>
      <c r="BJ124" s="17">
        <f t="shared" si="517"/>
        <v>45</v>
      </c>
      <c r="BK124" s="17">
        <f t="shared" si="518"/>
        <v>85</v>
      </c>
      <c r="BL124" s="17">
        <f t="shared" si="519"/>
        <v>380.54120080897206</v>
      </c>
      <c r="BM124" s="17">
        <f t="shared" si="520"/>
        <v>24</v>
      </c>
      <c r="BN124" s="17">
        <f t="shared" si="521"/>
        <v>50</v>
      </c>
      <c r="BO124" s="17">
        <f t="shared" si="522"/>
        <v>65.062647806544774</v>
      </c>
      <c r="BP124" s="17">
        <f t="shared" si="523"/>
        <v>315.4785530024273</v>
      </c>
      <c r="BQ124" s="17">
        <f t="shared" si="524"/>
        <v>4392.6624000000002</v>
      </c>
      <c r="BR124" s="17">
        <f t="shared" si="525"/>
        <v>1673.3951999999992</v>
      </c>
      <c r="BS124" s="17">
        <f t="shared" si="526"/>
        <v>429.50476799999973</v>
      </c>
      <c r="BT124" s="17">
        <f t="shared" si="527"/>
        <v>1127.4500159999998</v>
      </c>
      <c r="BU124" s="17">
        <f t="shared" si="528"/>
        <v>23269.68</v>
      </c>
      <c r="BV124" s="17">
        <f t="shared" si="529"/>
        <v>3412</v>
      </c>
      <c r="BW124" s="17">
        <f t="shared" si="530"/>
        <v>395.76743359999995</v>
      </c>
      <c r="BX124" s="17">
        <f t="shared" si="531"/>
        <v>17495.999999999989</v>
      </c>
      <c r="BY124" s="17">
        <f t="shared" si="532"/>
        <v>887.52865259520013</v>
      </c>
      <c r="BZ124" s="17"/>
      <c r="CA124" s="17">
        <f t="shared" si="533"/>
        <v>85810.166416660228</v>
      </c>
      <c r="CB124" s="17">
        <f t="shared" si="534"/>
        <v>241341.0930468569</v>
      </c>
      <c r="CC124" s="17">
        <f t="shared" si="535"/>
        <v>4663.8608036172554</v>
      </c>
      <c r="CD124" s="17">
        <f t="shared" si="536"/>
        <v>41974.747232555303</v>
      </c>
      <c r="CE124" s="17">
        <f t="shared" si="537"/>
        <v>49853.638486195188</v>
      </c>
      <c r="CF124" s="17">
        <f t="shared" si="538"/>
        <v>373789.86749968969</v>
      </c>
      <c r="CG124" s="17">
        <f t="shared" si="539"/>
        <v>423643.50598588487</v>
      </c>
      <c r="CH124" s="17">
        <f t="shared" si="540"/>
        <v>14.400000000000006</v>
      </c>
      <c r="CI124" s="17">
        <f t="shared" si="541"/>
        <v>-43.2</v>
      </c>
      <c r="CJ124" s="17">
        <f t="shared" si="542"/>
        <v>16</v>
      </c>
      <c r="CK124" s="17">
        <f t="shared" si="543"/>
        <v>90</v>
      </c>
      <c r="CL124" s="17">
        <f t="shared" si="544"/>
        <v>71.46880726181422</v>
      </c>
      <c r="CM124" s="17">
        <f t="shared" si="545"/>
        <v>24</v>
      </c>
      <c r="CN124" s="17">
        <f t="shared" si="546"/>
        <v>50</v>
      </c>
      <c r="CO124" s="17">
        <f t="shared" si="547"/>
        <v>65.062647806544774</v>
      </c>
      <c r="CP124" s="17">
        <f t="shared" si="548"/>
        <v>6.4061594552694459</v>
      </c>
      <c r="CQ124" s="17">
        <f t="shared" si="549"/>
        <v>0</v>
      </c>
      <c r="CR124" s="17">
        <f t="shared" si="550"/>
        <v>100</v>
      </c>
      <c r="CS124" s="17">
        <f t="shared" si="551"/>
        <v>26.404773030064671</v>
      </c>
      <c r="CT124" s="17">
        <f t="shared" si="552"/>
        <v>24</v>
      </c>
      <c r="CU124" s="17">
        <f t="shared" si="553"/>
        <v>50</v>
      </c>
      <c r="CV124" s="17">
        <f t="shared" si="554"/>
        <v>65.062647806544774</v>
      </c>
      <c r="CW124" s="17">
        <f t="shared" si="555"/>
        <v>-38.657874776480099</v>
      </c>
      <c r="CX124" s="17">
        <f t="shared" si="493"/>
        <v>-5020.1856000000007</v>
      </c>
      <c r="CY124" s="17">
        <f t="shared" si="493"/>
        <v>-5020.1856000000007</v>
      </c>
      <c r="CZ124" s="17">
        <f t="shared" si="556"/>
        <v>429.50476800000018</v>
      </c>
      <c r="DA124" s="17">
        <f t="shared" si="557"/>
        <v>-1288.514304</v>
      </c>
      <c r="DB124" s="17">
        <f t="shared" si="558"/>
        <v>-26593.920000000002</v>
      </c>
      <c r="DC124" s="17">
        <f t="shared" si="559"/>
        <v>3412</v>
      </c>
      <c r="DD124" s="17">
        <f t="shared" si="560"/>
        <v>395.76743359999995</v>
      </c>
      <c r="DE124" s="17">
        <f t="shared" si="561"/>
        <v>17496.000000000007</v>
      </c>
      <c r="DF124" s="17">
        <f t="shared" si="562"/>
        <v>-1014.3184601088003</v>
      </c>
      <c r="DG124" s="17"/>
      <c r="DH124" s="17">
        <f t="shared" si="563"/>
        <v>-10514.941939202587</v>
      </c>
      <c r="DI124" s="17">
        <f t="shared" si="564"/>
        <v>-29573.274204007277</v>
      </c>
      <c r="DJ124" s="17">
        <f t="shared" si="565"/>
        <v>-571.49668402270925</v>
      </c>
      <c r="DK124" s="17">
        <f t="shared" si="566"/>
        <v>852.34613037010558</v>
      </c>
      <c r="DL124" s="17">
        <f t="shared" si="567"/>
        <v>-12183.666162508798</v>
      </c>
      <c r="DM124" s="17">
        <f t="shared" si="568"/>
        <v>-39807.366696862468</v>
      </c>
      <c r="DN124" s="17">
        <f t="shared" si="569"/>
        <v>-51991.032859371262</v>
      </c>
    </row>
    <row r="125" spans="3:120" ht="18.600000000000001">
      <c r="C125" s="13">
        <f>IF(D125&lt;&gt;"",COUNTA($D$10:D125),"")</f>
        <v>101</v>
      </c>
      <c r="D125" s="14" t="s">
        <v>215</v>
      </c>
      <c r="E125" s="14">
        <v>2.8</v>
      </c>
      <c r="F125" s="14">
        <v>2.4</v>
      </c>
      <c r="G125" s="14">
        <v>2.4</v>
      </c>
      <c r="H125" s="14">
        <v>2</v>
      </c>
      <c r="I125" s="14">
        <v>1</v>
      </c>
      <c r="J125" s="14">
        <v>1.75</v>
      </c>
      <c r="K125" s="14">
        <v>3</v>
      </c>
      <c r="L125" s="15">
        <v>0.1</v>
      </c>
      <c r="M125" s="15">
        <v>0</v>
      </c>
      <c r="N125" s="14">
        <v>24</v>
      </c>
      <c r="O125" s="14">
        <v>50</v>
      </c>
      <c r="P125" s="13">
        <v>45</v>
      </c>
      <c r="Q125" s="13">
        <v>85</v>
      </c>
      <c r="R125" s="13" t="s">
        <v>219</v>
      </c>
      <c r="S125" s="13">
        <v>25</v>
      </c>
      <c r="T125" s="13">
        <v>0</v>
      </c>
      <c r="U125" s="13">
        <v>100</v>
      </c>
      <c r="V125" s="13" t="str">
        <f t="shared" si="494"/>
        <v>5 Micron</v>
      </c>
      <c r="W125" s="13">
        <f t="shared" si="495"/>
        <v>25</v>
      </c>
      <c r="X125" s="16">
        <f t="shared" si="496"/>
        <v>72.307199999999995</v>
      </c>
      <c r="Y125" s="16">
        <f t="shared" si="497"/>
        <v>569.20227839999995</v>
      </c>
      <c r="Z125" s="16">
        <f t="shared" si="498"/>
        <v>237.16761599999998</v>
      </c>
      <c r="AA125" s="16">
        <f t="shared" si="499"/>
        <v>23.716761599999998</v>
      </c>
      <c r="AB125" s="16">
        <f t="shared" si="500"/>
        <v>0</v>
      </c>
      <c r="AC125" s="16">
        <f t="shared" si="501"/>
        <v>2.1817548953445747</v>
      </c>
      <c r="AD125" s="16">
        <f t="shared" si="570"/>
        <v>1775</v>
      </c>
      <c r="AE125" s="16">
        <f t="shared" si="503"/>
        <v>1775</v>
      </c>
      <c r="AF125" s="16">
        <f t="shared" si="504"/>
        <v>6</v>
      </c>
      <c r="AG125" s="16">
        <f t="shared" si="505"/>
        <v>6</v>
      </c>
      <c r="AH125" s="838" t="s">
        <v>84</v>
      </c>
      <c r="AI125" s="17">
        <f t="shared" si="506"/>
        <v>4.5</v>
      </c>
      <c r="AJ125" s="17">
        <f t="shared" si="507"/>
        <v>6</v>
      </c>
      <c r="AK125" s="891"/>
      <c r="AL125" s="18"/>
      <c r="AM125" s="889"/>
      <c r="AN125" s="891"/>
      <c r="AO125" s="888"/>
      <c r="AP125" s="891"/>
      <c r="AQ125" s="891"/>
      <c r="AR125" s="889"/>
      <c r="AS125" s="888"/>
      <c r="AT125" s="888"/>
      <c r="AU125" s="890"/>
      <c r="AV125" s="888"/>
      <c r="AW125" s="888"/>
      <c r="AX125" s="888"/>
      <c r="AY125" s="887"/>
      <c r="AZ125" s="888"/>
      <c r="BA125" s="17">
        <f t="shared" si="508"/>
        <v>14.399999999999991</v>
      </c>
      <c r="BB125" s="17">
        <f t="shared" si="509"/>
        <v>37.799999999999997</v>
      </c>
      <c r="BC125" s="17">
        <f t="shared" si="510"/>
        <v>32</v>
      </c>
      <c r="BD125" s="17">
        <f t="shared" si="511"/>
        <v>85</v>
      </c>
      <c r="BE125" s="17">
        <f t="shared" si="512"/>
        <v>180.86341983910182</v>
      </c>
      <c r="BF125" s="17">
        <f t="shared" si="513"/>
        <v>24</v>
      </c>
      <c r="BG125" s="17">
        <f t="shared" si="514"/>
        <v>50</v>
      </c>
      <c r="BH125" s="17">
        <f t="shared" si="515"/>
        <v>65.062647806544774</v>
      </c>
      <c r="BI125" s="17">
        <f t="shared" si="516"/>
        <v>115.80077203255705</v>
      </c>
      <c r="BJ125" s="17">
        <f t="shared" si="517"/>
        <v>45</v>
      </c>
      <c r="BK125" s="17">
        <f t="shared" si="518"/>
        <v>85</v>
      </c>
      <c r="BL125" s="17">
        <f t="shared" si="519"/>
        <v>380.54120080897206</v>
      </c>
      <c r="BM125" s="17">
        <f t="shared" si="520"/>
        <v>24</v>
      </c>
      <c r="BN125" s="17">
        <f t="shared" si="521"/>
        <v>50</v>
      </c>
      <c r="BO125" s="17">
        <f t="shared" si="522"/>
        <v>65.062647806544774</v>
      </c>
      <c r="BP125" s="17">
        <f t="shared" si="523"/>
        <v>315.4785530024273</v>
      </c>
      <c r="BQ125" s="17">
        <f t="shared" si="524"/>
        <v>4568.368895999999</v>
      </c>
      <c r="BR125" s="17">
        <f t="shared" si="525"/>
        <v>1740.331007999999</v>
      </c>
      <c r="BS125" s="17">
        <f t="shared" si="526"/>
        <v>468.55065599999972</v>
      </c>
      <c r="BT125" s="17">
        <f t="shared" si="527"/>
        <v>1229.9454719999999</v>
      </c>
      <c r="BU125" s="17">
        <f t="shared" si="528"/>
        <v>23269.68</v>
      </c>
      <c r="BV125" s="17">
        <f t="shared" si="529"/>
        <v>3412</v>
      </c>
      <c r="BW125" s="17">
        <f t="shared" si="530"/>
        <v>431.74629119999997</v>
      </c>
      <c r="BX125" s="17">
        <f t="shared" si="531"/>
        <v>17495.999999999989</v>
      </c>
      <c r="BY125" s="17">
        <f t="shared" si="532"/>
        <v>968.21307555839996</v>
      </c>
      <c r="BZ125" s="17"/>
      <c r="CA125" s="17">
        <f t="shared" si="533"/>
        <v>85810.166416660228</v>
      </c>
      <c r="CB125" s="17">
        <f t="shared" si="534"/>
        <v>241341.0930468569</v>
      </c>
      <c r="CC125" s="17">
        <f t="shared" si="535"/>
        <v>5087.8481494006428</v>
      </c>
      <c r="CD125" s="17">
        <f t="shared" si="536"/>
        <v>45790.633344605776</v>
      </c>
      <c r="CE125" s="17">
        <f t="shared" si="537"/>
        <v>50146.008262758391</v>
      </c>
      <c r="CF125" s="17">
        <f t="shared" si="538"/>
        <v>378029.74095752358</v>
      </c>
      <c r="CG125" s="17">
        <f t="shared" si="539"/>
        <v>428175.74922028196</v>
      </c>
      <c r="CH125" s="17">
        <f t="shared" si="540"/>
        <v>14.400000000000006</v>
      </c>
      <c r="CI125" s="17">
        <f t="shared" si="541"/>
        <v>-43.2</v>
      </c>
      <c r="CJ125" s="17">
        <f t="shared" si="542"/>
        <v>16</v>
      </c>
      <c r="CK125" s="17">
        <f t="shared" si="543"/>
        <v>90</v>
      </c>
      <c r="CL125" s="17">
        <f t="shared" si="544"/>
        <v>71.46880726181422</v>
      </c>
      <c r="CM125" s="17">
        <f t="shared" si="545"/>
        <v>24</v>
      </c>
      <c r="CN125" s="17">
        <f t="shared" si="546"/>
        <v>50</v>
      </c>
      <c r="CO125" s="17">
        <f t="shared" si="547"/>
        <v>65.062647806544774</v>
      </c>
      <c r="CP125" s="17">
        <f t="shared" si="548"/>
        <v>6.4061594552694459</v>
      </c>
      <c r="CQ125" s="17">
        <f t="shared" si="549"/>
        <v>0</v>
      </c>
      <c r="CR125" s="17">
        <f t="shared" si="550"/>
        <v>100</v>
      </c>
      <c r="CS125" s="17">
        <f t="shared" si="551"/>
        <v>26.404773030064671</v>
      </c>
      <c r="CT125" s="17">
        <f t="shared" si="552"/>
        <v>24</v>
      </c>
      <c r="CU125" s="17">
        <f t="shared" si="553"/>
        <v>50</v>
      </c>
      <c r="CV125" s="17">
        <f t="shared" si="554"/>
        <v>65.062647806544774</v>
      </c>
      <c r="CW125" s="17">
        <f t="shared" si="555"/>
        <v>-38.657874776480099</v>
      </c>
      <c r="CX125" s="17">
        <f t="shared" si="493"/>
        <v>-5220.9930240000003</v>
      </c>
      <c r="CY125" s="17">
        <f t="shared" si="493"/>
        <v>-5220.9930240000003</v>
      </c>
      <c r="CZ125" s="17">
        <f t="shared" si="556"/>
        <v>468.55065600000012</v>
      </c>
      <c r="DA125" s="17">
        <f t="shared" si="557"/>
        <v>-1405.6519680000001</v>
      </c>
      <c r="DB125" s="17">
        <f t="shared" si="558"/>
        <v>-26593.920000000002</v>
      </c>
      <c r="DC125" s="17">
        <f t="shared" si="559"/>
        <v>3412</v>
      </c>
      <c r="DD125" s="17">
        <f t="shared" si="560"/>
        <v>431.74629119999997</v>
      </c>
      <c r="DE125" s="17">
        <f t="shared" si="561"/>
        <v>17496.000000000007</v>
      </c>
      <c r="DF125" s="17">
        <f t="shared" si="562"/>
        <v>-1106.5292292096001</v>
      </c>
      <c r="DG125" s="17"/>
      <c r="DH125" s="17">
        <f t="shared" si="563"/>
        <v>-10514.941939202587</v>
      </c>
      <c r="DI125" s="17">
        <f t="shared" si="564"/>
        <v>-29573.274204007277</v>
      </c>
      <c r="DJ125" s="17">
        <f t="shared" si="565"/>
        <v>-623.4509280247737</v>
      </c>
      <c r="DK125" s="17">
        <f t="shared" si="566"/>
        <v>929.83214222193317</v>
      </c>
      <c r="DL125" s="17">
        <f t="shared" si="567"/>
        <v>-12518.797274009592</v>
      </c>
      <c r="DM125" s="17">
        <f t="shared" si="568"/>
        <v>-39781.834929012708</v>
      </c>
      <c r="DN125" s="17">
        <f t="shared" si="569"/>
        <v>-52300.632203022302</v>
      </c>
    </row>
    <row r="126" spans="3:120">
      <c r="C126" s="13" t="str">
        <f>IF(D126&lt;&gt;"",COUNTA($D$10:D126),"")</f>
        <v/>
      </c>
      <c r="D126" s="19"/>
      <c r="E126" s="19"/>
      <c r="F126" s="19"/>
      <c r="G126" s="19"/>
      <c r="H126" s="19"/>
      <c r="I126" s="19"/>
      <c r="J126" s="19"/>
      <c r="K126" s="19"/>
      <c r="L126" s="19"/>
      <c r="M126" s="19"/>
      <c r="N126" s="19"/>
      <c r="O126" s="19"/>
      <c r="P126" s="19"/>
      <c r="Q126" s="19"/>
      <c r="R126" s="19"/>
      <c r="S126" s="19"/>
      <c r="T126" s="19"/>
      <c r="U126" s="19"/>
      <c r="V126" s="19"/>
      <c r="W126" s="19"/>
      <c r="X126" s="20">
        <f>SUM(X110:X125)</f>
        <v>1144.1108000000002</v>
      </c>
      <c r="Y126" s="20">
        <f t="shared" ref="Y126" si="571">SUM(Y110:Y125)</f>
        <v>9006.4402175999985</v>
      </c>
      <c r="Z126" s="20">
        <f t="shared" ref="Z126" si="572">SUM(Z110:Z125)</f>
        <v>3752.6834239999994</v>
      </c>
      <c r="AA126" s="20">
        <f t="shared" ref="AA126" si="573">SUM(AA110:AA125)</f>
        <v>375.26834239999999</v>
      </c>
      <c r="AB126" s="20">
        <f t="shared" ref="AB126" si="574">SUM(AB110:AB125)</f>
        <v>0</v>
      </c>
      <c r="AC126" s="20">
        <f t="shared" ref="AC126" si="575">SUM(AC110:AC125)</f>
        <v>34.521725896129269</v>
      </c>
      <c r="AD126" s="20">
        <f t="shared" ref="AD126" si="576">SUM(AD110:AD125)</f>
        <v>28150</v>
      </c>
      <c r="AE126" s="20">
        <f t="shared" ref="AE126" si="577">SUM(AE110:AE125)</f>
        <v>28150</v>
      </c>
      <c r="AF126" s="20">
        <f t="shared" ref="AF126" si="578">SUM(AF110:AF125)</f>
        <v>96</v>
      </c>
      <c r="AG126" s="20">
        <f t="shared" ref="AG126" si="579">SUM(AG110:AG125)</f>
        <v>98</v>
      </c>
      <c r="AH126" s="841"/>
      <c r="AI126" s="20">
        <f t="shared" ref="AI126" si="580">SUM(AI110:AI125)</f>
        <v>73</v>
      </c>
      <c r="AJ126" s="20">
        <f t="shared" ref="AJ126" si="581">SUM(AJ110:AJ125)</f>
        <v>98</v>
      </c>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2"/>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row>
    <row r="127" spans="3:120">
      <c r="C127" s="13" t="str">
        <f>IF(D127&lt;&gt;"",COUNTA($D$10:D127),"")</f>
        <v/>
      </c>
    </row>
    <row r="128" spans="3:120" ht="29.1">
      <c r="C128" s="8" t="str">
        <f>"Zoning Area  AHU - " &amp; INT((ROW()-8)/20)+1 &amp; "  " &amp;IF(AQ130&gt;0,"Air-Conditioning System " &amp; IF(AH130="D","(DX)",IF(AH130="C","(Chilled Water)","")),IF(AND(N130="Amb",AQ130=0),"Ventilation System","Refer"))</f>
        <v>Zoning Area  AHU - 7  Air-Conditioning System (Chilled Water)</v>
      </c>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39"/>
      <c r="AI128" s="8"/>
      <c r="AJ128" s="8"/>
      <c r="AK128" s="8"/>
      <c r="AL128" s="8"/>
      <c r="AM128" s="8"/>
      <c r="AN128" s="8"/>
      <c r="AO128" s="8"/>
      <c r="AP128" s="8"/>
      <c r="AQ128" s="8"/>
      <c r="AR128" s="8"/>
      <c r="AS128" s="9" t="s">
        <v>221</v>
      </c>
      <c r="AT128" s="10"/>
      <c r="AU128" s="10"/>
      <c r="AV128" s="11"/>
      <c r="AW128" s="9" t="s">
        <v>222</v>
      </c>
      <c r="AX128" s="10"/>
      <c r="AY128" s="10"/>
      <c r="AZ128" s="11"/>
      <c r="BA128" s="12" t="s">
        <v>483</v>
      </c>
      <c r="BB128" s="12"/>
      <c r="BC128" s="12"/>
      <c r="BD128" s="12"/>
      <c r="BE128" s="12"/>
      <c r="BF128" s="12"/>
      <c r="BG128" s="12"/>
      <c r="BH128" s="12"/>
      <c r="BI128" s="12"/>
      <c r="BJ128" s="12"/>
      <c r="BK128" s="12"/>
      <c r="BL128" s="12"/>
      <c r="BM128" s="12"/>
      <c r="BN128" s="12"/>
      <c r="BO128" s="12"/>
      <c r="BP128" s="12"/>
      <c r="BQ128" s="9" t="s">
        <v>484</v>
      </c>
      <c r="BR128" s="10"/>
      <c r="BS128" s="10"/>
      <c r="BT128" s="10"/>
      <c r="BU128" s="10"/>
      <c r="BV128" s="10"/>
      <c r="BW128" s="10"/>
      <c r="BX128" s="10"/>
      <c r="BY128" s="10"/>
      <c r="BZ128" s="11"/>
      <c r="CA128" s="9" t="s">
        <v>485</v>
      </c>
      <c r="CB128" s="10"/>
      <c r="CC128" s="10"/>
      <c r="CD128" s="10"/>
      <c r="CE128" s="9" t="s">
        <v>486</v>
      </c>
      <c r="CF128" s="10"/>
      <c r="CG128" s="11"/>
      <c r="CH128" s="12" t="s">
        <v>487</v>
      </c>
      <c r="CI128" s="12"/>
      <c r="CJ128" s="12"/>
      <c r="CK128" s="12"/>
      <c r="CL128" s="12"/>
      <c r="CM128" s="12"/>
      <c r="CN128" s="12"/>
      <c r="CO128" s="12"/>
      <c r="CP128" s="12"/>
      <c r="CQ128" s="12"/>
      <c r="CR128" s="12"/>
      <c r="CS128" s="12"/>
      <c r="CT128" s="12"/>
      <c r="CU128" s="12"/>
      <c r="CV128" s="12"/>
      <c r="CW128" s="12"/>
      <c r="CX128" s="9" t="s">
        <v>488</v>
      </c>
      <c r="CY128" s="10"/>
      <c r="CZ128" s="10"/>
      <c r="DA128" s="10"/>
      <c r="DB128" s="10"/>
      <c r="DC128" s="10"/>
      <c r="DD128" s="10"/>
      <c r="DE128" s="10"/>
      <c r="DF128" s="10"/>
      <c r="DG128" s="11"/>
      <c r="DH128" s="9" t="s">
        <v>489</v>
      </c>
      <c r="DI128" s="10"/>
      <c r="DJ128" s="10"/>
      <c r="DK128" s="10"/>
      <c r="DL128" s="9"/>
      <c r="DM128" s="10"/>
      <c r="DN128" s="11"/>
      <c r="DO128" s="1"/>
      <c r="DP128" s="1"/>
    </row>
    <row r="129" spans="3:120" ht="120" customHeight="1">
      <c r="C129" s="13">
        <f>IF(D129&lt;&gt;"",COUNTA($D$10:D129),"")</f>
        <v>102</v>
      </c>
      <c r="D129" s="5" t="s">
        <v>165</v>
      </c>
      <c r="E129" s="5" t="s">
        <v>166</v>
      </c>
      <c r="F129" s="5" t="s">
        <v>167</v>
      </c>
      <c r="G129" s="5" t="s">
        <v>168</v>
      </c>
      <c r="H129" s="5" t="s">
        <v>169</v>
      </c>
      <c r="I129" s="5" t="s">
        <v>170</v>
      </c>
      <c r="J129" s="5" t="s">
        <v>171</v>
      </c>
      <c r="K129" s="5" t="s">
        <v>172</v>
      </c>
      <c r="L129" s="5" t="s">
        <v>173</v>
      </c>
      <c r="M129" s="5" t="s">
        <v>174</v>
      </c>
      <c r="N129" s="5" t="s">
        <v>175</v>
      </c>
      <c r="O129" s="5" t="s">
        <v>176</v>
      </c>
      <c r="P129" s="5" t="s">
        <v>177</v>
      </c>
      <c r="Q129" s="5" t="s">
        <v>178</v>
      </c>
      <c r="R129" s="5" t="s">
        <v>199</v>
      </c>
      <c r="S129" s="5" t="s">
        <v>180</v>
      </c>
      <c r="T129" s="5" t="s">
        <v>223</v>
      </c>
      <c r="U129" s="5" t="s">
        <v>224</v>
      </c>
      <c r="V129" s="5" t="s">
        <v>199</v>
      </c>
      <c r="W129" s="5" t="s">
        <v>180</v>
      </c>
      <c r="X129" s="5" t="s">
        <v>225</v>
      </c>
      <c r="Y129" s="5" t="s">
        <v>226</v>
      </c>
      <c r="Z129" s="5" t="s">
        <v>227</v>
      </c>
      <c r="AA129" s="5" t="s">
        <v>228</v>
      </c>
      <c r="AB129" s="5" t="s">
        <v>229</v>
      </c>
      <c r="AC129" s="5" t="s">
        <v>230</v>
      </c>
      <c r="AD129" s="5" t="s">
        <v>231</v>
      </c>
      <c r="AE129" s="5" t="s">
        <v>232</v>
      </c>
      <c r="AF129" s="6" t="s">
        <v>233</v>
      </c>
      <c r="AG129" s="6" t="s">
        <v>234</v>
      </c>
      <c r="AH129" s="6" t="s">
        <v>235</v>
      </c>
      <c r="AI129" s="5" t="s">
        <v>236</v>
      </c>
      <c r="AJ129" s="5" t="s">
        <v>237</v>
      </c>
      <c r="AK129" s="5" t="s">
        <v>238</v>
      </c>
      <c r="AL129" s="5" t="s">
        <v>239</v>
      </c>
      <c r="AM129" s="5" t="s">
        <v>240</v>
      </c>
      <c r="AN129" s="5" t="s">
        <v>241</v>
      </c>
      <c r="AO129" s="5" t="s">
        <v>242</v>
      </c>
      <c r="AP129" s="5" t="s">
        <v>243</v>
      </c>
      <c r="AQ129" s="5" t="s">
        <v>244</v>
      </c>
      <c r="AR129" s="5" t="s">
        <v>245</v>
      </c>
      <c r="AS129" s="5" t="s">
        <v>246</v>
      </c>
      <c r="AT129" s="5" t="s">
        <v>247</v>
      </c>
      <c r="AU129" s="5" t="s">
        <v>248</v>
      </c>
      <c r="AV129" s="5" t="s">
        <v>249</v>
      </c>
      <c r="AW129" s="5" t="s">
        <v>250</v>
      </c>
      <c r="AX129" s="5" t="s">
        <v>251</v>
      </c>
      <c r="AY129" s="5" t="s">
        <v>252</v>
      </c>
      <c r="AZ129" s="5" t="s">
        <v>253</v>
      </c>
      <c r="BA129" s="5" t="s">
        <v>490</v>
      </c>
      <c r="BB129" s="5" t="s">
        <v>491</v>
      </c>
      <c r="BC129" s="5" t="s">
        <v>492</v>
      </c>
      <c r="BD129" s="5" t="s">
        <v>493</v>
      </c>
      <c r="BE129" s="5" t="s">
        <v>494</v>
      </c>
      <c r="BF129" s="5" t="s">
        <v>492</v>
      </c>
      <c r="BG129" s="5" t="s">
        <v>493</v>
      </c>
      <c r="BH129" s="5" t="s">
        <v>495</v>
      </c>
      <c r="BI129" s="5" t="s">
        <v>496</v>
      </c>
      <c r="BJ129" s="5" t="s">
        <v>492</v>
      </c>
      <c r="BK129" s="5" t="s">
        <v>493</v>
      </c>
      <c r="BL129" s="5" t="s">
        <v>497</v>
      </c>
      <c r="BM129" s="5" t="s">
        <v>492</v>
      </c>
      <c r="BN129" s="5" t="s">
        <v>493</v>
      </c>
      <c r="BO129" s="5" t="s">
        <v>495</v>
      </c>
      <c r="BP129" s="5" t="s">
        <v>498</v>
      </c>
      <c r="BQ129" s="5" t="s">
        <v>499</v>
      </c>
      <c r="BR129" s="5" t="s">
        <v>500</v>
      </c>
      <c r="BS129" s="5" t="s">
        <v>501</v>
      </c>
      <c r="BT129" s="5" t="s">
        <v>502</v>
      </c>
      <c r="BU129" s="5" t="s">
        <v>503</v>
      </c>
      <c r="BV129" s="5" t="s">
        <v>504</v>
      </c>
      <c r="BW129" s="5" t="s">
        <v>505</v>
      </c>
      <c r="BX129" s="5" t="s">
        <v>506</v>
      </c>
      <c r="BY129" s="5" t="s">
        <v>173</v>
      </c>
      <c r="BZ129" s="5" t="s">
        <v>174</v>
      </c>
      <c r="CA129" s="5" t="s">
        <v>503</v>
      </c>
      <c r="CB129" s="5" t="s">
        <v>507</v>
      </c>
      <c r="CC129" s="5" t="s">
        <v>173</v>
      </c>
      <c r="CD129" s="5" t="s">
        <v>508</v>
      </c>
      <c r="CE129" s="7" t="s">
        <v>509</v>
      </c>
      <c r="CF129" s="7" t="s">
        <v>510</v>
      </c>
      <c r="CG129" s="7" t="s">
        <v>511</v>
      </c>
      <c r="CH129" s="5" t="s">
        <v>512</v>
      </c>
      <c r="CI129" s="5" t="s">
        <v>513</v>
      </c>
      <c r="CJ129" s="5" t="s">
        <v>492</v>
      </c>
      <c r="CK129" s="5" t="s">
        <v>493</v>
      </c>
      <c r="CL129" s="5" t="s">
        <v>494</v>
      </c>
      <c r="CM129" s="5" t="s">
        <v>492</v>
      </c>
      <c r="CN129" s="5" t="s">
        <v>493</v>
      </c>
      <c r="CO129" s="5" t="s">
        <v>495</v>
      </c>
      <c r="CP129" s="5" t="s">
        <v>496</v>
      </c>
      <c r="CQ129" s="5" t="s">
        <v>492</v>
      </c>
      <c r="CR129" s="5" t="s">
        <v>493</v>
      </c>
      <c r="CS129" s="5" t="s">
        <v>497</v>
      </c>
      <c r="CT129" s="5" t="s">
        <v>492</v>
      </c>
      <c r="CU129" s="5" t="s">
        <v>493</v>
      </c>
      <c r="CV129" s="5" t="s">
        <v>495</v>
      </c>
      <c r="CW129" s="5" t="s">
        <v>498</v>
      </c>
      <c r="CX129" s="5" t="s">
        <v>499</v>
      </c>
      <c r="CY129" s="5" t="s">
        <v>500</v>
      </c>
      <c r="CZ129" s="5" t="s">
        <v>501</v>
      </c>
      <c r="DA129" s="5" t="s">
        <v>502</v>
      </c>
      <c r="DB129" s="5" t="s">
        <v>503</v>
      </c>
      <c r="DC129" s="5" t="s">
        <v>504</v>
      </c>
      <c r="DD129" s="5" t="s">
        <v>505</v>
      </c>
      <c r="DE129" s="5" t="s">
        <v>506</v>
      </c>
      <c r="DF129" s="5" t="s">
        <v>173</v>
      </c>
      <c r="DG129" s="5" t="s">
        <v>174</v>
      </c>
      <c r="DH129" s="5" t="s">
        <v>503</v>
      </c>
      <c r="DI129" s="5" t="s">
        <v>507</v>
      </c>
      <c r="DJ129" s="5" t="s">
        <v>173</v>
      </c>
      <c r="DK129" s="5" t="s">
        <v>508</v>
      </c>
      <c r="DL129" s="7" t="s">
        <v>509</v>
      </c>
      <c r="DM129" s="7" t="s">
        <v>510</v>
      </c>
      <c r="DN129" s="7" t="s">
        <v>511</v>
      </c>
      <c r="DO129" s="2"/>
      <c r="DP129" s="2"/>
    </row>
    <row r="130" spans="3:120" ht="18.600000000000001" customHeight="1">
      <c r="C130" s="13">
        <f>IF(D130&lt;&gt;"",COUNTA($D$10:D130),"")</f>
        <v>103</v>
      </c>
      <c r="D130" s="14" t="s">
        <v>200</v>
      </c>
      <c r="E130" s="14">
        <v>3</v>
      </c>
      <c r="F130" s="14">
        <v>3</v>
      </c>
      <c r="G130" s="14">
        <v>2.4</v>
      </c>
      <c r="H130" s="14">
        <v>1</v>
      </c>
      <c r="I130" s="14">
        <v>2</v>
      </c>
      <c r="J130" s="14">
        <v>1.75</v>
      </c>
      <c r="K130" s="14">
        <v>3</v>
      </c>
      <c r="L130" s="15">
        <v>0.1</v>
      </c>
      <c r="M130" s="15">
        <v>0</v>
      </c>
      <c r="N130" s="14">
        <v>24</v>
      </c>
      <c r="O130" s="14">
        <v>50</v>
      </c>
      <c r="P130" s="13">
        <v>45</v>
      </c>
      <c r="Q130" s="13">
        <v>85</v>
      </c>
      <c r="R130" s="13" t="s">
        <v>17</v>
      </c>
      <c r="S130" s="13">
        <v>120</v>
      </c>
      <c r="T130" s="13">
        <v>0</v>
      </c>
      <c r="U130" s="13">
        <v>100</v>
      </c>
      <c r="V130" s="13" t="str">
        <f>R130</f>
        <v>ISO 6</v>
      </c>
      <c r="W130" s="13">
        <f>S130</f>
        <v>120</v>
      </c>
      <c r="X130" s="16">
        <f>E130*F130*10.76</f>
        <v>96.84</v>
      </c>
      <c r="Y130" s="16">
        <f>X130*G130*3.28</f>
        <v>762.32447999999999</v>
      </c>
      <c r="Z130" s="16">
        <f>Y130*S130/60</f>
        <v>1524.64896</v>
      </c>
      <c r="AA130" s="16">
        <f>Z130*L130</f>
        <v>152.46489600000001</v>
      </c>
      <c r="AB130" s="16">
        <f>IF(N130="Amb",Z130,Z130*M130)</f>
        <v>0</v>
      </c>
      <c r="AC130" s="16">
        <f>IF(ISNUMBER(N130), (AA130*0.075*60/2.20462)*BP130/7000, "Ambient")</f>
        <v>14.025567184357984</v>
      </c>
      <c r="AD130" s="16">
        <f>IF(ISNUMBER(N130), CEILING(CF130/(0.68*BP130),25), "Ambient")</f>
        <v>2850</v>
      </c>
      <c r="AE130" s="16">
        <f>CEILING(MAX((Z130+AA130),AD130),25)</f>
        <v>2850</v>
      </c>
      <c r="AF130" s="16">
        <f>CEILING(IF(OR($R130="ISO 6",$R130="GRADE B",$R130="1K",$R130=1000),AE130*1/175,IF(OR($R130="ISO 5",$R130="GRADE A",$R130=100),AE130*1/100,IF(OR($R130="ISO 7",$R130="GRADE C",$R130="10K",$R130=10000),$AE130*1/250,IF(OR($R130="ISO 8",$R130="GRADE D",$R130="100K",$R130=100000),$AE130*1/250,IF(OR($R130="NC",$R130="20 Micron",$R130="5 Micron",$R130="N C"),$AE130*1/350,0))))),2)</f>
        <v>18</v>
      </c>
      <c r="AG130" s="16">
        <f>IF(ISNUMBER(N130), CEILING(MAX(AI130,AJ130),0.5), "Ambient")</f>
        <v>7.5</v>
      </c>
      <c r="AH130" s="838" t="s">
        <v>85</v>
      </c>
      <c r="AI130" s="17">
        <f>IF(ISNUMBER(N130), CEILING(CE130/12000,0.5), "Ambient")</f>
        <v>4.5</v>
      </c>
      <c r="AJ130" s="17">
        <f>IF(ISNUMBER(N130),CEILING(AE130/(IF(AH130="C",400,300)),0.5), "Ambient")</f>
        <v>7.5</v>
      </c>
      <c r="AK130" s="891">
        <f>CEILING(SUM(AE130:AE145),250)</f>
        <v>42500</v>
      </c>
      <c r="AL130" s="18" t="s">
        <v>254</v>
      </c>
      <c r="AM130" s="889">
        <v>150</v>
      </c>
      <c r="AN130" s="891">
        <f>IF(AK130&lt;=1300,200,IF(AK130&lt;=1600,225,IF(AK130&lt;=2100,250,IF(AK130&lt;=2700,280,IF(AK130&lt;=3450,315,IF(AK130&lt;=4250,355,IF(AK130&lt;=5250,400,IF(AK130&lt;=6750,450,IF(AK130&lt;=8500,500,IF(AK130&lt;=10750,560,IF(AK130&lt;=13500,630,IF(AK130&lt;=17000,710,IF(AK130&lt;=21500,800,IF(AK130&lt;=27000,900,IF(AK130&lt;=34000,1000,IF(AK130&lt;=43000,1120,IF(AK130&lt;=49000,1200,IF(AK130&lt;=68000,1450,"Refer"))))))))))))))))))</f>
        <v>1120</v>
      </c>
      <c r="AO130" s="888">
        <f>IF(AK130*AM130/(6356*0.7*0.9*1.1*25.4)&lt;=1,1,IF(AK130*AM130/(6356*0.7*0.9*1.1*25.4)&lt;=1.5,1.5,IF(AK130*AM130/(6356*0.7*0.9*1.1*25.4)&lt;=2,2,IF(AK130*AM130/(6356*0.7*0.9*1.1*25.4)&lt;=3,3,IF(AK130*AM130/(6356*0.7*0.9*1.1*25.4)&lt;=5,5,IF(AK130*AM130/(6356*0.7*0.9*1.1*25.4)&lt;=7.5,7.5,IF(AK130*AM130/(6356*0.7*0.9*1.1*25.4)&lt;=10,10,IF(AK130*AM130/(6356*0.7*0.9*1.1*25.4)&lt;=12.5,12.5,IF(AK130*AM130/(6356*0.7*0.9*1.1*25.4)&lt;=15,15,IF(AK130*AM130/(6356*0.7*0.9*1.1*25.4)&lt;=20,20,IF(AK130*AM130/(6356*0.7*0.9*1.1*25.4)&lt;=25,25,IF(AK130*AM130/(6356*0.7*0.9*1.1*25.4)&lt;=30,30,IF(AK130*AM130/(6356*0.7*0.9*1.1*25.4)&lt;=40,40,IF(AK130*AM130/(6356*0.7*0.9*1.1*25.4)&lt;=50,50,IF(AK130*AM130/(6356*0.7*0.9*1.1*25.4)&lt;=60,60,IF(AK130*AM130/(6356*0.7*0.9*1.1*25.4)&lt;=75,75,"Refer"))))))))))))))))</f>
        <v>60</v>
      </c>
      <c r="AP130" s="891">
        <f>IF(AND(AQ130=0, N130="Amb"), "Amb",IF((AL131-250)*(AL133-150)*10.76/(1000*1000) &gt;= MAX(AI146,AJ146), 4,IF((AL131-250)*(AL133-150)*10.76*1.5/(1000*1000) &gt;= MAX(AI146,AJ146), 6,IF((AL131-250)*(AL133-150)*10.76*2/(1000*1000) &gt;= MAX(AI146,AJ146), 8, 0))
 )
)</f>
        <v>4</v>
      </c>
      <c r="AQ130" s="891">
        <f>AG146</f>
        <v>108.5</v>
      </c>
      <c r="AR130" s="889">
        <f>_xlfn.SWITCH(TRIM(UPPER(R130)),"ISO 9", 3,"ISO 8", 4,"Grade D", 4,"Class 100,000", 4,"Class 100K", 4,"ISO 7", 3,"Grade C", 3,"Class 10,000", 3,"Class 10K", 3,"ISO 6", 3,"Class 1,000", 3,"Class 1K", 3,"ISO 5", 4,"Grade A", 4,"Grade B", 4,"Class 100", 4,"ISO 4", 3,"ISO 3", 4,"ISO 2", 4,"ISO 1", 4,"NCV20",1,"NCV-10",2,"NCV-5",3,"NCAC-10",1,"NCAC-5",2,"NCAC-1",3,3)</f>
        <v>3</v>
      </c>
      <c r="AS130" s="888">
        <f>MAX(AI146,AJ146)*24/6</f>
        <v>434</v>
      </c>
      <c r="AT130" s="888">
        <f>AS130*0.06309</f>
        <v>27.381059999999998</v>
      </c>
      <c r="AU130" s="890">
        <v>2</v>
      </c>
      <c r="AV130" s="888">
        <f>SQRT((4*AS130*0.00006309)/(3.14*AU130))*1000</f>
        <v>132.06121915647887</v>
      </c>
      <c r="AW130" s="888"/>
      <c r="AX130" s="888"/>
      <c r="AY130" s="887"/>
      <c r="AZ130" s="888"/>
      <c r="BA130" s="17">
        <f>-CONVERT(N130,"C","F")+CONVERT((N130+8),"C","F")</f>
        <v>14.399999999999991</v>
      </c>
      <c r="BB130" s="17">
        <f>CONVERT(P130,"C","F")-CONVERT(N130,"C","F")</f>
        <v>37.799999999999997</v>
      </c>
      <c r="BC130" s="17">
        <f>N130+8</f>
        <v>32</v>
      </c>
      <c r="BD130" s="17">
        <f>BG130+35</f>
        <v>85</v>
      </c>
      <c r="BE130" s="17">
        <f>0.622*7000*(BD130/100)*(6.1078*10^((7.5*BC130)/(237.3+BC130)))/(1013.25-(6.1078*10^((7.5*BC130)/(237.3+BC130)))*BD130/100)</f>
        <v>180.86341983910182</v>
      </c>
      <c r="BF130" s="17">
        <f>N130</f>
        <v>24</v>
      </c>
      <c r="BG130" s="17">
        <f>O130</f>
        <v>50</v>
      </c>
      <c r="BH130" s="17">
        <f>0.622*7000*(BG130/100)*(6.1078*10^((7.5*BF130)/(237.3+BF130)))/(1013.25-(6.1078*10^((7.5*BF130)/(237.3+BF130)))*BG130/100)</f>
        <v>65.062647806544774</v>
      </c>
      <c r="BI130" s="17">
        <f>BE130-BH130</f>
        <v>115.80077203255705</v>
      </c>
      <c r="BJ130" s="17">
        <f>P130</f>
        <v>45</v>
      </c>
      <c r="BK130" s="17">
        <f>Q130</f>
        <v>85</v>
      </c>
      <c r="BL130" s="17">
        <f>0.622*7000*(BK130/100)*(6.1078*10^((7.5*BJ130)/(237.3+BJ130)))/(1013.25-(6.1078*10^((7.5*BJ130)/(237.3+BJ130)))*BK130/100)</f>
        <v>380.54120080897206</v>
      </c>
      <c r="BM130" s="17">
        <f>N130</f>
        <v>24</v>
      </c>
      <c r="BN130" s="17">
        <f>BG130</f>
        <v>50</v>
      </c>
      <c r="BO130" s="17">
        <f>0.622*7000*(BN130/100)*(6.1078*10^((7.5*BM130)/(237.3+BM130)))/(1013.25-(6.1078*10^((7.5*BM130)/(237.3+BM130)))*BN130/100)</f>
        <v>65.062647806544774</v>
      </c>
      <c r="BP130" s="17">
        <f>BL130-BO130</f>
        <v>315.4785530024273</v>
      </c>
      <c r="BQ130" s="17">
        <f>($E130*$G130*10.76*2+$F130*$G130*2*10.76)*$BB130*0.45</f>
        <v>5271.1948799999991</v>
      </c>
      <c r="BR130" s="17">
        <f>($E130*$G130*10.76*2+$F130*$G130*2*10.76)*$BA130*0.45</f>
        <v>2008.0742399999988</v>
      </c>
      <c r="BS130" s="17">
        <f>($E130*$F130*10.76)*$BA130*0.45</f>
        <v>627.52319999999963</v>
      </c>
      <c r="BT130" s="17">
        <f>($E130*$F130*10.76)*$BB130*0.45</f>
        <v>1647.2483999999999</v>
      </c>
      <c r="BU130" s="17">
        <f>$H130*285*1.08*$BB130</f>
        <v>11634.84</v>
      </c>
      <c r="BV130" s="17">
        <f>$I130*1000*3.412</f>
        <v>6824</v>
      </c>
      <c r="BW130" s="17">
        <f>$J130*$X130*3.412</f>
        <v>578.23163999999997</v>
      </c>
      <c r="BX130" s="17">
        <f>$K130*1.08*375*$BA130</f>
        <v>17495.999999999989</v>
      </c>
      <c r="BY130" s="17">
        <f>($AA130+$AB130)*1.08*$BB130</f>
        <v>6224.2269143040003</v>
      </c>
      <c r="BZ130" s="17"/>
      <c r="CA130" s="17">
        <f>$H130*200*0.68*$BP130</f>
        <v>42905.083208330114</v>
      </c>
      <c r="CB130" s="17">
        <f>$K130*375*0.68*$BP130</f>
        <v>241341.0930468569</v>
      </c>
      <c r="CC130" s="17">
        <f>($AA130+$AB130)*0.68*$BP130</f>
        <v>32707.59524614699</v>
      </c>
      <c r="CD130" s="17">
        <f>($Z130-$AA130)*0.68*$BP130</f>
        <v>294368.3572153229</v>
      </c>
      <c r="CE130" s="17">
        <f>$BQ130+$BU130+$BV130+$BW130+$BX130+$BY130</f>
        <v>48028.493434303993</v>
      </c>
      <c r="CF130" s="17">
        <f>$CA130+$CB130+$CC130+$CD130</f>
        <v>611322.12871665694</v>
      </c>
      <c r="CG130" s="17">
        <f>$CE130+$CF130</f>
        <v>659350.62215096096</v>
      </c>
      <c r="CH130" s="17">
        <f>CONVERT(N130,"C","F")-CONVERT((N130-8),"C","F")</f>
        <v>14.400000000000006</v>
      </c>
      <c r="CI130" s="17">
        <f>CONVERT(T130,"C","F")-CONVERT(N130,"C","F")</f>
        <v>-43.2</v>
      </c>
      <c r="CJ130" s="17">
        <f>CM130-8</f>
        <v>16</v>
      </c>
      <c r="CK130" s="17">
        <f>O130+40</f>
        <v>90</v>
      </c>
      <c r="CL130" s="17">
        <f>0.622*7000*(CK130/100)*(6.1078*10^((7.5*CJ130)/(237.3+CJ130)))/(1013.25-(6.1078*10^((7.5*CJ130)/(237.3+CJ130)))*CK130/100)</f>
        <v>71.46880726181422</v>
      </c>
      <c r="CM130" s="17">
        <f>N130</f>
        <v>24</v>
      </c>
      <c r="CN130" s="17">
        <f>O130</f>
        <v>50</v>
      </c>
      <c r="CO130" s="17">
        <f>0.622*7000*(CN130/100)*(6.1078*10^((7.5*CM130)/(237.3+CM130)))/(1013.25-(6.1078*10^((7.5*CM130)/(237.3+CM130)))*CN130/100)</f>
        <v>65.062647806544774</v>
      </c>
      <c r="CP130" s="17">
        <f>CL130-CO130</f>
        <v>6.4061594552694459</v>
      </c>
      <c r="CQ130" s="17">
        <f>T130</f>
        <v>0</v>
      </c>
      <c r="CR130" s="17">
        <f>U130</f>
        <v>100</v>
      </c>
      <c r="CS130" s="17">
        <f>0.622*7000*(CR130/100)*(6.1078*10^((7.5*CQ130)/(237.3+CQ130)))/(1013.25-(6.1078*10^((7.5*CQ130)/(237.3+CQ130)))*CR130/100)</f>
        <v>26.404773030064671</v>
      </c>
      <c r="CT130" s="17">
        <f>CM130</f>
        <v>24</v>
      </c>
      <c r="CU130" s="17">
        <f>O130</f>
        <v>50</v>
      </c>
      <c r="CV130" s="17">
        <f>0.622*7000*(CU130/100)*(6.1078*10^((7.5*CT130)/(237.3+CT130)))/(1013.25-(6.1078*10^((7.5*CT130)/(237.3+CT130)))*CU130/100)</f>
        <v>65.062647806544774</v>
      </c>
      <c r="CW130" s="17">
        <f>CS130-CV130</f>
        <v>-38.657874776480099</v>
      </c>
      <c r="CX130" s="17">
        <f t="shared" ref="CX130:CY145" si="582">($E130*$G130*10.76*2+$F130*$G130*2*10.76)*$CI130*0.45</f>
        <v>-6024.2227199999998</v>
      </c>
      <c r="CY130" s="17">
        <f t="shared" si="582"/>
        <v>-6024.2227199999998</v>
      </c>
      <c r="CZ130" s="17">
        <f>($E130*$F130*10.76)*$CH130*0.45</f>
        <v>627.52320000000032</v>
      </c>
      <c r="DA130" s="17">
        <f>($E130*$F130*10.76)*$CI130*0.45</f>
        <v>-1882.5696000000003</v>
      </c>
      <c r="DB130" s="17">
        <f>$H130*285*1.08*$CI130</f>
        <v>-13296.960000000001</v>
      </c>
      <c r="DC130" s="17">
        <f>$I130*1000*3.412</f>
        <v>6824</v>
      </c>
      <c r="DD130" s="17">
        <f>$J130*$X130*3.412</f>
        <v>578.23163999999997</v>
      </c>
      <c r="DE130" s="17">
        <f>$K130*1.08*375*$CH130</f>
        <v>17496.000000000007</v>
      </c>
      <c r="DF130" s="17">
        <f>($AA130+$AB130)*1.08*$CI130</f>
        <v>-7113.4021877760015</v>
      </c>
      <c r="DG130" s="17"/>
      <c r="DH130" s="17">
        <f>$H130*200*0.68*CW130</f>
        <v>-5257.4709696012933</v>
      </c>
      <c r="DI130" s="17">
        <f>$K130*375*0.68*CW130</f>
        <v>-29573.274204007277</v>
      </c>
      <c r="DJ130" s="17">
        <f>(AA130+AB130)*0.68*CW130</f>
        <v>-4007.8988230164023</v>
      </c>
      <c r="DK130" s="17">
        <f>(Z130-AA130)*0.68*CP130</f>
        <v>5977.4923428552856</v>
      </c>
      <c r="DL130" s="17">
        <f>CX130+DA130+CZ130+DB130+DC130+DD130+DE130+DF130</f>
        <v>-2791.3996677759942</v>
      </c>
      <c r="DM130" s="17">
        <f>DH130+DI130+DJ130+DK130</f>
        <v>-32861.151653769688</v>
      </c>
      <c r="DN130" s="17">
        <f>DL130+DM130</f>
        <v>-35652.551321545681</v>
      </c>
    </row>
    <row r="131" spans="3:120" ht="18.600000000000001">
      <c r="C131" s="13">
        <f>IF(D131&lt;&gt;"",COUNTA($D$10:D131),"")</f>
        <v>104</v>
      </c>
      <c r="D131" s="14" t="s">
        <v>201</v>
      </c>
      <c r="E131" s="14">
        <v>1.8</v>
      </c>
      <c r="F131" s="14">
        <v>2.2000000000000002</v>
      </c>
      <c r="G131" s="14">
        <v>2.4</v>
      </c>
      <c r="H131" s="14">
        <v>2</v>
      </c>
      <c r="I131" s="14">
        <v>1</v>
      </c>
      <c r="J131" s="14">
        <v>1.75</v>
      </c>
      <c r="K131" s="14">
        <v>3</v>
      </c>
      <c r="L131" s="15">
        <v>0.1</v>
      </c>
      <c r="M131" s="15">
        <v>0</v>
      </c>
      <c r="N131" s="14">
        <v>24</v>
      </c>
      <c r="O131" s="14">
        <v>50</v>
      </c>
      <c r="P131" s="13">
        <v>45</v>
      </c>
      <c r="Q131" s="13">
        <v>85</v>
      </c>
      <c r="R131" s="13" t="s">
        <v>17</v>
      </c>
      <c r="S131" s="13">
        <v>120</v>
      </c>
      <c r="T131" s="13">
        <v>0</v>
      </c>
      <c r="U131" s="13">
        <v>100</v>
      </c>
      <c r="V131" s="13" t="str">
        <f t="shared" ref="V131:V145" si="583">R131</f>
        <v>ISO 6</v>
      </c>
      <c r="W131" s="13">
        <f t="shared" ref="W131:W145" si="584">S131</f>
        <v>120</v>
      </c>
      <c r="X131" s="16">
        <f t="shared" ref="X131:X145" si="585">E131*F131*10.76</f>
        <v>42.6096</v>
      </c>
      <c r="Y131" s="16">
        <f t="shared" ref="Y131:Y145" si="586">X131*G131*3.28</f>
        <v>335.4227712</v>
      </c>
      <c r="Z131" s="16">
        <f t="shared" ref="Z131:Z145" si="587">Y131*S131/60</f>
        <v>670.8455424</v>
      </c>
      <c r="AA131" s="16">
        <f t="shared" ref="AA131:AA145" si="588">Z131*L131</f>
        <v>67.084554240000003</v>
      </c>
      <c r="AB131" s="16">
        <f t="shared" ref="AB131:AB145" si="589">IF(N131="Amb",Z131,Z131*M131)</f>
        <v>0</v>
      </c>
      <c r="AC131" s="16">
        <f t="shared" ref="AC131:AC145" si="590">IF(ISNUMBER(N131), (AA131*0.075*60/2.20462)*BP131/7000, "Ambient")</f>
        <v>6.1712495611175129</v>
      </c>
      <c r="AD131" s="16">
        <f t="shared" ref="AD131:AD137" si="591">IF(ISNUMBER(N131), CEILING(CF131/(0.68*BP131),25), "Ambient")</f>
        <v>2200</v>
      </c>
      <c r="AE131" s="16">
        <f t="shared" ref="AE131:AE145" si="592">CEILING(MAX((Z131+AA131),AD131),25)</f>
        <v>2200</v>
      </c>
      <c r="AF131" s="16">
        <f t="shared" ref="AF131:AF145" si="593">CEILING(IF(OR($R131="ISO 6",$R131="GRADE B",$R131="1K",$R131=1000),AE131*1/175,IF(OR($R131="ISO 5",$R131="GRADE A",$R131=100),AE131*1/100,IF(OR($R131="ISO 7",$R131="GRADE C",$R131="10K",$R131=10000),$AE131*1/250,IF(OR($R131="ISO 8",$R131="GRADE D",$R131="100K",$R131=100000),$AE131*1/250,IF(OR($R131="NC",$R131="20 Micron",$R131="5 Micron",$R131="N C"),$AE131*1/350,0))))),2)</f>
        <v>14</v>
      </c>
      <c r="AG131" s="16">
        <f t="shared" ref="AG131:AG145" si="594">IF(ISNUMBER(N131), CEILING(MAX(AI131,AJ131),0.5), "Ambient")</f>
        <v>5.5</v>
      </c>
      <c r="AH131" s="838" t="s">
        <v>85</v>
      </c>
      <c r="AI131" s="17">
        <f t="shared" ref="AI131:AI145" si="595">IF(ISNUMBER(N131), CEILING(CE131/12000,0.5), "Ambient")</f>
        <v>4.5</v>
      </c>
      <c r="AJ131" s="17">
        <f t="shared" ref="AJ131:AJ145" si="596">IF(ISNUMBER(N131),CEILING(AE131/(IF(AH131="C",400,300)),0.5), "Ambient")</f>
        <v>5.5</v>
      </c>
      <c r="AK131" s="891"/>
      <c r="AL131" s="18">
        <f>IF(AK130&lt;=2000,950,(IF(AK130&lt;=3000,1150,(IF(AK130&lt;=8000,1550,(IF(AK130&lt;=10000,1750,(IF(AK130&lt;=18000,2050,(IF(AK130&lt;=32000,2900,(IF(AK130&lt;=40000,3600,4000)))))))))))))</f>
        <v>4000</v>
      </c>
      <c r="AM131" s="889"/>
      <c r="AN131" s="891"/>
      <c r="AO131" s="888"/>
      <c r="AP131" s="891"/>
      <c r="AQ131" s="891"/>
      <c r="AR131" s="889"/>
      <c r="AS131" s="888"/>
      <c r="AT131" s="888"/>
      <c r="AU131" s="890"/>
      <c r="AV131" s="888"/>
      <c r="AW131" s="888"/>
      <c r="AX131" s="888"/>
      <c r="AY131" s="887"/>
      <c r="AZ131" s="888"/>
      <c r="BA131" s="17">
        <f t="shared" ref="BA131:BA145" si="597">-CONVERT(N131,"C","F")+CONVERT((N131+8),"C","F")</f>
        <v>14.399999999999991</v>
      </c>
      <c r="BB131" s="17">
        <f t="shared" ref="BB131:BB145" si="598">CONVERT(P131,"C","F")-CONVERT(N131,"C","F")</f>
        <v>37.799999999999997</v>
      </c>
      <c r="BC131" s="17">
        <f t="shared" ref="BC131:BC145" si="599">BF131+8</f>
        <v>32</v>
      </c>
      <c r="BD131" s="17">
        <f t="shared" ref="BD131:BD145" si="600">BG131+35</f>
        <v>85</v>
      </c>
      <c r="BE131" s="17">
        <f t="shared" ref="BE131:BE145" si="601">0.622*7000*(BD131/100)*(6.1078*10^((7.5*BC131)/(237.3+BC131)))/(1013.25-(6.1078*10^((7.5*BC131)/(237.3+BC131)))*BD131/100)</f>
        <v>180.86341983910182</v>
      </c>
      <c r="BF131" s="17">
        <f t="shared" ref="BF131:BF145" si="602">N131</f>
        <v>24</v>
      </c>
      <c r="BG131" s="17">
        <f t="shared" ref="BG131:BG145" si="603">O131</f>
        <v>50</v>
      </c>
      <c r="BH131" s="17">
        <f t="shared" ref="BH131:BH145" si="604">0.622*7000*(BG131/100)*(6.1078*10^((7.5*BF131)/(237.3+BF131)))/(1013.25-(6.1078*10^((7.5*BF131)/(237.3+BF131)))*BG131/100)</f>
        <v>65.062647806544774</v>
      </c>
      <c r="BI131" s="17">
        <f t="shared" ref="BI131:BI145" si="605">BE131-BH131</f>
        <v>115.80077203255705</v>
      </c>
      <c r="BJ131" s="17">
        <f t="shared" ref="BJ131:BJ145" si="606">P131</f>
        <v>45</v>
      </c>
      <c r="BK131" s="17">
        <f t="shared" ref="BK131:BK145" si="607">Q131</f>
        <v>85</v>
      </c>
      <c r="BL131" s="17">
        <f t="shared" ref="BL131:BL145" si="608">0.622*7000*(BK131/100)*(6.1078*10^((7.5*BJ131)/(237.3+BJ131)))/(1013.25-(6.1078*10^((7.5*BJ131)/(237.3+BJ131)))*BK131/100)</f>
        <v>380.54120080897206</v>
      </c>
      <c r="BM131" s="17">
        <f t="shared" ref="BM131:BM145" si="609">BF131</f>
        <v>24</v>
      </c>
      <c r="BN131" s="17">
        <f t="shared" ref="BN131:BN145" si="610">BG131</f>
        <v>50</v>
      </c>
      <c r="BO131" s="17">
        <f t="shared" ref="BO131:BO145" si="611">0.622*7000*(BN131/100)*(6.1078*10^((7.5*BM131)/(237.3+BM131)))/(1013.25-(6.1078*10^((7.5*BM131)/(237.3+BM131)))*BN131/100)</f>
        <v>65.062647806544774</v>
      </c>
      <c r="BP131" s="17">
        <f t="shared" ref="BP131:BP145" si="612">BL131-BO131</f>
        <v>315.4785530024273</v>
      </c>
      <c r="BQ131" s="17">
        <f t="shared" ref="BQ131:BQ145" si="613">(E131*G131*10.76*2+F131*G131*2*10.76)*BB131*0.45</f>
        <v>3514.1299199999999</v>
      </c>
      <c r="BR131" s="17">
        <f t="shared" ref="BR131:BR145" si="614">(E131*G131*10.76*2+F131*G131*2*10.76)*BA131*0.45</f>
        <v>1338.7161599999993</v>
      </c>
      <c r="BS131" s="17">
        <f t="shared" ref="BS131:BS145" si="615">(E131*F131*10.76)*BA131*0.45</f>
        <v>276.11020799999983</v>
      </c>
      <c r="BT131" s="17">
        <f t="shared" ref="BT131:BT145" si="616">(E131*F131*10.76)*BB131*0.45</f>
        <v>724.78929599999992</v>
      </c>
      <c r="BU131" s="17">
        <f t="shared" ref="BU131:BU145" si="617">H131*285*1.08*BB131</f>
        <v>23269.68</v>
      </c>
      <c r="BV131" s="17">
        <f t="shared" ref="BV131:BV145" si="618">I131*1000*3.412</f>
        <v>3412</v>
      </c>
      <c r="BW131" s="17">
        <f t="shared" ref="BW131:BW145" si="619">J131*X131*3.412</f>
        <v>254.42192159999999</v>
      </c>
      <c r="BX131" s="17">
        <f t="shared" ref="BX131:BX145" si="620">K131*1.08*375*BA131</f>
        <v>17495.999999999989</v>
      </c>
      <c r="BY131" s="17">
        <f t="shared" ref="BY131:BY145" si="621">(AA131+AB131)*1.08*BB131</f>
        <v>2738.65984229376</v>
      </c>
      <c r="BZ131" s="17"/>
      <c r="CA131" s="17">
        <f t="shared" ref="CA131:CA145" si="622">H131*200*0.68*BP131</f>
        <v>85810.166416660228</v>
      </c>
      <c r="CB131" s="17">
        <f t="shared" ref="CB131:CB145" si="623">K131*375*0.68*BP131</f>
        <v>241341.0930468569</v>
      </c>
      <c r="CC131" s="17">
        <f t="shared" ref="CC131:CC145" si="624">(AA131+AB131)*0.68*BP131</f>
        <v>14391.341908304676</v>
      </c>
      <c r="CD131" s="17">
        <f t="shared" ref="CD131:CD145" si="625">($Z131-$AA131)*0.68*$BP131</f>
        <v>129522.07717474207</v>
      </c>
      <c r="CE131" s="17">
        <f t="shared" ref="CE131:CE145" si="626">$BQ131+$BU131+$BV131+$BW131+$BX131+$BY131</f>
        <v>50684.891683893751</v>
      </c>
      <c r="CF131" s="17">
        <f t="shared" ref="CF131:CF145" si="627">$CA131+$CB131+$CC131+$CD131</f>
        <v>471064.67854656384</v>
      </c>
      <c r="CG131" s="17">
        <f t="shared" ref="CG131:CG145" si="628">$CE131+$CF131</f>
        <v>521749.57023045758</v>
      </c>
      <c r="CH131" s="17">
        <f t="shared" ref="CH131:CH145" si="629">CONVERT(N131,"C","F")-CONVERT((N131-8),"C","F")</f>
        <v>14.400000000000006</v>
      </c>
      <c r="CI131" s="17">
        <f t="shared" ref="CI131:CI145" si="630">CONVERT(T131,"C","F")-CONVERT(N131,"C","F")</f>
        <v>-43.2</v>
      </c>
      <c r="CJ131" s="17">
        <f t="shared" ref="CJ131:CJ145" si="631">CM131-8</f>
        <v>16</v>
      </c>
      <c r="CK131" s="17">
        <f t="shared" ref="CK131:CK145" si="632">O131+40</f>
        <v>90</v>
      </c>
      <c r="CL131" s="17">
        <f t="shared" ref="CL131:CL145" si="633">0.622*7000*(CK131/100)*(6.1078*10^((7.5*CJ131)/(237.3+CJ131)))/(1013.25-(6.1078*10^((7.5*CJ131)/(237.3+CJ131)))*CK131/100)</f>
        <v>71.46880726181422</v>
      </c>
      <c r="CM131" s="17">
        <f t="shared" ref="CM131:CM145" si="634">N131</f>
        <v>24</v>
      </c>
      <c r="CN131" s="17">
        <f t="shared" ref="CN131:CN145" si="635">O131</f>
        <v>50</v>
      </c>
      <c r="CO131" s="17">
        <f t="shared" ref="CO131:CO145" si="636">0.622*7000*(CN131/100)*(6.1078*10^((7.5*CM131)/(237.3+CM131)))/(1013.25-(6.1078*10^((7.5*CM131)/(237.3+CM131)))*CN131/100)</f>
        <v>65.062647806544774</v>
      </c>
      <c r="CP131" s="17">
        <f t="shared" ref="CP131:CP145" si="637">CL131-CO131</f>
        <v>6.4061594552694459</v>
      </c>
      <c r="CQ131" s="17">
        <f t="shared" ref="CQ131:CQ145" si="638">T131</f>
        <v>0</v>
      </c>
      <c r="CR131" s="17">
        <f t="shared" ref="CR131:CR145" si="639">U131</f>
        <v>100</v>
      </c>
      <c r="CS131" s="17">
        <f t="shared" ref="CS131:CS145" si="640">0.622*7000*(CR131/100)*(6.1078*10^((7.5*CQ131)/(237.3+CQ131)))/(1013.25-(6.1078*10^((7.5*CQ131)/(237.3+CQ131)))*CR131/100)</f>
        <v>26.404773030064671</v>
      </c>
      <c r="CT131" s="17">
        <f t="shared" ref="CT131:CT145" si="641">CM131</f>
        <v>24</v>
      </c>
      <c r="CU131" s="17">
        <f t="shared" ref="CU131:CU145" si="642">O131</f>
        <v>50</v>
      </c>
      <c r="CV131" s="17">
        <f t="shared" ref="CV131:CV145" si="643">0.622*7000*(CU131/100)*(6.1078*10^((7.5*CT131)/(237.3+CT131)))/(1013.25-(6.1078*10^((7.5*CT131)/(237.3+CT131)))*CU131/100)</f>
        <v>65.062647806544774</v>
      </c>
      <c r="CW131" s="17">
        <f t="shared" ref="CW131:CW145" si="644">CS131-CV131</f>
        <v>-38.657874776480099</v>
      </c>
      <c r="CX131" s="17">
        <f t="shared" si="582"/>
        <v>-4016.1484800000003</v>
      </c>
      <c r="CY131" s="17">
        <f t="shared" si="582"/>
        <v>-4016.1484800000003</v>
      </c>
      <c r="CZ131" s="17">
        <f t="shared" ref="CZ131:CZ145" si="645">($E131*$F131*10.76)*$CH131*0.45</f>
        <v>276.11020800000011</v>
      </c>
      <c r="DA131" s="17">
        <f t="shared" ref="DA131:DA145" si="646">($E131*$F131*10.76)*$CI131*0.45</f>
        <v>-828.33062400000006</v>
      </c>
      <c r="DB131" s="17">
        <f t="shared" ref="DB131:DB145" si="647">$H131*285*1.08*$CI131</f>
        <v>-26593.920000000002</v>
      </c>
      <c r="DC131" s="17">
        <f t="shared" ref="DC131:DC145" si="648">$I131*1000*3.412</f>
        <v>3412</v>
      </c>
      <c r="DD131" s="17">
        <f t="shared" ref="DD131:DD145" si="649">$J131*$X131*3.412</f>
        <v>254.42192159999999</v>
      </c>
      <c r="DE131" s="17">
        <f t="shared" ref="DE131:DE145" si="650">$K131*1.08*375*$CH131</f>
        <v>17496.000000000007</v>
      </c>
      <c r="DF131" s="17">
        <f t="shared" ref="DF131:DF145" si="651">($AA131+$AB131)*1.08*$CI131</f>
        <v>-3129.8969626214403</v>
      </c>
      <c r="DG131" s="17"/>
      <c r="DH131" s="17">
        <f t="shared" ref="DH131:DH145" si="652">$H131*200*0.68*CW131</f>
        <v>-10514.941939202587</v>
      </c>
      <c r="DI131" s="17">
        <f t="shared" ref="DI131:DI145" si="653">$K131*375*0.68*CW131</f>
        <v>-29573.274204007277</v>
      </c>
      <c r="DJ131" s="17">
        <f t="shared" ref="DJ131:DJ145" si="654">(AA131+AB131)*0.68*CW131</f>
        <v>-1763.475482127217</v>
      </c>
      <c r="DK131" s="17">
        <f t="shared" ref="DK131:DK145" si="655">(Z131-AA131)*0.68*CP131</f>
        <v>2630.0966308563256</v>
      </c>
      <c r="DL131" s="17">
        <f t="shared" ref="DL131:DL145" si="656">CX131+DA131+CZ131+DB131+DC131+DD131+DE131+DF131</f>
        <v>-13129.763937021437</v>
      </c>
      <c r="DM131" s="17">
        <f t="shared" ref="DM131:DM145" si="657">DH131+DI131+DJ131+DK131</f>
        <v>-39221.594994480751</v>
      </c>
      <c r="DN131" s="17">
        <f t="shared" ref="DN131:DN145" si="658">DL131+DM131</f>
        <v>-52351.358931502189</v>
      </c>
    </row>
    <row r="132" spans="3:120" ht="18.600000000000001">
      <c r="C132" s="13">
        <f>IF(D132&lt;&gt;"",COUNTA($D$10:D132),"")</f>
        <v>105</v>
      </c>
      <c r="D132" s="14" t="s">
        <v>202</v>
      </c>
      <c r="E132" s="14">
        <v>1.5</v>
      </c>
      <c r="F132" s="14">
        <v>2.8</v>
      </c>
      <c r="G132" s="14">
        <v>2.4</v>
      </c>
      <c r="H132" s="14">
        <v>2</v>
      </c>
      <c r="I132" s="14">
        <v>3</v>
      </c>
      <c r="J132" s="14">
        <v>1.75</v>
      </c>
      <c r="K132" s="14">
        <v>3</v>
      </c>
      <c r="L132" s="15">
        <v>0.1</v>
      </c>
      <c r="M132" s="15">
        <v>0</v>
      </c>
      <c r="N132" s="14">
        <v>24</v>
      </c>
      <c r="O132" s="14">
        <v>50</v>
      </c>
      <c r="P132" s="13">
        <v>45</v>
      </c>
      <c r="Q132" s="13">
        <v>85</v>
      </c>
      <c r="R132" s="13" t="s">
        <v>17</v>
      </c>
      <c r="S132" s="13">
        <v>120</v>
      </c>
      <c r="T132" s="13">
        <v>0</v>
      </c>
      <c r="U132" s="13">
        <v>100</v>
      </c>
      <c r="V132" s="13" t="str">
        <f t="shared" si="583"/>
        <v>ISO 6</v>
      </c>
      <c r="W132" s="13">
        <f t="shared" si="584"/>
        <v>120</v>
      </c>
      <c r="X132" s="16">
        <f t="shared" si="585"/>
        <v>45.191999999999993</v>
      </c>
      <c r="Y132" s="16">
        <f t="shared" si="586"/>
        <v>355.75142399999993</v>
      </c>
      <c r="Z132" s="16">
        <f t="shared" si="587"/>
        <v>711.50284799999986</v>
      </c>
      <c r="AA132" s="16">
        <f t="shared" si="588"/>
        <v>71.150284799999994</v>
      </c>
      <c r="AB132" s="16">
        <f t="shared" si="589"/>
        <v>0</v>
      </c>
      <c r="AC132" s="16">
        <f t="shared" si="590"/>
        <v>6.5452646860337245</v>
      </c>
      <c r="AD132" s="16">
        <f t="shared" si="591"/>
        <v>2250</v>
      </c>
      <c r="AE132" s="16">
        <f t="shared" si="592"/>
        <v>2250</v>
      </c>
      <c r="AF132" s="16">
        <f t="shared" si="593"/>
        <v>14</v>
      </c>
      <c r="AG132" s="16">
        <f t="shared" si="594"/>
        <v>6</v>
      </c>
      <c r="AH132" s="838" t="s">
        <v>85</v>
      </c>
      <c r="AI132" s="17">
        <f t="shared" si="595"/>
        <v>5</v>
      </c>
      <c r="AJ132" s="17">
        <f t="shared" si="596"/>
        <v>6</v>
      </c>
      <c r="AK132" s="891"/>
      <c r="AL132" s="18" t="s">
        <v>255</v>
      </c>
      <c r="AM132" s="889"/>
      <c r="AN132" s="891"/>
      <c r="AO132" s="888"/>
      <c r="AP132" s="891"/>
      <c r="AQ132" s="891"/>
      <c r="AR132" s="889"/>
      <c r="AS132" s="888"/>
      <c r="AT132" s="888"/>
      <c r="AU132" s="890"/>
      <c r="AV132" s="888"/>
      <c r="AW132" s="888"/>
      <c r="AX132" s="888"/>
      <c r="AY132" s="887"/>
      <c r="AZ132" s="888"/>
      <c r="BA132" s="17">
        <f t="shared" si="597"/>
        <v>14.399999999999991</v>
      </c>
      <c r="BB132" s="17">
        <f t="shared" si="598"/>
        <v>37.799999999999997</v>
      </c>
      <c r="BC132" s="17">
        <f t="shared" si="599"/>
        <v>32</v>
      </c>
      <c r="BD132" s="17">
        <f t="shared" si="600"/>
        <v>85</v>
      </c>
      <c r="BE132" s="17">
        <f t="shared" si="601"/>
        <v>180.86341983910182</v>
      </c>
      <c r="BF132" s="17">
        <f t="shared" si="602"/>
        <v>24</v>
      </c>
      <c r="BG132" s="17">
        <f t="shared" si="603"/>
        <v>50</v>
      </c>
      <c r="BH132" s="17">
        <f t="shared" si="604"/>
        <v>65.062647806544774</v>
      </c>
      <c r="BI132" s="17">
        <f t="shared" si="605"/>
        <v>115.80077203255705</v>
      </c>
      <c r="BJ132" s="17">
        <f t="shared" si="606"/>
        <v>45</v>
      </c>
      <c r="BK132" s="17">
        <f t="shared" si="607"/>
        <v>85</v>
      </c>
      <c r="BL132" s="17">
        <f t="shared" si="608"/>
        <v>380.54120080897206</v>
      </c>
      <c r="BM132" s="17">
        <f t="shared" si="609"/>
        <v>24</v>
      </c>
      <c r="BN132" s="17">
        <f t="shared" si="610"/>
        <v>50</v>
      </c>
      <c r="BO132" s="17">
        <f t="shared" si="611"/>
        <v>65.062647806544774</v>
      </c>
      <c r="BP132" s="17">
        <f t="shared" si="612"/>
        <v>315.4785530024273</v>
      </c>
      <c r="BQ132" s="17">
        <f t="shared" si="613"/>
        <v>3777.6896639999995</v>
      </c>
      <c r="BR132" s="17">
        <f t="shared" si="614"/>
        <v>1439.1198719999991</v>
      </c>
      <c r="BS132" s="17">
        <f t="shared" si="615"/>
        <v>292.84415999999976</v>
      </c>
      <c r="BT132" s="17">
        <f t="shared" si="616"/>
        <v>768.71591999999987</v>
      </c>
      <c r="BU132" s="17">
        <f t="shared" si="617"/>
        <v>23269.68</v>
      </c>
      <c r="BV132" s="17">
        <f t="shared" si="618"/>
        <v>10236</v>
      </c>
      <c r="BW132" s="17">
        <f t="shared" si="619"/>
        <v>269.84143199999994</v>
      </c>
      <c r="BX132" s="17">
        <f t="shared" si="620"/>
        <v>17495.999999999989</v>
      </c>
      <c r="BY132" s="17">
        <f t="shared" si="621"/>
        <v>2904.6392266751996</v>
      </c>
      <c r="BZ132" s="17"/>
      <c r="CA132" s="17">
        <f t="shared" si="622"/>
        <v>85810.166416660228</v>
      </c>
      <c r="CB132" s="17">
        <f t="shared" si="623"/>
        <v>241341.0930468569</v>
      </c>
      <c r="CC132" s="17">
        <f t="shared" si="624"/>
        <v>15263.544448201927</v>
      </c>
      <c r="CD132" s="17">
        <f t="shared" si="625"/>
        <v>137371.90003381731</v>
      </c>
      <c r="CE132" s="17">
        <f t="shared" si="626"/>
        <v>57953.850322675185</v>
      </c>
      <c r="CF132" s="17">
        <f t="shared" si="627"/>
        <v>479786.7039455364</v>
      </c>
      <c r="CG132" s="17">
        <f t="shared" si="628"/>
        <v>537740.55426821159</v>
      </c>
      <c r="CH132" s="17">
        <f t="shared" si="629"/>
        <v>14.400000000000006</v>
      </c>
      <c r="CI132" s="17">
        <f t="shared" si="630"/>
        <v>-43.2</v>
      </c>
      <c r="CJ132" s="17">
        <f t="shared" si="631"/>
        <v>16</v>
      </c>
      <c r="CK132" s="17">
        <f t="shared" si="632"/>
        <v>90</v>
      </c>
      <c r="CL132" s="17">
        <f t="shared" si="633"/>
        <v>71.46880726181422</v>
      </c>
      <c r="CM132" s="17">
        <f t="shared" si="634"/>
        <v>24</v>
      </c>
      <c r="CN132" s="17">
        <f t="shared" si="635"/>
        <v>50</v>
      </c>
      <c r="CO132" s="17">
        <f t="shared" si="636"/>
        <v>65.062647806544774</v>
      </c>
      <c r="CP132" s="17">
        <f t="shared" si="637"/>
        <v>6.4061594552694459</v>
      </c>
      <c r="CQ132" s="17">
        <f t="shared" si="638"/>
        <v>0</v>
      </c>
      <c r="CR132" s="17">
        <f t="shared" si="639"/>
        <v>100</v>
      </c>
      <c r="CS132" s="17">
        <f t="shared" si="640"/>
        <v>26.404773030064671</v>
      </c>
      <c r="CT132" s="17">
        <f t="shared" si="641"/>
        <v>24</v>
      </c>
      <c r="CU132" s="17">
        <f t="shared" si="642"/>
        <v>50</v>
      </c>
      <c r="CV132" s="17">
        <f t="shared" si="643"/>
        <v>65.062647806544774</v>
      </c>
      <c r="CW132" s="17">
        <f t="shared" si="644"/>
        <v>-38.657874776480099</v>
      </c>
      <c r="CX132" s="17">
        <f t="shared" si="582"/>
        <v>-4317.3596159999997</v>
      </c>
      <c r="CY132" s="17">
        <f t="shared" si="582"/>
        <v>-4317.3596159999997</v>
      </c>
      <c r="CZ132" s="17">
        <f t="shared" si="645"/>
        <v>292.8441600000001</v>
      </c>
      <c r="DA132" s="17">
        <f t="shared" si="646"/>
        <v>-878.53247999999996</v>
      </c>
      <c r="DB132" s="17">
        <f t="shared" si="647"/>
        <v>-26593.920000000002</v>
      </c>
      <c r="DC132" s="17">
        <f t="shared" si="648"/>
        <v>10236</v>
      </c>
      <c r="DD132" s="17">
        <f t="shared" si="649"/>
        <v>269.84143199999994</v>
      </c>
      <c r="DE132" s="17">
        <f t="shared" si="650"/>
        <v>17496.000000000007</v>
      </c>
      <c r="DF132" s="17">
        <f t="shared" si="651"/>
        <v>-3319.5876876288003</v>
      </c>
      <c r="DG132" s="17"/>
      <c r="DH132" s="17">
        <f t="shared" si="652"/>
        <v>-10514.941939202587</v>
      </c>
      <c r="DI132" s="17">
        <f t="shared" si="653"/>
        <v>-29573.274204007277</v>
      </c>
      <c r="DJ132" s="17">
        <f t="shared" si="654"/>
        <v>-1870.3527840743209</v>
      </c>
      <c r="DK132" s="17">
        <f t="shared" si="655"/>
        <v>2789.4964266657994</v>
      </c>
      <c r="DL132" s="17">
        <f t="shared" si="656"/>
        <v>-6814.7141916287928</v>
      </c>
      <c r="DM132" s="17">
        <f t="shared" si="657"/>
        <v>-39169.072500618386</v>
      </c>
      <c r="DN132" s="17">
        <f t="shared" si="658"/>
        <v>-45983.78669224718</v>
      </c>
    </row>
    <row r="133" spans="3:120" ht="18.600000000000001">
      <c r="C133" s="13">
        <f>IF(D133&lt;&gt;"",COUNTA($D$10:D133),"")</f>
        <v>106</v>
      </c>
      <c r="D133" s="14" t="s">
        <v>203</v>
      </c>
      <c r="E133" s="14">
        <v>2.1</v>
      </c>
      <c r="F133" s="14">
        <v>3.5</v>
      </c>
      <c r="G133" s="14">
        <v>2.4</v>
      </c>
      <c r="H133" s="14">
        <v>0</v>
      </c>
      <c r="I133" s="14">
        <v>1</v>
      </c>
      <c r="J133" s="14">
        <v>1.75</v>
      </c>
      <c r="K133" s="14">
        <v>3</v>
      </c>
      <c r="L133" s="15">
        <v>0.1</v>
      </c>
      <c r="M133" s="15">
        <v>0</v>
      </c>
      <c r="N133" s="14">
        <v>24</v>
      </c>
      <c r="O133" s="14">
        <v>50</v>
      </c>
      <c r="P133" s="13">
        <v>45</v>
      </c>
      <c r="Q133" s="13">
        <v>85</v>
      </c>
      <c r="R133" s="13" t="s">
        <v>17</v>
      </c>
      <c r="S133" s="13">
        <v>120</v>
      </c>
      <c r="T133" s="13">
        <v>0</v>
      </c>
      <c r="U133" s="13">
        <v>100</v>
      </c>
      <c r="V133" s="13" t="str">
        <f t="shared" si="583"/>
        <v>ISO 6</v>
      </c>
      <c r="W133" s="13">
        <f t="shared" si="584"/>
        <v>120</v>
      </c>
      <c r="X133" s="16">
        <f t="shared" si="585"/>
        <v>79.085999999999999</v>
      </c>
      <c r="Y133" s="16">
        <f t="shared" si="586"/>
        <v>622.56499199999996</v>
      </c>
      <c r="Z133" s="16">
        <f t="shared" si="587"/>
        <v>1245.1299839999999</v>
      </c>
      <c r="AA133" s="16">
        <f t="shared" si="588"/>
        <v>124.5129984</v>
      </c>
      <c r="AB133" s="16">
        <f t="shared" si="589"/>
        <v>0</v>
      </c>
      <c r="AC133" s="16">
        <f t="shared" si="590"/>
        <v>11.454213200559018</v>
      </c>
      <c r="AD133" s="16">
        <f t="shared" si="591"/>
        <v>2375</v>
      </c>
      <c r="AE133" s="16">
        <f t="shared" si="592"/>
        <v>2375</v>
      </c>
      <c r="AF133" s="16">
        <f t="shared" si="593"/>
        <v>14</v>
      </c>
      <c r="AG133" s="16">
        <f t="shared" si="594"/>
        <v>6</v>
      </c>
      <c r="AH133" s="838" t="s">
        <v>85</v>
      </c>
      <c r="AI133" s="17">
        <f t="shared" si="595"/>
        <v>3</v>
      </c>
      <c r="AJ133" s="17">
        <f t="shared" si="596"/>
        <v>6</v>
      </c>
      <c r="AK133" s="891"/>
      <c r="AL133" s="18">
        <f>IF(AK130&lt;=2000,950,(IF(AK130&lt;=4000,1100,(IF(AK130&lt;=6000,1250,(IF(AK130&lt;=10000,1550,(IF(AK130&lt;=15000,1750,(IF(AK130&lt;=24000,2050,(IF(AK130&lt;=40000,2900,3600)))))))))))))</f>
        <v>3600</v>
      </c>
      <c r="AM133" s="889"/>
      <c r="AN133" s="891"/>
      <c r="AO133" s="888"/>
      <c r="AP133" s="891"/>
      <c r="AQ133" s="891"/>
      <c r="AR133" s="889"/>
      <c r="AS133" s="888"/>
      <c r="AT133" s="888"/>
      <c r="AU133" s="890"/>
      <c r="AV133" s="888"/>
      <c r="AW133" s="888"/>
      <c r="AX133" s="888"/>
      <c r="AY133" s="887"/>
      <c r="AZ133" s="888"/>
      <c r="BA133" s="17">
        <f t="shared" si="597"/>
        <v>14.399999999999991</v>
      </c>
      <c r="BB133" s="17">
        <f t="shared" si="598"/>
        <v>37.799999999999997</v>
      </c>
      <c r="BC133" s="17">
        <f t="shared" si="599"/>
        <v>32</v>
      </c>
      <c r="BD133" s="17">
        <f t="shared" si="600"/>
        <v>85</v>
      </c>
      <c r="BE133" s="17">
        <f t="shared" si="601"/>
        <v>180.86341983910182</v>
      </c>
      <c r="BF133" s="17">
        <f t="shared" si="602"/>
        <v>24</v>
      </c>
      <c r="BG133" s="17">
        <f t="shared" si="603"/>
        <v>50</v>
      </c>
      <c r="BH133" s="17">
        <f t="shared" si="604"/>
        <v>65.062647806544774</v>
      </c>
      <c r="BI133" s="17">
        <f t="shared" si="605"/>
        <v>115.80077203255705</v>
      </c>
      <c r="BJ133" s="17">
        <f t="shared" si="606"/>
        <v>45</v>
      </c>
      <c r="BK133" s="17">
        <f t="shared" si="607"/>
        <v>85</v>
      </c>
      <c r="BL133" s="17">
        <f t="shared" si="608"/>
        <v>380.54120080897206</v>
      </c>
      <c r="BM133" s="17">
        <f t="shared" si="609"/>
        <v>24</v>
      </c>
      <c r="BN133" s="17">
        <f t="shared" si="610"/>
        <v>50</v>
      </c>
      <c r="BO133" s="17">
        <f t="shared" si="611"/>
        <v>65.062647806544774</v>
      </c>
      <c r="BP133" s="17">
        <f t="shared" si="612"/>
        <v>315.4785530024273</v>
      </c>
      <c r="BQ133" s="17">
        <f t="shared" si="613"/>
        <v>4919.7818879999995</v>
      </c>
      <c r="BR133" s="17">
        <f t="shared" si="614"/>
        <v>1874.2026239999989</v>
      </c>
      <c r="BS133" s="17">
        <f t="shared" si="615"/>
        <v>512.47727999999972</v>
      </c>
      <c r="BT133" s="17">
        <f t="shared" si="616"/>
        <v>1345.2528599999998</v>
      </c>
      <c r="BU133" s="17">
        <f t="shared" si="617"/>
        <v>0</v>
      </c>
      <c r="BV133" s="17">
        <f t="shared" si="618"/>
        <v>3412</v>
      </c>
      <c r="BW133" s="17">
        <f t="shared" si="619"/>
        <v>472.22250599999995</v>
      </c>
      <c r="BX133" s="17">
        <f t="shared" si="620"/>
        <v>17495.999999999989</v>
      </c>
      <c r="BY133" s="17">
        <f t="shared" si="621"/>
        <v>5083.1186466815998</v>
      </c>
      <c r="BZ133" s="17"/>
      <c r="CA133" s="17">
        <f t="shared" si="622"/>
        <v>0</v>
      </c>
      <c r="CB133" s="17">
        <f t="shared" si="623"/>
        <v>241341.0930468569</v>
      </c>
      <c r="CC133" s="17">
        <f t="shared" si="624"/>
        <v>26711.202784353376</v>
      </c>
      <c r="CD133" s="17">
        <f t="shared" si="625"/>
        <v>240400.82505918032</v>
      </c>
      <c r="CE133" s="17">
        <f t="shared" si="626"/>
        <v>31383.123040681588</v>
      </c>
      <c r="CF133" s="17">
        <f t="shared" si="627"/>
        <v>508453.12089039059</v>
      </c>
      <c r="CG133" s="17">
        <f t="shared" si="628"/>
        <v>539836.24393107218</v>
      </c>
      <c r="CH133" s="17">
        <f t="shared" si="629"/>
        <v>14.400000000000006</v>
      </c>
      <c r="CI133" s="17">
        <f t="shared" si="630"/>
        <v>-43.2</v>
      </c>
      <c r="CJ133" s="17">
        <f t="shared" si="631"/>
        <v>16</v>
      </c>
      <c r="CK133" s="17">
        <f t="shared" si="632"/>
        <v>90</v>
      </c>
      <c r="CL133" s="17">
        <f t="shared" si="633"/>
        <v>71.46880726181422</v>
      </c>
      <c r="CM133" s="17">
        <f t="shared" si="634"/>
        <v>24</v>
      </c>
      <c r="CN133" s="17">
        <f t="shared" si="635"/>
        <v>50</v>
      </c>
      <c r="CO133" s="17">
        <f t="shared" si="636"/>
        <v>65.062647806544774</v>
      </c>
      <c r="CP133" s="17">
        <f t="shared" si="637"/>
        <v>6.4061594552694459</v>
      </c>
      <c r="CQ133" s="17">
        <f t="shared" si="638"/>
        <v>0</v>
      </c>
      <c r="CR133" s="17">
        <f t="shared" si="639"/>
        <v>100</v>
      </c>
      <c r="CS133" s="17">
        <f t="shared" si="640"/>
        <v>26.404773030064671</v>
      </c>
      <c r="CT133" s="17">
        <f t="shared" si="641"/>
        <v>24</v>
      </c>
      <c r="CU133" s="17">
        <f t="shared" si="642"/>
        <v>50</v>
      </c>
      <c r="CV133" s="17">
        <f t="shared" si="643"/>
        <v>65.062647806544774</v>
      </c>
      <c r="CW133" s="17">
        <f t="shared" si="644"/>
        <v>-38.657874776480099</v>
      </c>
      <c r="CX133" s="17">
        <f t="shared" si="582"/>
        <v>-5622.6078720000005</v>
      </c>
      <c r="CY133" s="17">
        <f t="shared" si="582"/>
        <v>-5622.6078720000005</v>
      </c>
      <c r="CZ133" s="17">
        <f t="shared" si="645"/>
        <v>512.47728000000018</v>
      </c>
      <c r="DA133" s="17">
        <f t="shared" si="646"/>
        <v>-1537.4318400000002</v>
      </c>
      <c r="DB133" s="17">
        <f t="shared" si="647"/>
        <v>0</v>
      </c>
      <c r="DC133" s="17">
        <f t="shared" si="648"/>
        <v>3412</v>
      </c>
      <c r="DD133" s="17">
        <f t="shared" si="649"/>
        <v>472.22250599999995</v>
      </c>
      <c r="DE133" s="17">
        <f t="shared" si="650"/>
        <v>17496.000000000007</v>
      </c>
      <c r="DF133" s="17">
        <f t="shared" si="651"/>
        <v>-5809.2784533504</v>
      </c>
      <c r="DG133" s="17"/>
      <c r="DH133" s="17">
        <f t="shared" si="652"/>
        <v>0</v>
      </c>
      <c r="DI133" s="17">
        <f t="shared" si="653"/>
        <v>-29573.274204007277</v>
      </c>
      <c r="DJ133" s="17">
        <f t="shared" si="654"/>
        <v>-3273.117372130062</v>
      </c>
      <c r="DK133" s="17">
        <f t="shared" si="655"/>
        <v>4881.618746665149</v>
      </c>
      <c r="DL133" s="17">
        <f t="shared" si="656"/>
        <v>8923.3816206496067</v>
      </c>
      <c r="DM133" s="17">
        <f t="shared" si="657"/>
        <v>-27964.772829472186</v>
      </c>
      <c r="DN133" s="17">
        <f t="shared" si="658"/>
        <v>-19041.391208822577</v>
      </c>
    </row>
    <row r="134" spans="3:120" ht="18.600000000000001">
      <c r="C134" s="13">
        <f>IF(D134&lt;&gt;"",COUNTA($D$10:D134),"")</f>
        <v>107</v>
      </c>
      <c r="D134" s="14" t="s">
        <v>204</v>
      </c>
      <c r="E134" s="14">
        <v>2.7</v>
      </c>
      <c r="F134" s="14">
        <v>4</v>
      </c>
      <c r="G134" s="14">
        <v>2.4</v>
      </c>
      <c r="H134" s="14">
        <v>2</v>
      </c>
      <c r="I134" s="14">
        <v>1</v>
      </c>
      <c r="J134" s="14">
        <v>1.75</v>
      </c>
      <c r="K134" s="14">
        <v>3</v>
      </c>
      <c r="L134" s="15">
        <v>0.1</v>
      </c>
      <c r="M134" s="15">
        <v>0</v>
      </c>
      <c r="N134" s="14">
        <v>24</v>
      </c>
      <c r="O134" s="14">
        <v>50</v>
      </c>
      <c r="P134" s="13">
        <v>45</v>
      </c>
      <c r="Q134" s="13">
        <v>85</v>
      </c>
      <c r="R134" s="13" t="s">
        <v>17</v>
      </c>
      <c r="S134" s="13">
        <v>120</v>
      </c>
      <c r="T134" s="13">
        <v>0</v>
      </c>
      <c r="U134" s="13">
        <v>100</v>
      </c>
      <c r="V134" s="13" t="str">
        <f t="shared" si="583"/>
        <v>ISO 6</v>
      </c>
      <c r="W134" s="13">
        <f t="shared" si="584"/>
        <v>120</v>
      </c>
      <c r="X134" s="16">
        <f t="shared" si="585"/>
        <v>116.208</v>
      </c>
      <c r="Y134" s="16">
        <f t="shared" si="586"/>
        <v>914.78937599999995</v>
      </c>
      <c r="Z134" s="16">
        <f t="shared" si="587"/>
        <v>1829.5787519999999</v>
      </c>
      <c r="AA134" s="16">
        <f t="shared" si="588"/>
        <v>182.95787519999999</v>
      </c>
      <c r="AB134" s="16">
        <f t="shared" si="589"/>
        <v>0</v>
      </c>
      <c r="AC134" s="16">
        <f t="shared" si="590"/>
        <v>16.830680621229575</v>
      </c>
      <c r="AD134" s="16">
        <f t="shared" si="591"/>
        <v>3375</v>
      </c>
      <c r="AE134" s="16">
        <f t="shared" si="592"/>
        <v>3375</v>
      </c>
      <c r="AF134" s="16">
        <f t="shared" si="593"/>
        <v>20</v>
      </c>
      <c r="AG134" s="16">
        <f t="shared" si="594"/>
        <v>8.5</v>
      </c>
      <c r="AH134" s="838" t="s">
        <v>85</v>
      </c>
      <c r="AI134" s="17">
        <f t="shared" si="595"/>
        <v>5</v>
      </c>
      <c r="AJ134" s="17">
        <f t="shared" si="596"/>
        <v>8.5</v>
      </c>
      <c r="AK134" s="891"/>
      <c r="AL134" s="18" t="s">
        <v>256</v>
      </c>
      <c r="AM134" s="889"/>
      <c r="AN134" s="891"/>
      <c r="AO134" s="888"/>
      <c r="AP134" s="891"/>
      <c r="AQ134" s="891"/>
      <c r="AR134" s="889"/>
      <c r="AS134" s="888"/>
      <c r="AT134" s="888"/>
      <c r="AU134" s="890"/>
      <c r="AV134" s="888"/>
      <c r="AW134" s="888"/>
      <c r="AX134" s="888"/>
      <c r="AY134" s="887"/>
      <c r="AZ134" s="888"/>
      <c r="BA134" s="17">
        <f t="shared" si="597"/>
        <v>14.399999999999991</v>
      </c>
      <c r="BB134" s="17">
        <f t="shared" si="598"/>
        <v>37.799999999999997</v>
      </c>
      <c r="BC134" s="17">
        <f t="shared" si="599"/>
        <v>32</v>
      </c>
      <c r="BD134" s="17">
        <f t="shared" si="600"/>
        <v>85</v>
      </c>
      <c r="BE134" s="17">
        <f t="shared" si="601"/>
        <v>180.86341983910182</v>
      </c>
      <c r="BF134" s="17">
        <f t="shared" si="602"/>
        <v>24</v>
      </c>
      <c r="BG134" s="17">
        <f t="shared" si="603"/>
        <v>50</v>
      </c>
      <c r="BH134" s="17">
        <f t="shared" si="604"/>
        <v>65.062647806544774</v>
      </c>
      <c r="BI134" s="17">
        <f t="shared" si="605"/>
        <v>115.80077203255705</v>
      </c>
      <c r="BJ134" s="17">
        <f t="shared" si="606"/>
        <v>45</v>
      </c>
      <c r="BK134" s="17">
        <f t="shared" si="607"/>
        <v>85</v>
      </c>
      <c r="BL134" s="17">
        <f t="shared" si="608"/>
        <v>380.54120080897206</v>
      </c>
      <c r="BM134" s="17">
        <f t="shared" si="609"/>
        <v>24</v>
      </c>
      <c r="BN134" s="17">
        <f t="shared" si="610"/>
        <v>50</v>
      </c>
      <c r="BO134" s="17">
        <f t="shared" si="611"/>
        <v>65.062647806544774</v>
      </c>
      <c r="BP134" s="17">
        <f t="shared" si="612"/>
        <v>315.4785530024273</v>
      </c>
      <c r="BQ134" s="17">
        <f t="shared" si="613"/>
        <v>5886.1676159999997</v>
      </c>
      <c r="BR134" s="17">
        <f t="shared" si="614"/>
        <v>2242.3495679999987</v>
      </c>
      <c r="BS134" s="17">
        <f t="shared" si="615"/>
        <v>753.02783999999963</v>
      </c>
      <c r="BT134" s="17">
        <f t="shared" si="616"/>
        <v>1976.6980799999997</v>
      </c>
      <c r="BU134" s="17">
        <f t="shared" si="617"/>
        <v>23269.68</v>
      </c>
      <c r="BV134" s="17">
        <f t="shared" si="618"/>
        <v>3412</v>
      </c>
      <c r="BW134" s="17">
        <f t="shared" si="619"/>
        <v>693.87796800000001</v>
      </c>
      <c r="BX134" s="17">
        <f t="shared" si="620"/>
        <v>17495.999999999989</v>
      </c>
      <c r="BY134" s="17">
        <f t="shared" si="621"/>
        <v>7469.0722971647992</v>
      </c>
      <c r="BZ134" s="17"/>
      <c r="CA134" s="17">
        <f t="shared" si="622"/>
        <v>85810.166416660228</v>
      </c>
      <c r="CB134" s="17">
        <f t="shared" si="623"/>
        <v>241341.0930468569</v>
      </c>
      <c r="CC134" s="17">
        <f t="shared" si="624"/>
        <v>39249.114295376385</v>
      </c>
      <c r="CD134" s="17">
        <f t="shared" si="625"/>
        <v>353242.02865838748</v>
      </c>
      <c r="CE134" s="17">
        <f t="shared" si="626"/>
        <v>58226.797881164784</v>
      </c>
      <c r="CF134" s="17">
        <f t="shared" si="627"/>
        <v>719642.40241728094</v>
      </c>
      <c r="CG134" s="17">
        <f t="shared" si="628"/>
        <v>777869.20029844576</v>
      </c>
      <c r="CH134" s="17">
        <f t="shared" si="629"/>
        <v>14.400000000000006</v>
      </c>
      <c r="CI134" s="17">
        <f t="shared" si="630"/>
        <v>-43.2</v>
      </c>
      <c r="CJ134" s="17">
        <f t="shared" si="631"/>
        <v>16</v>
      </c>
      <c r="CK134" s="17">
        <f t="shared" si="632"/>
        <v>90</v>
      </c>
      <c r="CL134" s="17">
        <f t="shared" si="633"/>
        <v>71.46880726181422</v>
      </c>
      <c r="CM134" s="17">
        <f t="shared" si="634"/>
        <v>24</v>
      </c>
      <c r="CN134" s="17">
        <f t="shared" si="635"/>
        <v>50</v>
      </c>
      <c r="CO134" s="17">
        <f t="shared" si="636"/>
        <v>65.062647806544774</v>
      </c>
      <c r="CP134" s="17">
        <f t="shared" si="637"/>
        <v>6.4061594552694459</v>
      </c>
      <c r="CQ134" s="17">
        <f t="shared" si="638"/>
        <v>0</v>
      </c>
      <c r="CR134" s="17">
        <f t="shared" si="639"/>
        <v>100</v>
      </c>
      <c r="CS134" s="17">
        <f t="shared" si="640"/>
        <v>26.404773030064671</v>
      </c>
      <c r="CT134" s="17">
        <f t="shared" si="641"/>
        <v>24</v>
      </c>
      <c r="CU134" s="17">
        <f t="shared" si="642"/>
        <v>50</v>
      </c>
      <c r="CV134" s="17">
        <f t="shared" si="643"/>
        <v>65.062647806544774</v>
      </c>
      <c r="CW134" s="17">
        <f t="shared" si="644"/>
        <v>-38.657874776480099</v>
      </c>
      <c r="CX134" s="17">
        <f t="shared" si="582"/>
        <v>-6727.0487040000007</v>
      </c>
      <c r="CY134" s="17">
        <f t="shared" si="582"/>
        <v>-6727.0487040000007</v>
      </c>
      <c r="CZ134" s="17">
        <f t="shared" si="645"/>
        <v>753.02784000000031</v>
      </c>
      <c r="DA134" s="17">
        <f t="shared" si="646"/>
        <v>-2259.0835200000006</v>
      </c>
      <c r="DB134" s="17">
        <f t="shared" si="647"/>
        <v>-26593.920000000002</v>
      </c>
      <c r="DC134" s="17">
        <f t="shared" si="648"/>
        <v>3412</v>
      </c>
      <c r="DD134" s="17">
        <f t="shared" si="649"/>
        <v>693.87796800000001</v>
      </c>
      <c r="DE134" s="17">
        <f t="shared" si="650"/>
        <v>17496.000000000007</v>
      </c>
      <c r="DF134" s="17">
        <f t="shared" si="651"/>
        <v>-8536.0826253312007</v>
      </c>
      <c r="DG134" s="17"/>
      <c r="DH134" s="17">
        <f t="shared" si="652"/>
        <v>-10514.941939202587</v>
      </c>
      <c r="DI134" s="17">
        <f t="shared" si="653"/>
        <v>-29573.274204007277</v>
      </c>
      <c r="DJ134" s="17">
        <f t="shared" si="654"/>
        <v>-4809.478587619682</v>
      </c>
      <c r="DK134" s="17">
        <f t="shared" si="655"/>
        <v>7172.9908114263426</v>
      </c>
      <c r="DL134" s="17">
        <f t="shared" si="656"/>
        <v>-21761.229041331197</v>
      </c>
      <c r="DM134" s="17">
        <f t="shared" si="657"/>
        <v>-37724.703919403204</v>
      </c>
      <c r="DN134" s="17">
        <f t="shared" si="658"/>
        <v>-59485.932960734397</v>
      </c>
    </row>
    <row r="135" spans="3:120" ht="18.600000000000001">
      <c r="C135" s="13">
        <f>IF(D135&lt;&gt;"",COUNTA($D$10:D135),"")</f>
        <v>108</v>
      </c>
      <c r="D135" s="14" t="s">
        <v>205</v>
      </c>
      <c r="E135" s="14">
        <v>3.8</v>
      </c>
      <c r="F135" s="14">
        <v>4.2</v>
      </c>
      <c r="G135" s="14">
        <v>2.4</v>
      </c>
      <c r="H135" s="14">
        <v>3</v>
      </c>
      <c r="I135" s="14">
        <v>3</v>
      </c>
      <c r="J135" s="14">
        <v>1.75</v>
      </c>
      <c r="K135" s="14">
        <v>3</v>
      </c>
      <c r="L135" s="15">
        <v>0.1</v>
      </c>
      <c r="M135" s="15">
        <v>0</v>
      </c>
      <c r="N135" s="14">
        <v>24</v>
      </c>
      <c r="O135" s="14">
        <v>50</v>
      </c>
      <c r="P135" s="13">
        <v>45</v>
      </c>
      <c r="Q135" s="13">
        <v>85</v>
      </c>
      <c r="R135" s="13" t="s">
        <v>17</v>
      </c>
      <c r="S135" s="13">
        <v>120</v>
      </c>
      <c r="T135" s="13">
        <v>0</v>
      </c>
      <c r="U135" s="13">
        <v>100</v>
      </c>
      <c r="V135" s="13" t="str">
        <f t="shared" si="583"/>
        <v>ISO 6</v>
      </c>
      <c r="W135" s="13">
        <f t="shared" si="584"/>
        <v>120</v>
      </c>
      <c r="X135" s="16">
        <f t="shared" si="585"/>
        <v>171.72959999999998</v>
      </c>
      <c r="Y135" s="16">
        <f t="shared" si="586"/>
        <v>1351.8554111999997</v>
      </c>
      <c r="Z135" s="16">
        <f t="shared" si="587"/>
        <v>2703.7108223999994</v>
      </c>
      <c r="AA135" s="16">
        <f t="shared" si="588"/>
        <v>270.37108223999996</v>
      </c>
      <c r="AB135" s="16">
        <f t="shared" si="589"/>
        <v>0</v>
      </c>
      <c r="AC135" s="16">
        <f t="shared" si="590"/>
        <v>24.872005806928151</v>
      </c>
      <c r="AD135" s="16">
        <f t="shared" si="591"/>
        <v>4450</v>
      </c>
      <c r="AE135" s="16">
        <f t="shared" si="592"/>
        <v>4450</v>
      </c>
      <c r="AF135" s="16">
        <f t="shared" si="593"/>
        <v>26</v>
      </c>
      <c r="AG135" s="16">
        <f t="shared" si="594"/>
        <v>11.5</v>
      </c>
      <c r="AH135" s="838" t="s">
        <v>85</v>
      </c>
      <c r="AI135" s="17">
        <f t="shared" si="595"/>
        <v>7</v>
      </c>
      <c r="AJ135" s="17">
        <f t="shared" si="596"/>
        <v>11.5</v>
      </c>
      <c r="AK135" s="891"/>
      <c r="AL135" s="18">
        <f>IF(AL139&lt;4000,AL139,AL139+400)</f>
        <v>5800</v>
      </c>
      <c r="AM135" s="889"/>
      <c r="AN135" s="891"/>
      <c r="AO135" s="888"/>
      <c r="AP135" s="891"/>
      <c r="AQ135" s="891"/>
      <c r="AR135" s="889"/>
      <c r="AS135" s="888"/>
      <c r="AT135" s="888"/>
      <c r="AU135" s="890"/>
      <c r="AV135" s="888"/>
      <c r="AW135" s="888"/>
      <c r="AX135" s="888"/>
      <c r="AY135" s="887"/>
      <c r="AZ135" s="888"/>
      <c r="BA135" s="17">
        <f t="shared" si="597"/>
        <v>14.399999999999991</v>
      </c>
      <c r="BB135" s="17">
        <f t="shared" si="598"/>
        <v>37.799999999999997</v>
      </c>
      <c r="BC135" s="17">
        <f t="shared" si="599"/>
        <v>32</v>
      </c>
      <c r="BD135" s="17">
        <f t="shared" si="600"/>
        <v>85</v>
      </c>
      <c r="BE135" s="17">
        <f t="shared" si="601"/>
        <v>180.86341983910182</v>
      </c>
      <c r="BF135" s="17">
        <f t="shared" si="602"/>
        <v>24</v>
      </c>
      <c r="BG135" s="17">
        <f t="shared" si="603"/>
        <v>50</v>
      </c>
      <c r="BH135" s="17">
        <f t="shared" si="604"/>
        <v>65.062647806544774</v>
      </c>
      <c r="BI135" s="17">
        <f t="shared" si="605"/>
        <v>115.80077203255705</v>
      </c>
      <c r="BJ135" s="17">
        <f t="shared" si="606"/>
        <v>45</v>
      </c>
      <c r="BK135" s="17">
        <f t="shared" si="607"/>
        <v>85</v>
      </c>
      <c r="BL135" s="17">
        <f t="shared" si="608"/>
        <v>380.54120080897206</v>
      </c>
      <c r="BM135" s="17">
        <f t="shared" si="609"/>
        <v>24</v>
      </c>
      <c r="BN135" s="17">
        <f t="shared" si="610"/>
        <v>50</v>
      </c>
      <c r="BO135" s="17">
        <f t="shared" si="611"/>
        <v>65.062647806544774</v>
      </c>
      <c r="BP135" s="17">
        <f t="shared" si="612"/>
        <v>315.4785530024273</v>
      </c>
      <c r="BQ135" s="17">
        <f t="shared" si="613"/>
        <v>7028.2598399999997</v>
      </c>
      <c r="BR135" s="17">
        <f t="shared" si="614"/>
        <v>2677.4323199999981</v>
      </c>
      <c r="BS135" s="17">
        <f t="shared" si="615"/>
        <v>1112.8078079999991</v>
      </c>
      <c r="BT135" s="17">
        <f t="shared" si="616"/>
        <v>2921.1204959999995</v>
      </c>
      <c r="BU135" s="17">
        <f t="shared" si="617"/>
        <v>34904.520000000004</v>
      </c>
      <c r="BV135" s="17">
        <f t="shared" si="618"/>
        <v>10236</v>
      </c>
      <c r="BW135" s="17">
        <f t="shared" si="619"/>
        <v>1025.3974415999999</v>
      </c>
      <c r="BX135" s="17">
        <f t="shared" si="620"/>
        <v>17495.999999999989</v>
      </c>
      <c r="BY135" s="17">
        <f t="shared" si="621"/>
        <v>11037.62906136576</v>
      </c>
      <c r="BZ135" s="17"/>
      <c r="CA135" s="17">
        <f t="shared" si="622"/>
        <v>128715.24962499036</v>
      </c>
      <c r="CB135" s="17">
        <f t="shared" si="623"/>
        <v>241341.0930468569</v>
      </c>
      <c r="CC135" s="17">
        <f t="shared" si="624"/>
        <v>58001.468903167319</v>
      </c>
      <c r="CD135" s="17">
        <f t="shared" si="625"/>
        <v>522013.22012850584</v>
      </c>
      <c r="CE135" s="17">
        <f t="shared" si="626"/>
        <v>81727.806342965749</v>
      </c>
      <c r="CF135" s="17">
        <f t="shared" si="627"/>
        <v>950071.03170352045</v>
      </c>
      <c r="CG135" s="17">
        <f t="shared" si="628"/>
        <v>1031798.8380464863</v>
      </c>
      <c r="CH135" s="17">
        <f t="shared" si="629"/>
        <v>14.400000000000006</v>
      </c>
      <c r="CI135" s="17">
        <f t="shared" si="630"/>
        <v>-43.2</v>
      </c>
      <c r="CJ135" s="17">
        <f t="shared" si="631"/>
        <v>16</v>
      </c>
      <c r="CK135" s="17">
        <f t="shared" si="632"/>
        <v>90</v>
      </c>
      <c r="CL135" s="17">
        <f t="shared" si="633"/>
        <v>71.46880726181422</v>
      </c>
      <c r="CM135" s="17">
        <f t="shared" si="634"/>
        <v>24</v>
      </c>
      <c r="CN135" s="17">
        <f t="shared" si="635"/>
        <v>50</v>
      </c>
      <c r="CO135" s="17">
        <f t="shared" si="636"/>
        <v>65.062647806544774</v>
      </c>
      <c r="CP135" s="17">
        <f t="shared" si="637"/>
        <v>6.4061594552694459</v>
      </c>
      <c r="CQ135" s="17">
        <f t="shared" si="638"/>
        <v>0</v>
      </c>
      <c r="CR135" s="17">
        <f t="shared" si="639"/>
        <v>100</v>
      </c>
      <c r="CS135" s="17">
        <f t="shared" si="640"/>
        <v>26.404773030064671</v>
      </c>
      <c r="CT135" s="17">
        <f t="shared" si="641"/>
        <v>24</v>
      </c>
      <c r="CU135" s="17">
        <f t="shared" si="642"/>
        <v>50</v>
      </c>
      <c r="CV135" s="17">
        <f t="shared" si="643"/>
        <v>65.062647806544774</v>
      </c>
      <c r="CW135" s="17">
        <f t="shared" si="644"/>
        <v>-38.657874776480099</v>
      </c>
      <c r="CX135" s="17">
        <f t="shared" si="582"/>
        <v>-8032.2969600000006</v>
      </c>
      <c r="CY135" s="17">
        <f t="shared" si="582"/>
        <v>-8032.2969600000006</v>
      </c>
      <c r="CZ135" s="17">
        <f t="shared" si="645"/>
        <v>1112.8078080000003</v>
      </c>
      <c r="DA135" s="17">
        <f t="shared" si="646"/>
        <v>-3338.4234240000001</v>
      </c>
      <c r="DB135" s="17">
        <f t="shared" si="647"/>
        <v>-39890.880000000005</v>
      </c>
      <c r="DC135" s="17">
        <f t="shared" si="648"/>
        <v>10236</v>
      </c>
      <c r="DD135" s="17">
        <f t="shared" si="649"/>
        <v>1025.3974415999999</v>
      </c>
      <c r="DE135" s="17">
        <f t="shared" si="650"/>
        <v>17496.000000000007</v>
      </c>
      <c r="DF135" s="17">
        <f t="shared" si="651"/>
        <v>-12614.433212989441</v>
      </c>
      <c r="DG135" s="17"/>
      <c r="DH135" s="17">
        <f t="shared" si="652"/>
        <v>-15772.412908803883</v>
      </c>
      <c r="DI135" s="17">
        <f t="shared" si="653"/>
        <v>-29573.274204007277</v>
      </c>
      <c r="DJ135" s="17">
        <f t="shared" si="654"/>
        <v>-7107.3405794824193</v>
      </c>
      <c r="DK135" s="17">
        <f t="shared" si="655"/>
        <v>10600.086421330037</v>
      </c>
      <c r="DL135" s="17">
        <f t="shared" si="656"/>
        <v>-34005.828347389441</v>
      </c>
      <c r="DM135" s="17">
        <f t="shared" si="657"/>
        <v>-41852.941270963544</v>
      </c>
      <c r="DN135" s="17">
        <f t="shared" si="658"/>
        <v>-75858.769618352992</v>
      </c>
    </row>
    <row r="136" spans="3:120" ht="18.600000000000001">
      <c r="C136" s="13">
        <f>IF(D136&lt;&gt;"",COUNTA($D$10:D136),"")</f>
        <v>109</v>
      </c>
      <c r="D136" s="14" t="s">
        <v>206</v>
      </c>
      <c r="E136" s="14">
        <v>3.1</v>
      </c>
      <c r="F136" s="14">
        <v>2.6</v>
      </c>
      <c r="G136" s="14">
        <v>2.4</v>
      </c>
      <c r="H136" s="14">
        <v>2</v>
      </c>
      <c r="I136" s="14">
        <v>1</v>
      </c>
      <c r="J136" s="14">
        <v>1.75</v>
      </c>
      <c r="K136" s="14">
        <v>3</v>
      </c>
      <c r="L136" s="15">
        <v>0.1</v>
      </c>
      <c r="M136" s="15">
        <v>0</v>
      </c>
      <c r="N136" s="14">
        <v>24</v>
      </c>
      <c r="O136" s="14">
        <v>50</v>
      </c>
      <c r="P136" s="13">
        <v>45</v>
      </c>
      <c r="Q136" s="13">
        <v>85</v>
      </c>
      <c r="R136" s="13" t="s">
        <v>17</v>
      </c>
      <c r="S136" s="13">
        <v>120</v>
      </c>
      <c r="T136" s="13">
        <v>0</v>
      </c>
      <c r="U136" s="13">
        <v>100</v>
      </c>
      <c r="V136" s="13" t="str">
        <f t="shared" si="583"/>
        <v>ISO 6</v>
      </c>
      <c r="W136" s="13">
        <f t="shared" si="584"/>
        <v>120</v>
      </c>
      <c r="X136" s="16">
        <f t="shared" si="585"/>
        <v>86.7256</v>
      </c>
      <c r="Y136" s="16">
        <f t="shared" si="586"/>
        <v>682.70392319999996</v>
      </c>
      <c r="Z136" s="16">
        <f t="shared" si="587"/>
        <v>1365.4078463999999</v>
      </c>
      <c r="AA136" s="16">
        <f t="shared" si="588"/>
        <v>136.54078464</v>
      </c>
      <c r="AB136" s="16">
        <f t="shared" si="589"/>
        <v>0</v>
      </c>
      <c r="AC136" s="16">
        <f t="shared" si="590"/>
        <v>12.560674611769482</v>
      </c>
      <c r="AD136" s="16">
        <f t="shared" si="591"/>
        <v>2900</v>
      </c>
      <c r="AE136" s="16">
        <f t="shared" si="592"/>
        <v>2900</v>
      </c>
      <c r="AF136" s="16">
        <f t="shared" si="593"/>
        <v>18</v>
      </c>
      <c r="AG136" s="16">
        <f t="shared" si="594"/>
        <v>7.5</v>
      </c>
      <c r="AH136" s="838" t="s">
        <v>85</v>
      </c>
      <c r="AI136" s="17">
        <f t="shared" si="595"/>
        <v>5</v>
      </c>
      <c r="AJ136" s="17">
        <f t="shared" si="596"/>
        <v>7.5</v>
      </c>
      <c r="AK136" s="891"/>
      <c r="AL136" s="18"/>
      <c r="AM136" s="889"/>
      <c r="AN136" s="891"/>
      <c r="AO136" s="888"/>
      <c r="AP136" s="891"/>
      <c r="AQ136" s="891"/>
      <c r="AR136" s="889"/>
      <c r="AS136" s="888"/>
      <c r="AT136" s="888"/>
      <c r="AU136" s="890"/>
      <c r="AV136" s="888"/>
      <c r="AW136" s="888"/>
      <c r="AX136" s="888"/>
      <c r="AY136" s="887"/>
      <c r="AZ136" s="888"/>
      <c r="BA136" s="17">
        <f t="shared" si="597"/>
        <v>14.399999999999991</v>
      </c>
      <c r="BB136" s="17">
        <f t="shared" si="598"/>
        <v>37.799999999999997</v>
      </c>
      <c r="BC136" s="17">
        <f t="shared" si="599"/>
        <v>32</v>
      </c>
      <c r="BD136" s="17">
        <f t="shared" si="600"/>
        <v>85</v>
      </c>
      <c r="BE136" s="17">
        <f t="shared" si="601"/>
        <v>180.86341983910182</v>
      </c>
      <c r="BF136" s="17">
        <f t="shared" si="602"/>
        <v>24</v>
      </c>
      <c r="BG136" s="17">
        <f t="shared" si="603"/>
        <v>50</v>
      </c>
      <c r="BH136" s="17">
        <f t="shared" si="604"/>
        <v>65.062647806544774</v>
      </c>
      <c r="BI136" s="17">
        <f t="shared" si="605"/>
        <v>115.80077203255705</v>
      </c>
      <c r="BJ136" s="17">
        <f t="shared" si="606"/>
        <v>45</v>
      </c>
      <c r="BK136" s="17">
        <f t="shared" si="607"/>
        <v>85</v>
      </c>
      <c r="BL136" s="17">
        <f t="shared" si="608"/>
        <v>380.54120080897206</v>
      </c>
      <c r="BM136" s="17">
        <f t="shared" si="609"/>
        <v>24</v>
      </c>
      <c r="BN136" s="17">
        <f t="shared" si="610"/>
        <v>50</v>
      </c>
      <c r="BO136" s="17">
        <f t="shared" si="611"/>
        <v>65.062647806544774</v>
      </c>
      <c r="BP136" s="17">
        <f t="shared" si="612"/>
        <v>315.4785530024273</v>
      </c>
      <c r="BQ136" s="17">
        <f t="shared" si="613"/>
        <v>5007.6351359999999</v>
      </c>
      <c r="BR136" s="17">
        <f t="shared" si="614"/>
        <v>1907.670527999999</v>
      </c>
      <c r="BS136" s="17">
        <f t="shared" si="615"/>
        <v>561.98188799999969</v>
      </c>
      <c r="BT136" s="17">
        <f t="shared" si="616"/>
        <v>1475.202456</v>
      </c>
      <c r="BU136" s="17">
        <f t="shared" si="617"/>
        <v>23269.68</v>
      </c>
      <c r="BV136" s="17">
        <f t="shared" si="618"/>
        <v>3412</v>
      </c>
      <c r="BW136" s="17">
        <f t="shared" si="619"/>
        <v>517.83855759999994</v>
      </c>
      <c r="BX136" s="17">
        <f t="shared" si="620"/>
        <v>17495.999999999989</v>
      </c>
      <c r="BY136" s="17">
        <f t="shared" si="621"/>
        <v>5574.1409921433597</v>
      </c>
      <c r="BZ136" s="17"/>
      <c r="CA136" s="17">
        <f t="shared" si="622"/>
        <v>85810.166416660228</v>
      </c>
      <c r="CB136" s="17">
        <f t="shared" si="623"/>
        <v>241341.0930468569</v>
      </c>
      <c r="CC136" s="17">
        <f t="shared" si="624"/>
        <v>29291.468631549415</v>
      </c>
      <c r="CD136" s="17">
        <f t="shared" si="625"/>
        <v>263623.21768394468</v>
      </c>
      <c r="CE136" s="17">
        <f t="shared" si="626"/>
        <v>55277.294685743349</v>
      </c>
      <c r="CF136" s="17">
        <f t="shared" si="627"/>
        <v>620065.94577901112</v>
      </c>
      <c r="CG136" s="17">
        <f t="shared" si="628"/>
        <v>675343.24046475452</v>
      </c>
      <c r="CH136" s="17">
        <f t="shared" si="629"/>
        <v>14.400000000000006</v>
      </c>
      <c r="CI136" s="17">
        <f t="shared" si="630"/>
        <v>-43.2</v>
      </c>
      <c r="CJ136" s="17">
        <f t="shared" si="631"/>
        <v>16</v>
      </c>
      <c r="CK136" s="17">
        <f t="shared" si="632"/>
        <v>90</v>
      </c>
      <c r="CL136" s="17">
        <f t="shared" si="633"/>
        <v>71.46880726181422</v>
      </c>
      <c r="CM136" s="17">
        <f t="shared" si="634"/>
        <v>24</v>
      </c>
      <c r="CN136" s="17">
        <f t="shared" si="635"/>
        <v>50</v>
      </c>
      <c r="CO136" s="17">
        <f t="shared" si="636"/>
        <v>65.062647806544774</v>
      </c>
      <c r="CP136" s="17">
        <f t="shared" si="637"/>
        <v>6.4061594552694459</v>
      </c>
      <c r="CQ136" s="17">
        <f t="shared" si="638"/>
        <v>0</v>
      </c>
      <c r="CR136" s="17">
        <f t="shared" si="639"/>
        <v>100</v>
      </c>
      <c r="CS136" s="17">
        <f t="shared" si="640"/>
        <v>26.404773030064671</v>
      </c>
      <c r="CT136" s="17">
        <f t="shared" si="641"/>
        <v>24</v>
      </c>
      <c r="CU136" s="17">
        <f t="shared" si="642"/>
        <v>50</v>
      </c>
      <c r="CV136" s="17">
        <f t="shared" si="643"/>
        <v>65.062647806544774</v>
      </c>
      <c r="CW136" s="17">
        <f t="shared" si="644"/>
        <v>-38.657874776480099</v>
      </c>
      <c r="CX136" s="17">
        <f t="shared" si="582"/>
        <v>-5723.0115840000008</v>
      </c>
      <c r="CY136" s="17">
        <f t="shared" si="582"/>
        <v>-5723.0115840000008</v>
      </c>
      <c r="CZ136" s="17">
        <f t="shared" si="645"/>
        <v>561.98188800000014</v>
      </c>
      <c r="DA136" s="17">
        <f t="shared" si="646"/>
        <v>-1685.9456640000001</v>
      </c>
      <c r="DB136" s="17">
        <f t="shared" si="647"/>
        <v>-26593.920000000002</v>
      </c>
      <c r="DC136" s="17">
        <f t="shared" si="648"/>
        <v>3412</v>
      </c>
      <c r="DD136" s="17">
        <f t="shared" si="649"/>
        <v>517.83855759999994</v>
      </c>
      <c r="DE136" s="17">
        <f t="shared" si="650"/>
        <v>17496.000000000007</v>
      </c>
      <c r="DF136" s="17">
        <f t="shared" si="651"/>
        <v>-6370.4468481638405</v>
      </c>
      <c r="DG136" s="17"/>
      <c r="DH136" s="17">
        <f t="shared" si="652"/>
        <v>-10514.941939202587</v>
      </c>
      <c r="DI136" s="17">
        <f t="shared" si="653"/>
        <v>-29573.274204007277</v>
      </c>
      <c r="DJ136" s="17">
        <f t="shared" si="654"/>
        <v>-3589.2960570569112</v>
      </c>
      <c r="DK136" s="17">
        <f t="shared" si="655"/>
        <v>5353.1764759348434</v>
      </c>
      <c r="DL136" s="17">
        <f t="shared" si="656"/>
        <v>-18385.503650563835</v>
      </c>
      <c r="DM136" s="17">
        <f t="shared" si="657"/>
        <v>-38324.335724331933</v>
      </c>
      <c r="DN136" s="17">
        <f t="shared" si="658"/>
        <v>-56709.839374895768</v>
      </c>
    </row>
    <row r="137" spans="3:120" ht="18.600000000000001">
      <c r="C137" s="13">
        <f>IF(D137&lt;&gt;"",COUNTA($D$10:D137),"")</f>
        <v>110</v>
      </c>
      <c r="D137" s="14" t="s">
        <v>207</v>
      </c>
      <c r="E137" s="14">
        <v>1.9</v>
      </c>
      <c r="F137" s="14">
        <v>2.4</v>
      </c>
      <c r="G137" s="14">
        <v>2.4</v>
      </c>
      <c r="H137" s="14">
        <v>3</v>
      </c>
      <c r="I137" s="14">
        <v>2</v>
      </c>
      <c r="J137" s="14">
        <v>1.75</v>
      </c>
      <c r="K137" s="14">
        <v>3</v>
      </c>
      <c r="L137" s="15">
        <v>0.1</v>
      </c>
      <c r="M137" s="15">
        <v>0</v>
      </c>
      <c r="N137" s="14">
        <v>24</v>
      </c>
      <c r="O137" s="14">
        <v>50</v>
      </c>
      <c r="P137" s="13">
        <v>45</v>
      </c>
      <c r="Q137" s="13">
        <v>85</v>
      </c>
      <c r="R137" s="13" t="s">
        <v>17</v>
      </c>
      <c r="S137" s="13">
        <v>120</v>
      </c>
      <c r="T137" s="13">
        <v>0</v>
      </c>
      <c r="U137" s="13">
        <v>100</v>
      </c>
      <c r="V137" s="13" t="str">
        <f t="shared" si="583"/>
        <v>ISO 6</v>
      </c>
      <c r="W137" s="13">
        <f t="shared" si="584"/>
        <v>120</v>
      </c>
      <c r="X137" s="16">
        <f t="shared" si="585"/>
        <v>49.065599999999996</v>
      </c>
      <c r="Y137" s="16">
        <f t="shared" si="586"/>
        <v>386.24440319999997</v>
      </c>
      <c r="Z137" s="16">
        <f t="shared" si="587"/>
        <v>772.48880639999993</v>
      </c>
      <c r="AA137" s="16">
        <f t="shared" si="588"/>
        <v>77.248880639999996</v>
      </c>
      <c r="AB137" s="16">
        <f t="shared" si="589"/>
        <v>0</v>
      </c>
      <c r="AC137" s="16">
        <f t="shared" si="590"/>
        <v>7.1062873734080432</v>
      </c>
      <c r="AD137" s="16">
        <f t="shared" si="591"/>
        <v>2500</v>
      </c>
      <c r="AE137" s="16">
        <f t="shared" si="592"/>
        <v>2500</v>
      </c>
      <c r="AF137" s="16">
        <f t="shared" si="593"/>
        <v>16</v>
      </c>
      <c r="AG137" s="16">
        <f t="shared" si="594"/>
        <v>6.5</v>
      </c>
      <c r="AH137" s="838" t="s">
        <v>85</v>
      </c>
      <c r="AI137" s="17">
        <f t="shared" si="595"/>
        <v>6</v>
      </c>
      <c r="AJ137" s="17">
        <f t="shared" si="596"/>
        <v>6.5</v>
      </c>
      <c r="AK137" s="891"/>
      <c r="AL137" s="18"/>
      <c r="AM137" s="889"/>
      <c r="AN137" s="891"/>
      <c r="AO137" s="888"/>
      <c r="AP137" s="891"/>
      <c r="AQ137" s="891"/>
      <c r="AR137" s="889"/>
      <c r="AS137" s="888"/>
      <c r="AT137" s="888"/>
      <c r="AU137" s="890"/>
      <c r="AV137" s="888"/>
      <c r="AW137" s="888"/>
      <c r="AX137" s="888"/>
      <c r="AY137" s="887"/>
      <c r="AZ137" s="888"/>
      <c r="BA137" s="17">
        <f t="shared" si="597"/>
        <v>14.399999999999991</v>
      </c>
      <c r="BB137" s="17">
        <f t="shared" si="598"/>
        <v>37.799999999999997</v>
      </c>
      <c r="BC137" s="17">
        <f t="shared" si="599"/>
        <v>32</v>
      </c>
      <c r="BD137" s="17">
        <f t="shared" si="600"/>
        <v>85</v>
      </c>
      <c r="BE137" s="17">
        <f t="shared" si="601"/>
        <v>180.86341983910182</v>
      </c>
      <c r="BF137" s="17">
        <f t="shared" si="602"/>
        <v>24</v>
      </c>
      <c r="BG137" s="17">
        <f t="shared" si="603"/>
        <v>50</v>
      </c>
      <c r="BH137" s="17">
        <f t="shared" si="604"/>
        <v>65.062647806544774</v>
      </c>
      <c r="BI137" s="17">
        <f t="shared" si="605"/>
        <v>115.80077203255705</v>
      </c>
      <c r="BJ137" s="17">
        <f t="shared" si="606"/>
        <v>45</v>
      </c>
      <c r="BK137" s="17">
        <f t="shared" si="607"/>
        <v>85</v>
      </c>
      <c r="BL137" s="17">
        <f t="shared" si="608"/>
        <v>380.54120080897206</v>
      </c>
      <c r="BM137" s="17">
        <f t="shared" si="609"/>
        <v>24</v>
      </c>
      <c r="BN137" s="17">
        <f t="shared" si="610"/>
        <v>50</v>
      </c>
      <c r="BO137" s="17">
        <f t="shared" si="611"/>
        <v>65.062647806544774</v>
      </c>
      <c r="BP137" s="17">
        <f t="shared" si="612"/>
        <v>315.4785530024273</v>
      </c>
      <c r="BQ137" s="17">
        <f t="shared" si="613"/>
        <v>3777.6896639999995</v>
      </c>
      <c r="BR137" s="17">
        <f t="shared" si="614"/>
        <v>1439.1198719999991</v>
      </c>
      <c r="BS137" s="17">
        <f t="shared" si="615"/>
        <v>317.94508799999977</v>
      </c>
      <c r="BT137" s="17">
        <f t="shared" si="616"/>
        <v>834.6058559999999</v>
      </c>
      <c r="BU137" s="17">
        <f t="shared" si="617"/>
        <v>34904.520000000004</v>
      </c>
      <c r="BV137" s="17">
        <f t="shared" si="618"/>
        <v>6824</v>
      </c>
      <c r="BW137" s="17">
        <f t="shared" si="619"/>
        <v>292.97069759999994</v>
      </c>
      <c r="BX137" s="17">
        <f t="shared" si="620"/>
        <v>17495.999999999989</v>
      </c>
      <c r="BY137" s="17">
        <f t="shared" si="621"/>
        <v>3153.6083032473598</v>
      </c>
      <c r="BZ137" s="17"/>
      <c r="CA137" s="17">
        <f t="shared" si="622"/>
        <v>128715.24962499036</v>
      </c>
      <c r="CB137" s="17">
        <f t="shared" si="623"/>
        <v>241341.0930468569</v>
      </c>
      <c r="CC137" s="17">
        <f t="shared" si="624"/>
        <v>16571.848258047805</v>
      </c>
      <c r="CD137" s="17">
        <f t="shared" si="625"/>
        <v>149146.63432243024</v>
      </c>
      <c r="CE137" s="17">
        <f t="shared" si="626"/>
        <v>66448.78866484735</v>
      </c>
      <c r="CF137" s="17">
        <f t="shared" si="627"/>
        <v>535774.82525232527</v>
      </c>
      <c r="CG137" s="17">
        <f t="shared" si="628"/>
        <v>602223.61391717265</v>
      </c>
      <c r="CH137" s="17">
        <f t="shared" si="629"/>
        <v>14.400000000000006</v>
      </c>
      <c r="CI137" s="17">
        <f t="shared" si="630"/>
        <v>-43.2</v>
      </c>
      <c r="CJ137" s="17">
        <f t="shared" si="631"/>
        <v>16</v>
      </c>
      <c r="CK137" s="17">
        <f t="shared" si="632"/>
        <v>90</v>
      </c>
      <c r="CL137" s="17">
        <f t="shared" si="633"/>
        <v>71.46880726181422</v>
      </c>
      <c r="CM137" s="17">
        <f t="shared" si="634"/>
        <v>24</v>
      </c>
      <c r="CN137" s="17">
        <f t="shared" si="635"/>
        <v>50</v>
      </c>
      <c r="CO137" s="17">
        <f t="shared" si="636"/>
        <v>65.062647806544774</v>
      </c>
      <c r="CP137" s="17">
        <f t="shared" si="637"/>
        <v>6.4061594552694459</v>
      </c>
      <c r="CQ137" s="17">
        <f t="shared" si="638"/>
        <v>0</v>
      </c>
      <c r="CR137" s="17">
        <f t="shared" si="639"/>
        <v>100</v>
      </c>
      <c r="CS137" s="17">
        <f t="shared" si="640"/>
        <v>26.404773030064671</v>
      </c>
      <c r="CT137" s="17">
        <f t="shared" si="641"/>
        <v>24</v>
      </c>
      <c r="CU137" s="17">
        <f t="shared" si="642"/>
        <v>50</v>
      </c>
      <c r="CV137" s="17">
        <f t="shared" si="643"/>
        <v>65.062647806544774</v>
      </c>
      <c r="CW137" s="17">
        <f t="shared" si="644"/>
        <v>-38.657874776480099</v>
      </c>
      <c r="CX137" s="17">
        <f t="shared" si="582"/>
        <v>-4317.3596159999997</v>
      </c>
      <c r="CY137" s="17">
        <f t="shared" si="582"/>
        <v>-4317.3596159999997</v>
      </c>
      <c r="CZ137" s="17">
        <f t="shared" si="645"/>
        <v>317.94508800000011</v>
      </c>
      <c r="DA137" s="17">
        <f t="shared" si="646"/>
        <v>-953.83526399999994</v>
      </c>
      <c r="DB137" s="17">
        <f t="shared" si="647"/>
        <v>-39890.880000000005</v>
      </c>
      <c r="DC137" s="17">
        <f t="shared" si="648"/>
        <v>6824</v>
      </c>
      <c r="DD137" s="17">
        <f t="shared" si="649"/>
        <v>292.97069759999994</v>
      </c>
      <c r="DE137" s="17">
        <f t="shared" si="650"/>
        <v>17496.000000000007</v>
      </c>
      <c r="DF137" s="17">
        <f t="shared" si="651"/>
        <v>-3604.1237751398403</v>
      </c>
      <c r="DG137" s="17"/>
      <c r="DH137" s="17">
        <f t="shared" si="652"/>
        <v>-15772.412908803883</v>
      </c>
      <c r="DI137" s="17">
        <f t="shared" si="653"/>
        <v>-29573.274204007277</v>
      </c>
      <c r="DJ137" s="17">
        <f t="shared" si="654"/>
        <v>-2030.6687369949768</v>
      </c>
      <c r="DK137" s="17">
        <f t="shared" si="655"/>
        <v>3028.5961203800107</v>
      </c>
      <c r="DL137" s="17">
        <f t="shared" si="656"/>
        <v>-23835.282869539838</v>
      </c>
      <c r="DM137" s="17">
        <f t="shared" si="657"/>
        <v>-44347.759729426129</v>
      </c>
      <c r="DN137" s="17">
        <f t="shared" si="658"/>
        <v>-68183.042598965971</v>
      </c>
    </row>
    <row r="138" spans="3:120" ht="18.600000000000001">
      <c r="C138" s="13">
        <f>IF(D138&lt;&gt;"",COUNTA($D$10:D138),"")</f>
        <v>111</v>
      </c>
      <c r="D138" s="14" t="s">
        <v>208</v>
      </c>
      <c r="E138" s="14">
        <v>3</v>
      </c>
      <c r="F138" s="14">
        <v>2.9</v>
      </c>
      <c r="G138" s="14">
        <v>2.4</v>
      </c>
      <c r="H138" s="14">
        <v>2</v>
      </c>
      <c r="I138" s="14">
        <v>1</v>
      </c>
      <c r="J138" s="14">
        <v>1.75</v>
      </c>
      <c r="K138" s="14">
        <v>3</v>
      </c>
      <c r="L138" s="15">
        <v>0.1</v>
      </c>
      <c r="M138" s="15">
        <v>0</v>
      </c>
      <c r="N138" s="14">
        <v>24</v>
      </c>
      <c r="O138" s="14">
        <v>50</v>
      </c>
      <c r="P138" s="13">
        <v>45</v>
      </c>
      <c r="Q138" s="13">
        <v>85</v>
      </c>
      <c r="R138" s="13" t="s">
        <v>17</v>
      </c>
      <c r="S138" s="13">
        <v>120</v>
      </c>
      <c r="T138" s="13">
        <v>0</v>
      </c>
      <c r="U138" s="13">
        <v>100</v>
      </c>
      <c r="V138" s="13" t="str">
        <f t="shared" si="583"/>
        <v>ISO 6</v>
      </c>
      <c r="W138" s="13">
        <f t="shared" si="584"/>
        <v>120</v>
      </c>
      <c r="X138" s="16">
        <f t="shared" si="585"/>
        <v>93.611999999999995</v>
      </c>
      <c r="Y138" s="16">
        <f t="shared" si="586"/>
        <v>736.91366399999993</v>
      </c>
      <c r="Z138" s="16">
        <f t="shared" si="587"/>
        <v>1473.8273279999999</v>
      </c>
      <c r="AA138" s="16">
        <f t="shared" si="588"/>
        <v>147.38273279999999</v>
      </c>
      <c r="AB138" s="16">
        <f t="shared" si="589"/>
        <v>0</v>
      </c>
      <c r="AC138" s="16">
        <f t="shared" si="590"/>
        <v>13.558048278212716</v>
      </c>
      <c r="AD138" s="16">
        <f>IF(ISNUMBER(N138), CEILING(CF138/(0.68*BP138),25), "Ambient")</f>
        <v>3000</v>
      </c>
      <c r="AE138" s="16">
        <f t="shared" si="592"/>
        <v>3000</v>
      </c>
      <c r="AF138" s="16">
        <f t="shared" si="593"/>
        <v>18</v>
      </c>
      <c r="AG138" s="16">
        <f t="shared" si="594"/>
        <v>7.5</v>
      </c>
      <c r="AH138" s="838" t="s">
        <v>85</v>
      </c>
      <c r="AI138" s="17">
        <f t="shared" si="595"/>
        <v>5</v>
      </c>
      <c r="AJ138" s="17">
        <f t="shared" si="596"/>
        <v>7.5</v>
      </c>
      <c r="AK138" s="891"/>
      <c r="AL138" s="18"/>
      <c r="AM138" s="889"/>
      <c r="AN138" s="891"/>
      <c r="AO138" s="888"/>
      <c r="AP138" s="891"/>
      <c r="AQ138" s="891"/>
      <c r="AR138" s="889"/>
      <c r="AS138" s="888"/>
      <c r="AT138" s="888"/>
      <c r="AU138" s="890"/>
      <c r="AV138" s="888"/>
      <c r="AW138" s="888"/>
      <c r="AX138" s="888"/>
      <c r="AY138" s="887"/>
      <c r="AZ138" s="888"/>
      <c r="BA138" s="17">
        <f t="shared" si="597"/>
        <v>14.399999999999991</v>
      </c>
      <c r="BB138" s="17">
        <f t="shared" si="598"/>
        <v>37.799999999999997</v>
      </c>
      <c r="BC138" s="17">
        <f t="shared" si="599"/>
        <v>32</v>
      </c>
      <c r="BD138" s="17">
        <f t="shared" si="600"/>
        <v>85</v>
      </c>
      <c r="BE138" s="17">
        <f t="shared" si="601"/>
        <v>180.86341983910182</v>
      </c>
      <c r="BF138" s="17">
        <f t="shared" si="602"/>
        <v>24</v>
      </c>
      <c r="BG138" s="17">
        <f t="shared" si="603"/>
        <v>50</v>
      </c>
      <c r="BH138" s="17">
        <f t="shared" si="604"/>
        <v>65.062647806544774</v>
      </c>
      <c r="BI138" s="17">
        <f t="shared" si="605"/>
        <v>115.80077203255705</v>
      </c>
      <c r="BJ138" s="17">
        <f t="shared" si="606"/>
        <v>45</v>
      </c>
      <c r="BK138" s="17">
        <f t="shared" si="607"/>
        <v>85</v>
      </c>
      <c r="BL138" s="17">
        <f t="shared" si="608"/>
        <v>380.54120080897206</v>
      </c>
      <c r="BM138" s="17">
        <f t="shared" si="609"/>
        <v>24</v>
      </c>
      <c r="BN138" s="17">
        <f t="shared" si="610"/>
        <v>50</v>
      </c>
      <c r="BO138" s="17">
        <f t="shared" si="611"/>
        <v>65.062647806544774</v>
      </c>
      <c r="BP138" s="17">
        <f t="shared" si="612"/>
        <v>315.4785530024273</v>
      </c>
      <c r="BQ138" s="17">
        <f t="shared" si="613"/>
        <v>5183.3416319999997</v>
      </c>
      <c r="BR138" s="17">
        <f t="shared" si="614"/>
        <v>1974.6063359999991</v>
      </c>
      <c r="BS138" s="17">
        <f t="shared" si="615"/>
        <v>606.60575999999958</v>
      </c>
      <c r="BT138" s="17">
        <f t="shared" si="616"/>
        <v>1592.3401199999998</v>
      </c>
      <c r="BU138" s="17">
        <f t="shared" si="617"/>
        <v>23269.68</v>
      </c>
      <c r="BV138" s="17">
        <f t="shared" si="618"/>
        <v>3412</v>
      </c>
      <c r="BW138" s="17">
        <f t="shared" si="619"/>
        <v>558.95725199999993</v>
      </c>
      <c r="BX138" s="17">
        <f t="shared" si="620"/>
        <v>17495.999999999989</v>
      </c>
      <c r="BY138" s="17">
        <f t="shared" si="621"/>
        <v>6016.7526838271997</v>
      </c>
      <c r="BZ138" s="17"/>
      <c r="CA138" s="17">
        <f t="shared" si="622"/>
        <v>85810.166416660228</v>
      </c>
      <c r="CB138" s="17">
        <f t="shared" si="623"/>
        <v>241341.0930468569</v>
      </c>
      <c r="CC138" s="17">
        <f t="shared" si="624"/>
        <v>31617.34207127542</v>
      </c>
      <c r="CD138" s="17">
        <f t="shared" si="625"/>
        <v>284556.07864147879</v>
      </c>
      <c r="CE138" s="17">
        <f t="shared" si="626"/>
        <v>55936.731567827192</v>
      </c>
      <c r="CF138" s="17">
        <f t="shared" si="627"/>
        <v>643324.68017627136</v>
      </c>
      <c r="CG138" s="17">
        <f t="shared" si="628"/>
        <v>699261.41174409853</v>
      </c>
      <c r="CH138" s="17">
        <f t="shared" si="629"/>
        <v>14.400000000000006</v>
      </c>
      <c r="CI138" s="17">
        <f t="shared" si="630"/>
        <v>-43.2</v>
      </c>
      <c r="CJ138" s="17">
        <f t="shared" si="631"/>
        <v>16</v>
      </c>
      <c r="CK138" s="17">
        <f t="shared" si="632"/>
        <v>90</v>
      </c>
      <c r="CL138" s="17">
        <f t="shared" si="633"/>
        <v>71.46880726181422</v>
      </c>
      <c r="CM138" s="17">
        <f t="shared" si="634"/>
        <v>24</v>
      </c>
      <c r="CN138" s="17">
        <f t="shared" si="635"/>
        <v>50</v>
      </c>
      <c r="CO138" s="17">
        <f t="shared" si="636"/>
        <v>65.062647806544774</v>
      </c>
      <c r="CP138" s="17">
        <f t="shared" si="637"/>
        <v>6.4061594552694459</v>
      </c>
      <c r="CQ138" s="17">
        <f t="shared" si="638"/>
        <v>0</v>
      </c>
      <c r="CR138" s="17">
        <f t="shared" si="639"/>
        <v>100</v>
      </c>
      <c r="CS138" s="17">
        <f t="shared" si="640"/>
        <v>26.404773030064671</v>
      </c>
      <c r="CT138" s="17">
        <f t="shared" si="641"/>
        <v>24</v>
      </c>
      <c r="CU138" s="17">
        <f t="shared" si="642"/>
        <v>50</v>
      </c>
      <c r="CV138" s="17">
        <f t="shared" si="643"/>
        <v>65.062647806544774</v>
      </c>
      <c r="CW138" s="17">
        <f t="shared" si="644"/>
        <v>-38.657874776480099</v>
      </c>
      <c r="CX138" s="17">
        <f t="shared" si="582"/>
        <v>-5923.8190080000013</v>
      </c>
      <c r="CY138" s="17">
        <f t="shared" si="582"/>
        <v>-5923.8190080000013</v>
      </c>
      <c r="CZ138" s="17">
        <f t="shared" si="645"/>
        <v>606.60576000000026</v>
      </c>
      <c r="DA138" s="17">
        <f t="shared" si="646"/>
        <v>-1819.81728</v>
      </c>
      <c r="DB138" s="17">
        <f t="shared" si="647"/>
        <v>-26593.920000000002</v>
      </c>
      <c r="DC138" s="17">
        <f t="shared" si="648"/>
        <v>3412</v>
      </c>
      <c r="DD138" s="17">
        <f t="shared" si="649"/>
        <v>558.95725199999993</v>
      </c>
      <c r="DE138" s="17">
        <f t="shared" si="650"/>
        <v>17496.000000000007</v>
      </c>
      <c r="DF138" s="17">
        <f t="shared" si="651"/>
        <v>-6876.2887815168006</v>
      </c>
      <c r="DG138" s="17"/>
      <c r="DH138" s="17">
        <f t="shared" si="652"/>
        <v>-10514.941939202587</v>
      </c>
      <c r="DI138" s="17">
        <f t="shared" si="653"/>
        <v>-29573.274204007277</v>
      </c>
      <c r="DJ138" s="17">
        <f t="shared" si="654"/>
        <v>-3874.3021955825216</v>
      </c>
      <c r="DK138" s="17">
        <f t="shared" si="655"/>
        <v>5778.2425980934422</v>
      </c>
      <c r="DL138" s="17">
        <f t="shared" si="656"/>
        <v>-19140.282057516793</v>
      </c>
      <c r="DM138" s="17">
        <f t="shared" si="657"/>
        <v>-38184.275740698948</v>
      </c>
      <c r="DN138" s="17">
        <f t="shared" si="658"/>
        <v>-57324.557798215741</v>
      </c>
    </row>
    <row r="139" spans="3:120" ht="18.600000000000001">
      <c r="C139" s="13">
        <f>IF(D139&lt;&gt;"",COUNTA($D$10:D139),"")</f>
        <v>112</v>
      </c>
      <c r="D139" s="14" t="s">
        <v>209</v>
      </c>
      <c r="E139" s="14">
        <v>2.4</v>
      </c>
      <c r="F139" s="14">
        <v>2</v>
      </c>
      <c r="G139" s="14">
        <v>2.4</v>
      </c>
      <c r="H139" s="14">
        <v>2</v>
      </c>
      <c r="I139" s="14">
        <v>1</v>
      </c>
      <c r="J139" s="14">
        <v>1.75</v>
      </c>
      <c r="K139" s="14">
        <v>3</v>
      </c>
      <c r="L139" s="15">
        <v>0.1</v>
      </c>
      <c r="M139" s="15">
        <v>0</v>
      </c>
      <c r="N139" s="14">
        <v>24</v>
      </c>
      <c r="O139" s="14">
        <v>50</v>
      </c>
      <c r="P139" s="13">
        <v>45</v>
      </c>
      <c r="Q139" s="13">
        <v>85</v>
      </c>
      <c r="R139" s="13" t="s">
        <v>17</v>
      </c>
      <c r="S139" s="13">
        <v>120</v>
      </c>
      <c r="T139" s="13">
        <v>0</v>
      </c>
      <c r="U139" s="13">
        <v>100</v>
      </c>
      <c r="V139" s="13" t="str">
        <f t="shared" si="583"/>
        <v>ISO 6</v>
      </c>
      <c r="W139" s="13">
        <f t="shared" si="584"/>
        <v>120</v>
      </c>
      <c r="X139" s="16">
        <f t="shared" si="585"/>
        <v>51.647999999999996</v>
      </c>
      <c r="Y139" s="16">
        <f t="shared" si="586"/>
        <v>406.57305599999995</v>
      </c>
      <c r="Z139" s="16">
        <f t="shared" si="587"/>
        <v>813.1461119999999</v>
      </c>
      <c r="AA139" s="16">
        <f t="shared" si="588"/>
        <v>81.314611200000002</v>
      </c>
      <c r="AB139" s="16">
        <f t="shared" si="589"/>
        <v>0</v>
      </c>
      <c r="AC139" s="16">
        <f t="shared" si="590"/>
        <v>7.4803024983242565</v>
      </c>
      <c r="AD139" s="16">
        <f t="shared" ref="AD139:AD145" si="659">IF(ISNUMBER(N139), CEILING(CF139/(0.68*BP139),25), "Ambient")</f>
        <v>2350</v>
      </c>
      <c r="AE139" s="16">
        <f t="shared" si="592"/>
        <v>2350</v>
      </c>
      <c r="AF139" s="16">
        <f t="shared" si="593"/>
        <v>14</v>
      </c>
      <c r="AG139" s="16">
        <f t="shared" si="594"/>
        <v>6</v>
      </c>
      <c r="AH139" s="838" t="s">
        <v>85</v>
      </c>
      <c r="AI139" s="17">
        <f t="shared" si="595"/>
        <v>4.5</v>
      </c>
      <c r="AJ139" s="17">
        <f t="shared" si="596"/>
        <v>6</v>
      </c>
      <c r="AK139" s="891"/>
      <c r="AL139" s="174">
        <f>IF(AN130&lt;=315,1600,(IF(AN130=355,1650,(IF(AN130=400,1650,(IF(AN130=450,1700,(IF(AN130=500,1700,(IF(AN130=560,1800,(IF(AN130=630,2000,(IF(AN130=710,2200,2500)))))))))))))))+IF(AR130=2,1800,(IF(AR130=3,2300,(IF(AR130=4,3300,0)))))+IF(AP130&lt;=4,600,(IF(AP130&lt;=6,800,(IF(AP130&lt;=8,1000,1200)))))</f>
        <v>5400</v>
      </c>
      <c r="AM139" s="889"/>
      <c r="AN139" s="891"/>
      <c r="AO139" s="888"/>
      <c r="AP139" s="891"/>
      <c r="AQ139" s="891"/>
      <c r="AR139" s="889"/>
      <c r="AS139" s="888"/>
      <c r="AT139" s="888"/>
      <c r="AU139" s="890"/>
      <c r="AV139" s="888"/>
      <c r="AW139" s="888"/>
      <c r="AX139" s="888"/>
      <c r="AY139" s="887"/>
      <c r="AZ139" s="888"/>
      <c r="BA139" s="17">
        <f t="shared" si="597"/>
        <v>14.399999999999991</v>
      </c>
      <c r="BB139" s="17">
        <f t="shared" si="598"/>
        <v>37.799999999999997</v>
      </c>
      <c r="BC139" s="17">
        <f t="shared" si="599"/>
        <v>32</v>
      </c>
      <c r="BD139" s="17">
        <f t="shared" si="600"/>
        <v>85</v>
      </c>
      <c r="BE139" s="17">
        <f t="shared" si="601"/>
        <v>180.86341983910182</v>
      </c>
      <c r="BF139" s="17">
        <f t="shared" si="602"/>
        <v>24</v>
      </c>
      <c r="BG139" s="17">
        <f t="shared" si="603"/>
        <v>50</v>
      </c>
      <c r="BH139" s="17">
        <f t="shared" si="604"/>
        <v>65.062647806544774</v>
      </c>
      <c r="BI139" s="17">
        <f t="shared" si="605"/>
        <v>115.80077203255705</v>
      </c>
      <c r="BJ139" s="17">
        <f t="shared" si="606"/>
        <v>45</v>
      </c>
      <c r="BK139" s="17">
        <f t="shared" si="607"/>
        <v>85</v>
      </c>
      <c r="BL139" s="17">
        <f t="shared" si="608"/>
        <v>380.54120080897206</v>
      </c>
      <c r="BM139" s="17">
        <f t="shared" si="609"/>
        <v>24</v>
      </c>
      <c r="BN139" s="17">
        <f t="shared" si="610"/>
        <v>50</v>
      </c>
      <c r="BO139" s="17">
        <f t="shared" si="611"/>
        <v>65.062647806544774</v>
      </c>
      <c r="BP139" s="17">
        <f t="shared" si="612"/>
        <v>315.4785530024273</v>
      </c>
      <c r="BQ139" s="17">
        <f t="shared" si="613"/>
        <v>3865.5429119999999</v>
      </c>
      <c r="BR139" s="17">
        <f t="shared" si="614"/>
        <v>1472.5877759999992</v>
      </c>
      <c r="BS139" s="17">
        <f t="shared" si="615"/>
        <v>334.67903999999976</v>
      </c>
      <c r="BT139" s="17">
        <f t="shared" si="616"/>
        <v>878.53247999999996</v>
      </c>
      <c r="BU139" s="17">
        <f t="shared" si="617"/>
        <v>23269.68</v>
      </c>
      <c r="BV139" s="17">
        <f t="shared" si="618"/>
        <v>3412</v>
      </c>
      <c r="BW139" s="17">
        <f t="shared" si="619"/>
        <v>308.39020799999997</v>
      </c>
      <c r="BX139" s="17">
        <f t="shared" si="620"/>
        <v>17495.999999999989</v>
      </c>
      <c r="BY139" s="17">
        <f t="shared" si="621"/>
        <v>3319.5876876287998</v>
      </c>
      <c r="BZ139" s="17"/>
      <c r="CA139" s="17">
        <f t="shared" si="622"/>
        <v>85810.166416660228</v>
      </c>
      <c r="CB139" s="17">
        <f t="shared" si="623"/>
        <v>241341.0930468569</v>
      </c>
      <c r="CC139" s="17">
        <f t="shared" si="624"/>
        <v>17444.050797945059</v>
      </c>
      <c r="CD139" s="17">
        <f t="shared" si="625"/>
        <v>156996.45718150554</v>
      </c>
      <c r="CE139" s="17">
        <f t="shared" si="626"/>
        <v>51671.200807628797</v>
      </c>
      <c r="CF139" s="17">
        <f t="shared" si="627"/>
        <v>501591.76744296774</v>
      </c>
      <c r="CG139" s="17">
        <f t="shared" si="628"/>
        <v>553262.96825059655</v>
      </c>
      <c r="CH139" s="17">
        <f t="shared" si="629"/>
        <v>14.400000000000006</v>
      </c>
      <c r="CI139" s="17">
        <f t="shared" si="630"/>
        <v>-43.2</v>
      </c>
      <c r="CJ139" s="17">
        <f t="shared" si="631"/>
        <v>16</v>
      </c>
      <c r="CK139" s="17">
        <f t="shared" si="632"/>
        <v>90</v>
      </c>
      <c r="CL139" s="17">
        <f t="shared" si="633"/>
        <v>71.46880726181422</v>
      </c>
      <c r="CM139" s="17">
        <f t="shared" si="634"/>
        <v>24</v>
      </c>
      <c r="CN139" s="17">
        <f t="shared" si="635"/>
        <v>50</v>
      </c>
      <c r="CO139" s="17">
        <f t="shared" si="636"/>
        <v>65.062647806544774</v>
      </c>
      <c r="CP139" s="17">
        <f t="shared" si="637"/>
        <v>6.4061594552694459</v>
      </c>
      <c r="CQ139" s="17">
        <f t="shared" si="638"/>
        <v>0</v>
      </c>
      <c r="CR139" s="17">
        <f t="shared" si="639"/>
        <v>100</v>
      </c>
      <c r="CS139" s="17">
        <f t="shared" si="640"/>
        <v>26.404773030064671</v>
      </c>
      <c r="CT139" s="17">
        <f t="shared" si="641"/>
        <v>24</v>
      </c>
      <c r="CU139" s="17">
        <f t="shared" si="642"/>
        <v>50</v>
      </c>
      <c r="CV139" s="17">
        <f t="shared" si="643"/>
        <v>65.062647806544774</v>
      </c>
      <c r="CW139" s="17">
        <f t="shared" si="644"/>
        <v>-38.657874776480099</v>
      </c>
      <c r="CX139" s="17">
        <f t="shared" si="582"/>
        <v>-4417.7633280000009</v>
      </c>
      <c r="CY139" s="17">
        <f t="shared" si="582"/>
        <v>-4417.7633280000009</v>
      </c>
      <c r="CZ139" s="17">
        <f t="shared" si="645"/>
        <v>334.67904000000016</v>
      </c>
      <c r="DA139" s="17">
        <f t="shared" si="646"/>
        <v>-1004.0371200000001</v>
      </c>
      <c r="DB139" s="17">
        <f t="shared" si="647"/>
        <v>-26593.920000000002</v>
      </c>
      <c r="DC139" s="17">
        <f t="shared" si="648"/>
        <v>3412</v>
      </c>
      <c r="DD139" s="17">
        <f t="shared" si="649"/>
        <v>308.39020799999997</v>
      </c>
      <c r="DE139" s="17">
        <f t="shared" si="650"/>
        <v>17496.000000000007</v>
      </c>
      <c r="DF139" s="17">
        <f t="shared" si="651"/>
        <v>-3793.8145001472003</v>
      </c>
      <c r="DG139" s="17"/>
      <c r="DH139" s="17">
        <f t="shared" si="652"/>
        <v>-10514.941939202587</v>
      </c>
      <c r="DI139" s="17">
        <f t="shared" si="653"/>
        <v>-29573.274204007277</v>
      </c>
      <c r="DJ139" s="17">
        <f t="shared" si="654"/>
        <v>-2137.5460389420814</v>
      </c>
      <c r="DK139" s="17">
        <f t="shared" si="655"/>
        <v>3187.9959161894853</v>
      </c>
      <c r="DL139" s="17">
        <f t="shared" si="656"/>
        <v>-14258.465700147197</v>
      </c>
      <c r="DM139" s="17">
        <f t="shared" si="657"/>
        <v>-39037.766265962462</v>
      </c>
      <c r="DN139" s="17">
        <f t="shared" si="658"/>
        <v>-53296.231966109655</v>
      </c>
    </row>
    <row r="140" spans="3:120" ht="18.600000000000001">
      <c r="C140" s="13">
        <f>IF(D140&lt;&gt;"",COUNTA($D$10:D140),"")</f>
        <v>113</v>
      </c>
      <c r="D140" s="14" t="s">
        <v>210</v>
      </c>
      <c r="E140" s="14">
        <v>2.1</v>
      </c>
      <c r="F140" s="14">
        <v>1.8</v>
      </c>
      <c r="G140" s="14">
        <v>2.4</v>
      </c>
      <c r="H140" s="14">
        <v>2</v>
      </c>
      <c r="I140" s="14">
        <v>1</v>
      </c>
      <c r="J140" s="14">
        <v>1.75</v>
      </c>
      <c r="K140" s="14">
        <v>3</v>
      </c>
      <c r="L140" s="15">
        <v>0.1</v>
      </c>
      <c r="M140" s="15">
        <v>0</v>
      </c>
      <c r="N140" s="14">
        <v>24</v>
      </c>
      <c r="O140" s="14">
        <v>50</v>
      </c>
      <c r="P140" s="13">
        <v>45</v>
      </c>
      <c r="Q140" s="13">
        <v>85</v>
      </c>
      <c r="R140" s="13" t="s">
        <v>17</v>
      </c>
      <c r="S140" s="13">
        <v>120</v>
      </c>
      <c r="T140" s="13">
        <v>0</v>
      </c>
      <c r="U140" s="13">
        <v>100</v>
      </c>
      <c r="V140" s="13" t="str">
        <f t="shared" si="583"/>
        <v>ISO 6</v>
      </c>
      <c r="W140" s="13">
        <f t="shared" si="584"/>
        <v>120</v>
      </c>
      <c r="X140" s="16">
        <f t="shared" si="585"/>
        <v>40.672800000000002</v>
      </c>
      <c r="Y140" s="16">
        <f t="shared" si="586"/>
        <v>320.17628159999998</v>
      </c>
      <c r="Z140" s="16">
        <f t="shared" si="587"/>
        <v>640.35256319999996</v>
      </c>
      <c r="AA140" s="16">
        <f t="shared" si="588"/>
        <v>64.035256320000002</v>
      </c>
      <c r="AB140" s="16">
        <f t="shared" si="589"/>
        <v>0</v>
      </c>
      <c r="AC140" s="16">
        <f t="shared" si="590"/>
        <v>5.8907382174303526</v>
      </c>
      <c r="AD140" s="16">
        <f t="shared" si="659"/>
        <v>2175</v>
      </c>
      <c r="AE140" s="16">
        <f t="shared" si="592"/>
        <v>2175</v>
      </c>
      <c r="AF140" s="16">
        <f t="shared" si="593"/>
        <v>14</v>
      </c>
      <c r="AG140" s="16">
        <f t="shared" si="594"/>
        <v>5.5</v>
      </c>
      <c r="AH140" s="838" t="s">
        <v>85</v>
      </c>
      <c r="AI140" s="17">
        <f t="shared" si="595"/>
        <v>4.5</v>
      </c>
      <c r="AJ140" s="17">
        <f t="shared" si="596"/>
        <v>5.5</v>
      </c>
      <c r="AK140" s="891"/>
      <c r="AL140" s="18"/>
      <c r="AM140" s="889"/>
      <c r="AN140" s="891"/>
      <c r="AO140" s="888"/>
      <c r="AP140" s="891"/>
      <c r="AQ140" s="891"/>
      <c r="AR140" s="889"/>
      <c r="AS140" s="888"/>
      <c r="AT140" s="888"/>
      <c r="AU140" s="890"/>
      <c r="AV140" s="888"/>
      <c r="AW140" s="888"/>
      <c r="AX140" s="888"/>
      <c r="AY140" s="887"/>
      <c r="AZ140" s="888"/>
      <c r="BA140" s="17">
        <f t="shared" si="597"/>
        <v>14.399999999999991</v>
      </c>
      <c r="BB140" s="17">
        <f t="shared" si="598"/>
        <v>37.799999999999997</v>
      </c>
      <c r="BC140" s="17">
        <f t="shared" si="599"/>
        <v>32</v>
      </c>
      <c r="BD140" s="17">
        <f t="shared" si="600"/>
        <v>85</v>
      </c>
      <c r="BE140" s="17">
        <f t="shared" si="601"/>
        <v>180.86341983910182</v>
      </c>
      <c r="BF140" s="17">
        <f t="shared" si="602"/>
        <v>24</v>
      </c>
      <c r="BG140" s="17">
        <f t="shared" si="603"/>
        <v>50</v>
      </c>
      <c r="BH140" s="17">
        <f t="shared" si="604"/>
        <v>65.062647806544774</v>
      </c>
      <c r="BI140" s="17">
        <f t="shared" si="605"/>
        <v>115.80077203255705</v>
      </c>
      <c r="BJ140" s="17">
        <f t="shared" si="606"/>
        <v>45</v>
      </c>
      <c r="BK140" s="17">
        <f t="shared" si="607"/>
        <v>85</v>
      </c>
      <c r="BL140" s="17">
        <f t="shared" si="608"/>
        <v>380.54120080897206</v>
      </c>
      <c r="BM140" s="17">
        <f t="shared" si="609"/>
        <v>24</v>
      </c>
      <c r="BN140" s="17">
        <f t="shared" si="610"/>
        <v>50</v>
      </c>
      <c r="BO140" s="17">
        <f t="shared" si="611"/>
        <v>65.062647806544774</v>
      </c>
      <c r="BP140" s="17">
        <f t="shared" si="612"/>
        <v>315.4785530024273</v>
      </c>
      <c r="BQ140" s="17">
        <f t="shared" si="613"/>
        <v>3426.2766719999995</v>
      </c>
      <c r="BR140" s="17">
        <f t="shared" si="614"/>
        <v>1305.2482559999992</v>
      </c>
      <c r="BS140" s="17">
        <f t="shared" si="615"/>
        <v>263.55974399999985</v>
      </c>
      <c r="BT140" s="17">
        <f t="shared" si="616"/>
        <v>691.84432800000002</v>
      </c>
      <c r="BU140" s="17">
        <f t="shared" si="617"/>
        <v>23269.68</v>
      </c>
      <c r="BV140" s="17">
        <f t="shared" si="618"/>
        <v>3412</v>
      </c>
      <c r="BW140" s="17">
        <f t="shared" si="619"/>
        <v>242.85728880000002</v>
      </c>
      <c r="BX140" s="17">
        <f t="shared" si="620"/>
        <v>17495.999999999989</v>
      </c>
      <c r="BY140" s="17">
        <f t="shared" si="621"/>
        <v>2614.1753040076801</v>
      </c>
      <c r="BZ140" s="17"/>
      <c r="CA140" s="17">
        <f t="shared" si="622"/>
        <v>85810.166416660228</v>
      </c>
      <c r="CB140" s="17">
        <f t="shared" si="623"/>
        <v>241341.0930468569</v>
      </c>
      <c r="CC140" s="17">
        <f t="shared" si="624"/>
        <v>13737.190003381735</v>
      </c>
      <c r="CD140" s="17">
        <f t="shared" si="625"/>
        <v>123634.7100304356</v>
      </c>
      <c r="CE140" s="17">
        <f t="shared" si="626"/>
        <v>50460.989264807671</v>
      </c>
      <c r="CF140" s="17">
        <f t="shared" si="627"/>
        <v>464523.15949733445</v>
      </c>
      <c r="CG140" s="17">
        <f t="shared" si="628"/>
        <v>514984.14876214211</v>
      </c>
      <c r="CH140" s="17">
        <f t="shared" si="629"/>
        <v>14.400000000000006</v>
      </c>
      <c r="CI140" s="17">
        <f t="shared" si="630"/>
        <v>-43.2</v>
      </c>
      <c r="CJ140" s="17">
        <f t="shared" si="631"/>
        <v>16</v>
      </c>
      <c r="CK140" s="17">
        <f t="shared" si="632"/>
        <v>90</v>
      </c>
      <c r="CL140" s="17">
        <f t="shared" si="633"/>
        <v>71.46880726181422</v>
      </c>
      <c r="CM140" s="17">
        <f t="shared" si="634"/>
        <v>24</v>
      </c>
      <c r="CN140" s="17">
        <f t="shared" si="635"/>
        <v>50</v>
      </c>
      <c r="CO140" s="17">
        <f t="shared" si="636"/>
        <v>65.062647806544774</v>
      </c>
      <c r="CP140" s="17">
        <f t="shared" si="637"/>
        <v>6.4061594552694459</v>
      </c>
      <c r="CQ140" s="17">
        <f t="shared" si="638"/>
        <v>0</v>
      </c>
      <c r="CR140" s="17">
        <f t="shared" si="639"/>
        <v>100</v>
      </c>
      <c r="CS140" s="17">
        <f t="shared" si="640"/>
        <v>26.404773030064671</v>
      </c>
      <c r="CT140" s="17">
        <f t="shared" si="641"/>
        <v>24</v>
      </c>
      <c r="CU140" s="17">
        <f t="shared" si="642"/>
        <v>50</v>
      </c>
      <c r="CV140" s="17">
        <f t="shared" si="643"/>
        <v>65.062647806544774</v>
      </c>
      <c r="CW140" s="17">
        <f t="shared" si="644"/>
        <v>-38.657874776480099</v>
      </c>
      <c r="CX140" s="17">
        <f t="shared" si="582"/>
        <v>-3915.744768</v>
      </c>
      <c r="CY140" s="17">
        <f t="shared" si="582"/>
        <v>-3915.744768</v>
      </c>
      <c r="CZ140" s="17">
        <f t="shared" si="645"/>
        <v>263.55974400000014</v>
      </c>
      <c r="DA140" s="17">
        <f t="shared" si="646"/>
        <v>-790.67923200000007</v>
      </c>
      <c r="DB140" s="17">
        <f t="shared" si="647"/>
        <v>-26593.920000000002</v>
      </c>
      <c r="DC140" s="17">
        <f t="shared" si="648"/>
        <v>3412</v>
      </c>
      <c r="DD140" s="17">
        <f t="shared" si="649"/>
        <v>242.85728880000002</v>
      </c>
      <c r="DE140" s="17">
        <f t="shared" si="650"/>
        <v>17496.000000000007</v>
      </c>
      <c r="DF140" s="17">
        <f t="shared" si="651"/>
        <v>-2987.6289188659202</v>
      </c>
      <c r="DG140" s="17"/>
      <c r="DH140" s="17">
        <f t="shared" si="652"/>
        <v>-10514.941939202587</v>
      </c>
      <c r="DI140" s="17">
        <f t="shared" si="653"/>
        <v>-29573.274204007277</v>
      </c>
      <c r="DJ140" s="17">
        <f t="shared" si="654"/>
        <v>-1683.3175056668888</v>
      </c>
      <c r="DK140" s="17">
        <f t="shared" si="655"/>
        <v>2510.5467839992198</v>
      </c>
      <c r="DL140" s="17">
        <f t="shared" si="656"/>
        <v>-12873.555886065915</v>
      </c>
      <c r="DM140" s="17">
        <f t="shared" si="657"/>
        <v>-39260.986864877537</v>
      </c>
      <c r="DN140" s="17">
        <f t="shared" si="658"/>
        <v>-52134.542750943452</v>
      </c>
    </row>
    <row r="141" spans="3:120" ht="18.600000000000001">
      <c r="C141" s="13">
        <f>IF(D141&lt;&gt;"",COUNTA($D$10:D141),"")</f>
        <v>114</v>
      </c>
      <c r="D141" s="14" t="s">
        <v>211</v>
      </c>
      <c r="E141" s="14">
        <v>1.8</v>
      </c>
      <c r="F141" s="14">
        <v>1.9</v>
      </c>
      <c r="G141" s="14">
        <v>2.4</v>
      </c>
      <c r="H141" s="14">
        <v>2</v>
      </c>
      <c r="I141" s="14">
        <v>1</v>
      </c>
      <c r="J141" s="14">
        <v>1.75</v>
      </c>
      <c r="K141" s="14">
        <v>3</v>
      </c>
      <c r="L141" s="15">
        <v>0.1</v>
      </c>
      <c r="M141" s="15">
        <v>0</v>
      </c>
      <c r="N141" s="14">
        <v>24</v>
      </c>
      <c r="O141" s="14">
        <v>50</v>
      </c>
      <c r="P141" s="13">
        <v>45</v>
      </c>
      <c r="Q141" s="13">
        <v>85</v>
      </c>
      <c r="R141" s="13" t="s">
        <v>17</v>
      </c>
      <c r="S141" s="13">
        <v>120</v>
      </c>
      <c r="T141" s="13">
        <v>0</v>
      </c>
      <c r="U141" s="13">
        <v>100</v>
      </c>
      <c r="V141" s="13" t="str">
        <f t="shared" si="583"/>
        <v>ISO 6</v>
      </c>
      <c r="W141" s="13">
        <f t="shared" si="584"/>
        <v>120</v>
      </c>
      <c r="X141" s="16">
        <f t="shared" si="585"/>
        <v>36.799199999999999</v>
      </c>
      <c r="Y141" s="16">
        <f t="shared" si="586"/>
        <v>289.68330239999995</v>
      </c>
      <c r="Z141" s="16">
        <f t="shared" si="587"/>
        <v>579.36660479999989</v>
      </c>
      <c r="AA141" s="16">
        <f t="shared" si="588"/>
        <v>57.936660479999993</v>
      </c>
      <c r="AB141" s="16">
        <f t="shared" si="589"/>
        <v>0</v>
      </c>
      <c r="AC141" s="16">
        <f t="shared" si="590"/>
        <v>5.3297155300560322</v>
      </c>
      <c r="AD141" s="16">
        <f t="shared" si="659"/>
        <v>2125</v>
      </c>
      <c r="AE141" s="16">
        <f t="shared" si="592"/>
        <v>2125</v>
      </c>
      <c r="AF141" s="16">
        <f t="shared" si="593"/>
        <v>14</v>
      </c>
      <c r="AG141" s="16">
        <f t="shared" si="594"/>
        <v>5.5</v>
      </c>
      <c r="AH141" s="838" t="s">
        <v>85</v>
      </c>
      <c r="AI141" s="17">
        <f t="shared" si="595"/>
        <v>4.5</v>
      </c>
      <c r="AJ141" s="17">
        <f t="shared" si="596"/>
        <v>5.5</v>
      </c>
      <c r="AK141" s="891"/>
      <c r="AL141" s="18"/>
      <c r="AM141" s="889"/>
      <c r="AN141" s="891"/>
      <c r="AO141" s="888"/>
      <c r="AP141" s="891"/>
      <c r="AQ141" s="891"/>
      <c r="AR141" s="889"/>
      <c r="AS141" s="888"/>
      <c r="AT141" s="888"/>
      <c r="AU141" s="890"/>
      <c r="AV141" s="888"/>
      <c r="AW141" s="888"/>
      <c r="AX141" s="888"/>
      <c r="AY141" s="887"/>
      <c r="AZ141" s="888"/>
      <c r="BA141" s="17">
        <f t="shared" si="597"/>
        <v>14.399999999999991</v>
      </c>
      <c r="BB141" s="17">
        <f t="shared" si="598"/>
        <v>37.799999999999997</v>
      </c>
      <c r="BC141" s="17">
        <f t="shared" si="599"/>
        <v>32</v>
      </c>
      <c r="BD141" s="17">
        <f t="shared" si="600"/>
        <v>85</v>
      </c>
      <c r="BE141" s="17">
        <f t="shared" si="601"/>
        <v>180.86341983910182</v>
      </c>
      <c r="BF141" s="17">
        <f t="shared" si="602"/>
        <v>24</v>
      </c>
      <c r="BG141" s="17">
        <f t="shared" si="603"/>
        <v>50</v>
      </c>
      <c r="BH141" s="17">
        <f t="shared" si="604"/>
        <v>65.062647806544774</v>
      </c>
      <c r="BI141" s="17">
        <f t="shared" si="605"/>
        <v>115.80077203255705</v>
      </c>
      <c r="BJ141" s="17">
        <f t="shared" si="606"/>
        <v>45</v>
      </c>
      <c r="BK141" s="17">
        <f t="shared" si="607"/>
        <v>85</v>
      </c>
      <c r="BL141" s="17">
        <f t="shared" si="608"/>
        <v>380.54120080897206</v>
      </c>
      <c r="BM141" s="17">
        <f t="shared" si="609"/>
        <v>24</v>
      </c>
      <c r="BN141" s="17">
        <f t="shared" si="610"/>
        <v>50</v>
      </c>
      <c r="BO141" s="17">
        <f t="shared" si="611"/>
        <v>65.062647806544774</v>
      </c>
      <c r="BP141" s="17">
        <f t="shared" si="612"/>
        <v>315.4785530024273</v>
      </c>
      <c r="BQ141" s="17">
        <f t="shared" si="613"/>
        <v>3250.5701760000002</v>
      </c>
      <c r="BR141" s="17">
        <f t="shared" si="614"/>
        <v>1238.3124479999992</v>
      </c>
      <c r="BS141" s="17">
        <f t="shared" si="615"/>
        <v>238.45881599999987</v>
      </c>
      <c r="BT141" s="17">
        <f t="shared" si="616"/>
        <v>625.95439199999998</v>
      </c>
      <c r="BU141" s="17">
        <f t="shared" si="617"/>
        <v>23269.68</v>
      </c>
      <c r="BV141" s="17">
        <f t="shared" si="618"/>
        <v>3412</v>
      </c>
      <c r="BW141" s="17">
        <f t="shared" si="619"/>
        <v>219.7280232</v>
      </c>
      <c r="BX141" s="17">
        <f t="shared" si="620"/>
        <v>17495.999999999989</v>
      </c>
      <c r="BY141" s="17">
        <f t="shared" si="621"/>
        <v>2365.2062274355198</v>
      </c>
      <c r="BZ141" s="17"/>
      <c r="CA141" s="17">
        <f t="shared" si="622"/>
        <v>85810.166416660228</v>
      </c>
      <c r="CB141" s="17">
        <f t="shared" si="623"/>
        <v>241341.0930468569</v>
      </c>
      <c r="CC141" s="17">
        <f t="shared" si="624"/>
        <v>12428.886193535853</v>
      </c>
      <c r="CD141" s="17">
        <f t="shared" si="625"/>
        <v>111859.97574182268</v>
      </c>
      <c r="CE141" s="17">
        <f t="shared" si="626"/>
        <v>50013.184426635511</v>
      </c>
      <c r="CF141" s="17">
        <f t="shared" si="627"/>
        <v>451440.12139887566</v>
      </c>
      <c r="CG141" s="17">
        <f t="shared" si="628"/>
        <v>501453.30582551117</v>
      </c>
      <c r="CH141" s="17">
        <f t="shared" si="629"/>
        <v>14.400000000000006</v>
      </c>
      <c r="CI141" s="17">
        <f t="shared" si="630"/>
        <v>-43.2</v>
      </c>
      <c r="CJ141" s="17">
        <f t="shared" si="631"/>
        <v>16</v>
      </c>
      <c r="CK141" s="17">
        <f t="shared" si="632"/>
        <v>90</v>
      </c>
      <c r="CL141" s="17">
        <f t="shared" si="633"/>
        <v>71.46880726181422</v>
      </c>
      <c r="CM141" s="17">
        <f t="shared" si="634"/>
        <v>24</v>
      </c>
      <c r="CN141" s="17">
        <f t="shared" si="635"/>
        <v>50</v>
      </c>
      <c r="CO141" s="17">
        <f t="shared" si="636"/>
        <v>65.062647806544774</v>
      </c>
      <c r="CP141" s="17">
        <f t="shared" si="637"/>
        <v>6.4061594552694459</v>
      </c>
      <c r="CQ141" s="17">
        <f t="shared" si="638"/>
        <v>0</v>
      </c>
      <c r="CR141" s="17">
        <f t="shared" si="639"/>
        <v>100</v>
      </c>
      <c r="CS141" s="17">
        <f t="shared" si="640"/>
        <v>26.404773030064671</v>
      </c>
      <c r="CT141" s="17">
        <f t="shared" si="641"/>
        <v>24</v>
      </c>
      <c r="CU141" s="17">
        <f t="shared" si="642"/>
        <v>50</v>
      </c>
      <c r="CV141" s="17">
        <f t="shared" si="643"/>
        <v>65.062647806544774</v>
      </c>
      <c r="CW141" s="17">
        <f t="shared" si="644"/>
        <v>-38.657874776480099</v>
      </c>
      <c r="CX141" s="17">
        <f t="shared" si="582"/>
        <v>-3714.9373440000004</v>
      </c>
      <c r="CY141" s="17">
        <f t="shared" si="582"/>
        <v>-3714.9373440000004</v>
      </c>
      <c r="CZ141" s="17">
        <f t="shared" si="645"/>
        <v>238.45881600000007</v>
      </c>
      <c r="DA141" s="17">
        <f t="shared" si="646"/>
        <v>-715.3764480000001</v>
      </c>
      <c r="DB141" s="17">
        <f t="shared" si="647"/>
        <v>-26593.920000000002</v>
      </c>
      <c r="DC141" s="17">
        <f t="shared" si="648"/>
        <v>3412</v>
      </c>
      <c r="DD141" s="17">
        <f t="shared" si="649"/>
        <v>219.7280232</v>
      </c>
      <c r="DE141" s="17">
        <f t="shared" si="650"/>
        <v>17496.000000000007</v>
      </c>
      <c r="DF141" s="17">
        <f t="shared" si="651"/>
        <v>-2703.0928313548802</v>
      </c>
      <c r="DG141" s="17"/>
      <c r="DH141" s="17">
        <f t="shared" si="652"/>
        <v>-10514.941939202587</v>
      </c>
      <c r="DI141" s="17">
        <f t="shared" si="653"/>
        <v>-29573.274204007277</v>
      </c>
      <c r="DJ141" s="17">
        <f t="shared" si="654"/>
        <v>-1523.0015527462326</v>
      </c>
      <c r="DK141" s="17">
        <f t="shared" si="655"/>
        <v>2271.447090285008</v>
      </c>
      <c r="DL141" s="17">
        <f t="shared" si="656"/>
        <v>-12361.139784154871</v>
      </c>
      <c r="DM141" s="17">
        <f t="shared" si="657"/>
        <v>-39339.770605671089</v>
      </c>
      <c r="DN141" s="17">
        <f t="shared" si="658"/>
        <v>-51700.910389825964</v>
      </c>
    </row>
    <row r="142" spans="3:120" ht="18.600000000000001">
      <c r="C142" s="13">
        <f>IF(D142&lt;&gt;"",COUNTA($D$10:D142),"")</f>
        <v>115</v>
      </c>
      <c r="D142" s="14" t="s">
        <v>212</v>
      </c>
      <c r="E142" s="14">
        <v>1.9</v>
      </c>
      <c r="F142" s="14">
        <v>2</v>
      </c>
      <c r="G142" s="14">
        <v>2.4</v>
      </c>
      <c r="H142" s="14">
        <v>2</v>
      </c>
      <c r="I142" s="14">
        <v>1</v>
      </c>
      <c r="J142" s="14">
        <v>1.75</v>
      </c>
      <c r="K142" s="14">
        <v>3</v>
      </c>
      <c r="L142" s="15">
        <v>0.1</v>
      </c>
      <c r="M142" s="15">
        <v>0</v>
      </c>
      <c r="N142" s="14">
        <v>24</v>
      </c>
      <c r="O142" s="14">
        <v>50</v>
      </c>
      <c r="P142" s="13">
        <v>45</v>
      </c>
      <c r="Q142" s="13">
        <v>85</v>
      </c>
      <c r="R142" s="13" t="s">
        <v>17</v>
      </c>
      <c r="S142" s="13">
        <v>120</v>
      </c>
      <c r="T142" s="13">
        <v>0</v>
      </c>
      <c r="U142" s="13">
        <v>100</v>
      </c>
      <c r="V142" s="13" t="str">
        <f t="shared" si="583"/>
        <v>ISO 6</v>
      </c>
      <c r="W142" s="13">
        <f t="shared" si="584"/>
        <v>120</v>
      </c>
      <c r="X142" s="16">
        <f t="shared" si="585"/>
        <v>40.887999999999998</v>
      </c>
      <c r="Y142" s="16">
        <f t="shared" si="586"/>
        <v>321.87033599999995</v>
      </c>
      <c r="Z142" s="16">
        <f t="shared" si="587"/>
        <v>643.7406719999999</v>
      </c>
      <c r="AA142" s="16">
        <f t="shared" si="588"/>
        <v>64.374067199999999</v>
      </c>
      <c r="AB142" s="16">
        <f t="shared" si="589"/>
        <v>0</v>
      </c>
      <c r="AC142" s="16">
        <f t="shared" si="590"/>
        <v>5.9219061445067043</v>
      </c>
      <c r="AD142" s="16">
        <f t="shared" si="659"/>
        <v>2175</v>
      </c>
      <c r="AE142" s="16">
        <f t="shared" si="592"/>
        <v>2175</v>
      </c>
      <c r="AF142" s="16">
        <f t="shared" si="593"/>
        <v>14</v>
      </c>
      <c r="AG142" s="16">
        <f t="shared" si="594"/>
        <v>5.5</v>
      </c>
      <c r="AH142" s="838" t="s">
        <v>85</v>
      </c>
      <c r="AI142" s="17">
        <f t="shared" si="595"/>
        <v>4.5</v>
      </c>
      <c r="AJ142" s="17">
        <f t="shared" si="596"/>
        <v>5.5</v>
      </c>
      <c r="AK142" s="891"/>
      <c r="AL142" s="18"/>
      <c r="AM142" s="889"/>
      <c r="AN142" s="891"/>
      <c r="AO142" s="888"/>
      <c r="AP142" s="891"/>
      <c r="AQ142" s="891"/>
      <c r="AR142" s="889"/>
      <c r="AS142" s="888"/>
      <c r="AT142" s="888"/>
      <c r="AU142" s="890"/>
      <c r="AV142" s="888"/>
      <c r="AW142" s="888"/>
      <c r="AX142" s="888"/>
      <c r="AY142" s="887"/>
      <c r="AZ142" s="888"/>
      <c r="BA142" s="17">
        <f t="shared" si="597"/>
        <v>14.399999999999991</v>
      </c>
      <c r="BB142" s="17">
        <f t="shared" si="598"/>
        <v>37.799999999999997</v>
      </c>
      <c r="BC142" s="17">
        <f t="shared" si="599"/>
        <v>32</v>
      </c>
      <c r="BD142" s="17">
        <f t="shared" si="600"/>
        <v>85</v>
      </c>
      <c r="BE142" s="17">
        <f t="shared" si="601"/>
        <v>180.86341983910182</v>
      </c>
      <c r="BF142" s="17">
        <f t="shared" si="602"/>
        <v>24</v>
      </c>
      <c r="BG142" s="17">
        <f t="shared" si="603"/>
        <v>50</v>
      </c>
      <c r="BH142" s="17">
        <f t="shared" si="604"/>
        <v>65.062647806544774</v>
      </c>
      <c r="BI142" s="17">
        <f t="shared" si="605"/>
        <v>115.80077203255705</v>
      </c>
      <c r="BJ142" s="17">
        <f t="shared" si="606"/>
        <v>45</v>
      </c>
      <c r="BK142" s="17">
        <f t="shared" si="607"/>
        <v>85</v>
      </c>
      <c r="BL142" s="17">
        <f t="shared" si="608"/>
        <v>380.54120080897206</v>
      </c>
      <c r="BM142" s="17">
        <f t="shared" si="609"/>
        <v>24</v>
      </c>
      <c r="BN142" s="17">
        <f t="shared" si="610"/>
        <v>50</v>
      </c>
      <c r="BO142" s="17">
        <f t="shared" si="611"/>
        <v>65.062647806544774</v>
      </c>
      <c r="BP142" s="17">
        <f t="shared" si="612"/>
        <v>315.4785530024273</v>
      </c>
      <c r="BQ142" s="17">
        <f t="shared" si="613"/>
        <v>3426.2766719999991</v>
      </c>
      <c r="BR142" s="17">
        <f t="shared" si="614"/>
        <v>1305.2482559999989</v>
      </c>
      <c r="BS142" s="17">
        <f t="shared" si="615"/>
        <v>264.95423999999986</v>
      </c>
      <c r="BT142" s="17">
        <f t="shared" si="616"/>
        <v>695.50487999999984</v>
      </c>
      <c r="BU142" s="17">
        <f t="shared" si="617"/>
        <v>23269.68</v>
      </c>
      <c r="BV142" s="17">
        <f t="shared" si="618"/>
        <v>3412</v>
      </c>
      <c r="BW142" s="17">
        <f t="shared" si="619"/>
        <v>244.142248</v>
      </c>
      <c r="BX142" s="17">
        <f t="shared" si="620"/>
        <v>17495.999999999989</v>
      </c>
      <c r="BY142" s="17">
        <f t="shared" si="621"/>
        <v>2628.0069193727995</v>
      </c>
      <c r="BZ142" s="17"/>
      <c r="CA142" s="17">
        <f t="shared" si="622"/>
        <v>85810.166416660228</v>
      </c>
      <c r="CB142" s="17">
        <f t="shared" si="623"/>
        <v>241341.0930468569</v>
      </c>
      <c r="CC142" s="17">
        <f t="shared" si="624"/>
        <v>13809.873548373173</v>
      </c>
      <c r="CD142" s="17">
        <f t="shared" si="625"/>
        <v>124288.86193535852</v>
      </c>
      <c r="CE142" s="17">
        <f t="shared" si="626"/>
        <v>50476.105839372787</v>
      </c>
      <c r="CF142" s="17">
        <f t="shared" si="627"/>
        <v>465249.99494724884</v>
      </c>
      <c r="CG142" s="17">
        <f t="shared" si="628"/>
        <v>515726.10078662162</v>
      </c>
      <c r="CH142" s="17">
        <f t="shared" si="629"/>
        <v>14.400000000000006</v>
      </c>
      <c r="CI142" s="17">
        <f t="shared" si="630"/>
        <v>-43.2</v>
      </c>
      <c r="CJ142" s="17">
        <f t="shared" si="631"/>
        <v>16</v>
      </c>
      <c r="CK142" s="17">
        <f t="shared" si="632"/>
        <v>90</v>
      </c>
      <c r="CL142" s="17">
        <f t="shared" si="633"/>
        <v>71.46880726181422</v>
      </c>
      <c r="CM142" s="17">
        <f t="shared" si="634"/>
        <v>24</v>
      </c>
      <c r="CN142" s="17">
        <f t="shared" si="635"/>
        <v>50</v>
      </c>
      <c r="CO142" s="17">
        <f t="shared" si="636"/>
        <v>65.062647806544774</v>
      </c>
      <c r="CP142" s="17">
        <f t="shared" si="637"/>
        <v>6.4061594552694459</v>
      </c>
      <c r="CQ142" s="17">
        <f t="shared" si="638"/>
        <v>0</v>
      </c>
      <c r="CR142" s="17">
        <f t="shared" si="639"/>
        <v>100</v>
      </c>
      <c r="CS142" s="17">
        <f t="shared" si="640"/>
        <v>26.404773030064671</v>
      </c>
      <c r="CT142" s="17">
        <f t="shared" si="641"/>
        <v>24</v>
      </c>
      <c r="CU142" s="17">
        <f t="shared" si="642"/>
        <v>50</v>
      </c>
      <c r="CV142" s="17">
        <f t="shared" si="643"/>
        <v>65.062647806544774</v>
      </c>
      <c r="CW142" s="17">
        <f t="shared" si="644"/>
        <v>-38.657874776480099</v>
      </c>
      <c r="CX142" s="17">
        <f t="shared" si="582"/>
        <v>-3915.744768</v>
      </c>
      <c r="CY142" s="17">
        <f t="shared" si="582"/>
        <v>-3915.744768</v>
      </c>
      <c r="CZ142" s="17">
        <f t="shared" si="645"/>
        <v>264.95424000000008</v>
      </c>
      <c r="DA142" s="17">
        <f t="shared" si="646"/>
        <v>-794.86271999999997</v>
      </c>
      <c r="DB142" s="17">
        <f t="shared" si="647"/>
        <v>-26593.920000000002</v>
      </c>
      <c r="DC142" s="17">
        <f t="shared" si="648"/>
        <v>3412</v>
      </c>
      <c r="DD142" s="17">
        <f t="shared" si="649"/>
        <v>244.142248</v>
      </c>
      <c r="DE142" s="17">
        <f t="shared" si="650"/>
        <v>17496.000000000007</v>
      </c>
      <c r="DF142" s="17">
        <f t="shared" si="651"/>
        <v>-3003.4364792832002</v>
      </c>
      <c r="DG142" s="17"/>
      <c r="DH142" s="17">
        <f t="shared" si="652"/>
        <v>-10514.941939202587</v>
      </c>
      <c r="DI142" s="17">
        <f t="shared" si="653"/>
        <v>-29573.274204007277</v>
      </c>
      <c r="DJ142" s="17">
        <f t="shared" si="654"/>
        <v>-1692.2239474958142</v>
      </c>
      <c r="DK142" s="17">
        <f t="shared" si="655"/>
        <v>2523.8301003166753</v>
      </c>
      <c r="DL142" s="17">
        <f t="shared" si="656"/>
        <v>-12890.867479283193</v>
      </c>
      <c r="DM142" s="17">
        <f t="shared" si="657"/>
        <v>-39256.609990388999</v>
      </c>
      <c r="DN142" s="17">
        <f t="shared" si="658"/>
        <v>-52147.477469672194</v>
      </c>
    </row>
    <row r="143" spans="3:120" ht="18.600000000000001">
      <c r="C143" s="13">
        <f>IF(D143&lt;&gt;"",COUNTA($D$10:D143),"")</f>
        <v>116</v>
      </c>
      <c r="D143" s="14" t="s">
        <v>213</v>
      </c>
      <c r="E143" s="14">
        <v>2.2999999999999998</v>
      </c>
      <c r="F143" s="14">
        <v>2.2000000000000002</v>
      </c>
      <c r="G143" s="14">
        <v>2.4</v>
      </c>
      <c r="H143" s="14">
        <v>2</v>
      </c>
      <c r="I143" s="14">
        <v>1</v>
      </c>
      <c r="J143" s="14">
        <v>1.75</v>
      </c>
      <c r="K143" s="14">
        <v>3</v>
      </c>
      <c r="L143" s="15">
        <v>0.1</v>
      </c>
      <c r="M143" s="15">
        <v>0</v>
      </c>
      <c r="N143" s="14">
        <v>24</v>
      </c>
      <c r="O143" s="14">
        <v>50</v>
      </c>
      <c r="P143" s="13">
        <v>45</v>
      </c>
      <c r="Q143" s="13">
        <v>85</v>
      </c>
      <c r="R143" s="13" t="s">
        <v>17</v>
      </c>
      <c r="S143" s="13">
        <v>120</v>
      </c>
      <c r="T143" s="13">
        <v>0</v>
      </c>
      <c r="U143" s="13">
        <v>100</v>
      </c>
      <c r="V143" s="13" t="str">
        <f t="shared" si="583"/>
        <v>ISO 6</v>
      </c>
      <c r="W143" s="13">
        <f t="shared" si="584"/>
        <v>120</v>
      </c>
      <c r="X143" s="16">
        <f t="shared" si="585"/>
        <v>54.445599999999992</v>
      </c>
      <c r="Y143" s="16">
        <f t="shared" si="586"/>
        <v>428.59576319999991</v>
      </c>
      <c r="Z143" s="16">
        <f t="shared" si="587"/>
        <v>857.19152639999982</v>
      </c>
      <c r="AA143" s="16">
        <f t="shared" si="588"/>
        <v>85.71915263999999</v>
      </c>
      <c r="AB143" s="16">
        <f t="shared" si="589"/>
        <v>0</v>
      </c>
      <c r="AC143" s="16">
        <f t="shared" si="590"/>
        <v>7.8854855503168197</v>
      </c>
      <c r="AD143" s="16">
        <f t="shared" si="659"/>
        <v>2400</v>
      </c>
      <c r="AE143" s="16">
        <f t="shared" si="592"/>
        <v>2400</v>
      </c>
      <c r="AF143" s="16">
        <f t="shared" si="593"/>
        <v>14</v>
      </c>
      <c r="AG143" s="16">
        <f t="shared" si="594"/>
        <v>6</v>
      </c>
      <c r="AH143" s="838" t="s">
        <v>85</v>
      </c>
      <c r="AI143" s="17">
        <f t="shared" si="595"/>
        <v>4.5</v>
      </c>
      <c r="AJ143" s="17">
        <f t="shared" si="596"/>
        <v>6</v>
      </c>
      <c r="AK143" s="891"/>
      <c r="AL143" s="18"/>
      <c r="AM143" s="889"/>
      <c r="AN143" s="891"/>
      <c r="AO143" s="888"/>
      <c r="AP143" s="891"/>
      <c r="AQ143" s="891"/>
      <c r="AR143" s="889"/>
      <c r="AS143" s="888"/>
      <c r="AT143" s="888"/>
      <c r="AU143" s="890"/>
      <c r="AV143" s="888"/>
      <c r="AW143" s="888"/>
      <c r="AX143" s="888"/>
      <c r="AY143" s="887"/>
      <c r="AZ143" s="888"/>
      <c r="BA143" s="17">
        <f t="shared" si="597"/>
        <v>14.399999999999991</v>
      </c>
      <c r="BB143" s="17">
        <f t="shared" si="598"/>
        <v>37.799999999999997</v>
      </c>
      <c r="BC143" s="17">
        <f t="shared" si="599"/>
        <v>32</v>
      </c>
      <c r="BD143" s="17">
        <f t="shared" si="600"/>
        <v>85</v>
      </c>
      <c r="BE143" s="17">
        <f t="shared" si="601"/>
        <v>180.86341983910182</v>
      </c>
      <c r="BF143" s="17">
        <f t="shared" si="602"/>
        <v>24</v>
      </c>
      <c r="BG143" s="17">
        <f t="shared" si="603"/>
        <v>50</v>
      </c>
      <c r="BH143" s="17">
        <f t="shared" si="604"/>
        <v>65.062647806544774</v>
      </c>
      <c r="BI143" s="17">
        <f t="shared" si="605"/>
        <v>115.80077203255705</v>
      </c>
      <c r="BJ143" s="17">
        <f t="shared" si="606"/>
        <v>45</v>
      </c>
      <c r="BK143" s="17">
        <f t="shared" si="607"/>
        <v>85</v>
      </c>
      <c r="BL143" s="17">
        <f t="shared" si="608"/>
        <v>380.54120080897206</v>
      </c>
      <c r="BM143" s="17">
        <f t="shared" si="609"/>
        <v>24</v>
      </c>
      <c r="BN143" s="17">
        <f t="shared" si="610"/>
        <v>50</v>
      </c>
      <c r="BO143" s="17">
        <f t="shared" si="611"/>
        <v>65.062647806544774</v>
      </c>
      <c r="BP143" s="17">
        <f t="shared" si="612"/>
        <v>315.4785530024273</v>
      </c>
      <c r="BQ143" s="17">
        <f t="shared" si="613"/>
        <v>3953.3961599999993</v>
      </c>
      <c r="BR143" s="17">
        <f t="shared" si="614"/>
        <v>1506.0556799999993</v>
      </c>
      <c r="BS143" s="17">
        <f t="shared" si="615"/>
        <v>352.80748799999975</v>
      </c>
      <c r="BT143" s="17">
        <f t="shared" si="616"/>
        <v>926.11965599999974</v>
      </c>
      <c r="BU143" s="17">
        <f t="shared" si="617"/>
        <v>23269.68</v>
      </c>
      <c r="BV143" s="17">
        <f t="shared" si="618"/>
        <v>3412</v>
      </c>
      <c r="BW143" s="17">
        <f t="shared" si="619"/>
        <v>325.0946775999999</v>
      </c>
      <c r="BX143" s="17">
        <f t="shared" si="620"/>
        <v>17495.999999999989</v>
      </c>
      <c r="BY143" s="17">
        <f t="shared" si="621"/>
        <v>3499.3986873753597</v>
      </c>
      <c r="BZ143" s="17"/>
      <c r="CA143" s="17">
        <f t="shared" si="622"/>
        <v>85810.166416660228</v>
      </c>
      <c r="CB143" s="17">
        <f t="shared" si="623"/>
        <v>241341.0930468569</v>
      </c>
      <c r="CC143" s="17">
        <f t="shared" si="624"/>
        <v>18388.936882833746</v>
      </c>
      <c r="CD143" s="17">
        <f t="shared" si="625"/>
        <v>165500.43194550375</v>
      </c>
      <c r="CE143" s="17">
        <f t="shared" si="626"/>
        <v>51955.569524975348</v>
      </c>
      <c r="CF143" s="17">
        <f t="shared" si="627"/>
        <v>511040.62829185458</v>
      </c>
      <c r="CG143" s="17">
        <f t="shared" si="628"/>
        <v>562996.1978168299</v>
      </c>
      <c r="CH143" s="17">
        <f t="shared" si="629"/>
        <v>14.400000000000006</v>
      </c>
      <c r="CI143" s="17">
        <f t="shared" si="630"/>
        <v>-43.2</v>
      </c>
      <c r="CJ143" s="17">
        <f t="shared" si="631"/>
        <v>16</v>
      </c>
      <c r="CK143" s="17">
        <f t="shared" si="632"/>
        <v>90</v>
      </c>
      <c r="CL143" s="17">
        <f t="shared" si="633"/>
        <v>71.46880726181422</v>
      </c>
      <c r="CM143" s="17">
        <f t="shared" si="634"/>
        <v>24</v>
      </c>
      <c r="CN143" s="17">
        <f t="shared" si="635"/>
        <v>50</v>
      </c>
      <c r="CO143" s="17">
        <f t="shared" si="636"/>
        <v>65.062647806544774</v>
      </c>
      <c r="CP143" s="17">
        <f t="shared" si="637"/>
        <v>6.4061594552694459</v>
      </c>
      <c r="CQ143" s="17">
        <f t="shared" si="638"/>
        <v>0</v>
      </c>
      <c r="CR143" s="17">
        <f t="shared" si="639"/>
        <v>100</v>
      </c>
      <c r="CS143" s="17">
        <f t="shared" si="640"/>
        <v>26.404773030064671</v>
      </c>
      <c r="CT143" s="17">
        <f t="shared" si="641"/>
        <v>24</v>
      </c>
      <c r="CU143" s="17">
        <f t="shared" si="642"/>
        <v>50</v>
      </c>
      <c r="CV143" s="17">
        <f t="shared" si="643"/>
        <v>65.062647806544774</v>
      </c>
      <c r="CW143" s="17">
        <f t="shared" si="644"/>
        <v>-38.657874776480099</v>
      </c>
      <c r="CX143" s="17">
        <f t="shared" si="582"/>
        <v>-4518.1670400000012</v>
      </c>
      <c r="CY143" s="17">
        <f t="shared" si="582"/>
        <v>-4518.1670400000012</v>
      </c>
      <c r="CZ143" s="17">
        <f t="shared" si="645"/>
        <v>352.80748800000009</v>
      </c>
      <c r="DA143" s="17">
        <f t="shared" si="646"/>
        <v>-1058.422464</v>
      </c>
      <c r="DB143" s="17">
        <f t="shared" si="647"/>
        <v>-26593.920000000002</v>
      </c>
      <c r="DC143" s="17">
        <f t="shared" si="648"/>
        <v>3412</v>
      </c>
      <c r="DD143" s="17">
        <f t="shared" si="649"/>
        <v>325.0946775999999</v>
      </c>
      <c r="DE143" s="17">
        <f t="shared" si="650"/>
        <v>17496.000000000007</v>
      </c>
      <c r="DF143" s="17">
        <f t="shared" si="651"/>
        <v>-3999.3127855718403</v>
      </c>
      <c r="DG143" s="17"/>
      <c r="DH143" s="17">
        <f t="shared" si="652"/>
        <v>-10514.941939202587</v>
      </c>
      <c r="DI143" s="17">
        <f t="shared" si="653"/>
        <v>-29573.274204007277</v>
      </c>
      <c r="DJ143" s="17">
        <f t="shared" si="654"/>
        <v>-2253.32978271811</v>
      </c>
      <c r="DK143" s="17">
        <f t="shared" si="655"/>
        <v>3360.6790283164155</v>
      </c>
      <c r="DL143" s="17">
        <f t="shared" si="656"/>
        <v>-14583.920123971839</v>
      </c>
      <c r="DM143" s="17">
        <f t="shared" si="657"/>
        <v>-38980.866897611559</v>
      </c>
      <c r="DN143" s="17">
        <f t="shared" si="658"/>
        <v>-53564.787021583397</v>
      </c>
    </row>
    <row r="144" spans="3:120" ht="18.600000000000001">
      <c r="C144" s="13">
        <f>IF(D144&lt;&gt;"",COUNTA($D$10:D144),"")</f>
        <v>117</v>
      </c>
      <c r="D144" s="14" t="s">
        <v>214</v>
      </c>
      <c r="E144" s="14">
        <v>2.2000000000000002</v>
      </c>
      <c r="F144" s="14">
        <v>2.8</v>
      </c>
      <c r="G144" s="14">
        <v>2.4</v>
      </c>
      <c r="H144" s="14">
        <v>2</v>
      </c>
      <c r="I144" s="14">
        <v>1</v>
      </c>
      <c r="J144" s="14">
        <v>1.75</v>
      </c>
      <c r="K144" s="14">
        <v>3</v>
      </c>
      <c r="L144" s="15">
        <v>0.1</v>
      </c>
      <c r="M144" s="15">
        <v>0</v>
      </c>
      <c r="N144" s="14">
        <v>24</v>
      </c>
      <c r="O144" s="14">
        <v>50</v>
      </c>
      <c r="P144" s="13">
        <v>45</v>
      </c>
      <c r="Q144" s="13">
        <v>85</v>
      </c>
      <c r="R144" s="13" t="s">
        <v>17</v>
      </c>
      <c r="S144" s="13">
        <v>120</v>
      </c>
      <c r="T144" s="13">
        <v>0</v>
      </c>
      <c r="U144" s="13">
        <v>100</v>
      </c>
      <c r="V144" s="13" t="str">
        <f t="shared" si="583"/>
        <v>ISO 6</v>
      </c>
      <c r="W144" s="13">
        <f t="shared" si="584"/>
        <v>120</v>
      </c>
      <c r="X144" s="16">
        <f t="shared" si="585"/>
        <v>66.281599999999997</v>
      </c>
      <c r="Y144" s="16">
        <f t="shared" si="586"/>
        <v>521.76875519999999</v>
      </c>
      <c r="Z144" s="16">
        <f t="shared" si="587"/>
        <v>1043.5375104</v>
      </c>
      <c r="AA144" s="16">
        <f t="shared" si="588"/>
        <v>104.35375104000001</v>
      </c>
      <c r="AB144" s="16">
        <f t="shared" si="589"/>
        <v>0</v>
      </c>
      <c r="AC144" s="16">
        <f t="shared" si="590"/>
        <v>9.5997215395161284</v>
      </c>
      <c r="AD144" s="16">
        <f t="shared" si="659"/>
        <v>2575</v>
      </c>
      <c r="AE144" s="16">
        <f t="shared" si="592"/>
        <v>2575</v>
      </c>
      <c r="AF144" s="16">
        <f t="shared" si="593"/>
        <v>16</v>
      </c>
      <c r="AG144" s="16">
        <f t="shared" si="594"/>
        <v>6.5</v>
      </c>
      <c r="AH144" s="838" t="s">
        <v>85</v>
      </c>
      <c r="AI144" s="17">
        <f t="shared" si="595"/>
        <v>4.5</v>
      </c>
      <c r="AJ144" s="17">
        <f t="shared" si="596"/>
        <v>6.5</v>
      </c>
      <c r="AK144" s="891"/>
      <c r="AL144" s="18"/>
      <c r="AM144" s="889"/>
      <c r="AN144" s="891"/>
      <c r="AO144" s="888"/>
      <c r="AP144" s="891"/>
      <c r="AQ144" s="891"/>
      <c r="AR144" s="889"/>
      <c r="AS144" s="888"/>
      <c r="AT144" s="888"/>
      <c r="AU144" s="890"/>
      <c r="AV144" s="888"/>
      <c r="AW144" s="888"/>
      <c r="AX144" s="888"/>
      <c r="AY144" s="887"/>
      <c r="AZ144" s="888"/>
      <c r="BA144" s="17">
        <f t="shared" si="597"/>
        <v>14.399999999999991</v>
      </c>
      <c r="BB144" s="17">
        <f t="shared" si="598"/>
        <v>37.799999999999997</v>
      </c>
      <c r="BC144" s="17">
        <f t="shared" si="599"/>
        <v>32</v>
      </c>
      <c r="BD144" s="17">
        <f t="shared" si="600"/>
        <v>85</v>
      </c>
      <c r="BE144" s="17">
        <f t="shared" si="601"/>
        <v>180.86341983910182</v>
      </c>
      <c r="BF144" s="17">
        <f t="shared" si="602"/>
        <v>24</v>
      </c>
      <c r="BG144" s="17">
        <f t="shared" si="603"/>
        <v>50</v>
      </c>
      <c r="BH144" s="17">
        <f t="shared" si="604"/>
        <v>65.062647806544774</v>
      </c>
      <c r="BI144" s="17">
        <f t="shared" si="605"/>
        <v>115.80077203255705</v>
      </c>
      <c r="BJ144" s="17">
        <f t="shared" si="606"/>
        <v>45</v>
      </c>
      <c r="BK144" s="17">
        <f t="shared" si="607"/>
        <v>85</v>
      </c>
      <c r="BL144" s="17">
        <f t="shared" si="608"/>
        <v>380.54120080897206</v>
      </c>
      <c r="BM144" s="17">
        <f t="shared" si="609"/>
        <v>24</v>
      </c>
      <c r="BN144" s="17">
        <f t="shared" si="610"/>
        <v>50</v>
      </c>
      <c r="BO144" s="17">
        <f t="shared" si="611"/>
        <v>65.062647806544774</v>
      </c>
      <c r="BP144" s="17">
        <f t="shared" si="612"/>
        <v>315.4785530024273</v>
      </c>
      <c r="BQ144" s="17">
        <f t="shared" si="613"/>
        <v>4392.6624000000002</v>
      </c>
      <c r="BR144" s="17">
        <f t="shared" si="614"/>
        <v>1673.3951999999992</v>
      </c>
      <c r="BS144" s="17">
        <f t="shared" si="615"/>
        <v>429.50476799999973</v>
      </c>
      <c r="BT144" s="17">
        <f t="shared" si="616"/>
        <v>1127.4500159999998</v>
      </c>
      <c r="BU144" s="17">
        <f t="shared" si="617"/>
        <v>23269.68</v>
      </c>
      <c r="BV144" s="17">
        <f t="shared" si="618"/>
        <v>3412</v>
      </c>
      <c r="BW144" s="17">
        <f t="shared" si="619"/>
        <v>395.76743359999995</v>
      </c>
      <c r="BX144" s="17">
        <f t="shared" si="620"/>
        <v>17495.999999999989</v>
      </c>
      <c r="BY144" s="17">
        <f t="shared" si="621"/>
        <v>4260.1375324569599</v>
      </c>
      <c r="BZ144" s="17"/>
      <c r="CA144" s="17">
        <f t="shared" si="622"/>
        <v>85810.166416660228</v>
      </c>
      <c r="CB144" s="17">
        <f t="shared" si="623"/>
        <v>241341.0930468569</v>
      </c>
      <c r="CC144" s="17">
        <f t="shared" si="624"/>
        <v>22386.531857362828</v>
      </c>
      <c r="CD144" s="17">
        <f t="shared" si="625"/>
        <v>201478.78671626543</v>
      </c>
      <c r="CE144" s="17">
        <f t="shared" si="626"/>
        <v>53226.247366056945</v>
      </c>
      <c r="CF144" s="17">
        <f t="shared" si="627"/>
        <v>551016.57803714531</v>
      </c>
      <c r="CG144" s="17">
        <f t="shared" si="628"/>
        <v>604242.82540320221</v>
      </c>
      <c r="CH144" s="17">
        <f t="shared" si="629"/>
        <v>14.400000000000006</v>
      </c>
      <c r="CI144" s="17">
        <f t="shared" si="630"/>
        <v>-43.2</v>
      </c>
      <c r="CJ144" s="17">
        <f t="shared" si="631"/>
        <v>16</v>
      </c>
      <c r="CK144" s="17">
        <f t="shared" si="632"/>
        <v>90</v>
      </c>
      <c r="CL144" s="17">
        <f t="shared" si="633"/>
        <v>71.46880726181422</v>
      </c>
      <c r="CM144" s="17">
        <f t="shared" si="634"/>
        <v>24</v>
      </c>
      <c r="CN144" s="17">
        <f t="shared" si="635"/>
        <v>50</v>
      </c>
      <c r="CO144" s="17">
        <f t="shared" si="636"/>
        <v>65.062647806544774</v>
      </c>
      <c r="CP144" s="17">
        <f t="shared" si="637"/>
        <v>6.4061594552694459</v>
      </c>
      <c r="CQ144" s="17">
        <f t="shared" si="638"/>
        <v>0</v>
      </c>
      <c r="CR144" s="17">
        <f t="shared" si="639"/>
        <v>100</v>
      </c>
      <c r="CS144" s="17">
        <f t="shared" si="640"/>
        <v>26.404773030064671</v>
      </c>
      <c r="CT144" s="17">
        <f t="shared" si="641"/>
        <v>24</v>
      </c>
      <c r="CU144" s="17">
        <f t="shared" si="642"/>
        <v>50</v>
      </c>
      <c r="CV144" s="17">
        <f t="shared" si="643"/>
        <v>65.062647806544774</v>
      </c>
      <c r="CW144" s="17">
        <f t="shared" si="644"/>
        <v>-38.657874776480099</v>
      </c>
      <c r="CX144" s="17">
        <f t="shared" si="582"/>
        <v>-5020.1856000000007</v>
      </c>
      <c r="CY144" s="17">
        <f t="shared" si="582"/>
        <v>-5020.1856000000007</v>
      </c>
      <c r="CZ144" s="17">
        <f t="shared" si="645"/>
        <v>429.50476800000018</v>
      </c>
      <c r="DA144" s="17">
        <f t="shared" si="646"/>
        <v>-1288.514304</v>
      </c>
      <c r="DB144" s="17">
        <f t="shared" si="647"/>
        <v>-26593.920000000002</v>
      </c>
      <c r="DC144" s="17">
        <f t="shared" si="648"/>
        <v>3412</v>
      </c>
      <c r="DD144" s="17">
        <f t="shared" si="649"/>
        <v>395.76743359999995</v>
      </c>
      <c r="DE144" s="17">
        <f t="shared" si="650"/>
        <v>17496.000000000007</v>
      </c>
      <c r="DF144" s="17">
        <f t="shared" si="651"/>
        <v>-4868.7286085222404</v>
      </c>
      <c r="DG144" s="17"/>
      <c r="DH144" s="17">
        <f t="shared" si="652"/>
        <v>-10514.941939202587</v>
      </c>
      <c r="DI144" s="17">
        <f t="shared" si="653"/>
        <v>-29573.274204007277</v>
      </c>
      <c r="DJ144" s="17">
        <f t="shared" si="654"/>
        <v>-2743.1840833090046</v>
      </c>
      <c r="DK144" s="17">
        <f t="shared" si="655"/>
        <v>4091.2614257765063</v>
      </c>
      <c r="DL144" s="17">
        <f t="shared" si="656"/>
        <v>-16038.076310922239</v>
      </c>
      <c r="DM144" s="17">
        <f t="shared" si="657"/>
        <v>-38740.138800742359</v>
      </c>
      <c r="DN144" s="17">
        <f t="shared" si="658"/>
        <v>-54778.215111664598</v>
      </c>
    </row>
    <row r="145" spans="3:120" ht="18.600000000000001">
      <c r="C145" s="13">
        <f>IF(D145&lt;&gt;"",COUNTA($D$10:D145),"")</f>
        <v>118</v>
      </c>
      <c r="D145" s="14" t="s">
        <v>215</v>
      </c>
      <c r="E145" s="14">
        <v>2.8</v>
      </c>
      <c r="F145" s="14">
        <v>2.4</v>
      </c>
      <c r="G145" s="14">
        <v>2.4</v>
      </c>
      <c r="H145" s="14">
        <v>2</v>
      </c>
      <c r="I145" s="14">
        <v>1</v>
      </c>
      <c r="J145" s="14">
        <v>1.75</v>
      </c>
      <c r="K145" s="14">
        <v>3</v>
      </c>
      <c r="L145" s="15">
        <v>0.1</v>
      </c>
      <c r="M145" s="15">
        <v>0</v>
      </c>
      <c r="N145" s="14">
        <v>24</v>
      </c>
      <c r="O145" s="14">
        <v>50</v>
      </c>
      <c r="P145" s="13">
        <v>45</v>
      </c>
      <c r="Q145" s="13">
        <v>85</v>
      </c>
      <c r="R145" s="13" t="s">
        <v>17</v>
      </c>
      <c r="S145" s="13">
        <v>120</v>
      </c>
      <c r="T145" s="13">
        <v>0</v>
      </c>
      <c r="U145" s="13">
        <v>100</v>
      </c>
      <c r="V145" s="13" t="str">
        <f t="shared" si="583"/>
        <v>ISO 6</v>
      </c>
      <c r="W145" s="13">
        <f t="shared" si="584"/>
        <v>120</v>
      </c>
      <c r="X145" s="16">
        <f t="shared" si="585"/>
        <v>72.307199999999995</v>
      </c>
      <c r="Y145" s="16">
        <f t="shared" si="586"/>
        <v>569.20227839999995</v>
      </c>
      <c r="Z145" s="16">
        <f t="shared" si="587"/>
        <v>1138.4045567999999</v>
      </c>
      <c r="AA145" s="16">
        <f t="shared" si="588"/>
        <v>113.84045567999999</v>
      </c>
      <c r="AB145" s="16">
        <f t="shared" si="589"/>
        <v>0</v>
      </c>
      <c r="AC145" s="16">
        <f t="shared" si="590"/>
        <v>10.472423497653956</v>
      </c>
      <c r="AD145" s="16">
        <f t="shared" si="659"/>
        <v>2675</v>
      </c>
      <c r="AE145" s="16">
        <f t="shared" si="592"/>
        <v>2675</v>
      </c>
      <c r="AF145" s="16">
        <f t="shared" si="593"/>
        <v>16</v>
      </c>
      <c r="AG145" s="16">
        <f t="shared" si="594"/>
        <v>7</v>
      </c>
      <c r="AH145" s="838" t="s">
        <v>85</v>
      </c>
      <c r="AI145" s="17">
        <f t="shared" si="595"/>
        <v>4.5</v>
      </c>
      <c r="AJ145" s="17">
        <f t="shared" si="596"/>
        <v>7</v>
      </c>
      <c r="AK145" s="891"/>
      <c r="AL145" s="18"/>
      <c r="AM145" s="889"/>
      <c r="AN145" s="891"/>
      <c r="AO145" s="888"/>
      <c r="AP145" s="891"/>
      <c r="AQ145" s="891"/>
      <c r="AR145" s="889"/>
      <c r="AS145" s="888"/>
      <c r="AT145" s="888"/>
      <c r="AU145" s="890"/>
      <c r="AV145" s="888"/>
      <c r="AW145" s="888"/>
      <c r="AX145" s="888"/>
      <c r="AY145" s="887"/>
      <c r="AZ145" s="888"/>
      <c r="BA145" s="17">
        <f t="shared" si="597"/>
        <v>14.399999999999991</v>
      </c>
      <c r="BB145" s="17">
        <f t="shared" si="598"/>
        <v>37.799999999999997</v>
      </c>
      <c r="BC145" s="17">
        <f t="shared" si="599"/>
        <v>32</v>
      </c>
      <c r="BD145" s="17">
        <f t="shared" si="600"/>
        <v>85</v>
      </c>
      <c r="BE145" s="17">
        <f t="shared" si="601"/>
        <v>180.86341983910182</v>
      </c>
      <c r="BF145" s="17">
        <f t="shared" si="602"/>
        <v>24</v>
      </c>
      <c r="BG145" s="17">
        <f t="shared" si="603"/>
        <v>50</v>
      </c>
      <c r="BH145" s="17">
        <f t="shared" si="604"/>
        <v>65.062647806544774</v>
      </c>
      <c r="BI145" s="17">
        <f t="shared" si="605"/>
        <v>115.80077203255705</v>
      </c>
      <c r="BJ145" s="17">
        <f t="shared" si="606"/>
        <v>45</v>
      </c>
      <c r="BK145" s="17">
        <f t="shared" si="607"/>
        <v>85</v>
      </c>
      <c r="BL145" s="17">
        <f t="shared" si="608"/>
        <v>380.54120080897206</v>
      </c>
      <c r="BM145" s="17">
        <f t="shared" si="609"/>
        <v>24</v>
      </c>
      <c r="BN145" s="17">
        <f t="shared" si="610"/>
        <v>50</v>
      </c>
      <c r="BO145" s="17">
        <f t="shared" si="611"/>
        <v>65.062647806544774</v>
      </c>
      <c r="BP145" s="17">
        <f t="shared" si="612"/>
        <v>315.4785530024273</v>
      </c>
      <c r="BQ145" s="17">
        <f t="shared" si="613"/>
        <v>4568.368895999999</v>
      </c>
      <c r="BR145" s="17">
        <f t="shared" si="614"/>
        <v>1740.331007999999</v>
      </c>
      <c r="BS145" s="17">
        <f t="shared" si="615"/>
        <v>468.55065599999972</v>
      </c>
      <c r="BT145" s="17">
        <f t="shared" si="616"/>
        <v>1229.9454719999999</v>
      </c>
      <c r="BU145" s="17">
        <f t="shared" si="617"/>
        <v>23269.68</v>
      </c>
      <c r="BV145" s="17">
        <f t="shared" si="618"/>
        <v>3412</v>
      </c>
      <c r="BW145" s="17">
        <f t="shared" si="619"/>
        <v>431.74629119999997</v>
      </c>
      <c r="BX145" s="17">
        <f t="shared" si="620"/>
        <v>17495.999999999989</v>
      </c>
      <c r="BY145" s="17">
        <f t="shared" si="621"/>
        <v>4647.4227626803195</v>
      </c>
      <c r="BZ145" s="17"/>
      <c r="CA145" s="17">
        <f t="shared" si="622"/>
        <v>85810.166416660228</v>
      </c>
      <c r="CB145" s="17">
        <f t="shared" si="623"/>
        <v>241341.0930468569</v>
      </c>
      <c r="CC145" s="17">
        <f t="shared" si="624"/>
        <v>24421.671117123082</v>
      </c>
      <c r="CD145" s="17">
        <f t="shared" si="625"/>
        <v>219795.04005410775</v>
      </c>
      <c r="CE145" s="17">
        <f t="shared" si="626"/>
        <v>53825.217949880309</v>
      </c>
      <c r="CF145" s="17">
        <f t="shared" si="627"/>
        <v>571367.970634748</v>
      </c>
      <c r="CG145" s="17">
        <f t="shared" si="628"/>
        <v>625193.18858462828</v>
      </c>
      <c r="CH145" s="17">
        <f t="shared" si="629"/>
        <v>14.400000000000006</v>
      </c>
      <c r="CI145" s="17">
        <f t="shared" si="630"/>
        <v>-43.2</v>
      </c>
      <c r="CJ145" s="17">
        <f t="shared" si="631"/>
        <v>16</v>
      </c>
      <c r="CK145" s="17">
        <f t="shared" si="632"/>
        <v>90</v>
      </c>
      <c r="CL145" s="17">
        <f t="shared" si="633"/>
        <v>71.46880726181422</v>
      </c>
      <c r="CM145" s="17">
        <f t="shared" si="634"/>
        <v>24</v>
      </c>
      <c r="CN145" s="17">
        <f t="shared" si="635"/>
        <v>50</v>
      </c>
      <c r="CO145" s="17">
        <f t="shared" si="636"/>
        <v>65.062647806544774</v>
      </c>
      <c r="CP145" s="17">
        <f t="shared" si="637"/>
        <v>6.4061594552694459</v>
      </c>
      <c r="CQ145" s="17">
        <f t="shared" si="638"/>
        <v>0</v>
      </c>
      <c r="CR145" s="17">
        <f t="shared" si="639"/>
        <v>100</v>
      </c>
      <c r="CS145" s="17">
        <f t="shared" si="640"/>
        <v>26.404773030064671</v>
      </c>
      <c r="CT145" s="17">
        <f t="shared" si="641"/>
        <v>24</v>
      </c>
      <c r="CU145" s="17">
        <f t="shared" si="642"/>
        <v>50</v>
      </c>
      <c r="CV145" s="17">
        <f t="shared" si="643"/>
        <v>65.062647806544774</v>
      </c>
      <c r="CW145" s="17">
        <f t="shared" si="644"/>
        <v>-38.657874776480099</v>
      </c>
      <c r="CX145" s="17">
        <f t="shared" si="582"/>
        <v>-5220.9930240000003</v>
      </c>
      <c r="CY145" s="17">
        <f t="shared" si="582"/>
        <v>-5220.9930240000003</v>
      </c>
      <c r="CZ145" s="17">
        <f t="shared" si="645"/>
        <v>468.55065600000012</v>
      </c>
      <c r="DA145" s="17">
        <f t="shared" si="646"/>
        <v>-1405.6519680000001</v>
      </c>
      <c r="DB145" s="17">
        <f t="shared" si="647"/>
        <v>-26593.920000000002</v>
      </c>
      <c r="DC145" s="17">
        <f t="shared" si="648"/>
        <v>3412</v>
      </c>
      <c r="DD145" s="17">
        <f t="shared" si="649"/>
        <v>431.74629119999997</v>
      </c>
      <c r="DE145" s="17">
        <f t="shared" si="650"/>
        <v>17496.000000000007</v>
      </c>
      <c r="DF145" s="17">
        <f t="shared" si="651"/>
        <v>-5311.3403002060804</v>
      </c>
      <c r="DG145" s="17"/>
      <c r="DH145" s="17">
        <f t="shared" si="652"/>
        <v>-10514.941939202587</v>
      </c>
      <c r="DI145" s="17">
        <f t="shared" si="653"/>
        <v>-29573.274204007277</v>
      </c>
      <c r="DJ145" s="17">
        <f t="shared" si="654"/>
        <v>-2992.5644545189134</v>
      </c>
      <c r="DK145" s="17">
        <f t="shared" si="655"/>
        <v>4463.1942826652794</v>
      </c>
      <c r="DL145" s="17">
        <f t="shared" si="656"/>
        <v>-16723.608345006072</v>
      </c>
      <c r="DM145" s="17">
        <f t="shared" si="657"/>
        <v>-38617.586315063498</v>
      </c>
      <c r="DN145" s="17">
        <f t="shared" si="658"/>
        <v>-55341.194660069566</v>
      </c>
    </row>
    <row r="146" spans="3:120">
      <c r="C146" s="13" t="str">
        <f>IF(D146&lt;&gt;"",COUNTA($D$10:D146),"")</f>
        <v/>
      </c>
      <c r="D146" s="19"/>
      <c r="E146" s="19"/>
      <c r="F146" s="19"/>
      <c r="G146" s="19"/>
      <c r="H146" s="19"/>
      <c r="I146" s="19"/>
      <c r="J146" s="19"/>
      <c r="K146" s="19"/>
      <c r="L146" s="19"/>
      <c r="M146" s="19"/>
      <c r="N146" s="19"/>
      <c r="O146" s="19"/>
      <c r="P146" s="19"/>
      <c r="Q146" s="19"/>
      <c r="R146" s="19"/>
      <c r="S146" s="19"/>
      <c r="T146" s="19"/>
      <c r="U146" s="19"/>
      <c r="V146" s="19"/>
      <c r="W146" s="19"/>
      <c r="X146" s="20">
        <f>SUM(X130:X145)</f>
        <v>1144.1108000000002</v>
      </c>
      <c r="Y146" s="20">
        <f t="shared" ref="Y146" si="660">SUM(Y130:Y145)</f>
        <v>9006.4402175999985</v>
      </c>
      <c r="Z146" s="20">
        <f t="shared" ref="Z146" si="661">SUM(Z130:Z145)</f>
        <v>18012.880435199997</v>
      </c>
      <c r="AA146" s="20">
        <f t="shared" ref="AA146" si="662">SUM(AA130:AA145)</f>
        <v>1801.2880435199995</v>
      </c>
      <c r="AB146" s="20">
        <f t="shared" ref="AB146" si="663">SUM(AB130:AB145)</f>
        <v>0</v>
      </c>
      <c r="AC146" s="20">
        <f t="shared" ref="AC146" si="664">SUM(AC130:AC145)</f>
        <v>165.70428430142042</v>
      </c>
      <c r="AD146" s="20">
        <f t="shared" ref="AD146" si="665">SUM(AD130:AD145)</f>
        <v>42375</v>
      </c>
      <c r="AE146" s="20">
        <f t="shared" ref="AE146" si="666">SUM(AE130:AE145)</f>
        <v>42375</v>
      </c>
      <c r="AF146" s="20">
        <f t="shared" ref="AF146" si="667">SUM(AF130:AF145)</f>
        <v>260</v>
      </c>
      <c r="AG146" s="20">
        <f t="shared" ref="AG146" si="668">SUM(AG130:AG145)</f>
        <v>108.5</v>
      </c>
      <c r="AH146" s="841"/>
      <c r="AI146" s="20">
        <f t="shared" ref="AI146" si="669">SUM(AI130:AI145)</f>
        <v>76.5</v>
      </c>
      <c r="AJ146" s="20">
        <f t="shared" ref="AJ146" si="670">SUM(AJ130:AJ145)</f>
        <v>108.5</v>
      </c>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2"/>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row>
    <row r="147" spans="3:120">
      <c r="C147" s="13" t="str">
        <f>IF(D147&lt;&gt;"",COUNTA($D$10:D147),"")</f>
        <v/>
      </c>
    </row>
    <row r="148" spans="3:120" ht="29.1">
      <c r="C148" s="8" t="str">
        <f>"Zoning Area  AHU - " &amp; INT((ROW()-8)/20)+1 &amp; "  " &amp;IF(AQ150&gt;0,"Air-Conditioning System " &amp; IF(AH150="D","(DX)",IF(AH150="C","(Chilled Water)","")),IF(AND(N150="Amb",AQ150=0),"Ventilation System","Refer"))</f>
        <v>Zoning Area  AHU - 8  Air-Conditioning System (Chilled Water)</v>
      </c>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39"/>
      <c r="AI148" s="8"/>
      <c r="AJ148" s="8"/>
      <c r="AK148" s="8"/>
      <c r="AL148" s="8"/>
      <c r="AM148" s="8"/>
      <c r="AN148" s="8"/>
      <c r="AO148" s="8"/>
      <c r="AP148" s="8"/>
      <c r="AQ148" s="8"/>
      <c r="AR148" s="8"/>
      <c r="AS148" s="9" t="s">
        <v>221</v>
      </c>
      <c r="AT148" s="10"/>
      <c r="AU148" s="10"/>
      <c r="AV148" s="11"/>
      <c r="AW148" s="9" t="s">
        <v>222</v>
      </c>
      <c r="AX148" s="10"/>
      <c r="AY148" s="10"/>
      <c r="AZ148" s="11"/>
      <c r="BA148" s="12" t="s">
        <v>483</v>
      </c>
      <c r="BB148" s="12"/>
      <c r="BC148" s="12"/>
      <c r="BD148" s="12"/>
      <c r="BE148" s="12"/>
      <c r="BF148" s="12"/>
      <c r="BG148" s="12"/>
      <c r="BH148" s="12"/>
      <c r="BI148" s="12"/>
      <c r="BJ148" s="12"/>
      <c r="BK148" s="12"/>
      <c r="BL148" s="12"/>
      <c r="BM148" s="12"/>
      <c r="BN148" s="12"/>
      <c r="BO148" s="12"/>
      <c r="BP148" s="12"/>
      <c r="BQ148" s="9" t="s">
        <v>484</v>
      </c>
      <c r="BR148" s="10"/>
      <c r="BS148" s="10"/>
      <c r="BT148" s="10"/>
      <c r="BU148" s="10"/>
      <c r="BV148" s="10"/>
      <c r="BW148" s="10"/>
      <c r="BX148" s="10"/>
      <c r="BY148" s="10"/>
      <c r="BZ148" s="11"/>
      <c r="CA148" s="9" t="s">
        <v>485</v>
      </c>
      <c r="CB148" s="10"/>
      <c r="CC148" s="10"/>
      <c r="CD148" s="10"/>
      <c r="CE148" s="9" t="s">
        <v>486</v>
      </c>
      <c r="CF148" s="10"/>
      <c r="CG148" s="11"/>
      <c r="CH148" s="12" t="s">
        <v>487</v>
      </c>
      <c r="CI148" s="12"/>
      <c r="CJ148" s="12"/>
      <c r="CK148" s="12"/>
      <c r="CL148" s="12"/>
      <c r="CM148" s="12"/>
      <c r="CN148" s="12"/>
      <c r="CO148" s="12"/>
      <c r="CP148" s="12"/>
      <c r="CQ148" s="12"/>
      <c r="CR148" s="12"/>
      <c r="CS148" s="12"/>
      <c r="CT148" s="12"/>
      <c r="CU148" s="12"/>
      <c r="CV148" s="12"/>
      <c r="CW148" s="12"/>
      <c r="CX148" s="9" t="s">
        <v>488</v>
      </c>
      <c r="CY148" s="10"/>
      <c r="CZ148" s="10"/>
      <c r="DA148" s="10"/>
      <c r="DB148" s="10"/>
      <c r="DC148" s="10"/>
      <c r="DD148" s="10"/>
      <c r="DE148" s="10"/>
      <c r="DF148" s="10"/>
      <c r="DG148" s="11"/>
      <c r="DH148" s="9" t="s">
        <v>489</v>
      </c>
      <c r="DI148" s="10"/>
      <c r="DJ148" s="10"/>
      <c r="DK148" s="10"/>
      <c r="DL148" s="9"/>
      <c r="DM148" s="10"/>
      <c r="DN148" s="11"/>
      <c r="DO148" s="1"/>
      <c r="DP148" s="1"/>
    </row>
    <row r="149" spans="3:120" ht="120" customHeight="1">
      <c r="C149" s="13">
        <f>IF(D149&lt;&gt;"",COUNTA($D$10:D149),"")</f>
        <v>119</v>
      </c>
      <c r="D149" s="5" t="s">
        <v>165</v>
      </c>
      <c r="E149" s="5" t="s">
        <v>166</v>
      </c>
      <c r="F149" s="5" t="s">
        <v>167</v>
      </c>
      <c r="G149" s="5" t="s">
        <v>168</v>
      </c>
      <c r="H149" s="5" t="s">
        <v>169</v>
      </c>
      <c r="I149" s="5" t="s">
        <v>170</v>
      </c>
      <c r="J149" s="5" t="s">
        <v>171</v>
      </c>
      <c r="K149" s="5" t="s">
        <v>172</v>
      </c>
      <c r="L149" s="5" t="s">
        <v>173</v>
      </c>
      <c r="M149" s="5" t="s">
        <v>174</v>
      </c>
      <c r="N149" s="5" t="s">
        <v>175</v>
      </c>
      <c r="O149" s="5" t="s">
        <v>176</v>
      </c>
      <c r="P149" s="5" t="s">
        <v>177</v>
      </c>
      <c r="Q149" s="5" t="s">
        <v>178</v>
      </c>
      <c r="R149" s="5" t="s">
        <v>199</v>
      </c>
      <c r="S149" s="5" t="s">
        <v>180</v>
      </c>
      <c r="T149" s="5" t="s">
        <v>223</v>
      </c>
      <c r="U149" s="5" t="s">
        <v>224</v>
      </c>
      <c r="V149" s="5" t="s">
        <v>199</v>
      </c>
      <c r="W149" s="5" t="s">
        <v>180</v>
      </c>
      <c r="X149" s="5" t="s">
        <v>225</v>
      </c>
      <c r="Y149" s="5" t="s">
        <v>226</v>
      </c>
      <c r="Z149" s="5" t="s">
        <v>227</v>
      </c>
      <c r="AA149" s="5" t="s">
        <v>228</v>
      </c>
      <c r="AB149" s="5" t="s">
        <v>229</v>
      </c>
      <c r="AC149" s="5" t="s">
        <v>230</v>
      </c>
      <c r="AD149" s="5" t="s">
        <v>231</v>
      </c>
      <c r="AE149" s="5" t="s">
        <v>232</v>
      </c>
      <c r="AF149" s="6" t="s">
        <v>233</v>
      </c>
      <c r="AG149" s="6" t="s">
        <v>234</v>
      </c>
      <c r="AH149" s="6" t="s">
        <v>235</v>
      </c>
      <c r="AI149" s="5" t="s">
        <v>236</v>
      </c>
      <c r="AJ149" s="5" t="s">
        <v>237</v>
      </c>
      <c r="AK149" s="5" t="s">
        <v>238</v>
      </c>
      <c r="AL149" s="5" t="s">
        <v>239</v>
      </c>
      <c r="AM149" s="5" t="s">
        <v>240</v>
      </c>
      <c r="AN149" s="5" t="s">
        <v>241</v>
      </c>
      <c r="AO149" s="5" t="s">
        <v>242</v>
      </c>
      <c r="AP149" s="5" t="s">
        <v>243</v>
      </c>
      <c r="AQ149" s="5" t="s">
        <v>244</v>
      </c>
      <c r="AR149" s="5" t="s">
        <v>245</v>
      </c>
      <c r="AS149" s="5" t="s">
        <v>246</v>
      </c>
      <c r="AT149" s="5" t="s">
        <v>247</v>
      </c>
      <c r="AU149" s="5" t="s">
        <v>248</v>
      </c>
      <c r="AV149" s="5" t="s">
        <v>249</v>
      </c>
      <c r="AW149" s="5" t="s">
        <v>250</v>
      </c>
      <c r="AX149" s="5" t="s">
        <v>251</v>
      </c>
      <c r="AY149" s="5" t="s">
        <v>252</v>
      </c>
      <c r="AZ149" s="5" t="s">
        <v>253</v>
      </c>
      <c r="BA149" s="5" t="s">
        <v>490</v>
      </c>
      <c r="BB149" s="5" t="s">
        <v>491</v>
      </c>
      <c r="BC149" s="5" t="s">
        <v>492</v>
      </c>
      <c r="BD149" s="5" t="s">
        <v>493</v>
      </c>
      <c r="BE149" s="5" t="s">
        <v>494</v>
      </c>
      <c r="BF149" s="5" t="s">
        <v>492</v>
      </c>
      <c r="BG149" s="5" t="s">
        <v>493</v>
      </c>
      <c r="BH149" s="5" t="s">
        <v>495</v>
      </c>
      <c r="BI149" s="5" t="s">
        <v>496</v>
      </c>
      <c r="BJ149" s="5" t="s">
        <v>492</v>
      </c>
      <c r="BK149" s="5" t="s">
        <v>493</v>
      </c>
      <c r="BL149" s="5" t="s">
        <v>497</v>
      </c>
      <c r="BM149" s="5" t="s">
        <v>492</v>
      </c>
      <c r="BN149" s="5" t="s">
        <v>493</v>
      </c>
      <c r="BO149" s="5" t="s">
        <v>495</v>
      </c>
      <c r="BP149" s="5" t="s">
        <v>498</v>
      </c>
      <c r="BQ149" s="5" t="s">
        <v>499</v>
      </c>
      <c r="BR149" s="5" t="s">
        <v>500</v>
      </c>
      <c r="BS149" s="5" t="s">
        <v>501</v>
      </c>
      <c r="BT149" s="5" t="s">
        <v>502</v>
      </c>
      <c r="BU149" s="5" t="s">
        <v>503</v>
      </c>
      <c r="BV149" s="5" t="s">
        <v>504</v>
      </c>
      <c r="BW149" s="5" t="s">
        <v>505</v>
      </c>
      <c r="BX149" s="5" t="s">
        <v>506</v>
      </c>
      <c r="BY149" s="5" t="s">
        <v>173</v>
      </c>
      <c r="BZ149" s="5" t="s">
        <v>174</v>
      </c>
      <c r="CA149" s="5" t="s">
        <v>503</v>
      </c>
      <c r="CB149" s="5" t="s">
        <v>507</v>
      </c>
      <c r="CC149" s="5" t="s">
        <v>173</v>
      </c>
      <c r="CD149" s="5" t="s">
        <v>508</v>
      </c>
      <c r="CE149" s="7" t="s">
        <v>509</v>
      </c>
      <c r="CF149" s="7" t="s">
        <v>510</v>
      </c>
      <c r="CG149" s="7" t="s">
        <v>511</v>
      </c>
      <c r="CH149" s="5" t="s">
        <v>512</v>
      </c>
      <c r="CI149" s="5" t="s">
        <v>513</v>
      </c>
      <c r="CJ149" s="5" t="s">
        <v>492</v>
      </c>
      <c r="CK149" s="5" t="s">
        <v>493</v>
      </c>
      <c r="CL149" s="5" t="s">
        <v>494</v>
      </c>
      <c r="CM149" s="5" t="s">
        <v>492</v>
      </c>
      <c r="CN149" s="5" t="s">
        <v>493</v>
      </c>
      <c r="CO149" s="5" t="s">
        <v>495</v>
      </c>
      <c r="CP149" s="5" t="s">
        <v>496</v>
      </c>
      <c r="CQ149" s="5" t="s">
        <v>492</v>
      </c>
      <c r="CR149" s="5" t="s">
        <v>493</v>
      </c>
      <c r="CS149" s="5" t="s">
        <v>497</v>
      </c>
      <c r="CT149" s="5" t="s">
        <v>492</v>
      </c>
      <c r="CU149" s="5" t="s">
        <v>493</v>
      </c>
      <c r="CV149" s="5" t="s">
        <v>495</v>
      </c>
      <c r="CW149" s="5" t="s">
        <v>498</v>
      </c>
      <c r="CX149" s="5" t="s">
        <v>499</v>
      </c>
      <c r="CY149" s="5" t="s">
        <v>500</v>
      </c>
      <c r="CZ149" s="5" t="s">
        <v>501</v>
      </c>
      <c r="DA149" s="5" t="s">
        <v>502</v>
      </c>
      <c r="DB149" s="5" t="s">
        <v>503</v>
      </c>
      <c r="DC149" s="5" t="s">
        <v>504</v>
      </c>
      <c r="DD149" s="5" t="s">
        <v>505</v>
      </c>
      <c r="DE149" s="5" t="s">
        <v>506</v>
      </c>
      <c r="DF149" s="5" t="s">
        <v>173</v>
      </c>
      <c r="DG149" s="5" t="s">
        <v>174</v>
      </c>
      <c r="DH149" s="5" t="s">
        <v>503</v>
      </c>
      <c r="DI149" s="5" t="s">
        <v>507</v>
      </c>
      <c r="DJ149" s="5" t="s">
        <v>173</v>
      </c>
      <c r="DK149" s="5" t="s">
        <v>508</v>
      </c>
      <c r="DL149" s="7" t="s">
        <v>509</v>
      </c>
      <c r="DM149" s="7" t="s">
        <v>510</v>
      </c>
      <c r="DN149" s="7" t="s">
        <v>511</v>
      </c>
      <c r="DO149" s="2"/>
      <c r="DP149" s="2"/>
    </row>
    <row r="150" spans="3:120" ht="18.600000000000001" customHeight="1">
      <c r="C150" s="13">
        <f>IF(D150&lt;&gt;"",COUNTA($D$10:D150),"")</f>
        <v>120</v>
      </c>
      <c r="D150" s="14" t="s">
        <v>200</v>
      </c>
      <c r="E150" s="14">
        <v>3</v>
      </c>
      <c r="F150" s="14">
        <v>3</v>
      </c>
      <c r="G150" s="14">
        <v>2.4</v>
      </c>
      <c r="H150" s="14">
        <v>1</v>
      </c>
      <c r="I150" s="14">
        <v>2</v>
      </c>
      <c r="J150" s="14">
        <v>1.75</v>
      </c>
      <c r="K150" s="14">
        <v>3</v>
      </c>
      <c r="L150" s="15">
        <v>0.1</v>
      </c>
      <c r="M150" s="15">
        <v>0</v>
      </c>
      <c r="N150" s="14">
        <v>24</v>
      </c>
      <c r="O150" s="14">
        <v>50</v>
      </c>
      <c r="P150" s="13">
        <v>45</v>
      </c>
      <c r="Q150" s="13">
        <v>85</v>
      </c>
      <c r="R150" s="13" t="s">
        <v>17</v>
      </c>
      <c r="S150" s="13">
        <v>120</v>
      </c>
      <c r="T150" s="13">
        <v>0</v>
      </c>
      <c r="U150" s="13">
        <v>100</v>
      </c>
      <c r="V150" s="13" t="str">
        <f>R150</f>
        <v>ISO 6</v>
      </c>
      <c r="W150" s="13">
        <f>S150</f>
        <v>120</v>
      </c>
      <c r="X150" s="16">
        <f>E150*F150*10.76</f>
        <v>96.84</v>
      </c>
      <c r="Y150" s="16">
        <f>X150*G150*3.28</f>
        <v>762.32447999999999</v>
      </c>
      <c r="Z150" s="16">
        <f>Y150*S150/60</f>
        <v>1524.64896</v>
      </c>
      <c r="AA150" s="16">
        <f>Z150*L150</f>
        <v>152.46489600000001</v>
      </c>
      <c r="AB150" s="16">
        <f>IF(N150="Amb",Z150,Z150*M150)</f>
        <v>0</v>
      </c>
      <c r="AC150" s="16">
        <f>IF(ISNUMBER(N150), (AA150*0.075*60/2.20462)*BP150/7000, "Ambient")</f>
        <v>14.025567184357984</v>
      </c>
      <c r="AD150" s="16">
        <f>IF(ISNUMBER(N150), CEILING(CF150/(0.68*BP150),25), "Ambient")</f>
        <v>2850</v>
      </c>
      <c r="AE150" s="16">
        <f>CEILING(MAX((Z150+AA150),AD150),25)</f>
        <v>2850</v>
      </c>
      <c r="AF150" s="16">
        <f>CEILING(IF(OR($R150="ISO 6",$R150="GRADE B",$R150="1K",$R150=1000),AE150*1/175,IF(OR($R150="ISO 5",$R150="GRADE A",$R150=100),AE150*1/100,IF(OR($R150="ISO 7",$R150="GRADE C",$R150="10K",$R150=10000),$AE150*1/250,IF(OR($R150="ISO 8",$R150="GRADE D",$R150="100K",$R150=100000),$AE150*1/250,IF(OR($R150="NC",$R150="20 Micron",$R150="5 Micron",$R150="N C"),$AE150*1/350,0))))),2)</f>
        <v>18</v>
      </c>
      <c r="AG150" s="16">
        <f>IF(ISNUMBER(N150), CEILING(MAX(AI150,AJ150),0.5), "Ambient")</f>
        <v>7.5</v>
      </c>
      <c r="AH150" s="838" t="s">
        <v>85</v>
      </c>
      <c r="AI150" s="17">
        <f>IF(ISNUMBER(N150), CEILING(CE150/12000,0.5), "Ambient")</f>
        <v>4.5</v>
      </c>
      <c r="AJ150" s="17">
        <f>IF(ISNUMBER(N150),CEILING(AE150/(IF(AH150="C",400,300)),0.5), "Ambient")</f>
        <v>7.5</v>
      </c>
      <c r="AK150" s="891">
        <f>CEILING(SUM(AE150:AE165),250)</f>
        <v>42500</v>
      </c>
      <c r="AL150" s="18" t="s">
        <v>254</v>
      </c>
      <c r="AM150" s="889">
        <v>150</v>
      </c>
      <c r="AN150" s="891">
        <f>IF(AK150&lt;=1300,200,IF(AK150&lt;=1600,225,IF(AK150&lt;=2100,250,IF(AK150&lt;=2700,280,IF(AK150&lt;=3450,315,IF(AK150&lt;=4250,355,IF(AK150&lt;=5250,400,IF(AK150&lt;=6750,450,IF(AK150&lt;=8500,500,IF(AK150&lt;=10750,560,IF(AK150&lt;=13500,630,IF(AK150&lt;=17000,710,IF(AK150&lt;=21500,800,IF(AK150&lt;=27000,900,IF(AK150&lt;=34000,1000,IF(AK150&lt;=43000,1120,IF(AK150&lt;=49000,1200,IF(AK150&lt;=68000,1450,"Refer"))))))))))))))))))</f>
        <v>1120</v>
      </c>
      <c r="AO150" s="888">
        <f>IF(AK150*AM150/(6356*0.7*0.9*1.1*25.4)&lt;=1,1,IF(AK150*AM150/(6356*0.7*0.9*1.1*25.4)&lt;=1.5,1.5,IF(AK150*AM150/(6356*0.7*0.9*1.1*25.4)&lt;=2,2,IF(AK150*AM150/(6356*0.7*0.9*1.1*25.4)&lt;=3,3,IF(AK150*AM150/(6356*0.7*0.9*1.1*25.4)&lt;=5,5,IF(AK150*AM150/(6356*0.7*0.9*1.1*25.4)&lt;=7.5,7.5,IF(AK150*AM150/(6356*0.7*0.9*1.1*25.4)&lt;=10,10,IF(AK150*AM150/(6356*0.7*0.9*1.1*25.4)&lt;=12.5,12.5,IF(AK150*AM150/(6356*0.7*0.9*1.1*25.4)&lt;=15,15,IF(AK150*AM150/(6356*0.7*0.9*1.1*25.4)&lt;=20,20,IF(AK150*AM150/(6356*0.7*0.9*1.1*25.4)&lt;=25,25,IF(AK150*AM150/(6356*0.7*0.9*1.1*25.4)&lt;=30,30,IF(AK150*AM150/(6356*0.7*0.9*1.1*25.4)&lt;=40,40,IF(AK150*AM150/(6356*0.7*0.9*1.1*25.4)&lt;=50,50,IF(AK150*AM150/(6356*0.7*0.9*1.1*25.4)&lt;=60,60,IF(AK150*AM150/(6356*0.7*0.9*1.1*25.4)&lt;=75,75,"Refer"))))))))))))))))</f>
        <v>60</v>
      </c>
      <c r="AP150" s="891">
        <f>IF(AND(AQ150=0, N150="Amb"), "Amb",IF((AL151-250)*(AL153-150)*10.76/(1000*1000) &gt;= MAX(AI166,AJ166), 4,IF((AL151-250)*(AL153-150)*10.76*1.5/(1000*1000) &gt;= MAX(AI166,AJ166), 6,IF((AL151-250)*(AL153-150)*10.76*2/(1000*1000) &gt;= MAX(AI166,AJ166), 8, 0))
 )
)</f>
        <v>4</v>
      </c>
      <c r="AQ150" s="891">
        <f>AG166</f>
        <v>108.5</v>
      </c>
      <c r="AR150" s="889">
        <f>_xlfn.SWITCH(TRIM(UPPER(R150)),"ISO 9", 3,"ISO 8", 4,"Grade D", 4,"Class 100,000", 4,"Class 100K", 4,"ISO 7", 3,"Grade C", 3,"Class 10,000", 3,"Class 10K", 3,"ISO 6", 3,"Class 1,000", 3,"Class 1K", 3,"ISO 5", 4,"Grade A", 4,"Grade B", 4,"Class 100", 4,"ISO 4", 3,"ISO 3", 4,"ISO 2", 4,"ISO 1", 4,"NCV20",1,"NCV-10",2,"NCV-5",3,"NCAC-10",1,"NCAC-5",2,"NCAC-1",3,3)</f>
        <v>3</v>
      </c>
      <c r="AS150" s="888">
        <f>MAX(AI166,AJ166)*24/6</f>
        <v>434</v>
      </c>
      <c r="AT150" s="888">
        <f>AS150*0.06309</f>
        <v>27.381059999999998</v>
      </c>
      <c r="AU150" s="890">
        <v>2</v>
      </c>
      <c r="AV150" s="888">
        <f>SQRT((4*AS150*0.00006309)/(3.14*AU150))*1000</f>
        <v>132.06121915647887</v>
      </c>
      <c r="AW150" s="888"/>
      <c r="AX150" s="888"/>
      <c r="AY150" s="887"/>
      <c r="AZ150" s="888"/>
      <c r="BA150" s="17">
        <f>-CONVERT(N150,"C","F")+CONVERT((N150+8),"C","F")</f>
        <v>14.399999999999991</v>
      </c>
      <c r="BB150" s="17">
        <f>CONVERT(P150,"C","F")-CONVERT(N150,"C","F")</f>
        <v>37.799999999999997</v>
      </c>
      <c r="BC150" s="17">
        <f>N150+8</f>
        <v>32</v>
      </c>
      <c r="BD150" s="17">
        <f>BG150+35</f>
        <v>85</v>
      </c>
      <c r="BE150" s="17">
        <f>0.622*7000*(BD150/100)*(6.1078*10^((7.5*BC150)/(237.3+BC150)))/(1013.25-(6.1078*10^((7.5*BC150)/(237.3+BC150)))*BD150/100)</f>
        <v>180.86341983910182</v>
      </c>
      <c r="BF150" s="17">
        <f>N150</f>
        <v>24</v>
      </c>
      <c r="BG150" s="17">
        <f>O150</f>
        <v>50</v>
      </c>
      <c r="BH150" s="17">
        <f>0.622*7000*(BG150/100)*(6.1078*10^((7.5*BF150)/(237.3+BF150)))/(1013.25-(6.1078*10^((7.5*BF150)/(237.3+BF150)))*BG150/100)</f>
        <v>65.062647806544774</v>
      </c>
      <c r="BI150" s="17">
        <f>BE150-BH150</f>
        <v>115.80077203255705</v>
      </c>
      <c r="BJ150" s="17">
        <f>P150</f>
        <v>45</v>
      </c>
      <c r="BK150" s="17">
        <f>Q150</f>
        <v>85</v>
      </c>
      <c r="BL150" s="17">
        <f>0.622*7000*(BK150/100)*(6.1078*10^((7.5*BJ150)/(237.3+BJ150)))/(1013.25-(6.1078*10^((7.5*BJ150)/(237.3+BJ150)))*BK150/100)</f>
        <v>380.54120080897206</v>
      </c>
      <c r="BM150" s="17">
        <f>N150</f>
        <v>24</v>
      </c>
      <c r="BN150" s="17">
        <f>BG150</f>
        <v>50</v>
      </c>
      <c r="BO150" s="17">
        <f>0.622*7000*(BN150/100)*(6.1078*10^((7.5*BM150)/(237.3+BM150)))/(1013.25-(6.1078*10^((7.5*BM150)/(237.3+BM150)))*BN150/100)</f>
        <v>65.062647806544774</v>
      </c>
      <c r="BP150" s="17">
        <f>BL150-BO150</f>
        <v>315.4785530024273</v>
      </c>
      <c r="BQ150" s="17">
        <f>($E150*$G150*10.76*2+$F150*$G150*2*10.76)*$BB150*0.45</f>
        <v>5271.1948799999991</v>
      </c>
      <c r="BR150" s="17">
        <f>($E150*$G150*10.76*2+$F150*$G150*2*10.76)*$BA150*0.45</f>
        <v>2008.0742399999988</v>
      </c>
      <c r="BS150" s="17">
        <f>($E150*$F150*10.76)*$BA150*0.45</f>
        <v>627.52319999999963</v>
      </c>
      <c r="BT150" s="17">
        <f>($E150*$F150*10.76)*$BB150*0.45</f>
        <v>1647.2483999999999</v>
      </c>
      <c r="BU150" s="17">
        <f>$H150*285*1.08*$BB150</f>
        <v>11634.84</v>
      </c>
      <c r="BV150" s="17">
        <f>$I150*1000*3.412</f>
        <v>6824</v>
      </c>
      <c r="BW150" s="17">
        <f>$J150*$X150*3.412</f>
        <v>578.23163999999997</v>
      </c>
      <c r="BX150" s="17">
        <f>$K150*1.08*375*$BA150</f>
        <v>17495.999999999989</v>
      </c>
      <c r="BY150" s="17">
        <f>($AA150+$AB150)*1.08*$BB150</f>
        <v>6224.2269143040003</v>
      </c>
      <c r="BZ150" s="17"/>
      <c r="CA150" s="17">
        <f>$H150*200*0.68*$BP150</f>
        <v>42905.083208330114</v>
      </c>
      <c r="CB150" s="17">
        <f>$K150*375*0.68*$BP150</f>
        <v>241341.0930468569</v>
      </c>
      <c r="CC150" s="17">
        <f>($AA150+$AB150)*0.68*$BP150</f>
        <v>32707.59524614699</v>
      </c>
      <c r="CD150" s="17">
        <f>($Z150-$AA150)*0.68*$BP150</f>
        <v>294368.3572153229</v>
      </c>
      <c r="CE150" s="17">
        <f>$BQ150+$BU150+$BV150+$BW150+$BX150+$BY150</f>
        <v>48028.493434303993</v>
      </c>
      <c r="CF150" s="17">
        <f>$CA150+$CB150+$CC150+$CD150</f>
        <v>611322.12871665694</v>
      </c>
      <c r="CG150" s="17">
        <f>$CE150+$CF150</f>
        <v>659350.62215096096</v>
      </c>
      <c r="CH150" s="17">
        <f>CONVERT(N150,"C","F")-CONVERT((N150-8),"C","F")</f>
        <v>14.400000000000006</v>
      </c>
      <c r="CI150" s="17">
        <f>CONVERT(T150,"C","F")-CONVERT(N150,"C","F")</f>
        <v>-43.2</v>
      </c>
      <c r="CJ150" s="17">
        <f>CM150-8</f>
        <v>16</v>
      </c>
      <c r="CK150" s="17">
        <f>O150+40</f>
        <v>90</v>
      </c>
      <c r="CL150" s="17">
        <f>0.622*7000*(CK150/100)*(6.1078*10^((7.5*CJ150)/(237.3+CJ150)))/(1013.25-(6.1078*10^((7.5*CJ150)/(237.3+CJ150)))*CK150/100)</f>
        <v>71.46880726181422</v>
      </c>
      <c r="CM150" s="17">
        <f>N150</f>
        <v>24</v>
      </c>
      <c r="CN150" s="17">
        <f>O150</f>
        <v>50</v>
      </c>
      <c r="CO150" s="17">
        <f>0.622*7000*(CN150/100)*(6.1078*10^((7.5*CM150)/(237.3+CM150)))/(1013.25-(6.1078*10^((7.5*CM150)/(237.3+CM150)))*CN150/100)</f>
        <v>65.062647806544774</v>
      </c>
      <c r="CP150" s="17">
        <f>CL150-CO150</f>
        <v>6.4061594552694459</v>
      </c>
      <c r="CQ150" s="17">
        <f>T150</f>
        <v>0</v>
      </c>
      <c r="CR150" s="17">
        <f>U150</f>
        <v>100</v>
      </c>
      <c r="CS150" s="17">
        <f>0.622*7000*(CR150/100)*(6.1078*10^((7.5*CQ150)/(237.3+CQ150)))/(1013.25-(6.1078*10^((7.5*CQ150)/(237.3+CQ150)))*CR150/100)</f>
        <v>26.404773030064671</v>
      </c>
      <c r="CT150" s="17">
        <f>CM150</f>
        <v>24</v>
      </c>
      <c r="CU150" s="17">
        <f>O150</f>
        <v>50</v>
      </c>
      <c r="CV150" s="17">
        <f>0.622*7000*(CU150/100)*(6.1078*10^((7.5*CT150)/(237.3+CT150)))/(1013.25-(6.1078*10^((7.5*CT150)/(237.3+CT150)))*CU150/100)</f>
        <v>65.062647806544774</v>
      </c>
      <c r="CW150" s="17">
        <f>CS150-CV150</f>
        <v>-38.657874776480099</v>
      </c>
      <c r="CX150" s="17">
        <f t="shared" ref="CX150:CY165" si="671">($E150*$G150*10.76*2+$F150*$G150*2*10.76)*$CI150*0.45</f>
        <v>-6024.2227199999998</v>
      </c>
      <c r="CY150" s="17">
        <f t="shared" si="671"/>
        <v>-6024.2227199999998</v>
      </c>
      <c r="CZ150" s="17">
        <f>($E150*$F150*10.76)*$CH150*0.45</f>
        <v>627.52320000000032</v>
      </c>
      <c r="DA150" s="17">
        <f>($E150*$F150*10.76)*$CI150*0.45</f>
        <v>-1882.5696000000003</v>
      </c>
      <c r="DB150" s="17">
        <f>$H150*285*1.08*$CI150</f>
        <v>-13296.960000000001</v>
      </c>
      <c r="DC150" s="17">
        <f>$I150*1000*3.412</f>
        <v>6824</v>
      </c>
      <c r="DD150" s="17">
        <f>$J150*$X150*3.412</f>
        <v>578.23163999999997</v>
      </c>
      <c r="DE150" s="17">
        <f>$K150*1.08*375*$CH150</f>
        <v>17496.000000000007</v>
      </c>
      <c r="DF150" s="17">
        <f>($AA150+$AB150)*1.08*$CI150</f>
        <v>-7113.4021877760015</v>
      </c>
      <c r="DG150" s="17"/>
      <c r="DH150" s="17">
        <f>$H150*200*0.68*CW150</f>
        <v>-5257.4709696012933</v>
      </c>
      <c r="DI150" s="17">
        <f>$K150*375*0.68*CW150</f>
        <v>-29573.274204007277</v>
      </c>
      <c r="DJ150" s="17">
        <f>(AA150+AB150)*0.68*CW150</f>
        <v>-4007.8988230164023</v>
      </c>
      <c r="DK150" s="17">
        <f>(Z150-AA150)*0.68*CP150</f>
        <v>5977.4923428552856</v>
      </c>
      <c r="DL150" s="17">
        <f>CX150+DA150+CZ150+DB150+DC150+DD150+DE150+DF150</f>
        <v>-2791.3996677759942</v>
      </c>
      <c r="DM150" s="17">
        <f>DH150+DI150+DJ150+DK150</f>
        <v>-32861.151653769688</v>
      </c>
      <c r="DN150" s="17">
        <f>DL150+DM150</f>
        <v>-35652.551321545681</v>
      </c>
    </row>
    <row r="151" spans="3:120" ht="18.600000000000001">
      <c r="C151" s="13">
        <f>IF(D151&lt;&gt;"",COUNTA($D$10:D151),"")</f>
        <v>121</v>
      </c>
      <c r="D151" s="14" t="s">
        <v>201</v>
      </c>
      <c r="E151" s="14">
        <v>1.8</v>
      </c>
      <c r="F151" s="14">
        <v>2.2000000000000002</v>
      </c>
      <c r="G151" s="14">
        <v>2.4</v>
      </c>
      <c r="H151" s="14">
        <v>2</v>
      </c>
      <c r="I151" s="14">
        <v>1</v>
      </c>
      <c r="J151" s="14">
        <v>1.75</v>
      </c>
      <c r="K151" s="14">
        <v>3</v>
      </c>
      <c r="L151" s="15">
        <v>0.1</v>
      </c>
      <c r="M151" s="15">
        <v>0</v>
      </c>
      <c r="N151" s="14">
        <v>24</v>
      </c>
      <c r="O151" s="14">
        <v>50</v>
      </c>
      <c r="P151" s="13">
        <v>45</v>
      </c>
      <c r="Q151" s="13">
        <v>85</v>
      </c>
      <c r="R151" s="13" t="s">
        <v>17</v>
      </c>
      <c r="S151" s="13">
        <v>120</v>
      </c>
      <c r="T151" s="13">
        <v>0</v>
      </c>
      <c r="U151" s="13">
        <v>100</v>
      </c>
      <c r="V151" s="13" t="str">
        <f t="shared" ref="V151:V165" si="672">R151</f>
        <v>ISO 6</v>
      </c>
      <c r="W151" s="13">
        <f t="shared" ref="W151:W165" si="673">S151</f>
        <v>120</v>
      </c>
      <c r="X151" s="16">
        <f t="shared" ref="X151:X165" si="674">E151*F151*10.76</f>
        <v>42.6096</v>
      </c>
      <c r="Y151" s="16">
        <f t="shared" ref="Y151:Y165" si="675">X151*G151*3.28</f>
        <v>335.4227712</v>
      </c>
      <c r="Z151" s="16">
        <f t="shared" ref="Z151:Z165" si="676">Y151*S151/60</f>
        <v>670.8455424</v>
      </c>
      <c r="AA151" s="16">
        <f t="shared" ref="AA151:AA165" si="677">Z151*L151</f>
        <v>67.084554240000003</v>
      </c>
      <c r="AB151" s="16">
        <f t="shared" ref="AB151:AB165" si="678">IF(N151="Amb",Z151,Z151*M151)</f>
        <v>0</v>
      </c>
      <c r="AC151" s="16">
        <f t="shared" ref="AC151:AC165" si="679">IF(ISNUMBER(N151), (AA151*0.075*60/2.20462)*BP151/7000, "Ambient")</f>
        <v>6.1712495611175129</v>
      </c>
      <c r="AD151" s="16">
        <f t="shared" ref="AD151:AD157" si="680">IF(ISNUMBER(N151), CEILING(CF151/(0.68*BP151),25), "Ambient")</f>
        <v>2200</v>
      </c>
      <c r="AE151" s="16">
        <f t="shared" ref="AE151:AE165" si="681">CEILING(MAX((Z151+AA151),AD151),25)</f>
        <v>2200</v>
      </c>
      <c r="AF151" s="16">
        <f t="shared" ref="AF151:AF165" si="682">CEILING(IF(OR($R151="ISO 6",$R151="GRADE B",$R151="1K",$R151=1000),AE151*1/175,IF(OR($R151="ISO 5",$R151="GRADE A",$R151=100),AE151*1/100,IF(OR($R151="ISO 7",$R151="GRADE C",$R151="10K",$R151=10000),$AE151*1/250,IF(OR($R151="ISO 8",$R151="GRADE D",$R151="100K",$R151=100000),$AE151*1/250,IF(OR($R151="NC",$R151="20 Micron",$R151="5 Micron",$R151="N C"),$AE151*1/350,0))))),2)</f>
        <v>14</v>
      </c>
      <c r="AG151" s="16">
        <f t="shared" ref="AG151:AG165" si="683">IF(ISNUMBER(N151), CEILING(MAX(AI151,AJ151),0.5), "Ambient")</f>
        <v>5.5</v>
      </c>
      <c r="AH151" s="838" t="s">
        <v>85</v>
      </c>
      <c r="AI151" s="17">
        <f t="shared" ref="AI151:AI165" si="684">IF(ISNUMBER(N151), CEILING(CE151/12000,0.5), "Ambient")</f>
        <v>4.5</v>
      </c>
      <c r="AJ151" s="17">
        <f t="shared" ref="AJ151:AJ165" si="685">IF(ISNUMBER(N151),CEILING(AE151/(IF(AH151="C",400,300)),0.5), "Ambient")</f>
        <v>5.5</v>
      </c>
      <c r="AK151" s="891"/>
      <c r="AL151" s="18">
        <f>IF(AK150&lt;=2000,950,(IF(AK150&lt;=3000,1150,(IF(AK150&lt;=8000,1550,(IF(AK150&lt;=10000,1750,(IF(AK150&lt;=18000,2050,(IF(AK150&lt;=32000,2900,(IF(AK150&lt;=40000,3600,4000)))))))))))))</f>
        <v>4000</v>
      </c>
      <c r="AM151" s="889"/>
      <c r="AN151" s="891"/>
      <c r="AO151" s="888"/>
      <c r="AP151" s="891"/>
      <c r="AQ151" s="891"/>
      <c r="AR151" s="889"/>
      <c r="AS151" s="888"/>
      <c r="AT151" s="888"/>
      <c r="AU151" s="890"/>
      <c r="AV151" s="888"/>
      <c r="AW151" s="888"/>
      <c r="AX151" s="888"/>
      <c r="AY151" s="887"/>
      <c r="AZ151" s="888"/>
      <c r="BA151" s="17">
        <f t="shared" ref="BA151:BA165" si="686">-CONVERT(N151,"C","F")+CONVERT((N151+8),"C","F")</f>
        <v>14.399999999999991</v>
      </c>
      <c r="BB151" s="17">
        <f t="shared" ref="BB151:BB165" si="687">CONVERT(P151,"C","F")-CONVERT(N151,"C","F")</f>
        <v>37.799999999999997</v>
      </c>
      <c r="BC151" s="17">
        <f t="shared" ref="BC151:BC165" si="688">BF151+8</f>
        <v>32</v>
      </c>
      <c r="BD151" s="17">
        <f t="shared" ref="BD151:BD165" si="689">BG151+35</f>
        <v>85</v>
      </c>
      <c r="BE151" s="17">
        <f t="shared" ref="BE151:BE165" si="690">0.622*7000*(BD151/100)*(6.1078*10^((7.5*BC151)/(237.3+BC151)))/(1013.25-(6.1078*10^((7.5*BC151)/(237.3+BC151)))*BD151/100)</f>
        <v>180.86341983910182</v>
      </c>
      <c r="BF151" s="17">
        <f t="shared" ref="BF151:BF165" si="691">N151</f>
        <v>24</v>
      </c>
      <c r="BG151" s="17">
        <f t="shared" ref="BG151:BG165" si="692">O151</f>
        <v>50</v>
      </c>
      <c r="BH151" s="17">
        <f t="shared" ref="BH151:BH165" si="693">0.622*7000*(BG151/100)*(6.1078*10^((7.5*BF151)/(237.3+BF151)))/(1013.25-(6.1078*10^((7.5*BF151)/(237.3+BF151)))*BG151/100)</f>
        <v>65.062647806544774</v>
      </c>
      <c r="BI151" s="17">
        <f t="shared" ref="BI151:BI165" si="694">BE151-BH151</f>
        <v>115.80077203255705</v>
      </c>
      <c r="BJ151" s="17">
        <f t="shared" ref="BJ151:BJ165" si="695">P151</f>
        <v>45</v>
      </c>
      <c r="BK151" s="17">
        <f t="shared" ref="BK151:BK165" si="696">Q151</f>
        <v>85</v>
      </c>
      <c r="BL151" s="17">
        <f t="shared" ref="BL151:BL165" si="697">0.622*7000*(BK151/100)*(6.1078*10^((7.5*BJ151)/(237.3+BJ151)))/(1013.25-(6.1078*10^((7.5*BJ151)/(237.3+BJ151)))*BK151/100)</f>
        <v>380.54120080897206</v>
      </c>
      <c r="BM151" s="17">
        <f t="shared" ref="BM151:BM165" si="698">BF151</f>
        <v>24</v>
      </c>
      <c r="BN151" s="17">
        <f t="shared" ref="BN151:BN165" si="699">BG151</f>
        <v>50</v>
      </c>
      <c r="BO151" s="17">
        <f t="shared" ref="BO151:BO165" si="700">0.622*7000*(BN151/100)*(6.1078*10^((7.5*BM151)/(237.3+BM151)))/(1013.25-(6.1078*10^((7.5*BM151)/(237.3+BM151)))*BN151/100)</f>
        <v>65.062647806544774</v>
      </c>
      <c r="BP151" s="17">
        <f t="shared" ref="BP151:BP165" si="701">BL151-BO151</f>
        <v>315.4785530024273</v>
      </c>
      <c r="BQ151" s="17">
        <f t="shared" ref="BQ151:BQ165" si="702">(E151*G151*10.76*2+F151*G151*2*10.76)*BB151*0.45</f>
        <v>3514.1299199999999</v>
      </c>
      <c r="BR151" s="17">
        <f t="shared" ref="BR151:BR165" si="703">(E151*G151*10.76*2+F151*G151*2*10.76)*BA151*0.45</f>
        <v>1338.7161599999993</v>
      </c>
      <c r="BS151" s="17">
        <f t="shared" ref="BS151:BS165" si="704">(E151*F151*10.76)*BA151*0.45</f>
        <v>276.11020799999983</v>
      </c>
      <c r="BT151" s="17">
        <f t="shared" ref="BT151:BT165" si="705">(E151*F151*10.76)*BB151*0.45</f>
        <v>724.78929599999992</v>
      </c>
      <c r="BU151" s="17">
        <f t="shared" ref="BU151:BU165" si="706">H151*285*1.08*BB151</f>
        <v>23269.68</v>
      </c>
      <c r="BV151" s="17">
        <f t="shared" ref="BV151:BV165" si="707">I151*1000*3.412</f>
        <v>3412</v>
      </c>
      <c r="BW151" s="17">
        <f t="shared" ref="BW151:BW165" si="708">J151*X151*3.412</f>
        <v>254.42192159999999</v>
      </c>
      <c r="BX151" s="17">
        <f t="shared" ref="BX151:BX165" si="709">K151*1.08*375*BA151</f>
        <v>17495.999999999989</v>
      </c>
      <c r="BY151" s="17">
        <f t="shared" ref="BY151:BY165" si="710">(AA151+AB151)*1.08*BB151</f>
        <v>2738.65984229376</v>
      </c>
      <c r="BZ151" s="17"/>
      <c r="CA151" s="17">
        <f t="shared" ref="CA151:CA165" si="711">H151*200*0.68*BP151</f>
        <v>85810.166416660228</v>
      </c>
      <c r="CB151" s="17">
        <f t="shared" ref="CB151:CB165" si="712">K151*375*0.68*BP151</f>
        <v>241341.0930468569</v>
      </c>
      <c r="CC151" s="17">
        <f t="shared" ref="CC151:CC165" si="713">(AA151+AB151)*0.68*BP151</f>
        <v>14391.341908304676</v>
      </c>
      <c r="CD151" s="17">
        <f t="shared" ref="CD151:CD165" si="714">($Z151-$AA151)*0.68*$BP151</f>
        <v>129522.07717474207</v>
      </c>
      <c r="CE151" s="17">
        <f t="shared" ref="CE151:CE165" si="715">$BQ151+$BU151+$BV151+$BW151+$BX151+$BY151</f>
        <v>50684.891683893751</v>
      </c>
      <c r="CF151" s="17">
        <f t="shared" ref="CF151:CF165" si="716">$CA151+$CB151+$CC151+$CD151</f>
        <v>471064.67854656384</v>
      </c>
      <c r="CG151" s="17">
        <f t="shared" ref="CG151:CG165" si="717">$CE151+$CF151</f>
        <v>521749.57023045758</v>
      </c>
      <c r="CH151" s="17">
        <f t="shared" ref="CH151:CH165" si="718">CONVERT(N151,"C","F")-CONVERT((N151-8),"C","F")</f>
        <v>14.400000000000006</v>
      </c>
      <c r="CI151" s="17">
        <f t="shared" ref="CI151:CI165" si="719">CONVERT(T151,"C","F")-CONVERT(N151,"C","F")</f>
        <v>-43.2</v>
      </c>
      <c r="CJ151" s="17">
        <f t="shared" ref="CJ151:CJ165" si="720">CM151-8</f>
        <v>16</v>
      </c>
      <c r="CK151" s="17">
        <f t="shared" ref="CK151:CK165" si="721">O151+40</f>
        <v>90</v>
      </c>
      <c r="CL151" s="17">
        <f t="shared" ref="CL151:CL165" si="722">0.622*7000*(CK151/100)*(6.1078*10^((7.5*CJ151)/(237.3+CJ151)))/(1013.25-(6.1078*10^((7.5*CJ151)/(237.3+CJ151)))*CK151/100)</f>
        <v>71.46880726181422</v>
      </c>
      <c r="CM151" s="17">
        <f t="shared" ref="CM151:CM165" si="723">N151</f>
        <v>24</v>
      </c>
      <c r="CN151" s="17">
        <f t="shared" ref="CN151:CN165" si="724">O151</f>
        <v>50</v>
      </c>
      <c r="CO151" s="17">
        <f t="shared" ref="CO151:CO165" si="725">0.622*7000*(CN151/100)*(6.1078*10^((7.5*CM151)/(237.3+CM151)))/(1013.25-(6.1078*10^((7.5*CM151)/(237.3+CM151)))*CN151/100)</f>
        <v>65.062647806544774</v>
      </c>
      <c r="CP151" s="17">
        <f t="shared" ref="CP151:CP165" si="726">CL151-CO151</f>
        <v>6.4061594552694459</v>
      </c>
      <c r="CQ151" s="17">
        <f t="shared" ref="CQ151:CQ165" si="727">T151</f>
        <v>0</v>
      </c>
      <c r="CR151" s="17">
        <f t="shared" ref="CR151:CR165" si="728">U151</f>
        <v>100</v>
      </c>
      <c r="CS151" s="17">
        <f t="shared" ref="CS151:CS165" si="729">0.622*7000*(CR151/100)*(6.1078*10^((7.5*CQ151)/(237.3+CQ151)))/(1013.25-(6.1078*10^((7.5*CQ151)/(237.3+CQ151)))*CR151/100)</f>
        <v>26.404773030064671</v>
      </c>
      <c r="CT151" s="17">
        <f t="shared" ref="CT151:CT165" si="730">CM151</f>
        <v>24</v>
      </c>
      <c r="CU151" s="17">
        <f t="shared" ref="CU151:CU165" si="731">O151</f>
        <v>50</v>
      </c>
      <c r="CV151" s="17">
        <f t="shared" ref="CV151:CV165" si="732">0.622*7000*(CU151/100)*(6.1078*10^((7.5*CT151)/(237.3+CT151)))/(1013.25-(6.1078*10^((7.5*CT151)/(237.3+CT151)))*CU151/100)</f>
        <v>65.062647806544774</v>
      </c>
      <c r="CW151" s="17">
        <f t="shared" ref="CW151:CW165" si="733">CS151-CV151</f>
        <v>-38.657874776480099</v>
      </c>
      <c r="CX151" s="17">
        <f t="shared" si="671"/>
        <v>-4016.1484800000003</v>
      </c>
      <c r="CY151" s="17">
        <f t="shared" si="671"/>
        <v>-4016.1484800000003</v>
      </c>
      <c r="CZ151" s="17">
        <f t="shared" ref="CZ151:CZ165" si="734">($E151*$F151*10.76)*$CH151*0.45</f>
        <v>276.11020800000011</v>
      </c>
      <c r="DA151" s="17">
        <f t="shared" ref="DA151:DA165" si="735">($E151*$F151*10.76)*$CI151*0.45</f>
        <v>-828.33062400000006</v>
      </c>
      <c r="DB151" s="17">
        <f t="shared" ref="DB151:DB165" si="736">$H151*285*1.08*$CI151</f>
        <v>-26593.920000000002</v>
      </c>
      <c r="DC151" s="17">
        <f t="shared" ref="DC151:DC165" si="737">$I151*1000*3.412</f>
        <v>3412</v>
      </c>
      <c r="DD151" s="17">
        <f t="shared" ref="DD151:DD165" si="738">$J151*$X151*3.412</f>
        <v>254.42192159999999</v>
      </c>
      <c r="DE151" s="17">
        <f t="shared" ref="DE151:DE165" si="739">$K151*1.08*375*$CH151</f>
        <v>17496.000000000007</v>
      </c>
      <c r="DF151" s="17">
        <f t="shared" ref="DF151:DF165" si="740">($AA151+$AB151)*1.08*$CI151</f>
        <v>-3129.8969626214403</v>
      </c>
      <c r="DG151" s="17"/>
      <c r="DH151" s="17">
        <f t="shared" ref="DH151:DH165" si="741">$H151*200*0.68*CW151</f>
        <v>-10514.941939202587</v>
      </c>
      <c r="DI151" s="17">
        <f t="shared" ref="DI151:DI165" si="742">$K151*375*0.68*CW151</f>
        <v>-29573.274204007277</v>
      </c>
      <c r="DJ151" s="17">
        <f t="shared" ref="DJ151:DJ165" si="743">(AA151+AB151)*0.68*CW151</f>
        <v>-1763.475482127217</v>
      </c>
      <c r="DK151" s="17">
        <f t="shared" ref="DK151:DK165" si="744">(Z151-AA151)*0.68*CP151</f>
        <v>2630.0966308563256</v>
      </c>
      <c r="DL151" s="17">
        <f t="shared" ref="DL151:DL165" si="745">CX151+DA151+CZ151+DB151+DC151+DD151+DE151+DF151</f>
        <v>-13129.763937021437</v>
      </c>
      <c r="DM151" s="17">
        <f t="shared" ref="DM151:DM165" si="746">DH151+DI151+DJ151+DK151</f>
        <v>-39221.594994480751</v>
      </c>
      <c r="DN151" s="17">
        <f t="shared" ref="DN151:DN165" si="747">DL151+DM151</f>
        <v>-52351.358931502189</v>
      </c>
    </row>
    <row r="152" spans="3:120" ht="18.600000000000001">
      <c r="C152" s="13">
        <f>IF(D152&lt;&gt;"",COUNTA($D$10:D152),"")</f>
        <v>122</v>
      </c>
      <c r="D152" s="14" t="s">
        <v>202</v>
      </c>
      <c r="E152" s="14">
        <v>1.5</v>
      </c>
      <c r="F152" s="14">
        <v>2.8</v>
      </c>
      <c r="G152" s="14">
        <v>2.4</v>
      </c>
      <c r="H152" s="14">
        <v>2</v>
      </c>
      <c r="I152" s="14">
        <v>3</v>
      </c>
      <c r="J152" s="14">
        <v>1.75</v>
      </c>
      <c r="K152" s="14">
        <v>3</v>
      </c>
      <c r="L152" s="15">
        <v>0.1</v>
      </c>
      <c r="M152" s="15">
        <v>0</v>
      </c>
      <c r="N152" s="14">
        <v>24</v>
      </c>
      <c r="O152" s="14">
        <v>50</v>
      </c>
      <c r="P152" s="13">
        <v>45</v>
      </c>
      <c r="Q152" s="13">
        <v>85</v>
      </c>
      <c r="R152" s="13" t="s">
        <v>17</v>
      </c>
      <c r="S152" s="13">
        <v>120</v>
      </c>
      <c r="T152" s="13">
        <v>0</v>
      </c>
      <c r="U152" s="13">
        <v>100</v>
      </c>
      <c r="V152" s="13" t="str">
        <f t="shared" si="672"/>
        <v>ISO 6</v>
      </c>
      <c r="W152" s="13">
        <f t="shared" si="673"/>
        <v>120</v>
      </c>
      <c r="X152" s="16">
        <f t="shared" si="674"/>
        <v>45.191999999999993</v>
      </c>
      <c r="Y152" s="16">
        <f t="shared" si="675"/>
        <v>355.75142399999993</v>
      </c>
      <c r="Z152" s="16">
        <f t="shared" si="676"/>
        <v>711.50284799999986</v>
      </c>
      <c r="AA152" s="16">
        <f t="shared" si="677"/>
        <v>71.150284799999994</v>
      </c>
      <c r="AB152" s="16">
        <f t="shared" si="678"/>
        <v>0</v>
      </c>
      <c r="AC152" s="16">
        <f t="shared" si="679"/>
        <v>6.5452646860337245</v>
      </c>
      <c r="AD152" s="16">
        <f t="shared" si="680"/>
        <v>2250</v>
      </c>
      <c r="AE152" s="16">
        <f t="shared" si="681"/>
        <v>2250</v>
      </c>
      <c r="AF152" s="16">
        <f t="shared" si="682"/>
        <v>14</v>
      </c>
      <c r="AG152" s="16">
        <f t="shared" si="683"/>
        <v>6</v>
      </c>
      <c r="AH152" s="838" t="s">
        <v>85</v>
      </c>
      <c r="AI152" s="17">
        <f t="shared" si="684"/>
        <v>5</v>
      </c>
      <c r="AJ152" s="17">
        <f t="shared" si="685"/>
        <v>6</v>
      </c>
      <c r="AK152" s="891"/>
      <c r="AL152" s="18" t="s">
        <v>255</v>
      </c>
      <c r="AM152" s="889"/>
      <c r="AN152" s="891"/>
      <c r="AO152" s="888"/>
      <c r="AP152" s="891"/>
      <c r="AQ152" s="891"/>
      <c r="AR152" s="889"/>
      <c r="AS152" s="888"/>
      <c r="AT152" s="888"/>
      <c r="AU152" s="890"/>
      <c r="AV152" s="888"/>
      <c r="AW152" s="888"/>
      <c r="AX152" s="888"/>
      <c r="AY152" s="887"/>
      <c r="AZ152" s="888"/>
      <c r="BA152" s="17">
        <f t="shared" si="686"/>
        <v>14.399999999999991</v>
      </c>
      <c r="BB152" s="17">
        <f t="shared" si="687"/>
        <v>37.799999999999997</v>
      </c>
      <c r="BC152" s="17">
        <f t="shared" si="688"/>
        <v>32</v>
      </c>
      <c r="BD152" s="17">
        <f t="shared" si="689"/>
        <v>85</v>
      </c>
      <c r="BE152" s="17">
        <f t="shared" si="690"/>
        <v>180.86341983910182</v>
      </c>
      <c r="BF152" s="17">
        <f t="shared" si="691"/>
        <v>24</v>
      </c>
      <c r="BG152" s="17">
        <f t="shared" si="692"/>
        <v>50</v>
      </c>
      <c r="BH152" s="17">
        <f t="shared" si="693"/>
        <v>65.062647806544774</v>
      </c>
      <c r="BI152" s="17">
        <f t="shared" si="694"/>
        <v>115.80077203255705</v>
      </c>
      <c r="BJ152" s="17">
        <f t="shared" si="695"/>
        <v>45</v>
      </c>
      <c r="BK152" s="17">
        <f t="shared" si="696"/>
        <v>85</v>
      </c>
      <c r="BL152" s="17">
        <f t="shared" si="697"/>
        <v>380.54120080897206</v>
      </c>
      <c r="BM152" s="17">
        <f t="shared" si="698"/>
        <v>24</v>
      </c>
      <c r="BN152" s="17">
        <f t="shared" si="699"/>
        <v>50</v>
      </c>
      <c r="BO152" s="17">
        <f t="shared" si="700"/>
        <v>65.062647806544774</v>
      </c>
      <c r="BP152" s="17">
        <f t="shared" si="701"/>
        <v>315.4785530024273</v>
      </c>
      <c r="BQ152" s="17">
        <f t="shared" si="702"/>
        <v>3777.6896639999995</v>
      </c>
      <c r="BR152" s="17">
        <f t="shared" si="703"/>
        <v>1439.1198719999991</v>
      </c>
      <c r="BS152" s="17">
        <f t="shared" si="704"/>
        <v>292.84415999999976</v>
      </c>
      <c r="BT152" s="17">
        <f t="shared" si="705"/>
        <v>768.71591999999987</v>
      </c>
      <c r="BU152" s="17">
        <f t="shared" si="706"/>
        <v>23269.68</v>
      </c>
      <c r="BV152" s="17">
        <f t="shared" si="707"/>
        <v>10236</v>
      </c>
      <c r="BW152" s="17">
        <f t="shared" si="708"/>
        <v>269.84143199999994</v>
      </c>
      <c r="BX152" s="17">
        <f t="shared" si="709"/>
        <v>17495.999999999989</v>
      </c>
      <c r="BY152" s="17">
        <f t="shared" si="710"/>
        <v>2904.6392266751996</v>
      </c>
      <c r="BZ152" s="17"/>
      <c r="CA152" s="17">
        <f t="shared" si="711"/>
        <v>85810.166416660228</v>
      </c>
      <c r="CB152" s="17">
        <f t="shared" si="712"/>
        <v>241341.0930468569</v>
      </c>
      <c r="CC152" s="17">
        <f t="shared" si="713"/>
        <v>15263.544448201927</v>
      </c>
      <c r="CD152" s="17">
        <f t="shared" si="714"/>
        <v>137371.90003381731</v>
      </c>
      <c r="CE152" s="17">
        <f t="shared" si="715"/>
        <v>57953.850322675185</v>
      </c>
      <c r="CF152" s="17">
        <f t="shared" si="716"/>
        <v>479786.7039455364</v>
      </c>
      <c r="CG152" s="17">
        <f t="shared" si="717"/>
        <v>537740.55426821159</v>
      </c>
      <c r="CH152" s="17">
        <f t="shared" si="718"/>
        <v>14.400000000000006</v>
      </c>
      <c r="CI152" s="17">
        <f t="shared" si="719"/>
        <v>-43.2</v>
      </c>
      <c r="CJ152" s="17">
        <f t="shared" si="720"/>
        <v>16</v>
      </c>
      <c r="CK152" s="17">
        <f t="shared" si="721"/>
        <v>90</v>
      </c>
      <c r="CL152" s="17">
        <f t="shared" si="722"/>
        <v>71.46880726181422</v>
      </c>
      <c r="CM152" s="17">
        <f t="shared" si="723"/>
        <v>24</v>
      </c>
      <c r="CN152" s="17">
        <f t="shared" si="724"/>
        <v>50</v>
      </c>
      <c r="CO152" s="17">
        <f t="shared" si="725"/>
        <v>65.062647806544774</v>
      </c>
      <c r="CP152" s="17">
        <f t="shared" si="726"/>
        <v>6.4061594552694459</v>
      </c>
      <c r="CQ152" s="17">
        <f t="shared" si="727"/>
        <v>0</v>
      </c>
      <c r="CR152" s="17">
        <f t="shared" si="728"/>
        <v>100</v>
      </c>
      <c r="CS152" s="17">
        <f t="shared" si="729"/>
        <v>26.404773030064671</v>
      </c>
      <c r="CT152" s="17">
        <f t="shared" si="730"/>
        <v>24</v>
      </c>
      <c r="CU152" s="17">
        <f t="shared" si="731"/>
        <v>50</v>
      </c>
      <c r="CV152" s="17">
        <f t="shared" si="732"/>
        <v>65.062647806544774</v>
      </c>
      <c r="CW152" s="17">
        <f t="shared" si="733"/>
        <v>-38.657874776480099</v>
      </c>
      <c r="CX152" s="17">
        <f t="shared" si="671"/>
        <v>-4317.3596159999997</v>
      </c>
      <c r="CY152" s="17">
        <f t="shared" si="671"/>
        <v>-4317.3596159999997</v>
      </c>
      <c r="CZ152" s="17">
        <f t="shared" si="734"/>
        <v>292.8441600000001</v>
      </c>
      <c r="DA152" s="17">
        <f t="shared" si="735"/>
        <v>-878.53247999999996</v>
      </c>
      <c r="DB152" s="17">
        <f t="shared" si="736"/>
        <v>-26593.920000000002</v>
      </c>
      <c r="DC152" s="17">
        <f t="shared" si="737"/>
        <v>10236</v>
      </c>
      <c r="DD152" s="17">
        <f t="shared" si="738"/>
        <v>269.84143199999994</v>
      </c>
      <c r="DE152" s="17">
        <f t="shared" si="739"/>
        <v>17496.000000000007</v>
      </c>
      <c r="DF152" s="17">
        <f t="shared" si="740"/>
        <v>-3319.5876876288003</v>
      </c>
      <c r="DG152" s="17"/>
      <c r="DH152" s="17">
        <f t="shared" si="741"/>
        <v>-10514.941939202587</v>
      </c>
      <c r="DI152" s="17">
        <f t="shared" si="742"/>
        <v>-29573.274204007277</v>
      </c>
      <c r="DJ152" s="17">
        <f t="shared" si="743"/>
        <v>-1870.3527840743209</v>
      </c>
      <c r="DK152" s="17">
        <f t="shared" si="744"/>
        <v>2789.4964266657994</v>
      </c>
      <c r="DL152" s="17">
        <f t="shared" si="745"/>
        <v>-6814.7141916287928</v>
      </c>
      <c r="DM152" s="17">
        <f t="shared" si="746"/>
        <v>-39169.072500618386</v>
      </c>
      <c r="DN152" s="17">
        <f t="shared" si="747"/>
        <v>-45983.78669224718</v>
      </c>
    </row>
    <row r="153" spans="3:120" ht="18.600000000000001">
      <c r="C153" s="13">
        <f>IF(D153&lt;&gt;"",COUNTA($D$10:D153),"")</f>
        <v>123</v>
      </c>
      <c r="D153" s="14" t="s">
        <v>203</v>
      </c>
      <c r="E153" s="14">
        <v>2.1</v>
      </c>
      <c r="F153" s="14">
        <v>3.5</v>
      </c>
      <c r="G153" s="14">
        <v>2.4</v>
      </c>
      <c r="H153" s="14">
        <v>0</v>
      </c>
      <c r="I153" s="14">
        <v>1</v>
      </c>
      <c r="J153" s="14">
        <v>1.75</v>
      </c>
      <c r="K153" s="14">
        <v>3</v>
      </c>
      <c r="L153" s="15">
        <v>0.1</v>
      </c>
      <c r="M153" s="15">
        <v>0</v>
      </c>
      <c r="N153" s="14">
        <v>24</v>
      </c>
      <c r="O153" s="14">
        <v>50</v>
      </c>
      <c r="P153" s="13">
        <v>45</v>
      </c>
      <c r="Q153" s="13">
        <v>85</v>
      </c>
      <c r="R153" s="13" t="s">
        <v>17</v>
      </c>
      <c r="S153" s="13">
        <v>120</v>
      </c>
      <c r="T153" s="13">
        <v>0</v>
      </c>
      <c r="U153" s="13">
        <v>100</v>
      </c>
      <c r="V153" s="13" t="str">
        <f t="shared" si="672"/>
        <v>ISO 6</v>
      </c>
      <c r="W153" s="13">
        <f t="shared" si="673"/>
        <v>120</v>
      </c>
      <c r="X153" s="16">
        <f t="shared" si="674"/>
        <v>79.085999999999999</v>
      </c>
      <c r="Y153" s="16">
        <f t="shared" si="675"/>
        <v>622.56499199999996</v>
      </c>
      <c r="Z153" s="16">
        <f t="shared" si="676"/>
        <v>1245.1299839999999</v>
      </c>
      <c r="AA153" s="16">
        <f t="shared" si="677"/>
        <v>124.5129984</v>
      </c>
      <c r="AB153" s="16">
        <f t="shared" si="678"/>
        <v>0</v>
      </c>
      <c r="AC153" s="16">
        <f t="shared" si="679"/>
        <v>11.454213200559018</v>
      </c>
      <c r="AD153" s="16">
        <f t="shared" si="680"/>
        <v>2375</v>
      </c>
      <c r="AE153" s="16">
        <f t="shared" si="681"/>
        <v>2375</v>
      </c>
      <c r="AF153" s="16">
        <f t="shared" si="682"/>
        <v>14</v>
      </c>
      <c r="AG153" s="16">
        <f t="shared" si="683"/>
        <v>6</v>
      </c>
      <c r="AH153" s="838" t="s">
        <v>85</v>
      </c>
      <c r="AI153" s="17">
        <f t="shared" si="684"/>
        <v>3</v>
      </c>
      <c r="AJ153" s="17">
        <f t="shared" si="685"/>
        <v>6</v>
      </c>
      <c r="AK153" s="891"/>
      <c r="AL153" s="18">
        <f>IF(AK150&lt;=2000,950,(IF(AK150&lt;=4000,1100,(IF(AK150&lt;=6000,1250,(IF(AK150&lt;=10000,1550,(IF(AK150&lt;=15000,1750,(IF(AK150&lt;=24000,2050,(IF(AK150&lt;=40000,2900,3600)))))))))))))</f>
        <v>3600</v>
      </c>
      <c r="AM153" s="889"/>
      <c r="AN153" s="891"/>
      <c r="AO153" s="888"/>
      <c r="AP153" s="891"/>
      <c r="AQ153" s="891"/>
      <c r="AR153" s="889"/>
      <c r="AS153" s="888"/>
      <c r="AT153" s="888"/>
      <c r="AU153" s="890"/>
      <c r="AV153" s="888"/>
      <c r="AW153" s="888"/>
      <c r="AX153" s="888"/>
      <c r="AY153" s="887"/>
      <c r="AZ153" s="888"/>
      <c r="BA153" s="17">
        <f t="shared" si="686"/>
        <v>14.399999999999991</v>
      </c>
      <c r="BB153" s="17">
        <f t="shared" si="687"/>
        <v>37.799999999999997</v>
      </c>
      <c r="BC153" s="17">
        <f t="shared" si="688"/>
        <v>32</v>
      </c>
      <c r="BD153" s="17">
        <f t="shared" si="689"/>
        <v>85</v>
      </c>
      <c r="BE153" s="17">
        <f t="shared" si="690"/>
        <v>180.86341983910182</v>
      </c>
      <c r="BF153" s="17">
        <f t="shared" si="691"/>
        <v>24</v>
      </c>
      <c r="BG153" s="17">
        <f t="shared" si="692"/>
        <v>50</v>
      </c>
      <c r="BH153" s="17">
        <f t="shared" si="693"/>
        <v>65.062647806544774</v>
      </c>
      <c r="BI153" s="17">
        <f t="shared" si="694"/>
        <v>115.80077203255705</v>
      </c>
      <c r="BJ153" s="17">
        <f t="shared" si="695"/>
        <v>45</v>
      </c>
      <c r="BK153" s="17">
        <f t="shared" si="696"/>
        <v>85</v>
      </c>
      <c r="BL153" s="17">
        <f t="shared" si="697"/>
        <v>380.54120080897206</v>
      </c>
      <c r="BM153" s="17">
        <f t="shared" si="698"/>
        <v>24</v>
      </c>
      <c r="BN153" s="17">
        <f t="shared" si="699"/>
        <v>50</v>
      </c>
      <c r="BO153" s="17">
        <f t="shared" si="700"/>
        <v>65.062647806544774</v>
      </c>
      <c r="BP153" s="17">
        <f t="shared" si="701"/>
        <v>315.4785530024273</v>
      </c>
      <c r="BQ153" s="17">
        <f t="shared" si="702"/>
        <v>4919.7818879999995</v>
      </c>
      <c r="BR153" s="17">
        <f t="shared" si="703"/>
        <v>1874.2026239999989</v>
      </c>
      <c r="BS153" s="17">
        <f t="shared" si="704"/>
        <v>512.47727999999972</v>
      </c>
      <c r="BT153" s="17">
        <f t="shared" si="705"/>
        <v>1345.2528599999998</v>
      </c>
      <c r="BU153" s="17">
        <f t="shared" si="706"/>
        <v>0</v>
      </c>
      <c r="BV153" s="17">
        <f t="shared" si="707"/>
        <v>3412</v>
      </c>
      <c r="BW153" s="17">
        <f t="shared" si="708"/>
        <v>472.22250599999995</v>
      </c>
      <c r="BX153" s="17">
        <f t="shared" si="709"/>
        <v>17495.999999999989</v>
      </c>
      <c r="BY153" s="17">
        <f t="shared" si="710"/>
        <v>5083.1186466815998</v>
      </c>
      <c r="BZ153" s="17"/>
      <c r="CA153" s="17">
        <f t="shared" si="711"/>
        <v>0</v>
      </c>
      <c r="CB153" s="17">
        <f t="shared" si="712"/>
        <v>241341.0930468569</v>
      </c>
      <c r="CC153" s="17">
        <f t="shared" si="713"/>
        <v>26711.202784353376</v>
      </c>
      <c r="CD153" s="17">
        <f t="shared" si="714"/>
        <v>240400.82505918032</v>
      </c>
      <c r="CE153" s="17">
        <f t="shared" si="715"/>
        <v>31383.123040681588</v>
      </c>
      <c r="CF153" s="17">
        <f t="shared" si="716"/>
        <v>508453.12089039059</v>
      </c>
      <c r="CG153" s="17">
        <f t="shared" si="717"/>
        <v>539836.24393107218</v>
      </c>
      <c r="CH153" s="17">
        <f t="shared" si="718"/>
        <v>14.400000000000006</v>
      </c>
      <c r="CI153" s="17">
        <f t="shared" si="719"/>
        <v>-43.2</v>
      </c>
      <c r="CJ153" s="17">
        <f t="shared" si="720"/>
        <v>16</v>
      </c>
      <c r="CK153" s="17">
        <f t="shared" si="721"/>
        <v>90</v>
      </c>
      <c r="CL153" s="17">
        <f t="shared" si="722"/>
        <v>71.46880726181422</v>
      </c>
      <c r="CM153" s="17">
        <f t="shared" si="723"/>
        <v>24</v>
      </c>
      <c r="CN153" s="17">
        <f t="shared" si="724"/>
        <v>50</v>
      </c>
      <c r="CO153" s="17">
        <f t="shared" si="725"/>
        <v>65.062647806544774</v>
      </c>
      <c r="CP153" s="17">
        <f t="shared" si="726"/>
        <v>6.4061594552694459</v>
      </c>
      <c r="CQ153" s="17">
        <f t="shared" si="727"/>
        <v>0</v>
      </c>
      <c r="CR153" s="17">
        <f t="shared" si="728"/>
        <v>100</v>
      </c>
      <c r="CS153" s="17">
        <f t="shared" si="729"/>
        <v>26.404773030064671</v>
      </c>
      <c r="CT153" s="17">
        <f t="shared" si="730"/>
        <v>24</v>
      </c>
      <c r="CU153" s="17">
        <f t="shared" si="731"/>
        <v>50</v>
      </c>
      <c r="CV153" s="17">
        <f t="shared" si="732"/>
        <v>65.062647806544774</v>
      </c>
      <c r="CW153" s="17">
        <f t="shared" si="733"/>
        <v>-38.657874776480099</v>
      </c>
      <c r="CX153" s="17">
        <f t="shared" si="671"/>
        <v>-5622.6078720000005</v>
      </c>
      <c r="CY153" s="17">
        <f t="shared" si="671"/>
        <v>-5622.6078720000005</v>
      </c>
      <c r="CZ153" s="17">
        <f t="shared" si="734"/>
        <v>512.47728000000018</v>
      </c>
      <c r="DA153" s="17">
        <f t="shared" si="735"/>
        <v>-1537.4318400000002</v>
      </c>
      <c r="DB153" s="17">
        <f t="shared" si="736"/>
        <v>0</v>
      </c>
      <c r="DC153" s="17">
        <f t="shared" si="737"/>
        <v>3412</v>
      </c>
      <c r="DD153" s="17">
        <f t="shared" si="738"/>
        <v>472.22250599999995</v>
      </c>
      <c r="DE153" s="17">
        <f t="shared" si="739"/>
        <v>17496.000000000007</v>
      </c>
      <c r="DF153" s="17">
        <f t="shared" si="740"/>
        <v>-5809.2784533504</v>
      </c>
      <c r="DG153" s="17"/>
      <c r="DH153" s="17">
        <f t="shared" si="741"/>
        <v>0</v>
      </c>
      <c r="DI153" s="17">
        <f t="shared" si="742"/>
        <v>-29573.274204007277</v>
      </c>
      <c r="DJ153" s="17">
        <f t="shared" si="743"/>
        <v>-3273.117372130062</v>
      </c>
      <c r="DK153" s="17">
        <f t="shared" si="744"/>
        <v>4881.618746665149</v>
      </c>
      <c r="DL153" s="17">
        <f t="shared" si="745"/>
        <v>8923.3816206496067</v>
      </c>
      <c r="DM153" s="17">
        <f t="shared" si="746"/>
        <v>-27964.772829472186</v>
      </c>
      <c r="DN153" s="17">
        <f t="shared" si="747"/>
        <v>-19041.391208822577</v>
      </c>
    </row>
    <row r="154" spans="3:120" ht="18.600000000000001">
      <c r="C154" s="13">
        <f>IF(D154&lt;&gt;"",COUNTA($D$10:D154),"")</f>
        <v>124</v>
      </c>
      <c r="D154" s="14" t="s">
        <v>204</v>
      </c>
      <c r="E154" s="14">
        <v>2.7</v>
      </c>
      <c r="F154" s="14">
        <v>4</v>
      </c>
      <c r="G154" s="14">
        <v>2.4</v>
      </c>
      <c r="H154" s="14">
        <v>2</v>
      </c>
      <c r="I154" s="14">
        <v>1</v>
      </c>
      <c r="J154" s="14">
        <v>1.75</v>
      </c>
      <c r="K154" s="14">
        <v>3</v>
      </c>
      <c r="L154" s="15">
        <v>0.1</v>
      </c>
      <c r="M154" s="15">
        <v>0</v>
      </c>
      <c r="N154" s="14">
        <v>24</v>
      </c>
      <c r="O154" s="14">
        <v>50</v>
      </c>
      <c r="P154" s="13">
        <v>45</v>
      </c>
      <c r="Q154" s="13">
        <v>85</v>
      </c>
      <c r="R154" s="13" t="s">
        <v>17</v>
      </c>
      <c r="S154" s="13">
        <v>120</v>
      </c>
      <c r="T154" s="13">
        <v>0</v>
      </c>
      <c r="U154" s="13">
        <v>100</v>
      </c>
      <c r="V154" s="13" t="str">
        <f t="shared" si="672"/>
        <v>ISO 6</v>
      </c>
      <c r="W154" s="13">
        <f t="shared" si="673"/>
        <v>120</v>
      </c>
      <c r="X154" s="16">
        <f t="shared" si="674"/>
        <v>116.208</v>
      </c>
      <c r="Y154" s="16">
        <f t="shared" si="675"/>
        <v>914.78937599999995</v>
      </c>
      <c r="Z154" s="16">
        <f t="shared" si="676"/>
        <v>1829.5787519999999</v>
      </c>
      <c r="AA154" s="16">
        <f t="shared" si="677"/>
        <v>182.95787519999999</v>
      </c>
      <c r="AB154" s="16">
        <f t="shared" si="678"/>
        <v>0</v>
      </c>
      <c r="AC154" s="16">
        <f t="shared" si="679"/>
        <v>16.830680621229575</v>
      </c>
      <c r="AD154" s="16">
        <f t="shared" si="680"/>
        <v>3375</v>
      </c>
      <c r="AE154" s="16">
        <f t="shared" si="681"/>
        <v>3375</v>
      </c>
      <c r="AF154" s="16">
        <f t="shared" si="682"/>
        <v>20</v>
      </c>
      <c r="AG154" s="16">
        <f t="shared" si="683"/>
        <v>8.5</v>
      </c>
      <c r="AH154" s="838" t="s">
        <v>85</v>
      </c>
      <c r="AI154" s="17">
        <f t="shared" si="684"/>
        <v>5</v>
      </c>
      <c r="AJ154" s="17">
        <f t="shared" si="685"/>
        <v>8.5</v>
      </c>
      <c r="AK154" s="891"/>
      <c r="AL154" s="18" t="s">
        <v>256</v>
      </c>
      <c r="AM154" s="889"/>
      <c r="AN154" s="891"/>
      <c r="AO154" s="888"/>
      <c r="AP154" s="891"/>
      <c r="AQ154" s="891"/>
      <c r="AR154" s="889"/>
      <c r="AS154" s="888"/>
      <c r="AT154" s="888"/>
      <c r="AU154" s="890"/>
      <c r="AV154" s="888"/>
      <c r="AW154" s="888"/>
      <c r="AX154" s="888"/>
      <c r="AY154" s="887"/>
      <c r="AZ154" s="888"/>
      <c r="BA154" s="17">
        <f t="shared" si="686"/>
        <v>14.399999999999991</v>
      </c>
      <c r="BB154" s="17">
        <f t="shared" si="687"/>
        <v>37.799999999999997</v>
      </c>
      <c r="BC154" s="17">
        <f t="shared" si="688"/>
        <v>32</v>
      </c>
      <c r="BD154" s="17">
        <f t="shared" si="689"/>
        <v>85</v>
      </c>
      <c r="BE154" s="17">
        <f t="shared" si="690"/>
        <v>180.86341983910182</v>
      </c>
      <c r="BF154" s="17">
        <f t="shared" si="691"/>
        <v>24</v>
      </c>
      <c r="BG154" s="17">
        <f t="shared" si="692"/>
        <v>50</v>
      </c>
      <c r="BH154" s="17">
        <f t="shared" si="693"/>
        <v>65.062647806544774</v>
      </c>
      <c r="BI154" s="17">
        <f t="shared" si="694"/>
        <v>115.80077203255705</v>
      </c>
      <c r="BJ154" s="17">
        <f t="shared" si="695"/>
        <v>45</v>
      </c>
      <c r="BK154" s="17">
        <f t="shared" si="696"/>
        <v>85</v>
      </c>
      <c r="BL154" s="17">
        <f t="shared" si="697"/>
        <v>380.54120080897206</v>
      </c>
      <c r="BM154" s="17">
        <f t="shared" si="698"/>
        <v>24</v>
      </c>
      <c r="BN154" s="17">
        <f t="shared" si="699"/>
        <v>50</v>
      </c>
      <c r="BO154" s="17">
        <f t="shared" si="700"/>
        <v>65.062647806544774</v>
      </c>
      <c r="BP154" s="17">
        <f t="shared" si="701"/>
        <v>315.4785530024273</v>
      </c>
      <c r="BQ154" s="17">
        <f t="shared" si="702"/>
        <v>5886.1676159999997</v>
      </c>
      <c r="BR154" s="17">
        <f t="shared" si="703"/>
        <v>2242.3495679999987</v>
      </c>
      <c r="BS154" s="17">
        <f t="shared" si="704"/>
        <v>753.02783999999963</v>
      </c>
      <c r="BT154" s="17">
        <f t="shared" si="705"/>
        <v>1976.6980799999997</v>
      </c>
      <c r="BU154" s="17">
        <f t="shared" si="706"/>
        <v>23269.68</v>
      </c>
      <c r="BV154" s="17">
        <f t="shared" si="707"/>
        <v>3412</v>
      </c>
      <c r="BW154" s="17">
        <f t="shared" si="708"/>
        <v>693.87796800000001</v>
      </c>
      <c r="BX154" s="17">
        <f t="shared" si="709"/>
        <v>17495.999999999989</v>
      </c>
      <c r="BY154" s="17">
        <f t="shared" si="710"/>
        <v>7469.0722971647992</v>
      </c>
      <c r="BZ154" s="17"/>
      <c r="CA154" s="17">
        <f t="shared" si="711"/>
        <v>85810.166416660228</v>
      </c>
      <c r="CB154" s="17">
        <f t="shared" si="712"/>
        <v>241341.0930468569</v>
      </c>
      <c r="CC154" s="17">
        <f t="shared" si="713"/>
        <v>39249.114295376385</v>
      </c>
      <c r="CD154" s="17">
        <f t="shared" si="714"/>
        <v>353242.02865838748</v>
      </c>
      <c r="CE154" s="17">
        <f t="shared" si="715"/>
        <v>58226.797881164784</v>
      </c>
      <c r="CF154" s="17">
        <f t="shared" si="716"/>
        <v>719642.40241728094</v>
      </c>
      <c r="CG154" s="17">
        <f t="shared" si="717"/>
        <v>777869.20029844576</v>
      </c>
      <c r="CH154" s="17">
        <f t="shared" si="718"/>
        <v>14.400000000000006</v>
      </c>
      <c r="CI154" s="17">
        <f t="shared" si="719"/>
        <v>-43.2</v>
      </c>
      <c r="CJ154" s="17">
        <f t="shared" si="720"/>
        <v>16</v>
      </c>
      <c r="CK154" s="17">
        <f t="shared" si="721"/>
        <v>90</v>
      </c>
      <c r="CL154" s="17">
        <f t="shared" si="722"/>
        <v>71.46880726181422</v>
      </c>
      <c r="CM154" s="17">
        <f t="shared" si="723"/>
        <v>24</v>
      </c>
      <c r="CN154" s="17">
        <f t="shared" si="724"/>
        <v>50</v>
      </c>
      <c r="CO154" s="17">
        <f t="shared" si="725"/>
        <v>65.062647806544774</v>
      </c>
      <c r="CP154" s="17">
        <f t="shared" si="726"/>
        <v>6.4061594552694459</v>
      </c>
      <c r="CQ154" s="17">
        <f t="shared" si="727"/>
        <v>0</v>
      </c>
      <c r="CR154" s="17">
        <f t="shared" si="728"/>
        <v>100</v>
      </c>
      <c r="CS154" s="17">
        <f t="shared" si="729"/>
        <v>26.404773030064671</v>
      </c>
      <c r="CT154" s="17">
        <f t="shared" si="730"/>
        <v>24</v>
      </c>
      <c r="CU154" s="17">
        <f t="shared" si="731"/>
        <v>50</v>
      </c>
      <c r="CV154" s="17">
        <f t="shared" si="732"/>
        <v>65.062647806544774</v>
      </c>
      <c r="CW154" s="17">
        <f t="shared" si="733"/>
        <v>-38.657874776480099</v>
      </c>
      <c r="CX154" s="17">
        <f t="shared" si="671"/>
        <v>-6727.0487040000007</v>
      </c>
      <c r="CY154" s="17">
        <f t="shared" si="671"/>
        <v>-6727.0487040000007</v>
      </c>
      <c r="CZ154" s="17">
        <f t="shared" si="734"/>
        <v>753.02784000000031</v>
      </c>
      <c r="DA154" s="17">
        <f t="shared" si="735"/>
        <v>-2259.0835200000006</v>
      </c>
      <c r="DB154" s="17">
        <f t="shared" si="736"/>
        <v>-26593.920000000002</v>
      </c>
      <c r="DC154" s="17">
        <f t="shared" si="737"/>
        <v>3412</v>
      </c>
      <c r="DD154" s="17">
        <f t="shared" si="738"/>
        <v>693.87796800000001</v>
      </c>
      <c r="DE154" s="17">
        <f t="shared" si="739"/>
        <v>17496.000000000007</v>
      </c>
      <c r="DF154" s="17">
        <f t="shared" si="740"/>
        <v>-8536.0826253312007</v>
      </c>
      <c r="DG154" s="17"/>
      <c r="DH154" s="17">
        <f t="shared" si="741"/>
        <v>-10514.941939202587</v>
      </c>
      <c r="DI154" s="17">
        <f t="shared" si="742"/>
        <v>-29573.274204007277</v>
      </c>
      <c r="DJ154" s="17">
        <f t="shared" si="743"/>
        <v>-4809.478587619682</v>
      </c>
      <c r="DK154" s="17">
        <f t="shared" si="744"/>
        <v>7172.9908114263426</v>
      </c>
      <c r="DL154" s="17">
        <f t="shared" si="745"/>
        <v>-21761.229041331197</v>
      </c>
      <c r="DM154" s="17">
        <f t="shared" si="746"/>
        <v>-37724.703919403204</v>
      </c>
      <c r="DN154" s="17">
        <f t="shared" si="747"/>
        <v>-59485.932960734397</v>
      </c>
    </row>
    <row r="155" spans="3:120" ht="18.600000000000001">
      <c r="C155" s="13">
        <f>IF(D155&lt;&gt;"",COUNTA($D$10:D155),"")</f>
        <v>125</v>
      </c>
      <c r="D155" s="14" t="s">
        <v>205</v>
      </c>
      <c r="E155" s="14">
        <v>3.8</v>
      </c>
      <c r="F155" s="14">
        <v>4.2</v>
      </c>
      <c r="G155" s="14">
        <v>2.4</v>
      </c>
      <c r="H155" s="14">
        <v>3</v>
      </c>
      <c r="I155" s="14">
        <v>3</v>
      </c>
      <c r="J155" s="14">
        <v>1.75</v>
      </c>
      <c r="K155" s="14">
        <v>3</v>
      </c>
      <c r="L155" s="15">
        <v>0.1</v>
      </c>
      <c r="M155" s="15">
        <v>0</v>
      </c>
      <c r="N155" s="14">
        <v>24</v>
      </c>
      <c r="O155" s="14">
        <v>50</v>
      </c>
      <c r="P155" s="13">
        <v>45</v>
      </c>
      <c r="Q155" s="13">
        <v>85</v>
      </c>
      <c r="R155" s="13" t="s">
        <v>17</v>
      </c>
      <c r="S155" s="13">
        <v>120</v>
      </c>
      <c r="T155" s="13">
        <v>0</v>
      </c>
      <c r="U155" s="13">
        <v>100</v>
      </c>
      <c r="V155" s="13" t="str">
        <f t="shared" si="672"/>
        <v>ISO 6</v>
      </c>
      <c r="W155" s="13">
        <f t="shared" si="673"/>
        <v>120</v>
      </c>
      <c r="X155" s="16">
        <f t="shared" si="674"/>
        <v>171.72959999999998</v>
      </c>
      <c r="Y155" s="16">
        <f t="shared" si="675"/>
        <v>1351.8554111999997</v>
      </c>
      <c r="Z155" s="16">
        <f t="shared" si="676"/>
        <v>2703.7108223999994</v>
      </c>
      <c r="AA155" s="16">
        <f t="shared" si="677"/>
        <v>270.37108223999996</v>
      </c>
      <c r="AB155" s="16">
        <f t="shared" si="678"/>
        <v>0</v>
      </c>
      <c r="AC155" s="16">
        <f t="shared" si="679"/>
        <v>24.872005806928151</v>
      </c>
      <c r="AD155" s="16">
        <f t="shared" si="680"/>
        <v>4450</v>
      </c>
      <c r="AE155" s="16">
        <f t="shared" si="681"/>
        <v>4450</v>
      </c>
      <c r="AF155" s="16">
        <f t="shared" si="682"/>
        <v>26</v>
      </c>
      <c r="AG155" s="16">
        <f t="shared" si="683"/>
        <v>11.5</v>
      </c>
      <c r="AH155" s="838" t="s">
        <v>85</v>
      </c>
      <c r="AI155" s="17">
        <f t="shared" si="684"/>
        <v>7</v>
      </c>
      <c r="AJ155" s="17">
        <f t="shared" si="685"/>
        <v>11.5</v>
      </c>
      <c r="AK155" s="891"/>
      <c r="AL155" s="18">
        <f>IF(AL159&lt;4000,AL159,AL159+400)</f>
        <v>5800</v>
      </c>
      <c r="AM155" s="889"/>
      <c r="AN155" s="891"/>
      <c r="AO155" s="888"/>
      <c r="AP155" s="891"/>
      <c r="AQ155" s="891"/>
      <c r="AR155" s="889"/>
      <c r="AS155" s="888"/>
      <c r="AT155" s="888"/>
      <c r="AU155" s="890"/>
      <c r="AV155" s="888"/>
      <c r="AW155" s="888"/>
      <c r="AX155" s="888"/>
      <c r="AY155" s="887"/>
      <c r="AZ155" s="888"/>
      <c r="BA155" s="17">
        <f t="shared" si="686"/>
        <v>14.399999999999991</v>
      </c>
      <c r="BB155" s="17">
        <f t="shared" si="687"/>
        <v>37.799999999999997</v>
      </c>
      <c r="BC155" s="17">
        <f t="shared" si="688"/>
        <v>32</v>
      </c>
      <c r="BD155" s="17">
        <f t="shared" si="689"/>
        <v>85</v>
      </c>
      <c r="BE155" s="17">
        <f t="shared" si="690"/>
        <v>180.86341983910182</v>
      </c>
      <c r="BF155" s="17">
        <f t="shared" si="691"/>
        <v>24</v>
      </c>
      <c r="BG155" s="17">
        <f t="shared" si="692"/>
        <v>50</v>
      </c>
      <c r="BH155" s="17">
        <f t="shared" si="693"/>
        <v>65.062647806544774</v>
      </c>
      <c r="BI155" s="17">
        <f t="shared" si="694"/>
        <v>115.80077203255705</v>
      </c>
      <c r="BJ155" s="17">
        <f t="shared" si="695"/>
        <v>45</v>
      </c>
      <c r="BK155" s="17">
        <f t="shared" si="696"/>
        <v>85</v>
      </c>
      <c r="BL155" s="17">
        <f t="shared" si="697"/>
        <v>380.54120080897206</v>
      </c>
      <c r="BM155" s="17">
        <f t="shared" si="698"/>
        <v>24</v>
      </c>
      <c r="BN155" s="17">
        <f t="shared" si="699"/>
        <v>50</v>
      </c>
      <c r="BO155" s="17">
        <f t="shared" si="700"/>
        <v>65.062647806544774</v>
      </c>
      <c r="BP155" s="17">
        <f t="shared" si="701"/>
        <v>315.4785530024273</v>
      </c>
      <c r="BQ155" s="17">
        <f t="shared" si="702"/>
        <v>7028.2598399999997</v>
      </c>
      <c r="BR155" s="17">
        <f t="shared" si="703"/>
        <v>2677.4323199999981</v>
      </c>
      <c r="BS155" s="17">
        <f t="shared" si="704"/>
        <v>1112.8078079999991</v>
      </c>
      <c r="BT155" s="17">
        <f t="shared" si="705"/>
        <v>2921.1204959999995</v>
      </c>
      <c r="BU155" s="17">
        <f t="shared" si="706"/>
        <v>34904.520000000004</v>
      </c>
      <c r="BV155" s="17">
        <f t="shared" si="707"/>
        <v>10236</v>
      </c>
      <c r="BW155" s="17">
        <f t="shared" si="708"/>
        <v>1025.3974415999999</v>
      </c>
      <c r="BX155" s="17">
        <f t="shared" si="709"/>
        <v>17495.999999999989</v>
      </c>
      <c r="BY155" s="17">
        <f t="shared" si="710"/>
        <v>11037.62906136576</v>
      </c>
      <c r="BZ155" s="17"/>
      <c r="CA155" s="17">
        <f t="shared" si="711"/>
        <v>128715.24962499036</v>
      </c>
      <c r="CB155" s="17">
        <f t="shared" si="712"/>
        <v>241341.0930468569</v>
      </c>
      <c r="CC155" s="17">
        <f t="shared" si="713"/>
        <v>58001.468903167319</v>
      </c>
      <c r="CD155" s="17">
        <f t="shared" si="714"/>
        <v>522013.22012850584</v>
      </c>
      <c r="CE155" s="17">
        <f t="shared" si="715"/>
        <v>81727.806342965749</v>
      </c>
      <c r="CF155" s="17">
        <f t="shared" si="716"/>
        <v>950071.03170352045</v>
      </c>
      <c r="CG155" s="17">
        <f t="shared" si="717"/>
        <v>1031798.8380464863</v>
      </c>
      <c r="CH155" s="17">
        <f t="shared" si="718"/>
        <v>14.400000000000006</v>
      </c>
      <c r="CI155" s="17">
        <f t="shared" si="719"/>
        <v>-43.2</v>
      </c>
      <c r="CJ155" s="17">
        <f t="shared" si="720"/>
        <v>16</v>
      </c>
      <c r="CK155" s="17">
        <f t="shared" si="721"/>
        <v>90</v>
      </c>
      <c r="CL155" s="17">
        <f t="shared" si="722"/>
        <v>71.46880726181422</v>
      </c>
      <c r="CM155" s="17">
        <f t="shared" si="723"/>
        <v>24</v>
      </c>
      <c r="CN155" s="17">
        <f t="shared" si="724"/>
        <v>50</v>
      </c>
      <c r="CO155" s="17">
        <f t="shared" si="725"/>
        <v>65.062647806544774</v>
      </c>
      <c r="CP155" s="17">
        <f t="shared" si="726"/>
        <v>6.4061594552694459</v>
      </c>
      <c r="CQ155" s="17">
        <f t="shared" si="727"/>
        <v>0</v>
      </c>
      <c r="CR155" s="17">
        <f t="shared" si="728"/>
        <v>100</v>
      </c>
      <c r="CS155" s="17">
        <f t="shared" si="729"/>
        <v>26.404773030064671</v>
      </c>
      <c r="CT155" s="17">
        <f t="shared" si="730"/>
        <v>24</v>
      </c>
      <c r="CU155" s="17">
        <f t="shared" si="731"/>
        <v>50</v>
      </c>
      <c r="CV155" s="17">
        <f t="shared" si="732"/>
        <v>65.062647806544774</v>
      </c>
      <c r="CW155" s="17">
        <f t="shared" si="733"/>
        <v>-38.657874776480099</v>
      </c>
      <c r="CX155" s="17">
        <f t="shared" si="671"/>
        <v>-8032.2969600000006</v>
      </c>
      <c r="CY155" s="17">
        <f t="shared" si="671"/>
        <v>-8032.2969600000006</v>
      </c>
      <c r="CZ155" s="17">
        <f t="shared" si="734"/>
        <v>1112.8078080000003</v>
      </c>
      <c r="DA155" s="17">
        <f t="shared" si="735"/>
        <v>-3338.4234240000001</v>
      </c>
      <c r="DB155" s="17">
        <f t="shared" si="736"/>
        <v>-39890.880000000005</v>
      </c>
      <c r="DC155" s="17">
        <f t="shared" si="737"/>
        <v>10236</v>
      </c>
      <c r="DD155" s="17">
        <f t="shared" si="738"/>
        <v>1025.3974415999999</v>
      </c>
      <c r="DE155" s="17">
        <f t="shared" si="739"/>
        <v>17496.000000000007</v>
      </c>
      <c r="DF155" s="17">
        <f t="shared" si="740"/>
        <v>-12614.433212989441</v>
      </c>
      <c r="DG155" s="17"/>
      <c r="DH155" s="17">
        <f t="shared" si="741"/>
        <v>-15772.412908803883</v>
      </c>
      <c r="DI155" s="17">
        <f t="shared" si="742"/>
        <v>-29573.274204007277</v>
      </c>
      <c r="DJ155" s="17">
        <f t="shared" si="743"/>
        <v>-7107.3405794824193</v>
      </c>
      <c r="DK155" s="17">
        <f t="shared" si="744"/>
        <v>10600.086421330037</v>
      </c>
      <c r="DL155" s="17">
        <f t="shared" si="745"/>
        <v>-34005.828347389441</v>
      </c>
      <c r="DM155" s="17">
        <f t="shared" si="746"/>
        <v>-41852.941270963544</v>
      </c>
      <c r="DN155" s="17">
        <f t="shared" si="747"/>
        <v>-75858.769618352992</v>
      </c>
    </row>
    <row r="156" spans="3:120" ht="18.600000000000001">
      <c r="C156" s="13">
        <f>IF(D156&lt;&gt;"",COUNTA($D$10:D156),"")</f>
        <v>126</v>
      </c>
      <c r="D156" s="14" t="s">
        <v>206</v>
      </c>
      <c r="E156" s="14">
        <v>3.1</v>
      </c>
      <c r="F156" s="14">
        <v>2.6</v>
      </c>
      <c r="G156" s="14">
        <v>2.4</v>
      </c>
      <c r="H156" s="14">
        <v>2</v>
      </c>
      <c r="I156" s="14">
        <v>1</v>
      </c>
      <c r="J156" s="14">
        <v>1.75</v>
      </c>
      <c r="K156" s="14">
        <v>3</v>
      </c>
      <c r="L156" s="15">
        <v>0.1</v>
      </c>
      <c r="M156" s="15">
        <v>0</v>
      </c>
      <c r="N156" s="14">
        <v>24</v>
      </c>
      <c r="O156" s="14">
        <v>50</v>
      </c>
      <c r="P156" s="13">
        <v>45</v>
      </c>
      <c r="Q156" s="13">
        <v>85</v>
      </c>
      <c r="R156" s="13" t="s">
        <v>17</v>
      </c>
      <c r="S156" s="13">
        <v>120</v>
      </c>
      <c r="T156" s="13">
        <v>0</v>
      </c>
      <c r="U156" s="13">
        <v>100</v>
      </c>
      <c r="V156" s="13" t="str">
        <f t="shared" si="672"/>
        <v>ISO 6</v>
      </c>
      <c r="W156" s="13">
        <f t="shared" si="673"/>
        <v>120</v>
      </c>
      <c r="X156" s="16">
        <f t="shared" si="674"/>
        <v>86.7256</v>
      </c>
      <c r="Y156" s="16">
        <f t="shared" si="675"/>
        <v>682.70392319999996</v>
      </c>
      <c r="Z156" s="16">
        <f t="shared" si="676"/>
        <v>1365.4078463999999</v>
      </c>
      <c r="AA156" s="16">
        <f t="shared" si="677"/>
        <v>136.54078464</v>
      </c>
      <c r="AB156" s="16">
        <f t="shared" si="678"/>
        <v>0</v>
      </c>
      <c r="AC156" s="16">
        <f t="shared" si="679"/>
        <v>12.560674611769482</v>
      </c>
      <c r="AD156" s="16">
        <f t="shared" si="680"/>
        <v>2900</v>
      </c>
      <c r="AE156" s="16">
        <f t="shared" si="681"/>
        <v>2900</v>
      </c>
      <c r="AF156" s="16">
        <f t="shared" si="682"/>
        <v>18</v>
      </c>
      <c r="AG156" s="16">
        <f t="shared" si="683"/>
        <v>7.5</v>
      </c>
      <c r="AH156" s="838" t="s">
        <v>85</v>
      </c>
      <c r="AI156" s="17">
        <f t="shared" si="684"/>
        <v>5</v>
      </c>
      <c r="AJ156" s="17">
        <f t="shared" si="685"/>
        <v>7.5</v>
      </c>
      <c r="AK156" s="891"/>
      <c r="AL156" s="18"/>
      <c r="AM156" s="889"/>
      <c r="AN156" s="891"/>
      <c r="AO156" s="888"/>
      <c r="AP156" s="891"/>
      <c r="AQ156" s="891"/>
      <c r="AR156" s="889"/>
      <c r="AS156" s="888"/>
      <c r="AT156" s="888"/>
      <c r="AU156" s="890"/>
      <c r="AV156" s="888"/>
      <c r="AW156" s="888"/>
      <c r="AX156" s="888"/>
      <c r="AY156" s="887"/>
      <c r="AZ156" s="888"/>
      <c r="BA156" s="17">
        <f t="shared" si="686"/>
        <v>14.399999999999991</v>
      </c>
      <c r="BB156" s="17">
        <f t="shared" si="687"/>
        <v>37.799999999999997</v>
      </c>
      <c r="BC156" s="17">
        <f t="shared" si="688"/>
        <v>32</v>
      </c>
      <c r="BD156" s="17">
        <f t="shared" si="689"/>
        <v>85</v>
      </c>
      <c r="BE156" s="17">
        <f t="shared" si="690"/>
        <v>180.86341983910182</v>
      </c>
      <c r="BF156" s="17">
        <f t="shared" si="691"/>
        <v>24</v>
      </c>
      <c r="BG156" s="17">
        <f t="shared" si="692"/>
        <v>50</v>
      </c>
      <c r="BH156" s="17">
        <f t="shared" si="693"/>
        <v>65.062647806544774</v>
      </c>
      <c r="BI156" s="17">
        <f t="shared" si="694"/>
        <v>115.80077203255705</v>
      </c>
      <c r="BJ156" s="17">
        <f t="shared" si="695"/>
        <v>45</v>
      </c>
      <c r="BK156" s="17">
        <f t="shared" si="696"/>
        <v>85</v>
      </c>
      <c r="BL156" s="17">
        <f t="shared" si="697"/>
        <v>380.54120080897206</v>
      </c>
      <c r="BM156" s="17">
        <f t="shared" si="698"/>
        <v>24</v>
      </c>
      <c r="BN156" s="17">
        <f t="shared" si="699"/>
        <v>50</v>
      </c>
      <c r="BO156" s="17">
        <f t="shared" si="700"/>
        <v>65.062647806544774</v>
      </c>
      <c r="BP156" s="17">
        <f t="shared" si="701"/>
        <v>315.4785530024273</v>
      </c>
      <c r="BQ156" s="17">
        <f t="shared" si="702"/>
        <v>5007.6351359999999</v>
      </c>
      <c r="BR156" s="17">
        <f t="shared" si="703"/>
        <v>1907.670527999999</v>
      </c>
      <c r="BS156" s="17">
        <f t="shared" si="704"/>
        <v>561.98188799999969</v>
      </c>
      <c r="BT156" s="17">
        <f t="shared" si="705"/>
        <v>1475.202456</v>
      </c>
      <c r="BU156" s="17">
        <f t="shared" si="706"/>
        <v>23269.68</v>
      </c>
      <c r="BV156" s="17">
        <f t="shared" si="707"/>
        <v>3412</v>
      </c>
      <c r="BW156" s="17">
        <f t="shared" si="708"/>
        <v>517.83855759999994</v>
      </c>
      <c r="BX156" s="17">
        <f t="shared" si="709"/>
        <v>17495.999999999989</v>
      </c>
      <c r="BY156" s="17">
        <f t="shared" si="710"/>
        <v>5574.1409921433597</v>
      </c>
      <c r="BZ156" s="17"/>
      <c r="CA156" s="17">
        <f t="shared" si="711"/>
        <v>85810.166416660228</v>
      </c>
      <c r="CB156" s="17">
        <f t="shared" si="712"/>
        <v>241341.0930468569</v>
      </c>
      <c r="CC156" s="17">
        <f t="shared" si="713"/>
        <v>29291.468631549415</v>
      </c>
      <c r="CD156" s="17">
        <f t="shared" si="714"/>
        <v>263623.21768394468</v>
      </c>
      <c r="CE156" s="17">
        <f t="shared" si="715"/>
        <v>55277.294685743349</v>
      </c>
      <c r="CF156" s="17">
        <f t="shared" si="716"/>
        <v>620065.94577901112</v>
      </c>
      <c r="CG156" s="17">
        <f t="shared" si="717"/>
        <v>675343.24046475452</v>
      </c>
      <c r="CH156" s="17">
        <f t="shared" si="718"/>
        <v>14.400000000000006</v>
      </c>
      <c r="CI156" s="17">
        <f t="shared" si="719"/>
        <v>-43.2</v>
      </c>
      <c r="CJ156" s="17">
        <f t="shared" si="720"/>
        <v>16</v>
      </c>
      <c r="CK156" s="17">
        <f t="shared" si="721"/>
        <v>90</v>
      </c>
      <c r="CL156" s="17">
        <f t="shared" si="722"/>
        <v>71.46880726181422</v>
      </c>
      <c r="CM156" s="17">
        <f t="shared" si="723"/>
        <v>24</v>
      </c>
      <c r="CN156" s="17">
        <f t="shared" si="724"/>
        <v>50</v>
      </c>
      <c r="CO156" s="17">
        <f t="shared" si="725"/>
        <v>65.062647806544774</v>
      </c>
      <c r="CP156" s="17">
        <f t="shared" si="726"/>
        <v>6.4061594552694459</v>
      </c>
      <c r="CQ156" s="17">
        <f t="shared" si="727"/>
        <v>0</v>
      </c>
      <c r="CR156" s="17">
        <f t="shared" si="728"/>
        <v>100</v>
      </c>
      <c r="CS156" s="17">
        <f t="shared" si="729"/>
        <v>26.404773030064671</v>
      </c>
      <c r="CT156" s="17">
        <f t="shared" si="730"/>
        <v>24</v>
      </c>
      <c r="CU156" s="17">
        <f t="shared" si="731"/>
        <v>50</v>
      </c>
      <c r="CV156" s="17">
        <f t="shared" si="732"/>
        <v>65.062647806544774</v>
      </c>
      <c r="CW156" s="17">
        <f t="shared" si="733"/>
        <v>-38.657874776480099</v>
      </c>
      <c r="CX156" s="17">
        <f t="shared" si="671"/>
        <v>-5723.0115840000008</v>
      </c>
      <c r="CY156" s="17">
        <f t="shared" si="671"/>
        <v>-5723.0115840000008</v>
      </c>
      <c r="CZ156" s="17">
        <f t="shared" si="734"/>
        <v>561.98188800000014</v>
      </c>
      <c r="DA156" s="17">
        <f t="shared" si="735"/>
        <v>-1685.9456640000001</v>
      </c>
      <c r="DB156" s="17">
        <f t="shared" si="736"/>
        <v>-26593.920000000002</v>
      </c>
      <c r="DC156" s="17">
        <f t="shared" si="737"/>
        <v>3412</v>
      </c>
      <c r="DD156" s="17">
        <f t="shared" si="738"/>
        <v>517.83855759999994</v>
      </c>
      <c r="DE156" s="17">
        <f t="shared" si="739"/>
        <v>17496.000000000007</v>
      </c>
      <c r="DF156" s="17">
        <f t="shared" si="740"/>
        <v>-6370.4468481638405</v>
      </c>
      <c r="DG156" s="17"/>
      <c r="DH156" s="17">
        <f t="shared" si="741"/>
        <v>-10514.941939202587</v>
      </c>
      <c r="DI156" s="17">
        <f t="shared" si="742"/>
        <v>-29573.274204007277</v>
      </c>
      <c r="DJ156" s="17">
        <f t="shared" si="743"/>
        <v>-3589.2960570569112</v>
      </c>
      <c r="DK156" s="17">
        <f t="shared" si="744"/>
        <v>5353.1764759348434</v>
      </c>
      <c r="DL156" s="17">
        <f t="shared" si="745"/>
        <v>-18385.503650563835</v>
      </c>
      <c r="DM156" s="17">
        <f t="shared" si="746"/>
        <v>-38324.335724331933</v>
      </c>
      <c r="DN156" s="17">
        <f t="shared" si="747"/>
        <v>-56709.839374895768</v>
      </c>
    </row>
    <row r="157" spans="3:120" ht="18.600000000000001">
      <c r="C157" s="13">
        <f>IF(D157&lt;&gt;"",COUNTA($D$10:D157),"")</f>
        <v>127</v>
      </c>
      <c r="D157" s="14" t="s">
        <v>207</v>
      </c>
      <c r="E157" s="14">
        <v>1.9</v>
      </c>
      <c r="F157" s="14">
        <v>2.4</v>
      </c>
      <c r="G157" s="14">
        <v>2.4</v>
      </c>
      <c r="H157" s="14">
        <v>3</v>
      </c>
      <c r="I157" s="14">
        <v>2</v>
      </c>
      <c r="J157" s="14">
        <v>1.75</v>
      </c>
      <c r="K157" s="14">
        <v>3</v>
      </c>
      <c r="L157" s="15">
        <v>0.1</v>
      </c>
      <c r="M157" s="15">
        <v>0</v>
      </c>
      <c r="N157" s="14">
        <v>24</v>
      </c>
      <c r="O157" s="14">
        <v>50</v>
      </c>
      <c r="P157" s="13">
        <v>45</v>
      </c>
      <c r="Q157" s="13">
        <v>85</v>
      </c>
      <c r="R157" s="13" t="s">
        <v>17</v>
      </c>
      <c r="S157" s="13">
        <v>120</v>
      </c>
      <c r="T157" s="13">
        <v>0</v>
      </c>
      <c r="U157" s="13">
        <v>100</v>
      </c>
      <c r="V157" s="13" t="str">
        <f t="shared" si="672"/>
        <v>ISO 6</v>
      </c>
      <c r="W157" s="13">
        <f t="shared" si="673"/>
        <v>120</v>
      </c>
      <c r="X157" s="16">
        <f t="shared" si="674"/>
        <v>49.065599999999996</v>
      </c>
      <c r="Y157" s="16">
        <f t="shared" si="675"/>
        <v>386.24440319999997</v>
      </c>
      <c r="Z157" s="16">
        <f t="shared" si="676"/>
        <v>772.48880639999993</v>
      </c>
      <c r="AA157" s="16">
        <f t="shared" si="677"/>
        <v>77.248880639999996</v>
      </c>
      <c r="AB157" s="16">
        <f t="shared" si="678"/>
        <v>0</v>
      </c>
      <c r="AC157" s="16">
        <f t="shared" si="679"/>
        <v>7.1062873734080432</v>
      </c>
      <c r="AD157" s="16">
        <f t="shared" si="680"/>
        <v>2500</v>
      </c>
      <c r="AE157" s="16">
        <f t="shared" si="681"/>
        <v>2500</v>
      </c>
      <c r="AF157" s="16">
        <f t="shared" si="682"/>
        <v>16</v>
      </c>
      <c r="AG157" s="16">
        <f t="shared" si="683"/>
        <v>6.5</v>
      </c>
      <c r="AH157" s="838" t="s">
        <v>85</v>
      </c>
      <c r="AI157" s="17">
        <f t="shared" si="684"/>
        <v>6</v>
      </c>
      <c r="AJ157" s="17">
        <f t="shared" si="685"/>
        <v>6.5</v>
      </c>
      <c r="AK157" s="891"/>
      <c r="AL157" s="18"/>
      <c r="AM157" s="889"/>
      <c r="AN157" s="891"/>
      <c r="AO157" s="888"/>
      <c r="AP157" s="891"/>
      <c r="AQ157" s="891"/>
      <c r="AR157" s="889"/>
      <c r="AS157" s="888"/>
      <c r="AT157" s="888"/>
      <c r="AU157" s="890"/>
      <c r="AV157" s="888"/>
      <c r="AW157" s="888"/>
      <c r="AX157" s="888"/>
      <c r="AY157" s="887"/>
      <c r="AZ157" s="888"/>
      <c r="BA157" s="17">
        <f t="shared" si="686"/>
        <v>14.399999999999991</v>
      </c>
      <c r="BB157" s="17">
        <f t="shared" si="687"/>
        <v>37.799999999999997</v>
      </c>
      <c r="BC157" s="17">
        <f t="shared" si="688"/>
        <v>32</v>
      </c>
      <c r="BD157" s="17">
        <f t="shared" si="689"/>
        <v>85</v>
      </c>
      <c r="BE157" s="17">
        <f t="shared" si="690"/>
        <v>180.86341983910182</v>
      </c>
      <c r="BF157" s="17">
        <f t="shared" si="691"/>
        <v>24</v>
      </c>
      <c r="BG157" s="17">
        <f t="shared" si="692"/>
        <v>50</v>
      </c>
      <c r="BH157" s="17">
        <f t="shared" si="693"/>
        <v>65.062647806544774</v>
      </c>
      <c r="BI157" s="17">
        <f t="shared" si="694"/>
        <v>115.80077203255705</v>
      </c>
      <c r="BJ157" s="17">
        <f t="shared" si="695"/>
        <v>45</v>
      </c>
      <c r="BK157" s="17">
        <f t="shared" si="696"/>
        <v>85</v>
      </c>
      <c r="BL157" s="17">
        <f t="shared" si="697"/>
        <v>380.54120080897206</v>
      </c>
      <c r="BM157" s="17">
        <f t="shared" si="698"/>
        <v>24</v>
      </c>
      <c r="BN157" s="17">
        <f t="shared" si="699"/>
        <v>50</v>
      </c>
      <c r="BO157" s="17">
        <f t="shared" si="700"/>
        <v>65.062647806544774</v>
      </c>
      <c r="BP157" s="17">
        <f t="shared" si="701"/>
        <v>315.4785530024273</v>
      </c>
      <c r="BQ157" s="17">
        <f t="shared" si="702"/>
        <v>3777.6896639999995</v>
      </c>
      <c r="BR157" s="17">
        <f t="shared" si="703"/>
        <v>1439.1198719999991</v>
      </c>
      <c r="BS157" s="17">
        <f t="shared" si="704"/>
        <v>317.94508799999977</v>
      </c>
      <c r="BT157" s="17">
        <f t="shared" si="705"/>
        <v>834.6058559999999</v>
      </c>
      <c r="BU157" s="17">
        <f t="shared" si="706"/>
        <v>34904.520000000004</v>
      </c>
      <c r="BV157" s="17">
        <f t="shared" si="707"/>
        <v>6824</v>
      </c>
      <c r="BW157" s="17">
        <f t="shared" si="708"/>
        <v>292.97069759999994</v>
      </c>
      <c r="BX157" s="17">
        <f t="shared" si="709"/>
        <v>17495.999999999989</v>
      </c>
      <c r="BY157" s="17">
        <f t="shared" si="710"/>
        <v>3153.6083032473598</v>
      </c>
      <c r="BZ157" s="17"/>
      <c r="CA157" s="17">
        <f t="shared" si="711"/>
        <v>128715.24962499036</v>
      </c>
      <c r="CB157" s="17">
        <f t="shared" si="712"/>
        <v>241341.0930468569</v>
      </c>
      <c r="CC157" s="17">
        <f t="shared" si="713"/>
        <v>16571.848258047805</v>
      </c>
      <c r="CD157" s="17">
        <f t="shared" si="714"/>
        <v>149146.63432243024</v>
      </c>
      <c r="CE157" s="17">
        <f t="shared" si="715"/>
        <v>66448.78866484735</v>
      </c>
      <c r="CF157" s="17">
        <f t="shared" si="716"/>
        <v>535774.82525232527</v>
      </c>
      <c r="CG157" s="17">
        <f t="shared" si="717"/>
        <v>602223.61391717265</v>
      </c>
      <c r="CH157" s="17">
        <f t="shared" si="718"/>
        <v>14.400000000000006</v>
      </c>
      <c r="CI157" s="17">
        <f t="shared" si="719"/>
        <v>-43.2</v>
      </c>
      <c r="CJ157" s="17">
        <f t="shared" si="720"/>
        <v>16</v>
      </c>
      <c r="CK157" s="17">
        <f t="shared" si="721"/>
        <v>90</v>
      </c>
      <c r="CL157" s="17">
        <f t="shared" si="722"/>
        <v>71.46880726181422</v>
      </c>
      <c r="CM157" s="17">
        <f t="shared" si="723"/>
        <v>24</v>
      </c>
      <c r="CN157" s="17">
        <f t="shared" si="724"/>
        <v>50</v>
      </c>
      <c r="CO157" s="17">
        <f t="shared" si="725"/>
        <v>65.062647806544774</v>
      </c>
      <c r="CP157" s="17">
        <f t="shared" si="726"/>
        <v>6.4061594552694459</v>
      </c>
      <c r="CQ157" s="17">
        <f t="shared" si="727"/>
        <v>0</v>
      </c>
      <c r="CR157" s="17">
        <f t="shared" si="728"/>
        <v>100</v>
      </c>
      <c r="CS157" s="17">
        <f t="shared" si="729"/>
        <v>26.404773030064671</v>
      </c>
      <c r="CT157" s="17">
        <f t="shared" si="730"/>
        <v>24</v>
      </c>
      <c r="CU157" s="17">
        <f t="shared" si="731"/>
        <v>50</v>
      </c>
      <c r="CV157" s="17">
        <f t="shared" si="732"/>
        <v>65.062647806544774</v>
      </c>
      <c r="CW157" s="17">
        <f t="shared" si="733"/>
        <v>-38.657874776480099</v>
      </c>
      <c r="CX157" s="17">
        <f t="shared" si="671"/>
        <v>-4317.3596159999997</v>
      </c>
      <c r="CY157" s="17">
        <f t="shared" si="671"/>
        <v>-4317.3596159999997</v>
      </c>
      <c r="CZ157" s="17">
        <f t="shared" si="734"/>
        <v>317.94508800000011</v>
      </c>
      <c r="DA157" s="17">
        <f t="shared" si="735"/>
        <v>-953.83526399999994</v>
      </c>
      <c r="DB157" s="17">
        <f t="shared" si="736"/>
        <v>-39890.880000000005</v>
      </c>
      <c r="DC157" s="17">
        <f t="shared" si="737"/>
        <v>6824</v>
      </c>
      <c r="DD157" s="17">
        <f t="shared" si="738"/>
        <v>292.97069759999994</v>
      </c>
      <c r="DE157" s="17">
        <f t="shared" si="739"/>
        <v>17496.000000000007</v>
      </c>
      <c r="DF157" s="17">
        <f t="shared" si="740"/>
        <v>-3604.1237751398403</v>
      </c>
      <c r="DG157" s="17"/>
      <c r="DH157" s="17">
        <f t="shared" si="741"/>
        <v>-15772.412908803883</v>
      </c>
      <c r="DI157" s="17">
        <f t="shared" si="742"/>
        <v>-29573.274204007277</v>
      </c>
      <c r="DJ157" s="17">
        <f t="shared" si="743"/>
        <v>-2030.6687369949768</v>
      </c>
      <c r="DK157" s="17">
        <f t="shared" si="744"/>
        <v>3028.5961203800107</v>
      </c>
      <c r="DL157" s="17">
        <f t="shared" si="745"/>
        <v>-23835.282869539838</v>
      </c>
      <c r="DM157" s="17">
        <f t="shared" si="746"/>
        <v>-44347.759729426129</v>
      </c>
      <c r="DN157" s="17">
        <f t="shared" si="747"/>
        <v>-68183.042598965971</v>
      </c>
    </row>
    <row r="158" spans="3:120" ht="18.600000000000001">
      <c r="C158" s="13">
        <f>IF(D158&lt;&gt;"",COUNTA($D$10:D158),"")</f>
        <v>128</v>
      </c>
      <c r="D158" s="14" t="s">
        <v>208</v>
      </c>
      <c r="E158" s="14">
        <v>3</v>
      </c>
      <c r="F158" s="14">
        <v>2.9</v>
      </c>
      <c r="G158" s="14">
        <v>2.4</v>
      </c>
      <c r="H158" s="14">
        <v>2</v>
      </c>
      <c r="I158" s="14">
        <v>1</v>
      </c>
      <c r="J158" s="14">
        <v>1.75</v>
      </c>
      <c r="K158" s="14">
        <v>3</v>
      </c>
      <c r="L158" s="15">
        <v>0.1</v>
      </c>
      <c r="M158" s="15">
        <v>0</v>
      </c>
      <c r="N158" s="14">
        <v>24</v>
      </c>
      <c r="O158" s="14">
        <v>50</v>
      </c>
      <c r="P158" s="13">
        <v>45</v>
      </c>
      <c r="Q158" s="13">
        <v>85</v>
      </c>
      <c r="R158" s="13" t="s">
        <v>17</v>
      </c>
      <c r="S158" s="13">
        <v>120</v>
      </c>
      <c r="T158" s="13">
        <v>0</v>
      </c>
      <c r="U158" s="13">
        <v>100</v>
      </c>
      <c r="V158" s="13" t="str">
        <f t="shared" si="672"/>
        <v>ISO 6</v>
      </c>
      <c r="W158" s="13">
        <f t="shared" si="673"/>
        <v>120</v>
      </c>
      <c r="X158" s="16">
        <f t="shared" si="674"/>
        <v>93.611999999999995</v>
      </c>
      <c r="Y158" s="16">
        <f t="shared" si="675"/>
        <v>736.91366399999993</v>
      </c>
      <c r="Z158" s="16">
        <f t="shared" si="676"/>
        <v>1473.8273279999999</v>
      </c>
      <c r="AA158" s="16">
        <f t="shared" si="677"/>
        <v>147.38273279999999</v>
      </c>
      <c r="AB158" s="16">
        <f t="shared" si="678"/>
        <v>0</v>
      </c>
      <c r="AC158" s="16">
        <f t="shared" si="679"/>
        <v>13.558048278212716</v>
      </c>
      <c r="AD158" s="16">
        <f>IF(ISNUMBER(N158), CEILING(CF158/(0.68*BP158),25), "Ambient")</f>
        <v>3000</v>
      </c>
      <c r="AE158" s="16">
        <f t="shared" si="681"/>
        <v>3000</v>
      </c>
      <c r="AF158" s="16">
        <f t="shared" si="682"/>
        <v>18</v>
      </c>
      <c r="AG158" s="16">
        <f t="shared" si="683"/>
        <v>7.5</v>
      </c>
      <c r="AH158" s="838" t="s">
        <v>85</v>
      </c>
      <c r="AI158" s="17">
        <f t="shared" si="684"/>
        <v>5</v>
      </c>
      <c r="AJ158" s="17">
        <f t="shared" si="685"/>
        <v>7.5</v>
      </c>
      <c r="AK158" s="891"/>
      <c r="AL158" s="18"/>
      <c r="AM158" s="889"/>
      <c r="AN158" s="891"/>
      <c r="AO158" s="888"/>
      <c r="AP158" s="891"/>
      <c r="AQ158" s="891"/>
      <c r="AR158" s="889"/>
      <c r="AS158" s="888"/>
      <c r="AT158" s="888"/>
      <c r="AU158" s="890"/>
      <c r="AV158" s="888"/>
      <c r="AW158" s="888"/>
      <c r="AX158" s="888"/>
      <c r="AY158" s="887"/>
      <c r="AZ158" s="888"/>
      <c r="BA158" s="17">
        <f t="shared" si="686"/>
        <v>14.399999999999991</v>
      </c>
      <c r="BB158" s="17">
        <f t="shared" si="687"/>
        <v>37.799999999999997</v>
      </c>
      <c r="BC158" s="17">
        <f t="shared" si="688"/>
        <v>32</v>
      </c>
      <c r="BD158" s="17">
        <f t="shared" si="689"/>
        <v>85</v>
      </c>
      <c r="BE158" s="17">
        <f t="shared" si="690"/>
        <v>180.86341983910182</v>
      </c>
      <c r="BF158" s="17">
        <f t="shared" si="691"/>
        <v>24</v>
      </c>
      <c r="BG158" s="17">
        <f t="shared" si="692"/>
        <v>50</v>
      </c>
      <c r="BH158" s="17">
        <f t="shared" si="693"/>
        <v>65.062647806544774</v>
      </c>
      <c r="BI158" s="17">
        <f t="shared" si="694"/>
        <v>115.80077203255705</v>
      </c>
      <c r="BJ158" s="17">
        <f t="shared" si="695"/>
        <v>45</v>
      </c>
      <c r="BK158" s="17">
        <f t="shared" si="696"/>
        <v>85</v>
      </c>
      <c r="BL158" s="17">
        <f t="shared" si="697"/>
        <v>380.54120080897206</v>
      </c>
      <c r="BM158" s="17">
        <f t="shared" si="698"/>
        <v>24</v>
      </c>
      <c r="BN158" s="17">
        <f t="shared" si="699"/>
        <v>50</v>
      </c>
      <c r="BO158" s="17">
        <f t="shared" si="700"/>
        <v>65.062647806544774</v>
      </c>
      <c r="BP158" s="17">
        <f t="shared" si="701"/>
        <v>315.4785530024273</v>
      </c>
      <c r="BQ158" s="17">
        <f t="shared" si="702"/>
        <v>5183.3416319999997</v>
      </c>
      <c r="BR158" s="17">
        <f t="shared" si="703"/>
        <v>1974.6063359999991</v>
      </c>
      <c r="BS158" s="17">
        <f t="shared" si="704"/>
        <v>606.60575999999958</v>
      </c>
      <c r="BT158" s="17">
        <f t="shared" si="705"/>
        <v>1592.3401199999998</v>
      </c>
      <c r="BU158" s="17">
        <f t="shared" si="706"/>
        <v>23269.68</v>
      </c>
      <c r="BV158" s="17">
        <f t="shared" si="707"/>
        <v>3412</v>
      </c>
      <c r="BW158" s="17">
        <f t="shared" si="708"/>
        <v>558.95725199999993</v>
      </c>
      <c r="BX158" s="17">
        <f t="shared" si="709"/>
        <v>17495.999999999989</v>
      </c>
      <c r="BY158" s="17">
        <f t="shared" si="710"/>
        <v>6016.7526838271997</v>
      </c>
      <c r="BZ158" s="17"/>
      <c r="CA158" s="17">
        <f t="shared" si="711"/>
        <v>85810.166416660228</v>
      </c>
      <c r="CB158" s="17">
        <f t="shared" si="712"/>
        <v>241341.0930468569</v>
      </c>
      <c r="CC158" s="17">
        <f t="shared" si="713"/>
        <v>31617.34207127542</v>
      </c>
      <c r="CD158" s="17">
        <f t="shared" si="714"/>
        <v>284556.07864147879</v>
      </c>
      <c r="CE158" s="17">
        <f t="shared" si="715"/>
        <v>55936.731567827192</v>
      </c>
      <c r="CF158" s="17">
        <f t="shared" si="716"/>
        <v>643324.68017627136</v>
      </c>
      <c r="CG158" s="17">
        <f t="shared" si="717"/>
        <v>699261.41174409853</v>
      </c>
      <c r="CH158" s="17">
        <f t="shared" si="718"/>
        <v>14.400000000000006</v>
      </c>
      <c r="CI158" s="17">
        <f t="shared" si="719"/>
        <v>-43.2</v>
      </c>
      <c r="CJ158" s="17">
        <f t="shared" si="720"/>
        <v>16</v>
      </c>
      <c r="CK158" s="17">
        <f t="shared" si="721"/>
        <v>90</v>
      </c>
      <c r="CL158" s="17">
        <f t="shared" si="722"/>
        <v>71.46880726181422</v>
      </c>
      <c r="CM158" s="17">
        <f t="shared" si="723"/>
        <v>24</v>
      </c>
      <c r="CN158" s="17">
        <f t="shared" si="724"/>
        <v>50</v>
      </c>
      <c r="CO158" s="17">
        <f t="shared" si="725"/>
        <v>65.062647806544774</v>
      </c>
      <c r="CP158" s="17">
        <f t="shared" si="726"/>
        <v>6.4061594552694459</v>
      </c>
      <c r="CQ158" s="17">
        <f t="shared" si="727"/>
        <v>0</v>
      </c>
      <c r="CR158" s="17">
        <f t="shared" si="728"/>
        <v>100</v>
      </c>
      <c r="CS158" s="17">
        <f t="shared" si="729"/>
        <v>26.404773030064671</v>
      </c>
      <c r="CT158" s="17">
        <f t="shared" si="730"/>
        <v>24</v>
      </c>
      <c r="CU158" s="17">
        <f t="shared" si="731"/>
        <v>50</v>
      </c>
      <c r="CV158" s="17">
        <f t="shared" si="732"/>
        <v>65.062647806544774</v>
      </c>
      <c r="CW158" s="17">
        <f t="shared" si="733"/>
        <v>-38.657874776480099</v>
      </c>
      <c r="CX158" s="17">
        <f t="shared" si="671"/>
        <v>-5923.8190080000013</v>
      </c>
      <c r="CY158" s="17">
        <f t="shared" si="671"/>
        <v>-5923.8190080000013</v>
      </c>
      <c r="CZ158" s="17">
        <f t="shared" si="734"/>
        <v>606.60576000000026</v>
      </c>
      <c r="DA158" s="17">
        <f t="shared" si="735"/>
        <v>-1819.81728</v>
      </c>
      <c r="DB158" s="17">
        <f t="shared" si="736"/>
        <v>-26593.920000000002</v>
      </c>
      <c r="DC158" s="17">
        <f t="shared" si="737"/>
        <v>3412</v>
      </c>
      <c r="DD158" s="17">
        <f t="shared" si="738"/>
        <v>558.95725199999993</v>
      </c>
      <c r="DE158" s="17">
        <f t="shared" si="739"/>
        <v>17496.000000000007</v>
      </c>
      <c r="DF158" s="17">
        <f t="shared" si="740"/>
        <v>-6876.2887815168006</v>
      </c>
      <c r="DG158" s="17"/>
      <c r="DH158" s="17">
        <f t="shared" si="741"/>
        <v>-10514.941939202587</v>
      </c>
      <c r="DI158" s="17">
        <f t="shared" si="742"/>
        <v>-29573.274204007277</v>
      </c>
      <c r="DJ158" s="17">
        <f t="shared" si="743"/>
        <v>-3874.3021955825216</v>
      </c>
      <c r="DK158" s="17">
        <f t="shared" si="744"/>
        <v>5778.2425980934422</v>
      </c>
      <c r="DL158" s="17">
        <f t="shared" si="745"/>
        <v>-19140.282057516793</v>
      </c>
      <c r="DM158" s="17">
        <f t="shared" si="746"/>
        <v>-38184.275740698948</v>
      </c>
      <c r="DN158" s="17">
        <f t="shared" si="747"/>
        <v>-57324.557798215741</v>
      </c>
    </row>
    <row r="159" spans="3:120" ht="18.600000000000001">
      <c r="C159" s="13">
        <f>IF(D159&lt;&gt;"",COUNTA($D$10:D159),"")</f>
        <v>129</v>
      </c>
      <c r="D159" s="14" t="s">
        <v>209</v>
      </c>
      <c r="E159" s="14">
        <v>2.4</v>
      </c>
      <c r="F159" s="14">
        <v>2</v>
      </c>
      <c r="G159" s="14">
        <v>2.4</v>
      </c>
      <c r="H159" s="14">
        <v>2</v>
      </c>
      <c r="I159" s="14">
        <v>1</v>
      </c>
      <c r="J159" s="14">
        <v>1.75</v>
      </c>
      <c r="K159" s="14">
        <v>3</v>
      </c>
      <c r="L159" s="15">
        <v>0.1</v>
      </c>
      <c r="M159" s="15">
        <v>0</v>
      </c>
      <c r="N159" s="14">
        <v>24</v>
      </c>
      <c r="O159" s="14">
        <v>50</v>
      </c>
      <c r="P159" s="13">
        <v>45</v>
      </c>
      <c r="Q159" s="13">
        <v>85</v>
      </c>
      <c r="R159" s="13" t="s">
        <v>17</v>
      </c>
      <c r="S159" s="13">
        <v>120</v>
      </c>
      <c r="T159" s="13">
        <v>0</v>
      </c>
      <c r="U159" s="13">
        <v>100</v>
      </c>
      <c r="V159" s="13" t="str">
        <f t="shared" si="672"/>
        <v>ISO 6</v>
      </c>
      <c r="W159" s="13">
        <f t="shared" si="673"/>
        <v>120</v>
      </c>
      <c r="X159" s="16">
        <f t="shared" si="674"/>
        <v>51.647999999999996</v>
      </c>
      <c r="Y159" s="16">
        <f t="shared" si="675"/>
        <v>406.57305599999995</v>
      </c>
      <c r="Z159" s="16">
        <f t="shared" si="676"/>
        <v>813.1461119999999</v>
      </c>
      <c r="AA159" s="16">
        <f t="shared" si="677"/>
        <v>81.314611200000002</v>
      </c>
      <c r="AB159" s="16">
        <f t="shared" si="678"/>
        <v>0</v>
      </c>
      <c r="AC159" s="16">
        <f t="shared" si="679"/>
        <v>7.4803024983242565</v>
      </c>
      <c r="AD159" s="16">
        <f t="shared" ref="AD159:AD165" si="748">IF(ISNUMBER(N159), CEILING(CF159/(0.68*BP159),25), "Ambient")</f>
        <v>2350</v>
      </c>
      <c r="AE159" s="16">
        <f t="shared" si="681"/>
        <v>2350</v>
      </c>
      <c r="AF159" s="16">
        <f t="shared" si="682"/>
        <v>14</v>
      </c>
      <c r="AG159" s="16">
        <f t="shared" si="683"/>
        <v>6</v>
      </c>
      <c r="AH159" s="838" t="s">
        <v>85</v>
      </c>
      <c r="AI159" s="17">
        <f t="shared" si="684"/>
        <v>4.5</v>
      </c>
      <c r="AJ159" s="17">
        <f t="shared" si="685"/>
        <v>6</v>
      </c>
      <c r="AK159" s="891"/>
      <c r="AL159" s="174">
        <f>IF(AN150&lt;=315,1600,(IF(AN150=355,1650,(IF(AN150=400,1650,(IF(AN150=450,1700,(IF(AN150=500,1700,(IF(AN150=560,1800,(IF(AN150=630,2000,(IF(AN150=710,2200,2500)))))))))))))))+IF(AR150=2,1800,(IF(AR150=3,2300,(IF(AR150=4,3300,0)))))+IF(AP150&lt;=4,600,(IF(AP150&lt;=6,800,(IF(AP150&lt;=8,1000,1200)))))</f>
        <v>5400</v>
      </c>
      <c r="AM159" s="889"/>
      <c r="AN159" s="891"/>
      <c r="AO159" s="888"/>
      <c r="AP159" s="891"/>
      <c r="AQ159" s="891"/>
      <c r="AR159" s="889"/>
      <c r="AS159" s="888"/>
      <c r="AT159" s="888"/>
      <c r="AU159" s="890"/>
      <c r="AV159" s="888"/>
      <c r="AW159" s="888"/>
      <c r="AX159" s="888"/>
      <c r="AY159" s="887"/>
      <c r="AZ159" s="888"/>
      <c r="BA159" s="17">
        <f t="shared" si="686"/>
        <v>14.399999999999991</v>
      </c>
      <c r="BB159" s="17">
        <f t="shared" si="687"/>
        <v>37.799999999999997</v>
      </c>
      <c r="BC159" s="17">
        <f t="shared" si="688"/>
        <v>32</v>
      </c>
      <c r="BD159" s="17">
        <f t="shared" si="689"/>
        <v>85</v>
      </c>
      <c r="BE159" s="17">
        <f t="shared" si="690"/>
        <v>180.86341983910182</v>
      </c>
      <c r="BF159" s="17">
        <f t="shared" si="691"/>
        <v>24</v>
      </c>
      <c r="BG159" s="17">
        <f t="shared" si="692"/>
        <v>50</v>
      </c>
      <c r="BH159" s="17">
        <f t="shared" si="693"/>
        <v>65.062647806544774</v>
      </c>
      <c r="BI159" s="17">
        <f t="shared" si="694"/>
        <v>115.80077203255705</v>
      </c>
      <c r="BJ159" s="17">
        <f t="shared" si="695"/>
        <v>45</v>
      </c>
      <c r="BK159" s="17">
        <f t="shared" si="696"/>
        <v>85</v>
      </c>
      <c r="BL159" s="17">
        <f t="shared" si="697"/>
        <v>380.54120080897206</v>
      </c>
      <c r="BM159" s="17">
        <f t="shared" si="698"/>
        <v>24</v>
      </c>
      <c r="BN159" s="17">
        <f t="shared" si="699"/>
        <v>50</v>
      </c>
      <c r="BO159" s="17">
        <f t="shared" si="700"/>
        <v>65.062647806544774</v>
      </c>
      <c r="BP159" s="17">
        <f t="shared" si="701"/>
        <v>315.4785530024273</v>
      </c>
      <c r="BQ159" s="17">
        <f t="shared" si="702"/>
        <v>3865.5429119999999</v>
      </c>
      <c r="BR159" s="17">
        <f t="shared" si="703"/>
        <v>1472.5877759999992</v>
      </c>
      <c r="BS159" s="17">
        <f t="shared" si="704"/>
        <v>334.67903999999976</v>
      </c>
      <c r="BT159" s="17">
        <f t="shared" si="705"/>
        <v>878.53247999999996</v>
      </c>
      <c r="BU159" s="17">
        <f t="shared" si="706"/>
        <v>23269.68</v>
      </c>
      <c r="BV159" s="17">
        <f t="shared" si="707"/>
        <v>3412</v>
      </c>
      <c r="BW159" s="17">
        <f t="shared" si="708"/>
        <v>308.39020799999997</v>
      </c>
      <c r="BX159" s="17">
        <f t="shared" si="709"/>
        <v>17495.999999999989</v>
      </c>
      <c r="BY159" s="17">
        <f t="shared" si="710"/>
        <v>3319.5876876287998</v>
      </c>
      <c r="BZ159" s="17"/>
      <c r="CA159" s="17">
        <f t="shared" si="711"/>
        <v>85810.166416660228</v>
      </c>
      <c r="CB159" s="17">
        <f t="shared" si="712"/>
        <v>241341.0930468569</v>
      </c>
      <c r="CC159" s="17">
        <f t="shared" si="713"/>
        <v>17444.050797945059</v>
      </c>
      <c r="CD159" s="17">
        <f t="shared" si="714"/>
        <v>156996.45718150554</v>
      </c>
      <c r="CE159" s="17">
        <f t="shared" si="715"/>
        <v>51671.200807628797</v>
      </c>
      <c r="CF159" s="17">
        <f t="shared" si="716"/>
        <v>501591.76744296774</v>
      </c>
      <c r="CG159" s="17">
        <f t="shared" si="717"/>
        <v>553262.96825059655</v>
      </c>
      <c r="CH159" s="17">
        <f t="shared" si="718"/>
        <v>14.400000000000006</v>
      </c>
      <c r="CI159" s="17">
        <f t="shared" si="719"/>
        <v>-43.2</v>
      </c>
      <c r="CJ159" s="17">
        <f t="shared" si="720"/>
        <v>16</v>
      </c>
      <c r="CK159" s="17">
        <f t="shared" si="721"/>
        <v>90</v>
      </c>
      <c r="CL159" s="17">
        <f t="shared" si="722"/>
        <v>71.46880726181422</v>
      </c>
      <c r="CM159" s="17">
        <f t="shared" si="723"/>
        <v>24</v>
      </c>
      <c r="CN159" s="17">
        <f t="shared" si="724"/>
        <v>50</v>
      </c>
      <c r="CO159" s="17">
        <f t="shared" si="725"/>
        <v>65.062647806544774</v>
      </c>
      <c r="CP159" s="17">
        <f t="shared" si="726"/>
        <v>6.4061594552694459</v>
      </c>
      <c r="CQ159" s="17">
        <f t="shared" si="727"/>
        <v>0</v>
      </c>
      <c r="CR159" s="17">
        <f t="shared" si="728"/>
        <v>100</v>
      </c>
      <c r="CS159" s="17">
        <f t="shared" si="729"/>
        <v>26.404773030064671</v>
      </c>
      <c r="CT159" s="17">
        <f t="shared" si="730"/>
        <v>24</v>
      </c>
      <c r="CU159" s="17">
        <f t="shared" si="731"/>
        <v>50</v>
      </c>
      <c r="CV159" s="17">
        <f t="shared" si="732"/>
        <v>65.062647806544774</v>
      </c>
      <c r="CW159" s="17">
        <f t="shared" si="733"/>
        <v>-38.657874776480099</v>
      </c>
      <c r="CX159" s="17">
        <f t="shared" si="671"/>
        <v>-4417.7633280000009</v>
      </c>
      <c r="CY159" s="17">
        <f t="shared" si="671"/>
        <v>-4417.7633280000009</v>
      </c>
      <c r="CZ159" s="17">
        <f t="shared" si="734"/>
        <v>334.67904000000016</v>
      </c>
      <c r="DA159" s="17">
        <f t="shared" si="735"/>
        <v>-1004.0371200000001</v>
      </c>
      <c r="DB159" s="17">
        <f t="shared" si="736"/>
        <v>-26593.920000000002</v>
      </c>
      <c r="DC159" s="17">
        <f t="shared" si="737"/>
        <v>3412</v>
      </c>
      <c r="DD159" s="17">
        <f t="shared" si="738"/>
        <v>308.39020799999997</v>
      </c>
      <c r="DE159" s="17">
        <f t="shared" si="739"/>
        <v>17496.000000000007</v>
      </c>
      <c r="DF159" s="17">
        <f t="shared" si="740"/>
        <v>-3793.8145001472003</v>
      </c>
      <c r="DG159" s="17"/>
      <c r="DH159" s="17">
        <f t="shared" si="741"/>
        <v>-10514.941939202587</v>
      </c>
      <c r="DI159" s="17">
        <f t="shared" si="742"/>
        <v>-29573.274204007277</v>
      </c>
      <c r="DJ159" s="17">
        <f t="shared" si="743"/>
        <v>-2137.5460389420814</v>
      </c>
      <c r="DK159" s="17">
        <f t="shared" si="744"/>
        <v>3187.9959161894853</v>
      </c>
      <c r="DL159" s="17">
        <f t="shared" si="745"/>
        <v>-14258.465700147197</v>
      </c>
      <c r="DM159" s="17">
        <f t="shared" si="746"/>
        <v>-39037.766265962462</v>
      </c>
      <c r="DN159" s="17">
        <f t="shared" si="747"/>
        <v>-53296.231966109655</v>
      </c>
    </row>
    <row r="160" spans="3:120" ht="18.600000000000001">
      <c r="C160" s="13">
        <f>IF(D160&lt;&gt;"",COUNTA($D$10:D160),"")</f>
        <v>130</v>
      </c>
      <c r="D160" s="14" t="s">
        <v>210</v>
      </c>
      <c r="E160" s="14">
        <v>2.1</v>
      </c>
      <c r="F160" s="14">
        <v>1.8</v>
      </c>
      <c r="G160" s="14">
        <v>2.4</v>
      </c>
      <c r="H160" s="14">
        <v>2</v>
      </c>
      <c r="I160" s="14">
        <v>1</v>
      </c>
      <c r="J160" s="14">
        <v>1.75</v>
      </c>
      <c r="K160" s="14">
        <v>3</v>
      </c>
      <c r="L160" s="15">
        <v>0.1</v>
      </c>
      <c r="M160" s="15">
        <v>0</v>
      </c>
      <c r="N160" s="14">
        <v>24</v>
      </c>
      <c r="O160" s="14">
        <v>50</v>
      </c>
      <c r="P160" s="13">
        <v>45</v>
      </c>
      <c r="Q160" s="13">
        <v>85</v>
      </c>
      <c r="R160" s="13" t="s">
        <v>17</v>
      </c>
      <c r="S160" s="13">
        <v>120</v>
      </c>
      <c r="T160" s="13">
        <v>0</v>
      </c>
      <c r="U160" s="13">
        <v>100</v>
      </c>
      <c r="V160" s="13" t="str">
        <f t="shared" si="672"/>
        <v>ISO 6</v>
      </c>
      <c r="W160" s="13">
        <f t="shared" si="673"/>
        <v>120</v>
      </c>
      <c r="X160" s="16">
        <f t="shared" si="674"/>
        <v>40.672800000000002</v>
      </c>
      <c r="Y160" s="16">
        <f t="shared" si="675"/>
        <v>320.17628159999998</v>
      </c>
      <c r="Z160" s="16">
        <f t="shared" si="676"/>
        <v>640.35256319999996</v>
      </c>
      <c r="AA160" s="16">
        <f t="shared" si="677"/>
        <v>64.035256320000002</v>
      </c>
      <c r="AB160" s="16">
        <f t="shared" si="678"/>
        <v>0</v>
      </c>
      <c r="AC160" s="16">
        <f t="shared" si="679"/>
        <v>5.8907382174303526</v>
      </c>
      <c r="AD160" s="16">
        <f t="shared" si="748"/>
        <v>2175</v>
      </c>
      <c r="AE160" s="16">
        <f t="shared" si="681"/>
        <v>2175</v>
      </c>
      <c r="AF160" s="16">
        <f t="shared" si="682"/>
        <v>14</v>
      </c>
      <c r="AG160" s="16">
        <f t="shared" si="683"/>
        <v>5.5</v>
      </c>
      <c r="AH160" s="838" t="s">
        <v>85</v>
      </c>
      <c r="AI160" s="17">
        <f t="shared" si="684"/>
        <v>4.5</v>
      </c>
      <c r="AJ160" s="17">
        <f t="shared" si="685"/>
        <v>5.5</v>
      </c>
      <c r="AK160" s="891"/>
      <c r="AL160" s="18"/>
      <c r="AM160" s="889"/>
      <c r="AN160" s="891"/>
      <c r="AO160" s="888"/>
      <c r="AP160" s="891"/>
      <c r="AQ160" s="891"/>
      <c r="AR160" s="889"/>
      <c r="AS160" s="888"/>
      <c r="AT160" s="888"/>
      <c r="AU160" s="890"/>
      <c r="AV160" s="888"/>
      <c r="AW160" s="888"/>
      <c r="AX160" s="888"/>
      <c r="AY160" s="887"/>
      <c r="AZ160" s="888"/>
      <c r="BA160" s="17">
        <f t="shared" si="686"/>
        <v>14.399999999999991</v>
      </c>
      <c r="BB160" s="17">
        <f t="shared" si="687"/>
        <v>37.799999999999997</v>
      </c>
      <c r="BC160" s="17">
        <f t="shared" si="688"/>
        <v>32</v>
      </c>
      <c r="BD160" s="17">
        <f t="shared" si="689"/>
        <v>85</v>
      </c>
      <c r="BE160" s="17">
        <f t="shared" si="690"/>
        <v>180.86341983910182</v>
      </c>
      <c r="BF160" s="17">
        <f t="shared" si="691"/>
        <v>24</v>
      </c>
      <c r="BG160" s="17">
        <f t="shared" si="692"/>
        <v>50</v>
      </c>
      <c r="BH160" s="17">
        <f t="shared" si="693"/>
        <v>65.062647806544774</v>
      </c>
      <c r="BI160" s="17">
        <f t="shared" si="694"/>
        <v>115.80077203255705</v>
      </c>
      <c r="BJ160" s="17">
        <f t="shared" si="695"/>
        <v>45</v>
      </c>
      <c r="BK160" s="17">
        <f t="shared" si="696"/>
        <v>85</v>
      </c>
      <c r="BL160" s="17">
        <f t="shared" si="697"/>
        <v>380.54120080897206</v>
      </c>
      <c r="BM160" s="17">
        <f t="shared" si="698"/>
        <v>24</v>
      </c>
      <c r="BN160" s="17">
        <f t="shared" si="699"/>
        <v>50</v>
      </c>
      <c r="BO160" s="17">
        <f t="shared" si="700"/>
        <v>65.062647806544774</v>
      </c>
      <c r="BP160" s="17">
        <f t="shared" si="701"/>
        <v>315.4785530024273</v>
      </c>
      <c r="BQ160" s="17">
        <f t="shared" si="702"/>
        <v>3426.2766719999995</v>
      </c>
      <c r="BR160" s="17">
        <f t="shared" si="703"/>
        <v>1305.2482559999992</v>
      </c>
      <c r="BS160" s="17">
        <f t="shared" si="704"/>
        <v>263.55974399999985</v>
      </c>
      <c r="BT160" s="17">
        <f t="shared" si="705"/>
        <v>691.84432800000002</v>
      </c>
      <c r="BU160" s="17">
        <f t="shared" si="706"/>
        <v>23269.68</v>
      </c>
      <c r="BV160" s="17">
        <f t="shared" si="707"/>
        <v>3412</v>
      </c>
      <c r="BW160" s="17">
        <f t="shared" si="708"/>
        <v>242.85728880000002</v>
      </c>
      <c r="BX160" s="17">
        <f t="shared" si="709"/>
        <v>17495.999999999989</v>
      </c>
      <c r="BY160" s="17">
        <f t="shared" si="710"/>
        <v>2614.1753040076801</v>
      </c>
      <c r="BZ160" s="17"/>
      <c r="CA160" s="17">
        <f t="shared" si="711"/>
        <v>85810.166416660228</v>
      </c>
      <c r="CB160" s="17">
        <f t="shared" si="712"/>
        <v>241341.0930468569</v>
      </c>
      <c r="CC160" s="17">
        <f t="shared" si="713"/>
        <v>13737.190003381735</v>
      </c>
      <c r="CD160" s="17">
        <f t="shared" si="714"/>
        <v>123634.7100304356</v>
      </c>
      <c r="CE160" s="17">
        <f t="shared" si="715"/>
        <v>50460.989264807671</v>
      </c>
      <c r="CF160" s="17">
        <f t="shared" si="716"/>
        <v>464523.15949733445</v>
      </c>
      <c r="CG160" s="17">
        <f t="shared" si="717"/>
        <v>514984.14876214211</v>
      </c>
      <c r="CH160" s="17">
        <f t="shared" si="718"/>
        <v>14.400000000000006</v>
      </c>
      <c r="CI160" s="17">
        <f t="shared" si="719"/>
        <v>-43.2</v>
      </c>
      <c r="CJ160" s="17">
        <f t="shared" si="720"/>
        <v>16</v>
      </c>
      <c r="CK160" s="17">
        <f t="shared" si="721"/>
        <v>90</v>
      </c>
      <c r="CL160" s="17">
        <f t="shared" si="722"/>
        <v>71.46880726181422</v>
      </c>
      <c r="CM160" s="17">
        <f t="shared" si="723"/>
        <v>24</v>
      </c>
      <c r="CN160" s="17">
        <f t="shared" si="724"/>
        <v>50</v>
      </c>
      <c r="CO160" s="17">
        <f t="shared" si="725"/>
        <v>65.062647806544774</v>
      </c>
      <c r="CP160" s="17">
        <f t="shared" si="726"/>
        <v>6.4061594552694459</v>
      </c>
      <c r="CQ160" s="17">
        <f t="shared" si="727"/>
        <v>0</v>
      </c>
      <c r="CR160" s="17">
        <f t="shared" si="728"/>
        <v>100</v>
      </c>
      <c r="CS160" s="17">
        <f t="shared" si="729"/>
        <v>26.404773030064671</v>
      </c>
      <c r="CT160" s="17">
        <f t="shared" si="730"/>
        <v>24</v>
      </c>
      <c r="CU160" s="17">
        <f t="shared" si="731"/>
        <v>50</v>
      </c>
      <c r="CV160" s="17">
        <f t="shared" si="732"/>
        <v>65.062647806544774</v>
      </c>
      <c r="CW160" s="17">
        <f t="shared" si="733"/>
        <v>-38.657874776480099</v>
      </c>
      <c r="CX160" s="17">
        <f t="shared" si="671"/>
        <v>-3915.744768</v>
      </c>
      <c r="CY160" s="17">
        <f t="shared" si="671"/>
        <v>-3915.744768</v>
      </c>
      <c r="CZ160" s="17">
        <f t="shared" si="734"/>
        <v>263.55974400000014</v>
      </c>
      <c r="DA160" s="17">
        <f t="shared" si="735"/>
        <v>-790.67923200000007</v>
      </c>
      <c r="DB160" s="17">
        <f t="shared" si="736"/>
        <v>-26593.920000000002</v>
      </c>
      <c r="DC160" s="17">
        <f t="shared" si="737"/>
        <v>3412</v>
      </c>
      <c r="DD160" s="17">
        <f t="shared" si="738"/>
        <v>242.85728880000002</v>
      </c>
      <c r="DE160" s="17">
        <f t="shared" si="739"/>
        <v>17496.000000000007</v>
      </c>
      <c r="DF160" s="17">
        <f t="shared" si="740"/>
        <v>-2987.6289188659202</v>
      </c>
      <c r="DG160" s="17"/>
      <c r="DH160" s="17">
        <f t="shared" si="741"/>
        <v>-10514.941939202587</v>
      </c>
      <c r="DI160" s="17">
        <f t="shared" si="742"/>
        <v>-29573.274204007277</v>
      </c>
      <c r="DJ160" s="17">
        <f t="shared" si="743"/>
        <v>-1683.3175056668888</v>
      </c>
      <c r="DK160" s="17">
        <f t="shared" si="744"/>
        <v>2510.5467839992198</v>
      </c>
      <c r="DL160" s="17">
        <f t="shared" si="745"/>
        <v>-12873.555886065915</v>
      </c>
      <c r="DM160" s="17">
        <f t="shared" si="746"/>
        <v>-39260.986864877537</v>
      </c>
      <c r="DN160" s="17">
        <f t="shared" si="747"/>
        <v>-52134.542750943452</v>
      </c>
    </row>
    <row r="161" spans="3:120" ht="18.600000000000001">
      <c r="C161" s="13">
        <f>IF(D161&lt;&gt;"",COUNTA($D$10:D161),"")</f>
        <v>131</v>
      </c>
      <c r="D161" s="14" t="s">
        <v>211</v>
      </c>
      <c r="E161" s="14">
        <v>1.8</v>
      </c>
      <c r="F161" s="14">
        <v>1.9</v>
      </c>
      <c r="G161" s="14">
        <v>2.4</v>
      </c>
      <c r="H161" s="14">
        <v>2</v>
      </c>
      <c r="I161" s="14">
        <v>1</v>
      </c>
      <c r="J161" s="14">
        <v>1.75</v>
      </c>
      <c r="K161" s="14">
        <v>3</v>
      </c>
      <c r="L161" s="15">
        <v>0.1</v>
      </c>
      <c r="M161" s="15">
        <v>0</v>
      </c>
      <c r="N161" s="14">
        <v>24</v>
      </c>
      <c r="O161" s="14">
        <v>50</v>
      </c>
      <c r="P161" s="13">
        <v>45</v>
      </c>
      <c r="Q161" s="13">
        <v>85</v>
      </c>
      <c r="R161" s="13" t="s">
        <v>17</v>
      </c>
      <c r="S161" s="13">
        <v>120</v>
      </c>
      <c r="T161" s="13">
        <v>0</v>
      </c>
      <c r="U161" s="13">
        <v>100</v>
      </c>
      <c r="V161" s="13" t="str">
        <f t="shared" si="672"/>
        <v>ISO 6</v>
      </c>
      <c r="W161" s="13">
        <f t="shared" si="673"/>
        <v>120</v>
      </c>
      <c r="X161" s="16">
        <f t="shared" si="674"/>
        <v>36.799199999999999</v>
      </c>
      <c r="Y161" s="16">
        <f t="shared" si="675"/>
        <v>289.68330239999995</v>
      </c>
      <c r="Z161" s="16">
        <f t="shared" si="676"/>
        <v>579.36660479999989</v>
      </c>
      <c r="AA161" s="16">
        <f t="shared" si="677"/>
        <v>57.936660479999993</v>
      </c>
      <c r="AB161" s="16">
        <f t="shared" si="678"/>
        <v>0</v>
      </c>
      <c r="AC161" s="16">
        <f t="shared" si="679"/>
        <v>5.3297155300560322</v>
      </c>
      <c r="AD161" s="16">
        <f t="shared" si="748"/>
        <v>2125</v>
      </c>
      <c r="AE161" s="16">
        <f t="shared" si="681"/>
        <v>2125</v>
      </c>
      <c r="AF161" s="16">
        <f t="shared" si="682"/>
        <v>14</v>
      </c>
      <c r="AG161" s="16">
        <f t="shared" si="683"/>
        <v>5.5</v>
      </c>
      <c r="AH161" s="838" t="s">
        <v>85</v>
      </c>
      <c r="AI161" s="17">
        <f t="shared" si="684"/>
        <v>4.5</v>
      </c>
      <c r="AJ161" s="17">
        <f t="shared" si="685"/>
        <v>5.5</v>
      </c>
      <c r="AK161" s="891"/>
      <c r="AL161" s="18"/>
      <c r="AM161" s="889"/>
      <c r="AN161" s="891"/>
      <c r="AO161" s="888"/>
      <c r="AP161" s="891"/>
      <c r="AQ161" s="891"/>
      <c r="AR161" s="889"/>
      <c r="AS161" s="888"/>
      <c r="AT161" s="888"/>
      <c r="AU161" s="890"/>
      <c r="AV161" s="888"/>
      <c r="AW161" s="888"/>
      <c r="AX161" s="888"/>
      <c r="AY161" s="887"/>
      <c r="AZ161" s="888"/>
      <c r="BA161" s="17">
        <f t="shared" si="686"/>
        <v>14.399999999999991</v>
      </c>
      <c r="BB161" s="17">
        <f t="shared" si="687"/>
        <v>37.799999999999997</v>
      </c>
      <c r="BC161" s="17">
        <f t="shared" si="688"/>
        <v>32</v>
      </c>
      <c r="BD161" s="17">
        <f t="shared" si="689"/>
        <v>85</v>
      </c>
      <c r="BE161" s="17">
        <f t="shared" si="690"/>
        <v>180.86341983910182</v>
      </c>
      <c r="BF161" s="17">
        <f t="shared" si="691"/>
        <v>24</v>
      </c>
      <c r="BG161" s="17">
        <f t="shared" si="692"/>
        <v>50</v>
      </c>
      <c r="BH161" s="17">
        <f t="shared" si="693"/>
        <v>65.062647806544774</v>
      </c>
      <c r="BI161" s="17">
        <f t="shared" si="694"/>
        <v>115.80077203255705</v>
      </c>
      <c r="BJ161" s="17">
        <f t="shared" si="695"/>
        <v>45</v>
      </c>
      <c r="BK161" s="17">
        <f t="shared" si="696"/>
        <v>85</v>
      </c>
      <c r="BL161" s="17">
        <f t="shared" si="697"/>
        <v>380.54120080897206</v>
      </c>
      <c r="BM161" s="17">
        <f t="shared" si="698"/>
        <v>24</v>
      </c>
      <c r="BN161" s="17">
        <f t="shared" si="699"/>
        <v>50</v>
      </c>
      <c r="BO161" s="17">
        <f t="shared" si="700"/>
        <v>65.062647806544774</v>
      </c>
      <c r="BP161" s="17">
        <f t="shared" si="701"/>
        <v>315.4785530024273</v>
      </c>
      <c r="BQ161" s="17">
        <f t="shared" si="702"/>
        <v>3250.5701760000002</v>
      </c>
      <c r="BR161" s="17">
        <f t="shared" si="703"/>
        <v>1238.3124479999992</v>
      </c>
      <c r="BS161" s="17">
        <f t="shared" si="704"/>
        <v>238.45881599999987</v>
      </c>
      <c r="BT161" s="17">
        <f t="shared" si="705"/>
        <v>625.95439199999998</v>
      </c>
      <c r="BU161" s="17">
        <f t="shared" si="706"/>
        <v>23269.68</v>
      </c>
      <c r="BV161" s="17">
        <f t="shared" si="707"/>
        <v>3412</v>
      </c>
      <c r="BW161" s="17">
        <f t="shared" si="708"/>
        <v>219.7280232</v>
      </c>
      <c r="BX161" s="17">
        <f t="shared" si="709"/>
        <v>17495.999999999989</v>
      </c>
      <c r="BY161" s="17">
        <f t="shared" si="710"/>
        <v>2365.2062274355198</v>
      </c>
      <c r="BZ161" s="17"/>
      <c r="CA161" s="17">
        <f t="shared" si="711"/>
        <v>85810.166416660228</v>
      </c>
      <c r="CB161" s="17">
        <f t="shared" si="712"/>
        <v>241341.0930468569</v>
      </c>
      <c r="CC161" s="17">
        <f t="shared" si="713"/>
        <v>12428.886193535853</v>
      </c>
      <c r="CD161" s="17">
        <f t="shared" si="714"/>
        <v>111859.97574182268</v>
      </c>
      <c r="CE161" s="17">
        <f t="shared" si="715"/>
        <v>50013.184426635511</v>
      </c>
      <c r="CF161" s="17">
        <f t="shared" si="716"/>
        <v>451440.12139887566</v>
      </c>
      <c r="CG161" s="17">
        <f t="shared" si="717"/>
        <v>501453.30582551117</v>
      </c>
      <c r="CH161" s="17">
        <f t="shared" si="718"/>
        <v>14.400000000000006</v>
      </c>
      <c r="CI161" s="17">
        <f t="shared" si="719"/>
        <v>-43.2</v>
      </c>
      <c r="CJ161" s="17">
        <f t="shared" si="720"/>
        <v>16</v>
      </c>
      <c r="CK161" s="17">
        <f t="shared" si="721"/>
        <v>90</v>
      </c>
      <c r="CL161" s="17">
        <f t="shared" si="722"/>
        <v>71.46880726181422</v>
      </c>
      <c r="CM161" s="17">
        <f t="shared" si="723"/>
        <v>24</v>
      </c>
      <c r="CN161" s="17">
        <f t="shared" si="724"/>
        <v>50</v>
      </c>
      <c r="CO161" s="17">
        <f t="shared" si="725"/>
        <v>65.062647806544774</v>
      </c>
      <c r="CP161" s="17">
        <f t="shared" si="726"/>
        <v>6.4061594552694459</v>
      </c>
      <c r="CQ161" s="17">
        <f t="shared" si="727"/>
        <v>0</v>
      </c>
      <c r="CR161" s="17">
        <f t="shared" si="728"/>
        <v>100</v>
      </c>
      <c r="CS161" s="17">
        <f t="shared" si="729"/>
        <v>26.404773030064671</v>
      </c>
      <c r="CT161" s="17">
        <f t="shared" si="730"/>
        <v>24</v>
      </c>
      <c r="CU161" s="17">
        <f t="shared" si="731"/>
        <v>50</v>
      </c>
      <c r="CV161" s="17">
        <f t="shared" si="732"/>
        <v>65.062647806544774</v>
      </c>
      <c r="CW161" s="17">
        <f t="shared" si="733"/>
        <v>-38.657874776480099</v>
      </c>
      <c r="CX161" s="17">
        <f t="shared" si="671"/>
        <v>-3714.9373440000004</v>
      </c>
      <c r="CY161" s="17">
        <f t="shared" si="671"/>
        <v>-3714.9373440000004</v>
      </c>
      <c r="CZ161" s="17">
        <f t="shared" si="734"/>
        <v>238.45881600000007</v>
      </c>
      <c r="DA161" s="17">
        <f t="shared" si="735"/>
        <v>-715.3764480000001</v>
      </c>
      <c r="DB161" s="17">
        <f t="shared" si="736"/>
        <v>-26593.920000000002</v>
      </c>
      <c r="DC161" s="17">
        <f t="shared" si="737"/>
        <v>3412</v>
      </c>
      <c r="DD161" s="17">
        <f t="shared" si="738"/>
        <v>219.7280232</v>
      </c>
      <c r="DE161" s="17">
        <f t="shared" si="739"/>
        <v>17496.000000000007</v>
      </c>
      <c r="DF161" s="17">
        <f t="shared" si="740"/>
        <v>-2703.0928313548802</v>
      </c>
      <c r="DG161" s="17"/>
      <c r="DH161" s="17">
        <f t="shared" si="741"/>
        <v>-10514.941939202587</v>
      </c>
      <c r="DI161" s="17">
        <f t="shared" si="742"/>
        <v>-29573.274204007277</v>
      </c>
      <c r="DJ161" s="17">
        <f t="shared" si="743"/>
        <v>-1523.0015527462326</v>
      </c>
      <c r="DK161" s="17">
        <f t="shared" si="744"/>
        <v>2271.447090285008</v>
      </c>
      <c r="DL161" s="17">
        <f t="shared" si="745"/>
        <v>-12361.139784154871</v>
      </c>
      <c r="DM161" s="17">
        <f t="shared" si="746"/>
        <v>-39339.770605671089</v>
      </c>
      <c r="DN161" s="17">
        <f t="shared" si="747"/>
        <v>-51700.910389825964</v>
      </c>
    </row>
    <row r="162" spans="3:120" ht="18.600000000000001">
      <c r="C162" s="13">
        <f>IF(D162&lt;&gt;"",COUNTA($D$10:D162),"")</f>
        <v>132</v>
      </c>
      <c r="D162" s="14" t="s">
        <v>212</v>
      </c>
      <c r="E162" s="14">
        <v>1.9</v>
      </c>
      <c r="F162" s="14">
        <v>2</v>
      </c>
      <c r="G162" s="14">
        <v>2.4</v>
      </c>
      <c r="H162" s="14">
        <v>2</v>
      </c>
      <c r="I162" s="14">
        <v>1</v>
      </c>
      <c r="J162" s="14">
        <v>1.75</v>
      </c>
      <c r="K162" s="14">
        <v>3</v>
      </c>
      <c r="L162" s="15">
        <v>0.1</v>
      </c>
      <c r="M162" s="15">
        <v>0</v>
      </c>
      <c r="N162" s="14">
        <v>24</v>
      </c>
      <c r="O162" s="14">
        <v>50</v>
      </c>
      <c r="P162" s="13">
        <v>45</v>
      </c>
      <c r="Q162" s="13">
        <v>85</v>
      </c>
      <c r="R162" s="13" t="s">
        <v>17</v>
      </c>
      <c r="S162" s="13">
        <v>120</v>
      </c>
      <c r="T162" s="13">
        <v>0</v>
      </c>
      <c r="U162" s="13">
        <v>100</v>
      </c>
      <c r="V162" s="13" t="str">
        <f t="shared" si="672"/>
        <v>ISO 6</v>
      </c>
      <c r="W162" s="13">
        <f t="shared" si="673"/>
        <v>120</v>
      </c>
      <c r="X162" s="16">
        <f t="shared" si="674"/>
        <v>40.887999999999998</v>
      </c>
      <c r="Y162" s="16">
        <f t="shared" si="675"/>
        <v>321.87033599999995</v>
      </c>
      <c r="Z162" s="16">
        <f t="shared" si="676"/>
        <v>643.7406719999999</v>
      </c>
      <c r="AA162" s="16">
        <f t="shared" si="677"/>
        <v>64.374067199999999</v>
      </c>
      <c r="AB162" s="16">
        <f t="shared" si="678"/>
        <v>0</v>
      </c>
      <c r="AC162" s="16">
        <f t="shared" si="679"/>
        <v>5.9219061445067043</v>
      </c>
      <c r="AD162" s="16">
        <f t="shared" si="748"/>
        <v>2175</v>
      </c>
      <c r="AE162" s="16">
        <f t="shared" si="681"/>
        <v>2175</v>
      </c>
      <c r="AF162" s="16">
        <f t="shared" si="682"/>
        <v>14</v>
      </c>
      <c r="AG162" s="16">
        <f t="shared" si="683"/>
        <v>5.5</v>
      </c>
      <c r="AH162" s="838" t="s">
        <v>85</v>
      </c>
      <c r="AI162" s="17">
        <f t="shared" si="684"/>
        <v>4.5</v>
      </c>
      <c r="AJ162" s="17">
        <f t="shared" si="685"/>
        <v>5.5</v>
      </c>
      <c r="AK162" s="891"/>
      <c r="AL162" s="18"/>
      <c r="AM162" s="889"/>
      <c r="AN162" s="891"/>
      <c r="AO162" s="888"/>
      <c r="AP162" s="891"/>
      <c r="AQ162" s="891"/>
      <c r="AR162" s="889"/>
      <c r="AS162" s="888"/>
      <c r="AT162" s="888"/>
      <c r="AU162" s="890"/>
      <c r="AV162" s="888"/>
      <c r="AW162" s="888"/>
      <c r="AX162" s="888"/>
      <c r="AY162" s="887"/>
      <c r="AZ162" s="888"/>
      <c r="BA162" s="17">
        <f t="shared" si="686"/>
        <v>14.399999999999991</v>
      </c>
      <c r="BB162" s="17">
        <f t="shared" si="687"/>
        <v>37.799999999999997</v>
      </c>
      <c r="BC162" s="17">
        <f t="shared" si="688"/>
        <v>32</v>
      </c>
      <c r="BD162" s="17">
        <f t="shared" si="689"/>
        <v>85</v>
      </c>
      <c r="BE162" s="17">
        <f t="shared" si="690"/>
        <v>180.86341983910182</v>
      </c>
      <c r="BF162" s="17">
        <f t="shared" si="691"/>
        <v>24</v>
      </c>
      <c r="BG162" s="17">
        <f t="shared" si="692"/>
        <v>50</v>
      </c>
      <c r="BH162" s="17">
        <f t="shared" si="693"/>
        <v>65.062647806544774</v>
      </c>
      <c r="BI162" s="17">
        <f t="shared" si="694"/>
        <v>115.80077203255705</v>
      </c>
      <c r="BJ162" s="17">
        <f t="shared" si="695"/>
        <v>45</v>
      </c>
      <c r="BK162" s="17">
        <f t="shared" si="696"/>
        <v>85</v>
      </c>
      <c r="BL162" s="17">
        <f t="shared" si="697"/>
        <v>380.54120080897206</v>
      </c>
      <c r="BM162" s="17">
        <f t="shared" si="698"/>
        <v>24</v>
      </c>
      <c r="BN162" s="17">
        <f t="shared" si="699"/>
        <v>50</v>
      </c>
      <c r="BO162" s="17">
        <f t="shared" si="700"/>
        <v>65.062647806544774</v>
      </c>
      <c r="BP162" s="17">
        <f t="shared" si="701"/>
        <v>315.4785530024273</v>
      </c>
      <c r="BQ162" s="17">
        <f t="shared" si="702"/>
        <v>3426.2766719999991</v>
      </c>
      <c r="BR162" s="17">
        <f t="shared" si="703"/>
        <v>1305.2482559999989</v>
      </c>
      <c r="BS162" s="17">
        <f t="shared" si="704"/>
        <v>264.95423999999986</v>
      </c>
      <c r="BT162" s="17">
        <f t="shared" si="705"/>
        <v>695.50487999999984</v>
      </c>
      <c r="BU162" s="17">
        <f t="shared" si="706"/>
        <v>23269.68</v>
      </c>
      <c r="BV162" s="17">
        <f t="shared" si="707"/>
        <v>3412</v>
      </c>
      <c r="BW162" s="17">
        <f t="shared" si="708"/>
        <v>244.142248</v>
      </c>
      <c r="BX162" s="17">
        <f t="shared" si="709"/>
        <v>17495.999999999989</v>
      </c>
      <c r="BY162" s="17">
        <f t="shared" si="710"/>
        <v>2628.0069193727995</v>
      </c>
      <c r="BZ162" s="17"/>
      <c r="CA162" s="17">
        <f t="shared" si="711"/>
        <v>85810.166416660228</v>
      </c>
      <c r="CB162" s="17">
        <f t="shared" si="712"/>
        <v>241341.0930468569</v>
      </c>
      <c r="CC162" s="17">
        <f t="shared" si="713"/>
        <v>13809.873548373173</v>
      </c>
      <c r="CD162" s="17">
        <f t="shared" si="714"/>
        <v>124288.86193535852</v>
      </c>
      <c r="CE162" s="17">
        <f t="shared" si="715"/>
        <v>50476.105839372787</v>
      </c>
      <c r="CF162" s="17">
        <f t="shared" si="716"/>
        <v>465249.99494724884</v>
      </c>
      <c r="CG162" s="17">
        <f t="shared" si="717"/>
        <v>515726.10078662162</v>
      </c>
      <c r="CH162" s="17">
        <f t="shared" si="718"/>
        <v>14.400000000000006</v>
      </c>
      <c r="CI162" s="17">
        <f t="shared" si="719"/>
        <v>-43.2</v>
      </c>
      <c r="CJ162" s="17">
        <f t="shared" si="720"/>
        <v>16</v>
      </c>
      <c r="CK162" s="17">
        <f t="shared" si="721"/>
        <v>90</v>
      </c>
      <c r="CL162" s="17">
        <f t="shared" si="722"/>
        <v>71.46880726181422</v>
      </c>
      <c r="CM162" s="17">
        <f t="shared" si="723"/>
        <v>24</v>
      </c>
      <c r="CN162" s="17">
        <f t="shared" si="724"/>
        <v>50</v>
      </c>
      <c r="CO162" s="17">
        <f t="shared" si="725"/>
        <v>65.062647806544774</v>
      </c>
      <c r="CP162" s="17">
        <f t="shared" si="726"/>
        <v>6.4061594552694459</v>
      </c>
      <c r="CQ162" s="17">
        <f t="shared" si="727"/>
        <v>0</v>
      </c>
      <c r="CR162" s="17">
        <f t="shared" si="728"/>
        <v>100</v>
      </c>
      <c r="CS162" s="17">
        <f t="shared" si="729"/>
        <v>26.404773030064671</v>
      </c>
      <c r="CT162" s="17">
        <f t="shared" si="730"/>
        <v>24</v>
      </c>
      <c r="CU162" s="17">
        <f t="shared" si="731"/>
        <v>50</v>
      </c>
      <c r="CV162" s="17">
        <f t="shared" si="732"/>
        <v>65.062647806544774</v>
      </c>
      <c r="CW162" s="17">
        <f t="shared" si="733"/>
        <v>-38.657874776480099</v>
      </c>
      <c r="CX162" s="17">
        <f t="shared" si="671"/>
        <v>-3915.744768</v>
      </c>
      <c r="CY162" s="17">
        <f t="shared" si="671"/>
        <v>-3915.744768</v>
      </c>
      <c r="CZ162" s="17">
        <f t="shared" si="734"/>
        <v>264.95424000000008</v>
      </c>
      <c r="DA162" s="17">
        <f t="shared" si="735"/>
        <v>-794.86271999999997</v>
      </c>
      <c r="DB162" s="17">
        <f t="shared" si="736"/>
        <v>-26593.920000000002</v>
      </c>
      <c r="DC162" s="17">
        <f t="shared" si="737"/>
        <v>3412</v>
      </c>
      <c r="DD162" s="17">
        <f t="shared" si="738"/>
        <v>244.142248</v>
      </c>
      <c r="DE162" s="17">
        <f t="shared" si="739"/>
        <v>17496.000000000007</v>
      </c>
      <c r="DF162" s="17">
        <f t="shared" si="740"/>
        <v>-3003.4364792832002</v>
      </c>
      <c r="DG162" s="17"/>
      <c r="DH162" s="17">
        <f t="shared" si="741"/>
        <v>-10514.941939202587</v>
      </c>
      <c r="DI162" s="17">
        <f t="shared" si="742"/>
        <v>-29573.274204007277</v>
      </c>
      <c r="DJ162" s="17">
        <f t="shared" si="743"/>
        <v>-1692.2239474958142</v>
      </c>
      <c r="DK162" s="17">
        <f t="shared" si="744"/>
        <v>2523.8301003166753</v>
      </c>
      <c r="DL162" s="17">
        <f t="shared" si="745"/>
        <v>-12890.867479283193</v>
      </c>
      <c r="DM162" s="17">
        <f t="shared" si="746"/>
        <v>-39256.609990388999</v>
      </c>
      <c r="DN162" s="17">
        <f t="shared" si="747"/>
        <v>-52147.477469672194</v>
      </c>
    </row>
    <row r="163" spans="3:120" ht="18.600000000000001">
      <c r="C163" s="13">
        <f>IF(D163&lt;&gt;"",COUNTA($D$10:D163),"")</f>
        <v>133</v>
      </c>
      <c r="D163" s="14" t="s">
        <v>213</v>
      </c>
      <c r="E163" s="14">
        <v>2.2999999999999998</v>
      </c>
      <c r="F163" s="14">
        <v>2.2000000000000002</v>
      </c>
      <c r="G163" s="14">
        <v>2.4</v>
      </c>
      <c r="H163" s="14">
        <v>2</v>
      </c>
      <c r="I163" s="14">
        <v>1</v>
      </c>
      <c r="J163" s="14">
        <v>1.75</v>
      </c>
      <c r="K163" s="14">
        <v>3</v>
      </c>
      <c r="L163" s="15">
        <v>0.1</v>
      </c>
      <c r="M163" s="15">
        <v>0</v>
      </c>
      <c r="N163" s="14">
        <v>24</v>
      </c>
      <c r="O163" s="14">
        <v>50</v>
      </c>
      <c r="P163" s="13">
        <v>45</v>
      </c>
      <c r="Q163" s="13">
        <v>85</v>
      </c>
      <c r="R163" s="13" t="s">
        <v>17</v>
      </c>
      <c r="S163" s="13">
        <v>120</v>
      </c>
      <c r="T163" s="13">
        <v>0</v>
      </c>
      <c r="U163" s="13">
        <v>100</v>
      </c>
      <c r="V163" s="13" t="str">
        <f t="shared" si="672"/>
        <v>ISO 6</v>
      </c>
      <c r="W163" s="13">
        <f t="shared" si="673"/>
        <v>120</v>
      </c>
      <c r="X163" s="16">
        <f t="shared" si="674"/>
        <v>54.445599999999992</v>
      </c>
      <c r="Y163" s="16">
        <f t="shared" si="675"/>
        <v>428.59576319999991</v>
      </c>
      <c r="Z163" s="16">
        <f t="shared" si="676"/>
        <v>857.19152639999982</v>
      </c>
      <c r="AA163" s="16">
        <f t="shared" si="677"/>
        <v>85.71915263999999</v>
      </c>
      <c r="AB163" s="16">
        <f t="shared" si="678"/>
        <v>0</v>
      </c>
      <c r="AC163" s="16">
        <f t="shared" si="679"/>
        <v>7.8854855503168197</v>
      </c>
      <c r="AD163" s="16">
        <f t="shared" si="748"/>
        <v>2400</v>
      </c>
      <c r="AE163" s="16">
        <f t="shared" si="681"/>
        <v>2400</v>
      </c>
      <c r="AF163" s="16">
        <f t="shared" si="682"/>
        <v>14</v>
      </c>
      <c r="AG163" s="16">
        <f t="shared" si="683"/>
        <v>6</v>
      </c>
      <c r="AH163" s="838" t="s">
        <v>85</v>
      </c>
      <c r="AI163" s="17">
        <f t="shared" si="684"/>
        <v>4.5</v>
      </c>
      <c r="AJ163" s="17">
        <f t="shared" si="685"/>
        <v>6</v>
      </c>
      <c r="AK163" s="891"/>
      <c r="AL163" s="18"/>
      <c r="AM163" s="889"/>
      <c r="AN163" s="891"/>
      <c r="AO163" s="888"/>
      <c r="AP163" s="891"/>
      <c r="AQ163" s="891"/>
      <c r="AR163" s="889"/>
      <c r="AS163" s="888"/>
      <c r="AT163" s="888"/>
      <c r="AU163" s="890"/>
      <c r="AV163" s="888"/>
      <c r="AW163" s="888"/>
      <c r="AX163" s="888"/>
      <c r="AY163" s="887"/>
      <c r="AZ163" s="888"/>
      <c r="BA163" s="17">
        <f t="shared" si="686"/>
        <v>14.399999999999991</v>
      </c>
      <c r="BB163" s="17">
        <f t="shared" si="687"/>
        <v>37.799999999999997</v>
      </c>
      <c r="BC163" s="17">
        <f t="shared" si="688"/>
        <v>32</v>
      </c>
      <c r="BD163" s="17">
        <f t="shared" si="689"/>
        <v>85</v>
      </c>
      <c r="BE163" s="17">
        <f t="shared" si="690"/>
        <v>180.86341983910182</v>
      </c>
      <c r="BF163" s="17">
        <f t="shared" si="691"/>
        <v>24</v>
      </c>
      <c r="BG163" s="17">
        <f t="shared" si="692"/>
        <v>50</v>
      </c>
      <c r="BH163" s="17">
        <f t="shared" si="693"/>
        <v>65.062647806544774</v>
      </c>
      <c r="BI163" s="17">
        <f t="shared" si="694"/>
        <v>115.80077203255705</v>
      </c>
      <c r="BJ163" s="17">
        <f t="shared" si="695"/>
        <v>45</v>
      </c>
      <c r="BK163" s="17">
        <f t="shared" si="696"/>
        <v>85</v>
      </c>
      <c r="BL163" s="17">
        <f t="shared" si="697"/>
        <v>380.54120080897206</v>
      </c>
      <c r="BM163" s="17">
        <f t="shared" si="698"/>
        <v>24</v>
      </c>
      <c r="BN163" s="17">
        <f t="shared" si="699"/>
        <v>50</v>
      </c>
      <c r="BO163" s="17">
        <f t="shared" si="700"/>
        <v>65.062647806544774</v>
      </c>
      <c r="BP163" s="17">
        <f t="shared" si="701"/>
        <v>315.4785530024273</v>
      </c>
      <c r="BQ163" s="17">
        <f t="shared" si="702"/>
        <v>3953.3961599999993</v>
      </c>
      <c r="BR163" s="17">
        <f t="shared" si="703"/>
        <v>1506.0556799999993</v>
      </c>
      <c r="BS163" s="17">
        <f t="shared" si="704"/>
        <v>352.80748799999975</v>
      </c>
      <c r="BT163" s="17">
        <f t="shared" si="705"/>
        <v>926.11965599999974</v>
      </c>
      <c r="BU163" s="17">
        <f t="shared" si="706"/>
        <v>23269.68</v>
      </c>
      <c r="BV163" s="17">
        <f t="shared" si="707"/>
        <v>3412</v>
      </c>
      <c r="BW163" s="17">
        <f t="shared" si="708"/>
        <v>325.0946775999999</v>
      </c>
      <c r="BX163" s="17">
        <f t="shared" si="709"/>
        <v>17495.999999999989</v>
      </c>
      <c r="BY163" s="17">
        <f t="shared" si="710"/>
        <v>3499.3986873753597</v>
      </c>
      <c r="BZ163" s="17"/>
      <c r="CA163" s="17">
        <f t="shared" si="711"/>
        <v>85810.166416660228</v>
      </c>
      <c r="CB163" s="17">
        <f t="shared" si="712"/>
        <v>241341.0930468569</v>
      </c>
      <c r="CC163" s="17">
        <f t="shared" si="713"/>
        <v>18388.936882833746</v>
      </c>
      <c r="CD163" s="17">
        <f t="shared" si="714"/>
        <v>165500.43194550375</v>
      </c>
      <c r="CE163" s="17">
        <f t="shared" si="715"/>
        <v>51955.569524975348</v>
      </c>
      <c r="CF163" s="17">
        <f t="shared" si="716"/>
        <v>511040.62829185458</v>
      </c>
      <c r="CG163" s="17">
        <f t="shared" si="717"/>
        <v>562996.1978168299</v>
      </c>
      <c r="CH163" s="17">
        <f t="shared" si="718"/>
        <v>14.400000000000006</v>
      </c>
      <c r="CI163" s="17">
        <f t="shared" si="719"/>
        <v>-43.2</v>
      </c>
      <c r="CJ163" s="17">
        <f t="shared" si="720"/>
        <v>16</v>
      </c>
      <c r="CK163" s="17">
        <f t="shared" si="721"/>
        <v>90</v>
      </c>
      <c r="CL163" s="17">
        <f t="shared" si="722"/>
        <v>71.46880726181422</v>
      </c>
      <c r="CM163" s="17">
        <f t="shared" si="723"/>
        <v>24</v>
      </c>
      <c r="CN163" s="17">
        <f t="shared" si="724"/>
        <v>50</v>
      </c>
      <c r="CO163" s="17">
        <f t="shared" si="725"/>
        <v>65.062647806544774</v>
      </c>
      <c r="CP163" s="17">
        <f t="shared" si="726"/>
        <v>6.4061594552694459</v>
      </c>
      <c r="CQ163" s="17">
        <f t="shared" si="727"/>
        <v>0</v>
      </c>
      <c r="CR163" s="17">
        <f t="shared" si="728"/>
        <v>100</v>
      </c>
      <c r="CS163" s="17">
        <f t="shared" si="729"/>
        <v>26.404773030064671</v>
      </c>
      <c r="CT163" s="17">
        <f t="shared" si="730"/>
        <v>24</v>
      </c>
      <c r="CU163" s="17">
        <f t="shared" si="731"/>
        <v>50</v>
      </c>
      <c r="CV163" s="17">
        <f t="shared" si="732"/>
        <v>65.062647806544774</v>
      </c>
      <c r="CW163" s="17">
        <f t="shared" si="733"/>
        <v>-38.657874776480099</v>
      </c>
      <c r="CX163" s="17">
        <f t="shared" si="671"/>
        <v>-4518.1670400000012</v>
      </c>
      <c r="CY163" s="17">
        <f t="shared" si="671"/>
        <v>-4518.1670400000012</v>
      </c>
      <c r="CZ163" s="17">
        <f t="shared" si="734"/>
        <v>352.80748800000009</v>
      </c>
      <c r="DA163" s="17">
        <f t="shared" si="735"/>
        <v>-1058.422464</v>
      </c>
      <c r="DB163" s="17">
        <f t="shared" si="736"/>
        <v>-26593.920000000002</v>
      </c>
      <c r="DC163" s="17">
        <f t="shared" si="737"/>
        <v>3412</v>
      </c>
      <c r="DD163" s="17">
        <f t="shared" si="738"/>
        <v>325.0946775999999</v>
      </c>
      <c r="DE163" s="17">
        <f t="shared" si="739"/>
        <v>17496.000000000007</v>
      </c>
      <c r="DF163" s="17">
        <f t="shared" si="740"/>
        <v>-3999.3127855718403</v>
      </c>
      <c r="DG163" s="17"/>
      <c r="DH163" s="17">
        <f t="shared" si="741"/>
        <v>-10514.941939202587</v>
      </c>
      <c r="DI163" s="17">
        <f t="shared" si="742"/>
        <v>-29573.274204007277</v>
      </c>
      <c r="DJ163" s="17">
        <f t="shared" si="743"/>
        <v>-2253.32978271811</v>
      </c>
      <c r="DK163" s="17">
        <f t="shared" si="744"/>
        <v>3360.6790283164155</v>
      </c>
      <c r="DL163" s="17">
        <f t="shared" si="745"/>
        <v>-14583.920123971839</v>
      </c>
      <c r="DM163" s="17">
        <f t="shared" si="746"/>
        <v>-38980.866897611559</v>
      </c>
      <c r="DN163" s="17">
        <f t="shared" si="747"/>
        <v>-53564.787021583397</v>
      </c>
    </row>
    <row r="164" spans="3:120" ht="18.600000000000001">
      <c r="C164" s="13">
        <f>IF(D164&lt;&gt;"",COUNTA($D$10:D164),"")</f>
        <v>134</v>
      </c>
      <c r="D164" s="14" t="s">
        <v>214</v>
      </c>
      <c r="E164" s="14">
        <v>2.2000000000000002</v>
      </c>
      <c r="F164" s="14">
        <v>2.8</v>
      </c>
      <c r="G164" s="14">
        <v>2.4</v>
      </c>
      <c r="H164" s="14">
        <v>2</v>
      </c>
      <c r="I164" s="14">
        <v>1</v>
      </c>
      <c r="J164" s="14">
        <v>1.75</v>
      </c>
      <c r="K164" s="14">
        <v>3</v>
      </c>
      <c r="L164" s="15">
        <v>0.1</v>
      </c>
      <c r="M164" s="15">
        <v>0</v>
      </c>
      <c r="N164" s="14">
        <v>24</v>
      </c>
      <c r="O164" s="14">
        <v>50</v>
      </c>
      <c r="P164" s="13">
        <v>45</v>
      </c>
      <c r="Q164" s="13">
        <v>85</v>
      </c>
      <c r="R164" s="13" t="s">
        <v>17</v>
      </c>
      <c r="S164" s="13">
        <v>120</v>
      </c>
      <c r="T164" s="13">
        <v>0</v>
      </c>
      <c r="U164" s="13">
        <v>100</v>
      </c>
      <c r="V164" s="13" t="str">
        <f t="shared" si="672"/>
        <v>ISO 6</v>
      </c>
      <c r="W164" s="13">
        <f t="shared" si="673"/>
        <v>120</v>
      </c>
      <c r="X164" s="16">
        <f t="shared" si="674"/>
        <v>66.281599999999997</v>
      </c>
      <c r="Y164" s="16">
        <f t="shared" si="675"/>
        <v>521.76875519999999</v>
      </c>
      <c r="Z164" s="16">
        <f t="shared" si="676"/>
        <v>1043.5375104</v>
      </c>
      <c r="AA164" s="16">
        <f t="shared" si="677"/>
        <v>104.35375104000001</v>
      </c>
      <c r="AB164" s="16">
        <f t="shared" si="678"/>
        <v>0</v>
      </c>
      <c r="AC164" s="16">
        <f t="shared" si="679"/>
        <v>9.5997215395161284</v>
      </c>
      <c r="AD164" s="16">
        <f t="shared" si="748"/>
        <v>2575</v>
      </c>
      <c r="AE164" s="16">
        <f t="shared" si="681"/>
        <v>2575</v>
      </c>
      <c r="AF164" s="16">
        <f t="shared" si="682"/>
        <v>16</v>
      </c>
      <c r="AG164" s="16">
        <f t="shared" si="683"/>
        <v>6.5</v>
      </c>
      <c r="AH164" s="838" t="s">
        <v>85</v>
      </c>
      <c r="AI164" s="17">
        <f t="shared" si="684"/>
        <v>4.5</v>
      </c>
      <c r="AJ164" s="17">
        <f t="shared" si="685"/>
        <v>6.5</v>
      </c>
      <c r="AK164" s="891"/>
      <c r="AL164" s="18"/>
      <c r="AM164" s="889"/>
      <c r="AN164" s="891"/>
      <c r="AO164" s="888"/>
      <c r="AP164" s="891"/>
      <c r="AQ164" s="891"/>
      <c r="AR164" s="889"/>
      <c r="AS164" s="888"/>
      <c r="AT164" s="888"/>
      <c r="AU164" s="890"/>
      <c r="AV164" s="888"/>
      <c r="AW164" s="888"/>
      <c r="AX164" s="888"/>
      <c r="AY164" s="887"/>
      <c r="AZ164" s="888"/>
      <c r="BA164" s="17">
        <f t="shared" si="686"/>
        <v>14.399999999999991</v>
      </c>
      <c r="BB164" s="17">
        <f t="shared" si="687"/>
        <v>37.799999999999997</v>
      </c>
      <c r="BC164" s="17">
        <f t="shared" si="688"/>
        <v>32</v>
      </c>
      <c r="BD164" s="17">
        <f t="shared" si="689"/>
        <v>85</v>
      </c>
      <c r="BE164" s="17">
        <f t="shared" si="690"/>
        <v>180.86341983910182</v>
      </c>
      <c r="BF164" s="17">
        <f t="shared" si="691"/>
        <v>24</v>
      </c>
      <c r="BG164" s="17">
        <f t="shared" si="692"/>
        <v>50</v>
      </c>
      <c r="BH164" s="17">
        <f t="shared" si="693"/>
        <v>65.062647806544774</v>
      </c>
      <c r="BI164" s="17">
        <f t="shared" si="694"/>
        <v>115.80077203255705</v>
      </c>
      <c r="BJ164" s="17">
        <f t="shared" si="695"/>
        <v>45</v>
      </c>
      <c r="BK164" s="17">
        <f t="shared" si="696"/>
        <v>85</v>
      </c>
      <c r="BL164" s="17">
        <f t="shared" si="697"/>
        <v>380.54120080897206</v>
      </c>
      <c r="BM164" s="17">
        <f t="shared" si="698"/>
        <v>24</v>
      </c>
      <c r="BN164" s="17">
        <f t="shared" si="699"/>
        <v>50</v>
      </c>
      <c r="BO164" s="17">
        <f t="shared" si="700"/>
        <v>65.062647806544774</v>
      </c>
      <c r="BP164" s="17">
        <f t="shared" si="701"/>
        <v>315.4785530024273</v>
      </c>
      <c r="BQ164" s="17">
        <f t="shared" si="702"/>
        <v>4392.6624000000002</v>
      </c>
      <c r="BR164" s="17">
        <f t="shared" si="703"/>
        <v>1673.3951999999992</v>
      </c>
      <c r="BS164" s="17">
        <f t="shared" si="704"/>
        <v>429.50476799999973</v>
      </c>
      <c r="BT164" s="17">
        <f t="shared" si="705"/>
        <v>1127.4500159999998</v>
      </c>
      <c r="BU164" s="17">
        <f t="shared" si="706"/>
        <v>23269.68</v>
      </c>
      <c r="BV164" s="17">
        <f t="shared" si="707"/>
        <v>3412</v>
      </c>
      <c r="BW164" s="17">
        <f t="shared" si="708"/>
        <v>395.76743359999995</v>
      </c>
      <c r="BX164" s="17">
        <f t="shared" si="709"/>
        <v>17495.999999999989</v>
      </c>
      <c r="BY164" s="17">
        <f t="shared" si="710"/>
        <v>4260.1375324569599</v>
      </c>
      <c r="BZ164" s="17"/>
      <c r="CA164" s="17">
        <f t="shared" si="711"/>
        <v>85810.166416660228</v>
      </c>
      <c r="CB164" s="17">
        <f t="shared" si="712"/>
        <v>241341.0930468569</v>
      </c>
      <c r="CC164" s="17">
        <f t="shared" si="713"/>
        <v>22386.531857362828</v>
      </c>
      <c r="CD164" s="17">
        <f t="shared" si="714"/>
        <v>201478.78671626543</v>
      </c>
      <c r="CE164" s="17">
        <f t="shared" si="715"/>
        <v>53226.247366056945</v>
      </c>
      <c r="CF164" s="17">
        <f t="shared" si="716"/>
        <v>551016.57803714531</v>
      </c>
      <c r="CG164" s="17">
        <f t="shared" si="717"/>
        <v>604242.82540320221</v>
      </c>
      <c r="CH164" s="17">
        <f t="shared" si="718"/>
        <v>14.400000000000006</v>
      </c>
      <c r="CI164" s="17">
        <f t="shared" si="719"/>
        <v>-43.2</v>
      </c>
      <c r="CJ164" s="17">
        <f t="shared" si="720"/>
        <v>16</v>
      </c>
      <c r="CK164" s="17">
        <f t="shared" si="721"/>
        <v>90</v>
      </c>
      <c r="CL164" s="17">
        <f t="shared" si="722"/>
        <v>71.46880726181422</v>
      </c>
      <c r="CM164" s="17">
        <f t="shared" si="723"/>
        <v>24</v>
      </c>
      <c r="CN164" s="17">
        <f t="shared" si="724"/>
        <v>50</v>
      </c>
      <c r="CO164" s="17">
        <f t="shared" si="725"/>
        <v>65.062647806544774</v>
      </c>
      <c r="CP164" s="17">
        <f t="shared" si="726"/>
        <v>6.4061594552694459</v>
      </c>
      <c r="CQ164" s="17">
        <f t="shared" si="727"/>
        <v>0</v>
      </c>
      <c r="CR164" s="17">
        <f t="shared" si="728"/>
        <v>100</v>
      </c>
      <c r="CS164" s="17">
        <f t="shared" si="729"/>
        <v>26.404773030064671</v>
      </c>
      <c r="CT164" s="17">
        <f t="shared" si="730"/>
        <v>24</v>
      </c>
      <c r="CU164" s="17">
        <f t="shared" si="731"/>
        <v>50</v>
      </c>
      <c r="CV164" s="17">
        <f t="shared" si="732"/>
        <v>65.062647806544774</v>
      </c>
      <c r="CW164" s="17">
        <f t="shared" si="733"/>
        <v>-38.657874776480099</v>
      </c>
      <c r="CX164" s="17">
        <f t="shared" si="671"/>
        <v>-5020.1856000000007</v>
      </c>
      <c r="CY164" s="17">
        <f t="shared" si="671"/>
        <v>-5020.1856000000007</v>
      </c>
      <c r="CZ164" s="17">
        <f t="shared" si="734"/>
        <v>429.50476800000018</v>
      </c>
      <c r="DA164" s="17">
        <f t="shared" si="735"/>
        <v>-1288.514304</v>
      </c>
      <c r="DB164" s="17">
        <f t="shared" si="736"/>
        <v>-26593.920000000002</v>
      </c>
      <c r="DC164" s="17">
        <f t="shared" si="737"/>
        <v>3412</v>
      </c>
      <c r="DD164" s="17">
        <f t="shared" si="738"/>
        <v>395.76743359999995</v>
      </c>
      <c r="DE164" s="17">
        <f t="shared" si="739"/>
        <v>17496.000000000007</v>
      </c>
      <c r="DF164" s="17">
        <f t="shared" si="740"/>
        <v>-4868.7286085222404</v>
      </c>
      <c r="DG164" s="17"/>
      <c r="DH164" s="17">
        <f t="shared" si="741"/>
        <v>-10514.941939202587</v>
      </c>
      <c r="DI164" s="17">
        <f t="shared" si="742"/>
        <v>-29573.274204007277</v>
      </c>
      <c r="DJ164" s="17">
        <f t="shared" si="743"/>
        <v>-2743.1840833090046</v>
      </c>
      <c r="DK164" s="17">
        <f t="shared" si="744"/>
        <v>4091.2614257765063</v>
      </c>
      <c r="DL164" s="17">
        <f t="shared" si="745"/>
        <v>-16038.076310922239</v>
      </c>
      <c r="DM164" s="17">
        <f t="shared" si="746"/>
        <v>-38740.138800742359</v>
      </c>
      <c r="DN164" s="17">
        <f t="shared" si="747"/>
        <v>-54778.215111664598</v>
      </c>
    </row>
    <row r="165" spans="3:120" ht="18.600000000000001">
      <c r="C165" s="13">
        <f>IF(D165&lt;&gt;"",COUNTA($D$10:D165),"")</f>
        <v>135</v>
      </c>
      <c r="D165" s="14" t="s">
        <v>215</v>
      </c>
      <c r="E165" s="14">
        <v>2.8</v>
      </c>
      <c r="F165" s="14">
        <v>2.4</v>
      </c>
      <c r="G165" s="14">
        <v>2.4</v>
      </c>
      <c r="H165" s="14">
        <v>2</v>
      </c>
      <c r="I165" s="14">
        <v>1</v>
      </c>
      <c r="J165" s="14">
        <v>1.75</v>
      </c>
      <c r="K165" s="14">
        <v>3</v>
      </c>
      <c r="L165" s="15">
        <v>0.1</v>
      </c>
      <c r="M165" s="15">
        <v>0</v>
      </c>
      <c r="N165" s="14">
        <v>24</v>
      </c>
      <c r="O165" s="14">
        <v>50</v>
      </c>
      <c r="P165" s="13">
        <v>45</v>
      </c>
      <c r="Q165" s="13">
        <v>85</v>
      </c>
      <c r="R165" s="13" t="s">
        <v>17</v>
      </c>
      <c r="S165" s="13">
        <v>120</v>
      </c>
      <c r="T165" s="13">
        <v>0</v>
      </c>
      <c r="U165" s="13">
        <v>100</v>
      </c>
      <c r="V165" s="13" t="str">
        <f t="shared" si="672"/>
        <v>ISO 6</v>
      </c>
      <c r="W165" s="13">
        <f t="shared" si="673"/>
        <v>120</v>
      </c>
      <c r="X165" s="16">
        <f t="shared" si="674"/>
        <v>72.307199999999995</v>
      </c>
      <c r="Y165" s="16">
        <f t="shared" si="675"/>
        <v>569.20227839999995</v>
      </c>
      <c r="Z165" s="16">
        <f t="shared" si="676"/>
        <v>1138.4045567999999</v>
      </c>
      <c r="AA165" s="16">
        <f t="shared" si="677"/>
        <v>113.84045567999999</v>
      </c>
      <c r="AB165" s="16">
        <f t="shared" si="678"/>
        <v>0</v>
      </c>
      <c r="AC165" s="16">
        <f t="shared" si="679"/>
        <v>10.472423497653956</v>
      </c>
      <c r="AD165" s="16">
        <f t="shared" si="748"/>
        <v>2675</v>
      </c>
      <c r="AE165" s="16">
        <f t="shared" si="681"/>
        <v>2675</v>
      </c>
      <c r="AF165" s="16">
        <f t="shared" si="682"/>
        <v>16</v>
      </c>
      <c r="AG165" s="16">
        <f t="shared" si="683"/>
        <v>7</v>
      </c>
      <c r="AH165" s="838" t="s">
        <v>85</v>
      </c>
      <c r="AI165" s="17">
        <f t="shared" si="684"/>
        <v>4.5</v>
      </c>
      <c r="AJ165" s="17">
        <f t="shared" si="685"/>
        <v>7</v>
      </c>
      <c r="AK165" s="891"/>
      <c r="AL165" s="18"/>
      <c r="AM165" s="889"/>
      <c r="AN165" s="891"/>
      <c r="AO165" s="888"/>
      <c r="AP165" s="891"/>
      <c r="AQ165" s="891"/>
      <c r="AR165" s="889"/>
      <c r="AS165" s="888"/>
      <c r="AT165" s="888"/>
      <c r="AU165" s="890"/>
      <c r="AV165" s="888"/>
      <c r="AW165" s="888"/>
      <c r="AX165" s="888"/>
      <c r="AY165" s="887"/>
      <c r="AZ165" s="888"/>
      <c r="BA165" s="17">
        <f t="shared" si="686"/>
        <v>14.399999999999991</v>
      </c>
      <c r="BB165" s="17">
        <f t="shared" si="687"/>
        <v>37.799999999999997</v>
      </c>
      <c r="BC165" s="17">
        <f t="shared" si="688"/>
        <v>32</v>
      </c>
      <c r="BD165" s="17">
        <f t="shared" si="689"/>
        <v>85</v>
      </c>
      <c r="BE165" s="17">
        <f t="shared" si="690"/>
        <v>180.86341983910182</v>
      </c>
      <c r="BF165" s="17">
        <f t="shared" si="691"/>
        <v>24</v>
      </c>
      <c r="BG165" s="17">
        <f t="shared" si="692"/>
        <v>50</v>
      </c>
      <c r="BH165" s="17">
        <f t="shared" si="693"/>
        <v>65.062647806544774</v>
      </c>
      <c r="BI165" s="17">
        <f t="shared" si="694"/>
        <v>115.80077203255705</v>
      </c>
      <c r="BJ165" s="17">
        <f t="shared" si="695"/>
        <v>45</v>
      </c>
      <c r="BK165" s="17">
        <f t="shared" si="696"/>
        <v>85</v>
      </c>
      <c r="BL165" s="17">
        <f t="shared" si="697"/>
        <v>380.54120080897206</v>
      </c>
      <c r="BM165" s="17">
        <f t="shared" si="698"/>
        <v>24</v>
      </c>
      <c r="BN165" s="17">
        <f t="shared" si="699"/>
        <v>50</v>
      </c>
      <c r="BO165" s="17">
        <f t="shared" si="700"/>
        <v>65.062647806544774</v>
      </c>
      <c r="BP165" s="17">
        <f t="shared" si="701"/>
        <v>315.4785530024273</v>
      </c>
      <c r="BQ165" s="17">
        <f t="shared" si="702"/>
        <v>4568.368895999999</v>
      </c>
      <c r="BR165" s="17">
        <f t="shared" si="703"/>
        <v>1740.331007999999</v>
      </c>
      <c r="BS165" s="17">
        <f t="shared" si="704"/>
        <v>468.55065599999972</v>
      </c>
      <c r="BT165" s="17">
        <f t="shared" si="705"/>
        <v>1229.9454719999999</v>
      </c>
      <c r="BU165" s="17">
        <f t="shared" si="706"/>
        <v>23269.68</v>
      </c>
      <c r="BV165" s="17">
        <f t="shared" si="707"/>
        <v>3412</v>
      </c>
      <c r="BW165" s="17">
        <f t="shared" si="708"/>
        <v>431.74629119999997</v>
      </c>
      <c r="BX165" s="17">
        <f t="shared" si="709"/>
        <v>17495.999999999989</v>
      </c>
      <c r="BY165" s="17">
        <f t="shared" si="710"/>
        <v>4647.4227626803195</v>
      </c>
      <c r="BZ165" s="17"/>
      <c r="CA165" s="17">
        <f t="shared" si="711"/>
        <v>85810.166416660228</v>
      </c>
      <c r="CB165" s="17">
        <f t="shared" si="712"/>
        <v>241341.0930468569</v>
      </c>
      <c r="CC165" s="17">
        <f t="shared" si="713"/>
        <v>24421.671117123082</v>
      </c>
      <c r="CD165" s="17">
        <f t="shared" si="714"/>
        <v>219795.04005410775</v>
      </c>
      <c r="CE165" s="17">
        <f t="shared" si="715"/>
        <v>53825.217949880309</v>
      </c>
      <c r="CF165" s="17">
        <f t="shared" si="716"/>
        <v>571367.970634748</v>
      </c>
      <c r="CG165" s="17">
        <f t="shared" si="717"/>
        <v>625193.18858462828</v>
      </c>
      <c r="CH165" s="17">
        <f t="shared" si="718"/>
        <v>14.400000000000006</v>
      </c>
      <c r="CI165" s="17">
        <f t="shared" si="719"/>
        <v>-43.2</v>
      </c>
      <c r="CJ165" s="17">
        <f t="shared" si="720"/>
        <v>16</v>
      </c>
      <c r="CK165" s="17">
        <f t="shared" si="721"/>
        <v>90</v>
      </c>
      <c r="CL165" s="17">
        <f t="shared" si="722"/>
        <v>71.46880726181422</v>
      </c>
      <c r="CM165" s="17">
        <f t="shared" si="723"/>
        <v>24</v>
      </c>
      <c r="CN165" s="17">
        <f t="shared" si="724"/>
        <v>50</v>
      </c>
      <c r="CO165" s="17">
        <f t="shared" si="725"/>
        <v>65.062647806544774</v>
      </c>
      <c r="CP165" s="17">
        <f t="shared" si="726"/>
        <v>6.4061594552694459</v>
      </c>
      <c r="CQ165" s="17">
        <f t="shared" si="727"/>
        <v>0</v>
      </c>
      <c r="CR165" s="17">
        <f t="shared" si="728"/>
        <v>100</v>
      </c>
      <c r="CS165" s="17">
        <f t="shared" si="729"/>
        <v>26.404773030064671</v>
      </c>
      <c r="CT165" s="17">
        <f t="shared" si="730"/>
        <v>24</v>
      </c>
      <c r="CU165" s="17">
        <f t="shared" si="731"/>
        <v>50</v>
      </c>
      <c r="CV165" s="17">
        <f t="shared" si="732"/>
        <v>65.062647806544774</v>
      </c>
      <c r="CW165" s="17">
        <f t="shared" si="733"/>
        <v>-38.657874776480099</v>
      </c>
      <c r="CX165" s="17">
        <f t="shared" si="671"/>
        <v>-5220.9930240000003</v>
      </c>
      <c r="CY165" s="17">
        <f t="shared" si="671"/>
        <v>-5220.9930240000003</v>
      </c>
      <c r="CZ165" s="17">
        <f t="shared" si="734"/>
        <v>468.55065600000012</v>
      </c>
      <c r="DA165" s="17">
        <f t="shared" si="735"/>
        <v>-1405.6519680000001</v>
      </c>
      <c r="DB165" s="17">
        <f t="shared" si="736"/>
        <v>-26593.920000000002</v>
      </c>
      <c r="DC165" s="17">
        <f t="shared" si="737"/>
        <v>3412</v>
      </c>
      <c r="DD165" s="17">
        <f t="shared" si="738"/>
        <v>431.74629119999997</v>
      </c>
      <c r="DE165" s="17">
        <f t="shared" si="739"/>
        <v>17496.000000000007</v>
      </c>
      <c r="DF165" s="17">
        <f t="shared" si="740"/>
        <v>-5311.3403002060804</v>
      </c>
      <c r="DG165" s="17"/>
      <c r="DH165" s="17">
        <f t="shared" si="741"/>
        <v>-10514.941939202587</v>
      </c>
      <c r="DI165" s="17">
        <f t="shared" si="742"/>
        <v>-29573.274204007277</v>
      </c>
      <c r="DJ165" s="17">
        <f t="shared" si="743"/>
        <v>-2992.5644545189134</v>
      </c>
      <c r="DK165" s="17">
        <f t="shared" si="744"/>
        <v>4463.1942826652794</v>
      </c>
      <c r="DL165" s="17">
        <f t="shared" si="745"/>
        <v>-16723.608345006072</v>
      </c>
      <c r="DM165" s="17">
        <f t="shared" si="746"/>
        <v>-38617.586315063498</v>
      </c>
      <c r="DN165" s="17">
        <f t="shared" si="747"/>
        <v>-55341.194660069566</v>
      </c>
    </row>
    <row r="166" spans="3:120">
      <c r="C166" s="13" t="str">
        <f>IF(D166&lt;&gt;"",COUNTA($D$10:D166),"")</f>
        <v/>
      </c>
      <c r="D166" s="19"/>
      <c r="E166" s="19"/>
      <c r="F166" s="19"/>
      <c r="G166" s="19"/>
      <c r="H166" s="19"/>
      <c r="I166" s="19"/>
      <c r="J166" s="19"/>
      <c r="K166" s="19"/>
      <c r="L166" s="19"/>
      <c r="M166" s="19"/>
      <c r="N166" s="19"/>
      <c r="O166" s="19"/>
      <c r="P166" s="19"/>
      <c r="Q166" s="19"/>
      <c r="R166" s="19"/>
      <c r="S166" s="19"/>
      <c r="T166" s="19"/>
      <c r="U166" s="19"/>
      <c r="V166" s="19"/>
      <c r="W166" s="19"/>
      <c r="X166" s="20">
        <f>SUM(X150:X165)</f>
        <v>1144.1108000000002</v>
      </c>
      <c r="Y166" s="20">
        <f t="shared" ref="Y166" si="749">SUM(Y150:Y165)</f>
        <v>9006.4402175999985</v>
      </c>
      <c r="Z166" s="20">
        <f t="shared" ref="Z166" si="750">SUM(Z150:Z165)</f>
        <v>18012.880435199997</v>
      </c>
      <c r="AA166" s="20">
        <f t="shared" ref="AA166" si="751">SUM(AA150:AA165)</f>
        <v>1801.2880435199995</v>
      </c>
      <c r="AB166" s="20">
        <f t="shared" ref="AB166" si="752">SUM(AB150:AB165)</f>
        <v>0</v>
      </c>
      <c r="AC166" s="20">
        <f t="shared" ref="AC166" si="753">SUM(AC150:AC165)</f>
        <v>165.70428430142042</v>
      </c>
      <c r="AD166" s="20">
        <f t="shared" ref="AD166" si="754">SUM(AD150:AD165)</f>
        <v>42375</v>
      </c>
      <c r="AE166" s="20">
        <f t="shared" ref="AE166" si="755">SUM(AE150:AE165)</f>
        <v>42375</v>
      </c>
      <c r="AF166" s="20">
        <f t="shared" ref="AF166" si="756">SUM(AF150:AF165)</f>
        <v>260</v>
      </c>
      <c r="AG166" s="20">
        <f t="shared" ref="AG166" si="757">SUM(AG150:AG165)</f>
        <v>108.5</v>
      </c>
      <c r="AH166" s="841"/>
      <c r="AI166" s="20">
        <f t="shared" ref="AI166" si="758">SUM(AI150:AI165)</f>
        <v>76.5</v>
      </c>
      <c r="AJ166" s="20">
        <f t="shared" ref="AJ166" si="759">SUM(AJ150:AJ165)</f>
        <v>108.5</v>
      </c>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2"/>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row>
    <row r="167" spans="3:120">
      <c r="C167" s="13" t="str">
        <f>IF(D167&lt;&gt;"",COUNTA($D$10:D167),"")</f>
        <v/>
      </c>
    </row>
    <row r="168" spans="3:120" ht="29.1">
      <c r="C168" s="8" t="str">
        <f>"Zoning Area  AHU - " &amp; INT((ROW()-8)/20)+1 &amp; "  " &amp;IF(AQ170&gt;0,"Air-Conditioning System " &amp; IF(AH170="D","(DX)",IF(AH170="C","(Chilled Water)","")),IF(AND(N170="Amb",AQ170=0),"Ventilation System","Refer"))</f>
        <v>Zoning Area  AHU - 9  Air-Conditioning System (Chilled Water)</v>
      </c>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39"/>
      <c r="AI168" s="8"/>
      <c r="AJ168" s="8"/>
      <c r="AK168" s="8"/>
      <c r="AL168" s="8"/>
      <c r="AM168" s="8"/>
      <c r="AN168" s="8"/>
      <c r="AO168" s="8"/>
      <c r="AP168" s="8"/>
      <c r="AQ168" s="8"/>
      <c r="AR168" s="8"/>
      <c r="AS168" s="9" t="s">
        <v>221</v>
      </c>
      <c r="AT168" s="10"/>
      <c r="AU168" s="10"/>
      <c r="AV168" s="11"/>
      <c r="AW168" s="9" t="s">
        <v>222</v>
      </c>
      <c r="AX168" s="10"/>
      <c r="AY168" s="10"/>
      <c r="AZ168" s="11"/>
      <c r="BA168" s="12" t="s">
        <v>483</v>
      </c>
      <c r="BB168" s="12"/>
      <c r="BC168" s="12"/>
      <c r="BD168" s="12"/>
      <c r="BE168" s="12"/>
      <c r="BF168" s="12"/>
      <c r="BG168" s="12"/>
      <c r="BH168" s="12"/>
      <c r="BI168" s="12"/>
      <c r="BJ168" s="12"/>
      <c r="BK168" s="12"/>
      <c r="BL168" s="12"/>
      <c r="BM168" s="12"/>
      <c r="BN168" s="12"/>
      <c r="BO168" s="12"/>
      <c r="BP168" s="12"/>
      <c r="BQ168" s="9" t="s">
        <v>484</v>
      </c>
      <c r="BR168" s="10"/>
      <c r="BS168" s="10"/>
      <c r="BT168" s="10"/>
      <c r="BU168" s="10"/>
      <c r="BV168" s="10"/>
      <c r="BW168" s="10"/>
      <c r="BX168" s="10"/>
      <c r="BY168" s="10"/>
      <c r="BZ168" s="11"/>
      <c r="CA168" s="9" t="s">
        <v>485</v>
      </c>
      <c r="CB168" s="10"/>
      <c r="CC168" s="10"/>
      <c r="CD168" s="10"/>
      <c r="CE168" s="9" t="s">
        <v>486</v>
      </c>
      <c r="CF168" s="10"/>
      <c r="CG168" s="11"/>
      <c r="CH168" s="12" t="s">
        <v>487</v>
      </c>
      <c r="CI168" s="12"/>
      <c r="CJ168" s="12"/>
      <c r="CK168" s="12"/>
      <c r="CL168" s="12"/>
      <c r="CM168" s="12"/>
      <c r="CN168" s="12"/>
      <c r="CO168" s="12"/>
      <c r="CP168" s="12"/>
      <c r="CQ168" s="12"/>
      <c r="CR168" s="12"/>
      <c r="CS168" s="12"/>
      <c r="CT168" s="12"/>
      <c r="CU168" s="12"/>
      <c r="CV168" s="12"/>
      <c r="CW168" s="12"/>
      <c r="CX168" s="9" t="s">
        <v>488</v>
      </c>
      <c r="CY168" s="10"/>
      <c r="CZ168" s="10"/>
      <c r="DA168" s="10"/>
      <c r="DB168" s="10"/>
      <c r="DC168" s="10"/>
      <c r="DD168" s="10"/>
      <c r="DE168" s="10"/>
      <c r="DF168" s="10"/>
      <c r="DG168" s="11"/>
      <c r="DH168" s="9" t="s">
        <v>489</v>
      </c>
      <c r="DI168" s="10"/>
      <c r="DJ168" s="10"/>
      <c r="DK168" s="10"/>
      <c r="DL168" s="9"/>
      <c r="DM168" s="10"/>
      <c r="DN168" s="11"/>
      <c r="DO168" s="1"/>
      <c r="DP168" s="1"/>
    </row>
    <row r="169" spans="3:120" ht="120" customHeight="1">
      <c r="C169" s="13">
        <f>IF(D169&lt;&gt;"",COUNTA($D$10:D169),"")</f>
        <v>136</v>
      </c>
      <c r="D169" s="5" t="s">
        <v>165</v>
      </c>
      <c r="E169" s="5" t="s">
        <v>166</v>
      </c>
      <c r="F169" s="5" t="s">
        <v>167</v>
      </c>
      <c r="G169" s="5" t="s">
        <v>168</v>
      </c>
      <c r="H169" s="5" t="s">
        <v>169</v>
      </c>
      <c r="I169" s="5" t="s">
        <v>170</v>
      </c>
      <c r="J169" s="5" t="s">
        <v>171</v>
      </c>
      <c r="K169" s="5" t="s">
        <v>172</v>
      </c>
      <c r="L169" s="5" t="s">
        <v>173</v>
      </c>
      <c r="M169" s="5" t="s">
        <v>174</v>
      </c>
      <c r="N169" s="5" t="s">
        <v>175</v>
      </c>
      <c r="O169" s="5" t="s">
        <v>176</v>
      </c>
      <c r="P169" s="5" t="s">
        <v>177</v>
      </c>
      <c r="Q169" s="5" t="s">
        <v>178</v>
      </c>
      <c r="R169" s="5" t="s">
        <v>199</v>
      </c>
      <c r="S169" s="5" t="s">
        <v>180</v>
      </c>
      <c r="T169" s="5" t="s">
        <v>223</v>
      </c>
      <c r="U169" s="5" t="s">
        <v>224</v>
      </c>
      <c r="V169" s="5" t="s">
        <v>199</v>
      </c>
      <c r="W169" s="5" t="s">
        <v>180</v>
      </c>
      <c r="X169" s="5" t="s">
        <v>225</v>
      </c>
      <c r="Y169" s="5" t="s">
        <v>226</v>
      </c>
      <c r="Z169" s="5" t="s">
        <v>227</v>
      </c>
      <c r="AA169" s="5" t="s">
        <v>228</v>
      </c>
      <c r="AB169" s="5" t="s">
        <v>229</v>
      </c>
      <c r="AC169" s="5" t="s">
        <v>230</v>
      </c>
      <c r="AD169" s="5" t="s">
        <v>231</v>
      </c>
      <c r="AE169" s="5" t="s">
        <v>232</v>
      </c>
      <c r="AF169" s="6" t="s">
        <v>233</v>
      </c>
      <c r="AG169" s="6" t="s">
        <v>234</v>
      </c>
      <c r="AH169" s="6" t="s">
        <v>235</v>
      </c>
      <c r="AI169" s="5" t="s">
        <v>236</v>
      </c>
      <c r="AJ169" s="5" t="s">
        <v>237</v>
      </c>
      <c r="AK169" s="5" t="s">
        <v>238</v>
      </c>
      <c r="AL169" s="5" t="s">
        <v>239</v>
      </c>
      <c r="AM169" s="5" t="s">
        <v>240</v>
      </c>
      <c r="AN169" s="5" t="s">
        <v>241</v>
      </c>
      <c r="AO169" s="5" t="s">
        <v>242</v>
      </c>
      <c r="AP169" s="5" t="s">
        <v>243</v>
      </c>
      <c r="AQ169" s="5" t="s">
        <v>244</v>
      </c>
      <c r="AR169" s="5" t="s">
        <v>245</v>
      </c>
      <c r="AS169" s="5" t="s">
        <v>246</v>
      </c>
      <c r="AT169" s="5" t="s">
        <v>247</v>
      </c>
      <c r="AU169" s="5" t="s">
        <v>248</v>
      </c>
      <c r="AV169" s="5" t="s">
        <v>249</v>
      </c>
      <c r="AW169" s="5" t="s">
        <v>250</v>
      </c>
      <c r="AX169" s="5" t="s">
        <v>251</v>
      </c>
      <c r="AY169" s="5" t="s">
        <v>252</v>
      </c>
      <c r="AZ169" s="5" t="s">
        <v>253</v>
      </c>
      <c r="BA169" s="5" t="s">
        <v>490</v>
      </c>
      <c r="BB169" s="5" t="s">
        <v>491</v>
      </c>
      <c r="BC169" s="5" t="s">
        <v>492</v>
      </c>
      <c r="BD169" s="5" t="s">
        <v>493</v>
      </c>
      <c r="BE169" s="5" t="s">
        <v>494</v>
      </c>
      <c r="BF169" s="5" t="s">
        <v>492</v>
      </c>
      <c r="BG169" s="5" t="s">
        <v>493</v>
      </c>
      <c r="BH169" s="5" t="s">
        <v>495</v>
      </c>
      <c r="BI169" s="5" t="s">
        <v>496</v>
      </c>
      <c r="BJ169" s="5" t="s">
        <v>492</v>
      </c>
      <c r="BK169" s="5" t="s">
        <v>493</v>
      </c>
      <c r="BL169" s="5" t="s">
        <v>497</v>
      </c>
      <c r="BM169" s="5" t="s">
        <v>492</v>
      </c>
      <c r="BN169" s="5" t="s">
        <v>493</v>
      </c>
      <c r="BO169" s="5" t="s">
        <v>495</v>
      </c>
      <c r="BP169" s="5" t="s">
        <v>498</v>
      </c>
      <c r="BQ169" s="5" t="s">
        <v>499</v>
      </c>
      <c r="BR169" s="5" t="s">
        <v>500</v>
      </c>
      <c r="BS169" s="5" t="s">
        <v>501</v>
      </c>
      <c r="BT169" s="5" t="s">
        <v>502</v>
      </c>
      <c r="BU169" s="5" t="s">
        <v>503</v>
      </c>
      <c r="BV169" s="5" t="s">
        <v>504</v>
      </c>
      <c r="BW169" s="5" t="s">
        <v>505</v>
      </c>
      <c r="BX169" s="5" t="s">
        <v>506</v>
      </c>
      <c r="BY169" s="5" t="s">
        <v>173</v>
      </c>
      <c r="BZ169" s="5" t="s">
        <v>174</v>
      </c>
      <c r="CA169" s="5" t="s">
        <v>503</v>
      </c>
      <c r="CB169" s="5" t="s">
        <v>507</v>
      </c>
      <c r="CC169" s="5" t="s">
        <v>173</v>
      </c>
      <c r="CD169" s="5" t="s">
        <v>508</v>
      </c>
      <c r="CE169" s="7" t="s">
        <v>509</v>
      </c>
      <c r="CF169" s="7" t="s">
        <v>510</v>
      </c>
      <c r="CG169" s="7" t="s">
        <v>511</v>
      </c>
      <c r="CH169" s="5" t="s">
        <v>512</v>
      </c>
      <c r="CI169" s="5" t="s">
        <v>513</v>
      </c>
      <c r="CJ169" s="5" t="s">
        <v>492</v>
      </c>
      <c r="CK169" s="5" t="s">
        <v>493</v>
      </c>
      <c r="CL169" s="5" t="s">
        <v>494</v>
      </c>
      <c r="CM169" s="5" t="s">
        <v>492</v>
      </c>
      <c r="CN169" s="5" t="s">
        <v>493</v>
      </c>
      <c r="CO169" s="5" t="s">
        <v>495</v>
      </c>
      <c r="CP169" s="5" t="s">
        <v>496</v>
      </c>
      <c r="CQ169" s="5" t="s">
        <v>492</v>
      </c>
      <c r="CR169" s="5" t="s">
        <v>493</v>
      </c>
      <c r="CS169" s="5" t="s">
        <v>497</v>
      </c>
      <c r="CT169" s="5" t="s">
        <v>492</v>
      </c>
      <c r="CU169" s="5" t="s">
        <v>493</v>
      </c>
      <c r="CV169" s="5" t="s">
        <v>495</v>
      </c>
      <c r="CW169" s="5" t="s">
        <v>498</v>
      </c>
      <c r="CX169" s="5" t="s">
        <v>499</v>
      </c>
      <c r="CY169" s="5" t="s">
        <v>500</v>
      </c>
      <c r="CZ169" s="5" t="s">
        <v>501</v>
      </c>
      <c r="DA169" s="5" t="s">
        <v>502</v>
      </c>
      <c r="DB169" s="5" t="s">
        <v>503</v>
      </c>
      <c r="DC169" s="5" t="s">
        <v>504</v>
      </c>
      <c r="DD169" s="5" t="s">
        <v>505</v>
      </c>
      <c r="DE169" s="5" t="s">
        <v>506</v>
      </c>
      <c r="DF169" s="5" t="s">
        <v>173</v>
      </c>
      <c r="DG169" s="5" t="s">
        <v>174</v>
      </c>
      <c r="DH169" s="5" t="s">
        <v>503</v>
      </c>
      <c r="DI169" s="5" t="s">
        <v>507</v>
      </c>
      <c r="DJ169" s="5" t="s">
        <v>173</v>
      </c>
      <c r="DK169" s="5" t="s">
        <v>508</v>
      </c>
      <c r="DL169" s="7" t="s">
        <v>509</v>
      </c>
      <c r="DM169" s="7" t="s">
        <v>510</v>
      </c>
      <c r="DN169" s="7" t="s">
        <v>511</v>
      </c>
      <c r="DO169" s="2"/>
      <c r="DP169" s="2"/>
    </row>
    <row r="170" spans="3:120" ht="18.600000000000001" customHeight="1">
      <c r="C170" s="13">
        <f>IF(D170&lt;&gt;"",COUNTA($D$10:D170),"")</f>
        <v>137</v>
      </c>
      <c r="D170" s="14" t="s">
        <v>200</v>
      </c>
      <c r="E170" s="14">
        <v>3</v>
      </c>
      <c r="F170" s="14">
        <v>3</v>
      </c>
      <c r="G170" s="14">
        <v>2.4</v>
      </c>
      <c r="H170" s="14">
        <v>1</v>
      </c>
      <c r="I170" s="14">
        <v>2</v>
      </c>
      <c r="J170" s="14">
        <v>1.75</v>
      </c>
      <c r="K170" s="14">
        <v>3</v>
      </c>
      <c r="L170" s="15">
        <v>0.1</v>
      </c>
      <c r="M170" s="15">
        <v>0</v>
      </c>
      <c r="N170" s="14">
        <v>24</v>
      </c>
      <c r="O170" s="14">
        <v>50</v>
      </c>
      <c r="P170" s="13">
        <v>45</v>
      </c>
      <c r="Q170" s="13">
        <v>85</v>
      </c>
      <c r="R170" s="13" t="s">
        <v>17</v>
      </c>
      <c r="S170" s="13">
        <v>120</v>
      </c>
      <c r="T170" s="13">
        <v>0</v>
      </c>
      <c r="U170" s="13">
        <v>100</v>
      </c>
      <c r="V170" s="13" t="str">
        <f>R170</f>
        <v>ISO 6</v>
      </c>
      <c r="W170" s="13">
        <f>S170</f>
        <v>120</v>
      </c>
      <c r="X170" s="16">
        <f>E170*F170*10.76</f>
        <v>96.84</v>
      </c>
      <c r="Y170" s="16">
        <f>X170*G170*3.28</f>
        <v>762.32447999999999</v>
      </c>
      <c r="Z170" s="16">
        <f>Y170*S170/60</f>
        <v>1524.64896</v>
      </c>
      <c r="AA170" s="16">
        <f>Z170*L170</f>
        <v>152.46489600000001</v>
      </c>
      <c r="AB170" s="16">
        <f>IF(N170="Amb",Z170,Z170*M170)</f>
        <v>0</v>
      </c>
      <c r="AC170" s="16">
        <f>IF(ISNUMBER(N170), (AA170*0.075*60/2.20462)*BP170/7000, "Ambient")</f>
        <v>14.025567184357984</v>
      </c>
      <c r="AD170" s="16">
        <f>IF(ISNUMBER(N170), CEILING(CF170/(0.68*BP170),25), "Ambient")</f>
        <v>2850</v>
      </c>
      <c r="AE170" s="16">
        <f>CEILING(MAX((Z170+AA170),AD170),25)</f>
        <v>2850</v>
      </c>
      <c r="AF170" s="16">
        <f>CEILING(IF(OR($R170="ISO 6",$R170="GRADE B",$R170="1K",$R170=1000),AE170*1/175,IF(OR($R170="ISO 5",$R170="GRADE A",$R170=100),AE170*1/100,IF(OR($R170="ISO 7",$R170="GRADE C",$R170="10K",$R170=10000),$AE170*1/250,IF(OR($R170="ISO 8",$R170="GRADE D",$R170="100K",$R170=100000),$AE170*1/250,IF(OR($R170="NC",$R170="20 Micron",$R170="5 Micron",$R170="N C"),$AE170*1/350,0))))),2)</f>
        <v>18</v>
      </c>
      <c r="AG170" s="16">
        <f>IF(ISNUMBER(N170), CEILING(MAX(AI170,AJ170),0.5), "Ambient")</f>
        <v>7.5</v>
      </c>
      <c r="AH170" s="838" t="s">
        <v>85</v>
      </c>
      <c r="AI170" s="17">
        <f>IF(ISNUMBER(N170), CEILING(CE170/12000,0.5), "Ambient")</f>
        <v>4.5</v>
      </c>
      <c r="AJ170" s="17">
        <f>IF(ISNUMBER(N170),CEILING(AE170/(IF(AH170="C",400,300)),0.5), "Ambient")</f>
        <v>7.5</v>
      </c>
      <c r="AK170" s="891">
        <f>CEILING(SUM(AE170:AE185),250)</f>
        <v>42500</v>
      </c>
      <c r="AL170" s="18" t="s">
        <v>254</v>
      </c>
      <c r="AM170" s="889">
        <v>150</v>
      </c>
      <c r="AN170" s="891">
        <f>IF(AK170&lt;=1300,200,IF(AK170&lt;=1600,225,IF(AK170&lt;=2100,250,IF(AK170&lt;=2700,280,IF(AK170&lt;=3450,315,IF(AK170&lt;=4250,355,IF(AK170&lt;=5250,400,IF(AK170&lt;=6750,450,IF(AK170&lt;=8500,500,IF(AK170&lt;=10750,560,IF(AK170&lt;=13500,630,IF(AK170&lt;=17000,710,IF(AK170&lt;=21500,800,IF(AK170&lt;=27000,900,IF(AK170&lt;=34000,1000,IF(AK170&lt;=43000,1120,IF(AK170&lt;=49000,1200,IF(AK170&lt;=68000,1450,"Refer"))))))))))))))))))</f>
        <v>1120</v>
      </c>
      <c r="AO170" s="888">
        <f>IF(AK170*AM170/(6356*0.7*0.9*1.1*25.4)&lt;=1,1,IF(AK170*AM170/(6356*0.7*0.9*1.1*25.4)&lt;=1.5,1.5,IF(AK170*AM170/(6356*0.7*0.9*1.1*25.4)&lt;=2,2,IF(AK170*AM170/(6356*0.7*0.9*1.1*25.4)&lt;=3,3,IF(AK170*AM170/(6356*0.7*0.9*1.1*25.4)&lt;=5,5,IF(AK170*AM170/(6356*0.7*0.9*1.1*25.4)&lt;=7.5,7.5,IF(AK170*AM170/(6356*0.7*0.9*1.1*25.4)&lt;=10,10,IF(AK170*AM170/(6356*0.7*0.9*1.1*25.4)&lt;=12.5,12.5,IF(AK170*AM170/(6356*0.7*0.9*1.1*25.4)&lt;=15,15,IF(AK170*AM170/(6356*0.7*0.9*1.1*25.4)&lt;=20,20,IF(AK170*AM170/(6356*0.7*0.9*1.1*25.4)&lt;=25,25,IF(AK170*AM170/(6356*0.7*0.9*1.1*25.4)&lt;=30,30,IF(AK170*AM170/(6356*0.7*0.9*1.1*25.4)&lt;=40,40,IF(AK170*AM170/(6356*0.7*0.9*1.1*25.4)&lt;=50,50,IF(AK170*AM170/(6356*0.7*0.9*1.1*25.4)&lt;=60,60,IF(AK170*AM170/(6356*0.7*0.9*1.1*25.4)&lt;=75,75,"Refer"))))))))))))))))</f>
        <v>60</v>
      </c>
      <c r="AP170" s="891">
        <f>IF(AND(AQ170=0, N170="Amb"), "Amb",IF((AL171-250)*(AL173-150)*10.76/(1000*1000) &gt;= MAX(AI186,AJ186), 4,IF((AL171-250)*(AL173-150)*10.76*1.5/(1000*1000) &gt;= MAX(AI186,AJ186), 6,IF((AL171-250)*(AL173-150)*10.76*2/(1000*1000) &gt;= MAX(AI186,AJ186), 8, 0))
 )
)</f>
        <v>4</v>
      </c>
      <c r="AQ170" s="891">
        <f>AG186</f>
        <v>108.5</v>
      </c>
      <c r="AR170" s="889">
        <f>_xlfn.SWITCH(TRIM(UPPER(R170)),"ISO 9", 3,"ISO 8", 4,"Grade D", 4,"Class 100,000", 4,"Class 100K", 4,"ISO 7", 3,"Grade C", 3,"Class 10,000", 3,"Class 10K", 3,"ISO 6", 3,"Class 1,000", 3,"Class 1K", 3,"ISO 5", 4,"Grade A", 4,"Grade B", 4,"Class 100", 4,"ISO 4", 3,"ISO 3", 4,"ISO 2", 4,"ISO 1", 4,"NCV20",1,"NCV-10",2,"NCV-5",3,"NCAC-10",1,"NCAC-5",2,"NCAC-1",3,3)</f>
        <v>3</v>
      </c>
      <c r="AS170" s="888">
        <f>MAX(AI186,AJ186)*24/6</f>
        <v>434</v>
      </c>
      <c r="AT170" s="888">
        <f>AS170*0.06309</f>
        <v>27.381059999999998</v>
      </c>
      <c r="AU170" s="890">
        <v>2</v>
      </c>
      <c r="AV170" s="888">
        <f>SQRT((4*AS170*0.00006309)/(3.14*AU170))*1000</f>
        <v>132.06121915647887</v>
      </c>
      <c r="AW170" s="888"/>
      <c r="AX170" s="888"/>
      <c r="AY170" s="887"/>
      <c r="AZ170" s="888"/>
      <c r="BA170" s="17">
        <f>-CONVERT(N170,"C","F")+CONVERT((N170+8),"C","F")</f>
        <v>14.399999999999991</v>
      </c>
      <c r="BB170" s="17">
        <f>CONVERT(P170,"C","F")-CONVERT(N170,"C","F")</f>
        <v>37.799999999999997</v>
      </c>
      <c r="BC170" s="17">
        <f>N170+8</f>
        <v>32</v>
      </c>
      <c r="BD170" s="17">
        <f>BG170+35</f>
        <v>85</v>
      </c>
      <c r="BE170" s="17">
        <f>0.622*7000*(BD170/100)*(6.1078*10^((7.5*BC170)/(237.3+BC170)))/(1013.25-(6.1078*10^((7.5*BC170)/(237.3+BC170)))*BD170/100)</f>
        <v>180.86341983910182</v>
      </c>
      <c r="BF170" s="17">
        <f>N170</f>
        <v>24</v>
      </c>
      <c r="BG170" s="17">
        <f>O170</f>
        <v>50</v>
      </c>
      <c r="BH170" s="17">
        <f>0.622*7000*(BG170/100)*(6.1078*10^((7.5*BF170)/(237.3+BF170)))/(1013.25-(6.1078*10^((7.5*BF170)/(237.3+BF170)))*BG170/100)</f>
        <v>65.062647806544774</v>
      </c>
      <c r="BI170" s="17">
        <f>BE170-BH170</f>
        <v>115.80077203255705</v>
      </c>
      <c r="BJ170" s="17">
        <f>P170</f>
        <v>45</v>
      </c>
      <c r="BK170" s="17">
        <f>Q170</f>
        <v>85</v>
      </c>
      <c r="BL170" s="17">
        <f>0.622*7000*(BK170/100)*(6.1078*10^((7.5*BJ170)/(237.3+BJ170)))/(1013.25-(6.1078*10^((7.5*BJ170)/(237.3+BJ170)))*BK170/100)</f>
        <v>380.54120080897206</v>
      </c>
      <c r="BM170" s="17">
        <f>N170</f>
        <v>24</v>
      </c>
      <c r="BN170" s="17">
        <f>BG170</f>
        <v>50</v>
      </c>
      <c r="BO170" s="17">
        <f>0.622*7000*(BN170/100)*(6.1078*10^((7.5*BM170)/(237.3+BM170)))/(1013.25-(6.1078*10^((7.5*BM170)/(237.3+BM170)))*BN170/100)</f>
        <v>65.062647806544774</v>
      </c>
      <c r="BP170" s="17">
        <f>BL170-BO170</f>
        <v>315.4785530024273</v>
      </c>
      <c r="BQ170" s="17">
        <f>($E170*$G170*10.76*2+$F170*$G170*2*10.76)*$BB170*0.45</f>
        <v>5271.1948799999991</v>
      </c>
      <c r="BR170" s="17">
        <f>($E170*$G170*10.76*2+$F170*$G170*2*10.76)*$BA170*0.45</f>
        <v>2008.0742399999988</v>
      </c>
      <c r="BS170" s="17">
        <f>($E170*$F170*10.76)*$BA170*0.45</f>
        <v>627.52319999999963</v>
      </c>
      <c r="BT170" s="17">
        <f>($E170*$F170*10.76)*$BB170*0.45</f>
        <v>1647.2483999999999</v>
      </c>
      <c r="BU170" s="17">
        <f>$H170*285*1.08*$BB170</f>
        <v>11634.84</v>
      </c>
      <c r="BV170" s="17">
        <f>$I170*1000*3.412</f>
        <v>6824</v>
      </c>
      <c r="BW170" s="17">
        <f>$J170*$X170*3.412</f>
        <v>578.23163999999997</v>
      </c>
      <c r="BX170" s="17">
        <f>$K170*1.08*375*$BA170</f>
        <v>17495.999999999989</v>
      </c>
      <c r="BY170" s="17">
        <f>($AA170+$AB170)*1.08*$BB170</f>
        <v>6224.2269143040003</v>
      </c>
      <c r="BZ170" s="17"/>
      <c r="CA170" s="17">
        <f>$H170*200*0.68*$BP170</f>
        <v>42905.083208330114</v>
      </c>
      <c r="CB170" s="17">
        <f>$K170*375*0.68*$BP170</f>
        <v>241341.0930468569</v>
      </c>
      <c r="CC170" s="17">
        <f>($AA170+$AB170)*0.68*$BP170</f>
        <v>32707.59524614699</v>
      </c>
      <c r="CD170" s="17">
        <f>($Z170-$AA170)*0.68*$BP170</f>
        <v>294368.3572153229</v>
      </c>
      <c r="CE170" s="17">
        <f>$BQ170+$BU170+$BV170+$BW170+$BX170+$BY170</f>
        <v>48028.493434303993</v>
      </c>
      <c r="CF170" s="17">
        <f>$CA170+$CB170+$CC170+$CD170</f>
        <v>611322.12871665694</v>
      </c>
      <c r="CG170" s="17">
        <f>$CE170+$CF170</f>
        <v>659350.62215096096</v>
      </c>
      <c r="CH170" s="17">
        <f>CONVERT(N170,"C","F")-CONVERT((N170-8),"C","F")</f>
        <v>14.400000000000006</v>
      </c>
      <c r="CI170" s="17">
        <f>CONVERT(T170,"C","F")-CONVERT(N170,"C","F")</f>
        <v>-43.2</v>
      </c>
      <c r="CJ170" s="17">
        <f>CM170-8</f>
        <v>16</v>
      </c>
      <c r="CK170" s="17">
        <f>O170+40</f>
        <v>90</v>
      </c>
      <c r="CL170" s="17">
        <f>0.622*7000*(CK170/100)*(6.1078*10^((7.5*CJ170)/(237.3+CJ170)))/(1013.25-(6.1078*10^((7.5*CJ170)/(237.3+CJ170)))*CK170/100)</f>
        <v>71.46880726181422</v>
      </c>
      <c r="CM170" s="17">
        <f>N170</f>
        <v>24</v>
      </c>
      <c r="CN170" s="17">
        <f>O170</f>
        <v>50</v>
      </c>
      <c r="CO170" s="17">
        <f>0.622*7000*(CN170/100)*(6.1078*10^((7.5*CM170)/(237.3+CM170)))/(1013.25-(6.1078*10^((7.5*CM170)/(237.3+CM170)))*CN170/100)</f>
        <v>65.062647806544774</v>
      </c>
      <c r="CP170" s="17">
        <f>CL170-CO170</f>
        <v>6.4061594552694459</v>
      </c>
      <c r="CQ170" s="17">
        <f>T170</f>
        <v>0</v>
      </c>
      <c r="CR170" s="17">
        <f>U170</f>
        <v>100</v>
      </c>
      <c r="CS170" s="17">
        <f>0.622*7000*(CR170/100)*(6.1078*10^((7.5*CQ170)/(237.3+CQ170)))/(1013.25-(6.1078*10^((7.5*CQ170)/(237.3+CQ170)))*CR170/100)</f>
        <v>26.404773030064671</v>
      </c>
      <c r="CT170" s="17">
        <f>CM170</f>
        <v>24</v>
      </c>
      <c r="CU170" s="17">
        <f>O170</f>
        <v>50</v>
      </c>
      <c r="CV170" s="17">
        <f>0.622*7000*(CU170/100)*(6.1078*10^((7.5*CT170)/(237.3+CT170)))/(1013.25-(6.1078*10^((7.5*CT170)/(237.3+CT170)))*CU170/100)</f>
        <v>65.062647806544774</v>
      </c>
      <c r="CW170" s="17">
        <f>CS170-CV170</f>
        <v>-38.657874776480099</v>
      </c>
      <c r="CX170" s="17">
        <f t="shared" ref="CX170:CY185" si="760">($E170*$G170*10.76*2+$F170*$G170*2*10.76)*$CI170*0.45</f>
        <v>-6024.2227199999998</v>
      </c>
      <c r="CY170" s="17">
        <f t="shared" si="760"/>
        <v>-6024.2227199999998</v>
      </c>
      <c r="CZ170" s="17">
        <f>($E170*$F170*10.76)*$CH170*0.45</f>
        <v>627.52320000000032</v>
      </c>
      <c r="DA170" s="17">
        <f>($E170*$F170*10.76)*$CI170*0.45</f>
        <v>-1882.5696000000003</v>
      </c>
      <c r="DB170" s="17">
        <f>$H170*285*1.08*$CI170</f>
        <v>-13296.960000000001</v>
      </c>
      <c r="DC170" s="17">
        <f>$I170*1000*3.412</f>
        <v>6824</v>
      </c>
      <c r="DD170" s="17">
        <f>$J170*$X170*3.412</f>
        <v>578.23163999999997</v>
      </c>
      <c r="DE170" s="17">
        <f>$K170*1.08*375*$CH170</f>
        <v>17496.000000000007</v>
      </c>
      <c r="DF170" s="17">
        <f>($AA170+$AB170)*1.08*$CI170</f>
        <v>-7113.4021877760015</v>
      </c>
      <c r="DG170" s="17"/>
      <c r="DH170" s="17">
        <f>$H170*200*0.68*CW170</f>
        <v>-5257.4709696012933</v>
      </c>
      <c r="DI170" s="17">
        <f>$K170*375*0.68*CW170</f>
        <v>-29573.274204007277</v>
      </c>
      <c r="DJ170" s="17">
        <f>(AA170+AB170)*0.68*CW170</f>
        <v>-4007.8988230164023</v>
      </c>
      <c r="DK170" s="17">
        <f>(Z170-AA170)*0.68*CP170</f>
        <v>5977.4923428552856</v>
      </c>
      <c r="DL170" s="17">
        <f>CX170+DA170+CZ170+DB170+DC170+DD170+DE170+DF170</f>
        <v>-2791.3996677759942</v>
      </c>
      <c r="DM170" s="17">
        <f>DH170+DI170+DJ170+DK170</f>
        <v>-32861.151653769688</v>
      </c>
      <c r="DN170" s="17">
        <f>DL170+DM170</f>
        <v>-35652.551321545681</v>
      </c>
    </row>
    <row r="171" spans="3:120" ht="18.600000000000001">
      <c r="C171" s="13">
        <f>IF(D171&lt;&gt;"",COUNTA($D$10:D171),"")</f>
        <v>138</v>
      </c>
      <c r="D171" s="14" t="s">
        <v>201</v>
      </c>
      <c r="E171" s="14">
        <v>1.8</v>
      </c>
      <c r="F171" s="14">
        <v>2.2000000000000002</v>
      </c>
      <c r="G171" s="14">
        <v>2.4</v>
      </c>
      <c r="H171" s="14">
        <v>2</v>
      </c>
      <c r="I171" s="14">
        <v>1</v>
      </c>
      <c r="J171" s="14">
        <v>1.75</v>
      </c>
      <c r="K171" s="14">
        <v>3</v>
      </c>
      <c r="L171" s="15">
        <v>0.1</v>
      </c>
      <c r="M171" s="15">
        <v>0</v>
      </c>
      <c r="N171" s="14">
        <v>24</v>
      </c>
      <c r="O171" s="14">
        <v>50</v>
      </c>
      <c r="P171" s="13">
        <v>45</v>
      </c>
      <c r="Q171" s="13">
        <v>85</v>
      </c>
      <c r="R171" s="13" t="s">
        <v>17</v>
      </c>
      <c r="S171" s="13">
        <v>120</v>
      </c>
      <c r="T171" s="13">
        <v>0</v>
      </c>
      <c r="U171" s="13">
        <v>100</v>
      </c>
      <c r="V171" s="13" t="str">
        <f t="shared" ref="V171:V185" si="761">R171</f>
        <v>ISO 6</v>
      </c>
      <c r="W171" s="13">
        <f t="shared" ref="W171:W185" si="762">S171</f>
        <v>120</v>
      </c>
      <c r="X171" s="16">
        <f t="shared" ref="X171:X185" si="763">E171*F171*10.76</f>
        <v>42.6096</v>
      </c>
      <c r="Y171" s="16">
        <f t="shared" ref="Y171:Y185" si="764">X171*G171*3.28</f>
        <v>335.4227712</v>
      </c>
      <c r="Z171" s="16">
        <f t="shared" ref="Z171:Z185" si="765">Y171*S171/60</f>
        <v>670.8455424</v>
      </c>
      <c r="AA171" s="16">
        <f t="shared" ref="AA171:AA185" si="766">Z171*L171</f>
        <v>67.084554240000003</v>
      </c>
      <c r="AB171" s="16">
        <f t="shared" ref="AB171:AB185" si="767">IF(N171="Amb",Z171,Z171*M171)</f>
        <v>0</v>
      </c>
      <c r="AC171" s="16">
        <f t="shared" ref="AC171:AC185" si="768">IF(ISNUMBER(N171), (AA171*0.075*60/2.20462)*BP171/7000, "Ambient")</f>
        <v>6.1712495611175129</v>
      </c>
      <c r="AD171" s="16">
        <f t="shared" ref="AD171:AD177" si="769">IF(ISNUMBER(N171), CEILING(CF171/(0.68*BP171),25), "Ambient")</f>
        <v>2200</v>
      </c>
      <c r="AE171" s="16">
        <f t="shared" ref="AE171:AE185" si="770">CEILING(MAX((Z171+AA171),AD171),25)</f>
        <v>2200</v>
      </c>
      <c r="AF171" s="16">
        <f t="shared" ref="AF171:AF185" si="771">CEILING(IF(OR($R171="ISO 6",$R171="GRADE B",$R171="1K",$R171=1000),AE171*1/175,IF(OR($R171="ISO 5",$R171="GRADE A",$R171=100),AE171*1/100,IF(OR($R171="ISO 7",$R171="GRADE C",$R171="10K",$R171=10000),$AE171*1/250,IF(OR($R171="ISO 8",$R171="GRADE D",$R171="100K",$R171=100000),$AE171*1/250,IF(OR($R171="NC",$R171="20 Micron",$R171="5 Micron",$R171="N C"),$AE171*1/350,0))))),2)</f>
        <v>14</v>
      </c>
      <c r="AG171" s="16">
        <f t="shared" ref="AG171:AG185" si="772">IF(ISNUMBER(N171), CEILING(MAX(AI171,AJ171),0.5), "Ambient")</f>
        <v>5.5</v>
      </c>
      <c r="AH171" s="838" t="s">
        <v>85</v>
      </c>
      <c r="AI171" s="17">
        <f t="shared" ref="AI171:AI185" si="773">IF(ISNUMBER(N171), CEILING(CE171/12000,0.5), "Ambient")</f>
        <v>4.5</v>
      </c>
      <c r="AJ171" s="17">
        <f t="shared" ref="AJ171:AJ185" si="774">IF(ISNUMBER(N171),CEILING(AE171/(IF(AH171="C",400,300)),0.5), "Ambient")</f>
        <v>5.5</v>
      </c>
      <c r="AK171" s="891"/>
      <c r="AL171" s="18">
        <f>IF(AK170&lt;=2000,950,(IF(AK170&lt;=3000,1150,(IF(AK170&lt;=8000,1550,(IF(AK170&lt;=10000,1750,(IF(AK170&lt;=18000,2050,(IF(AK170&lt;=32000,2900,(IF(AK170&lt;=40000,3600,4000)))))))))))))</f>
        <v>4000</v>
      </c>
      <c r="AM171" s="889"/>
      <c r="AN171" s="891"/>
      <c r="AO171" s="888"/>
      <c r="AP171" s="891"/>
      <c r="AQ171" s="891"/>
      <c r="AR171" s="889"/>
      <c r="AS171" s="888"/>
      <c r="AT171" s="888"/>
      <c r="AU171" s="890"/>
      <c r="AV171" s="888"/>
      <c r="AW171" s="888"/>
      <c r="AX171" s="888"/>
      <c r="AY171" s="887"/>
      <c r="AZ171" s="888"/>
      <c r="BA171" s="17">
        <f t="shared" ref="BA171:BA185" si="775">-CONVERT(N171,"C","F")+CONVERT((N171+8),"C","F")</f>
        <v>14.399999999999991</v>
      </c>
      <c r="BB171" s="17">
        <f t="shared" ref="BB171:BB185" si="776">CONVERT(P171,"C","F")-CONVERT(N171,"C","F")</f>
        <v>37.799999999999997</v>
      </c>
      <c r="BC171" s="17">
        <f t="shared" ref="BC171:BC185" si="777">BF171+8</f>
        <v>32</v>
      </c>
      <c r="BD171" s="17">
        <f t="shared" ref="BD171:BD185" si="778">BG171+35</f>
        <v>85</v>
      </c>
      <c r="BE171" s="17">
        <f t="shared" ref="BE171:BE185" si="779">0.622*7000*(BD171/100)*(6.1078*10^((7.5*BC171)/(237.3+BC171)))/(1013.25-(6.1078*10^((7.5*BC171)/(237.3+BC171)))*BD171/100)</f>
        <v>180.86341983910182</v>
      </c>
      <c r="BF171" s="17">
        <f t="shared" ref="BF171:BF185" si="780">N171</f>
        <v>24</v>
      </c>
      <c r="BG171" s="17">
        <f t="shared" ref="BG171:BG185" si="781">O171</f>
        <v>50</v>
      </c>
      <c r="BH171" s="17">
        <f t="shared" ref="BH171:BH185" si="782">0.622*7000*(BG171/100)*(6.1078*10^((7.5*BF171)/(237.3+BF171)))/(1013.25-(6.1078*10^((7.5*BF171)/(237.3+BF171)))*BG171/100)</f>
        <v>65.062647806544774</v>
      </c>
      <c r="BI171" s="17">
        <f t="shared" ref="BI171:BI185" si="783">BE171-BH171</f>
        <v>115.80077203255705</v>
      </c>
      <c r="BJ171" s="17">
        <f t="shared" ref="BJ171:BJ185" si="784">P171</f>
        <v>45</v>
      </c>
      <c r="BK171" s="17">
        <f t="shared" ref="BK171:BK185" si="785">Q171</f>
        <v>85</v>
      </c>
      <c r="BL171" s="17">
        <f t="shared" ref="BL171:BL185" si="786">0.622*7000*(BK171/100)*(6.1078*10^((7.5*BJ171)/(237.3+BJ171)))/(1013.25-(6.1078*10^((7.5*BJ171)/(237.3+BJ171)))*BK171/100)</f>
        <v>380.54120080897206</v>
      </c>
      <c r="BM171" s="17">
        <f t="shared" ref="BM171:BM185" si="787">BF171</f>
        <v>24</v>
      </c>
      <c r="BN171" s="17">
        <f t="shared" ref="BN171:BN185" si="788">BG171</f>
        <v>50</v>
      </c>
      <c r="BO171" s="17">
        <f t="shared" ref="BO171:BO185" si="789">0.622*7000*(BN171/100)*(6.1078*10^((7.5*BM171)/(237.3+BM171)))/(1013.25-(6.1078*10^((7.5*BM171)/(237.3+BM171)))*BN171/100)</f>
        <v>65.062647806544774</v>
      </c>
      <c r="BP171" s="17">
        <f t="shared" ref="BP171:BP185" si="790">BL171-BO171</f>
        <v>315.4785530024273</v>
      </c>
      <c r="BQ171" s="17">
        <f t="shared" ref="BQ171:BQ185" si="791">(E171*G171*10.76*2+F171*G171*2*10.76)*BB171*0.45</f>
        <v>3514.1299199999999</v>
      </c>
      <c r="BR171" s="17">
        <f t="shared" ref="BR171:BR185" si="792">(E171*G171*10.76*2+F171*G171*2*10.76)*BA171*0.45</f>
        <v>1338.7161599999993</v>
      </c>
      <c r="BS171" s="17">
        <f t="shared" ref="BS171:BS185" si="793">(E171*F171*10.76)*BA171*0.45</f>
        <v>276.11020799999983</v>
      </c>
      <c r="BT171" s="17">
        <f t="shared" ref="BT171:BT185" si="794">(E171*F171*10.76)*BB171*0.45</f>
        <v>724.78929599999992</v>
      </c>
      <c r="BU171" s="17">
        <f t="shared" ref="BU171:BU185" si="795">H171*285*1.08*BB171</f>
        <v>23269.68</v>
      </c>
      <c r="BV171" s="17">
        <f t="shared" ref="BV171:BV185" si="796">I171*1000*3.412</f>
        <v>3412</v>
      </c>
      <c r="BW171" s="17">
        <f t="shared" ref="BW171:BW185" si="797">J171*X171*3.412</f>
        <v>254.42192159999999</v>
      </c>
      <c r="BX171" s="17">
        <f t="shared" ref="BX171:BX185" si="798">K171*1.08*375*BA171</f>
        <v>17495.999999999989</v>
      </c>
      <c r="BY171" s="17">
        <f t="shared" ref="BY171:BY185" si="799">(AA171+AB171)*1.08*BB171</f>
        <v>2738.65984229376</v>
      </c>
      <c r="BZ171" s="17"/>
      <c r="CA171" s="17">
        <f t="shared" ref="CA171:CA185" si="800">H171*200*0.68*BP171</f>
        <v>85810.166416660228</v>
      </c>
      <c r="CB171" s="17">
        <f t="shared" ref="CB171:CB185" si="801">K171*375*0.68*BP171</f>
        <v>241341.0930468569</v>
      </c>
      <c r="CC171" s="17">
        <f t="shared" ref="CC171:CC185" si="802">(AA171+AB171)*0.68*BP171</f>
        <v>14391.341908304676</v>
      </c>
      <c r="CD171" s="17">
        <f t="shared" ref="CD171:CD185" si="803">($Z171-$AA171)*0.68*$BP171</f>
        <v>129522.07717474207</v>
      </c>
      <c r="CE171" s="17">
        <f t="shared" ref="CE171:CE185" si="804">$BQ171+$BU171+$BV171+$BW171+$BX171+$BY171</f>
        <v>50684.891683893751</v>
      </c>
      <c r="CF171" s="17">
        <f t="shared" ref="CF171:CF185" si="805">$CA171+$CB171+$CC171+$CD171</f>
        <v>471064.67854656384</v>
      </c>
      <c r="CG171" s="17">
        <f t="shared" ref="CG171:CG185" si="806">$CE171+$CF171</f>
        <v>521749.57023045758</v>
      </c>
      <c r="CH171" s="17">
        <f t="shared" ref="CH171:CH185" si="807">CONVERT(N171,"C","F")-CONVERT((N171-8),"C","F")</f>
        <v>14.400000000000006</v>
      </c>
      <c r="CI171" s="17">
        <f t="shared" ref="CI171:CI185" si="808">CONVERT(T171,"C","F")-CONVERT(N171,"C","F")</f>
        <v>-43.2</v>
      </c>
      <c r="CJ171" s="17">
        <f t="shared" ref="CJ171:CJ185" si="809">CM171-8</f>
        <v>16</v>
      </c>
      <c r="CK171" s="17">
        <f t="shared" ref="CK171:CK185" si="810">O171+40</f>
        <v>90</v>
      </c>
      <c r="CL171" s="17">
        <f t="shared" ref="CL171:CL185" si="811">0.622*7000*(CK171/100)*(6.1078*10^((7.5*CJ171)/(237.3+CJ171)))/(1013.25-(6.1078*10^((7.5*CJ171)/(237.3+CJ171)))*CK171/100)</f>
        <v>71.46880726181422</v>
      </c>
      <c r="CM171" s="17">
        <f t="shared" ref="CM171:CM185" si="812">N171</f>
        <v>24</v>
      </c>
      <c r="CN171" s="17">
        <f t="shared" ref="CN171:CN185" si="813">O171</f>
        <v>50</v>
      </c>
      <c r="CO171" s="17">
        <f t="shared" ref="CO171:CO185" si="814">0.622*7000*(CN171/100)*(6.1078*10^((7.5*CM171)/(237.3+CM171)))/(1013.25-(6.1078*10^((7.5*CM171)/(237.3+CM171)))*CN171/100)</f>
        <v>65.062647806544774</v>
      </c>
      <c r="CP171" s="17">
        <f t="shared" ref="CP171:CP185" si="815">CL171-CO171</f>
        <v>6.4061594552694459</v>
      </c>
      <c r="CQ171" s="17">
        <f t="shared" ref="CQ171:CQ185" si="816">T171</f>
        <v>0</v>
      </c>
      <c r="CR171" s="17">
        <f t="shared" ref="CR171:CR185" si="817">U171</f>
        <v>100</v>
      </c>
      <c r="CS171" s="17">
        <f t="shared" ref="CS171:CS185" si="818">0.622*7000*(CR171/100)*(6.1078*10^((7.5*CQ171)/(237.3+CQ171)))/(1013.25-(6.1078*10^((7.5*CQ171)/(237.3+CQ171)))*CR171/100)</f>
        <v>26.404773030064671</v>
      </c>
      <c r="CT171" s="17">
        <f t="shared" ref="CT171:CT185" si="819">CM171</f>
        <v>24</v>
      </c>
      <c r="CU171" s="17">
        <f t="shared" ref="CU171:CU185" si="820">O171</f>
        <v>50</v>
      </c>
      <c r="CV171" s="17">
        <f t="shared" ref="CV171:CV185" si="821">0.622*7000*(CU171/100)*(6.1078*10^((7.5*CT171)/(237.3+CT171)))/(1013.25-(6.1078*10^((7.5*CT171)/(237.3+CT171)))*CU171/100)</f>
        <v>65.062647806544774</v>
      </c>
      <c r="CW171" s="17">
        <f t="shared" ref="CW171:CW185" si="822">CS171-CV171</f>
        <v>-38.657874776480099</v>
      </c>
      <c r="CX171" s="17">
        <f t="shared" si="760"/>
        <v>-4016.1484800000003</v>
      </c>
      <c r="CY171" s="17">
        <f t="shared" si="760"/>
        <v>-4016.1484800000003</v>
      </c>
      <c r="CZ171" s="17">
        <f t="shared" ref="CZ171:CZ185" si="823">($E171*$F171*10.76)*$CH171*0.45</f>
        <v>276.11020800000011</v>
      </c>
      <c r="DA171" s="17">
        <f t="shared" ref="DA171:DA185" si="824">($E171*$F171*10.76)*$CI171*0.45</f>
        <v>-828.33062400000006</v>
      </c>
      <c r="DB171" s="17">
        <f t="shared" ref="DB171:DB185" si="825">$H171*285*1.08*$CI171</f>
        <v>-26593.920000000002</v>
      </c>
      <c r="DC171" s="17">
        <f t="shared" ref="DC171:DC185" si="826">$I171*1000*3.412</f>
        <v>3412</v>
      </c>
      <c r="DD171" s="17">
        <f t="shared" ref="DD171:DD185" si="827">$J171*$X171*3.412</f>
        <v>254.42192159999999</v>
      </c>
      <c r="DE171" s="17">
        <f t="shared" ref="DE171:DE185" si="828">$K171*1.08*375*$CH171</f>
        <v>17496.000000000007</v>
      </c>
      <c r="DF171" s="17">
        <f t="shared" ref="DF171:DF185" si="829">($AA171+$AB171)*1.08*$CI171</f>
        <v>-3129.8969626214403</v>
      </c>
      <c r="DG171" s="17"/>
      <c r="DH171" s="17">
        <f t="shared" ref="DH171:DH185" si="830">$H171*200*0.68*CW171</f>
        <v>-10514.941939202587</v>
      </c>
      <c r="DI171" s="17">
        <f t="shared" ref="DI171:DI185" si="831">$K171*375*0.68*CW171</f>
        <v>-29573.274204007277</v>
      </c>
      <c r="DJ171" s="17">
        <f t="shared" ref="DJ171:DJ185" si="832">(AA171+AB171)*0.68*CW171</f>
        <v>-1763.475482127217</v>
      </c>
      <c r="DK171" s="17">
        <f t="shared" ref="DK171:DK185" si="833">(Z171-AA171)*0.68*CP171</f>
        <v>2630.0966308563256</v>
      </c>
      <c r="DL171" s="17">
        <f t="shared" ref="DL171:DL185" si="834">CX171+DA171+CZ171+DB171+DC171+DD171+DE171+DF171</f>
        <v>-13129.763937021437</v>
      </c>
      <c r="DM171" s="17">
        <f t="shared" ref="DM171:DM185" si="835">DH171+DI171+DJ171+DK171</f>
        <v>-39221.594994480751</v>
      </c>
      <c r="DN171" s="17">
        <f t="shared" ref="DN171:DN185" si="836">DL171+DM171</f>
        <v>-52351.358931502189</v>
      </c>
    </row>
    <row r="172" spans="3:120" ht="18.600000000000001">
      <c r="C172" s="13">
        <f>IF(D172&lt;&gt;"",COUNTA($D$10:D172),"")</f>
        <v>139</v>
      </c>
      <c r="D172" s="14" t="s">
        <v>202</v>
      </c>
      <c r="E172" s="14">
        <v>1.5</v>
      </c>
      <c r="F172" s="14">
        <v>2.8</v>
      </c>
      <c r="G172" s="14">
        <v>2.4</v>
      </c>
      <c r="H172" s="14">
        <v>2</v>
      </c>
      <c r="I172" s="14">
        <v>3</v>
      </c>
      <c r="J172" s="14">
        <v>1.75</v>
      </c>
      <c r="K172" s="14">
        <v>3</v>
      </c>
      <c r="L172" s="15">
        <v>0.1</v>
      </c>
      <c r="M172" s="15">
        <v>0</v>
      </c>
      <c r="N172" s="14">
        <v>24</v>
      </c>
      <c r="O172" s="14">
        <v>50</v>
      </c>
      <c r="P172" s="13">
        <v>45</v>
      </c>
      <c r="Q172" s="13">
        <v>85</v>
      </c>
      <c r="R172" s="13" t="s">
        <v>17</v>
      </c>
      <c r="S172" s="13">
        <v>120</v>
      </c>
      <c r="T172" s="13">
        <v>0</v>
      </c>
      <c r="U172" s="13">
        <v>100</v>
      </c>
      <c r="V172" s="13" t="str">
        <f t="shared" si="761"/>
        <v>ISO 6</v>
      </c>
      <c r="W172" s="13">
        <f t="shared" si="762"/>
        <v>120</v>
      </c>
      <c r="X172" s="16">
        <f t="shared" si="763"/>
        <v>45.191999999999993</v>
      </c>
      <c r="Y172" s="16">
        <f t="shared" si="764"/>
        <v>355.75142399999993</v>
      </c>
      <c r="Z172" s="16">
        <f t="shared" si="765"/>
        <v>711.50284799999986</v>
      </c>
      <c r="AA172" s="16">
        <f t="shared" si="766"/>
        <v>71.150284799999994</v>
      </c>
      <c r="AB172" s="16">
        <f t="shared" si="767"/>
        <v>0</v>
      </c>
      <c r="AC172" s="16">
        <f t="shared" si="768"/>
        <v>6.5452646860337245</v>
      </c>
      <c r="AD172" s="16">
        <f t="shared" si="769"/>
        <v>2250</v>
      </c>
      <c r="AE172" s="16">
        <f t="shared" si="770"/>
        <v>2250</v>
      </c>
      <c r="AF172" s="16">
        <f t="shared" si="771"/>
        <v>14</v>
      </c>
      <c r="AG172" s="16">
        <f t="shared" si="772"/>
        <v>6</v>
      </c>
      <c r="AH172" s="838" t="s">
        <v>85</v>
      </c>
      <c r="AI172" s="17">
        <f t="shared" si="773"/>
        <v>5</v>
      </c>
      <c r="AJ172" s="17">
        <f t="shared" si="774"/>
        <v>6</v>
      </c>
      <c r="AK172" s="891"/>
      <c r="AL172" s="18" t="s">
        <v>255</v>
      </c>
      <c r="AM172" s="889"/>
      <c r="AN172" s="891"/>
      <c r="AO172" s="888"/>
      <c r="AP172" s="891"/>
      <c r="AQ172" s="891"/>
      <c r="AR172" s="889"/>
      <c r="AS172" s="888"/>
      <c r="AT172" s="888"/>
      <c r="AU172" s="890"/>
      <c r="AV172" s="888"/>
      <c r="AW172" s="888"/>
      <c r="AX172" s="888"/>
      <c r="AY172" s="887"/>
      <c r="AZ172" s="888"/>
      <c r="BA172" s="17">
        <f t="shared" si="775"/>
        <v>14.399999999999991</v>
      </c>
      <c r="BB172" s="17">
        <f t="shared" si="776"/>
        <v>37.799999999999997</v>
      </c>
      <c r="BC172" s="17">
        <f t="shared" si="777"/>
        <v>32</v>
      </c>
      <c r="BD172" s="17">
        <f t="shared" si="778"/>
        <v>85</v>
      </c>
      <c r="BE172" s="17">
        <f t="shared" si="779"/>
        <v>180.86341983910182</v>
      </c>
      <c r="BF172" s="17">
        <f t="shared" si="780"/>
        <v>24</v>
      </c>
      <c r="BG172" s="17">
        <f t="shared" si="781"/>
        <v>50</v>
      </c>
      <c r="BH172" s="17">
        <f t="shared" si="782"/>
        <v>65.062647806544774</v>
      </c>
      <c r="BI172" s="17">
        <f t="shared" si="783"/>
        <v>115.80077203255705</v>
      </c>
      <c r="BJ172" s="17">
        <f t="shared" si="784"/>
        <v>45</v>
      </c>
      <c r="BK172" s="17">
        <f t="shared" si="785"/>
        <v>85</v>
      </c>
      <c r="BL172" s="17">
        <f t="shared" si="786"/>
        <v>380.54120080897206</v>
      </c>
      <c r="BM172" s="17">
        <f t="shared" si="787"/>
        <v>24</v>
      </c>
      <c r="BN172" s="17">
        <f t="shared" si="788"/>
        <v>50</v>
      </c>
      <c r="BO172" s="17">
        <f t="shared" si="789"/>
        <v>65.062647806544774</v>
      </c>
      <c r="BP172" s="17">
        <f t="shared" si="790"/>
        <v>315.4785530024273</v>
      </c>
      <c r="BQ172" s="17">
        <f t="shared" si="791"/>
        <v>3777.6896639999995</v>
      </c>
      <c r="BR172" s="17">
        <f t="shared" si="792"/>
        <v>1439.1198719999991</v>
      </c>
      <c r="BS172" s="17">
        <f t="shared" si="793"/>
        <v>292.84415999999976</v>
      </c>
      <c r="BT172" s="17">
        <f t="shared" si="794"/>
        <v>768.71591999999987</v>
      </c>
      <c r="BU172" s="17">
        <f t="shared" si="795"/>
        <v>23269.68</v>
      </c>
      <c r="BV172" s="17">
        <f t="shared" si="796"/>
        <v>10236</v>
      </c>
      <c r="BW172" s="17">
        <f t="shared" si="797"/>
        <v>269.84143199999994</v>
      </c>
      <c r="BX172" s="17">
        <f t="shared" si="798"/>
        <v>17495.999999999989</v>
      </c>
      <c r="BY172" s="17">
        <f t="shared" si="799"/>
        <v>2904.6392266751996</v>
      </c>
      <c r="BZ172" s="17"/>
      <c r="CA172" s="17">
        <f t="shared" si="800"/>
        <v>85810.166416660228</v>
      </c>
      <c r="CB172" s="17">
        <f t="shared" si="801"/>
        <v>241341.0930468569</v>
      </c>
      <c r="CC172" s="17">
        <f t="shared" si="802"/>
        <v>15263.544448201927</v>
      </c>
      <c r="CD172" s="17">
        <f t="shared" si="803"/>
        <v>137371.90003381731</v>
      </c>
      <c r="CE172" s="17">
        <f t="shared" si="804"/>
        <v>57953.850322675185</v>
      </c>
      <c r="CF172" s="17">
        <f t="shared" si="805"/>
        <v>479786.7039455364</v>
      </c>
      <c r="CG172" s="17">
        <f t="shared" si="806"/>
        <v>537740.55426821159</v>
      </c>
      <c r="CH172" s="17">
        <f t="shared" si="807"/>
        <v>14.400000000000006</v>
      </c>
      <c r="CI172" s="17">
        <f t="shared" si="808"/>
        <v>-43.2</v>
      </c>
      <c r="CJ172" s="17">
        <f t="shared" si="809"/>
        <v>16</v>
      </c>
      <c r="CK172" s="17">
        <f t="shared" si="810"/>
        <v>90</v>
      </c>
      <c r="CL172" s="17">
        <f t="shared" si="811"/>
        <v>71.46880726181422</v>
      </c>
      <c r="CM172" s="17">
        <f t="shared" si="812"/>
        <v>24</v>
      </c>
      <c r="CN172" s="17">
        <f t="shared" si="813"/>
        <v>50</v>
      </c>
      <c r="CO172" s="17">
        <f t="shared" si="814"/>
        <v>65.062647806544774</v>
      </c>
      <c r="CP172" s="17">
        <f t="shared" si="815"/>
        <v>6.4061594552694459</v>
      </c>
      <c r="CQ172" s="17">
        <f t="shared" si="816"/>
        <v>0</v>
      </c>
      <c r="CR172" s="17">
        <f t="shared" si="817"/>
        <v>100</v>
      </c>
      <c r="CS172" s="17">
        <f t="shared" si="818"/>
        <v>26.404773030064671</v>
      </c>
      <c r="CT172" s="17">
        <f t="shared" si="819"/>
        <v>24</v>
      </c>
      <c r="CU172" s="17">
        <f t="shared" si="820"/>
        <v>50</v>
      </c>
      <c r="CV172" s="17">
        <f t="shared" si="821"/>
        <v>65.062647806544774</v>
      </c>
      <c r="CW172" s="17">
        <f t="shared" si="822"/>
        <v>-38.657874776480099</v>
      </c>
      <c r="CX172" s="17">
        <f t="shared" si="760"/>
        <v>-4317.3596159999997</v>
      </c>
      <c r="CY172" s="17">
        <f t="shared" si="760"/>
        <v>-4317.3596159999997</v>
      </c>
      <c r="CZ172" s="17">
        <f t="shared" si="823"/>
        <v>292.8441600000001</v>
      </c>
      <c r="DA172" s="17">
        <f t="shared" si="824"/>
        <v>-878.53247999999996</v>
      </c>
      <c r="DB172" s="17">
        <f t="shared" si="825"/>
        <v>-26593.920000000002</v>
      </c>
      <c r="DC172" s="17">
        <f t="shared" si="826"/>
        <v>10236</v>
      </c>
      <c r="DD172" s="17">
        <f t="shared" si="827"/>
        <v>269.84143199999994</v>
      </c>
      <c r="DE172" s="17">
        <f t="shared" si="828"/>
        <v>17496.000000000007</v>
      </c>
      <c r="DF172" s="17">
        <f t="shared" si="829"/>
        <v>-3319.5876876288003</v>
      </c>
      <c r="DG172" s="17"/>
      <c r="DH172" s="17">
        <f t="shared" si="830"/>
        <v>-10514.941939202587</v>
      </c>
      <c r="DI172" s="17">
        <f t="shared" si="831"/>
        <v>-29573.274204007277</v>
      </c>
      <c r="DJ172" s="17">
        <f t="shared" si="832"/>
        <v>-1870.3527840743209</v>
      </c>
      <c r="DK172" s="17">
        <f t="shared" si="833"/>
        <v>2789.4964266657994</v>
      </c>
      <c r="DL172" s="17">
        <f t="shared" si="834"/>
        <v>-6814.7141916287928</v>
      </c>
      <c r="DM172" s="17">
        <f t="shared" si="835"/>
        <v>-39169.072500618386</v>
      </c>
      <c r="DN172" s="17">
        <f t="shared" si="836"/>
        <v>-45983.78669224718</v>
      </c>
    </row>
    <row r="173" spans="3:120" ht="18.600000000000001">
      <c r="C173" s="13">
        <f>IF(D173&lt;&gt;"",COUNTA($D$10:D173),"")</f>
        <v>140</v>
      </c>
      <c r="D173" s="14" t="s">
        <v>203</v>
      </c>
      <c r="E173" s="14">
        <v>2.1</v>
      </c>
      <c r="F173" s="14">
        <v>3.5</v>
      </c>
      <c r="G173" s="14">
        <v>2.4</v>
      </c>
      <c r="H173" s="14">
        <v>0</v>
      </c>
      <c r="I173" s="14">
        <v>1</v>
      </c>
      <c r="J173" s="14">
        <v>1.75</v>
      </c>
      <c r="K173" s="14">
        <v>3</v>
      </c>
      <c r="L173" s="15">
        <v>0.1</v>
      </c>
      <c r="M173" s="15">
        <v>0</v>
      </c>
      <c r="N173" s="14">
        <v>24</v>
      </c>
      <c r="O173" s="14">
        <v>50</v>
      </c>
      <c r="P173" s="13">
        <v>45</v>
      </c>
      <c r="Q173" s="13">
        <v>85</v>
      </c>
      <c r="R173" s="13" t="s">
        <v>17</v>
      </c>
      <c r="S173" s="13">
        <v>120</v>
      </c>
      <c r="T173" s="13">
        <v>0</v>
      </c>
      <c r="U173" s="13">
        <v>100</v>
      </c>
      <c r="V173" s="13" t="str">
        <f t="shared" si="761"/>
        <v>ISO 6</v>
      </c>
      <c r="W173" s="13">
        <f t="shared" si="762"/>
        <v>120</v>
      </c>
      <c r="X173" s="16">
        <f t="shared" si="763"/>
        <v>79.085999999999999</v>
      </c>
      <c r="Y173" s="16">
        <f t="shared" si="764"/>
        <v>622.56499199999996</v>
      </c>
      <c r="Z173" s="16">
        <f t="shared" si="765"/>
        <v>1245.1299839999999</v>
      </c>
      <c r="AA173" s="16">
        <f t="shared" si="766"/>
        <v>124.5129984</v>
      </c>
      <c r="AB173" s="16">
        <f t="shared" si="767"/>
        <v>0</v>
      </c>
      <c r="AC173" s="16">
        <f t="shared" si="768"/>
        <v>11.454213200559018</v>
      </c>
      <c r="AD173" s="16">
        <f t="shared" si="769"/>
        <v>2375</v>
      </c>
      <c r="AE173" s="16">
        <f t="shared" si="770"/>
        <v>2375</v>
      </c>
      <c r="AF173" s="16">
        <f t="shared" si="771"/>
        <v>14</v>
      </c>
      <c r="AG173" s="16">
        <f t="shared" si="772"/>
        <v>6</v>
      </c>
      <c r="AH173" s="838" t="s">
        <v>85</v>
      </c>
      <c r="AI173" s="17">
        <f t="shared" si="773"/>
        <v>3</v>
      </c>
      <c r="AJ173" s="17">
        <f t="shared" si="774"/>
        <v>6</v>
      </c>
      <c r="AK173" s="891"/>
      <c r="AL173" s="18">
        <f>IF(AK170&lt;=2000,950,(IF(AK170&lt;=4000,1100,(IF(AK170&lt;=6000,1250,(IF(AK170&lt;=10000,1550,(IF(AK170&lt;=15000,1750,(IF(AK170&lt;=24000,2050,(IF(AK170&lt;=40000,2900,3600)))))))))))))</f>
        <v>3600</v>
      </c>
      <c r="AM173" s="889"/>
      <c r="AN173" s="891"/>
      <c r="AO173" s="888"/>
      <c r="AP173" s="891"/>
      <c r="AQ173" s="891"/>
      <c r="AR173" s="889"/>
      <c r="AS173" s="888"/>
      <c r="AT173" s="888"/>
      <c r="AU173" s="890"/>
      <c r="AV173" s="888"/>
      <c r="AW173" s="888"/>
      <c r="AX173" s="888"/>
      <c r="AY173" s="887"/>
      <c r="AZ173" s="888"/>
      <c r="BA173" s="17">
        <f t="shared" si="775"/>
        <v>14.399999999999991</v>
      </c>
      <c r="BB173" s="17">
        <f t="shared" si="776"/>
        <v>37.799999999999997</v>
      </c>
      <c r="BC173" s="17">
        <f t="shared" si="777"/>
        <v>32</v>
      </c>
      <c r="BD173" s="17">
        <f t="shared" si="778"/>
        <v>85</v>
      </c>
      <c r="BE173" s="17">
        <f t="shared" si="779"/>
        <v>180.86341983910182</v>
      </c>
      <c r="BF173" s="17">
        <f t="shared" si="780"/>
        <v>24</v>
      </c>
      <c r="BG173" s="17">
        <f t="shared" si="781"/>
        <v>50</v>
      </c>
      <c r="BH173" s="17">
        <f t="shared" si="782"/>
        <v>65.062647806544774</v>
      </c>
      <c r="BI173" s="17">
        <f t="shared" si="783"/>
        <v>115.80077203255705</v>
      </c>
      <c r="BJ173" s="17">
        <f t="shared" si="784"/>
        <v>45</v>
      </c>
      <c r="BK173" s="17">
        <f t="shared" si="785"/>
        <v>85</v>
      </c>
      <c r="BL173" s="17">
        <f t="shared" si="786"/>
        <v>380.54120080897206</v>
      </c>
      <c r="BM173" s="17">
        <f t="shared" si="787"/>
        <v>24</v>
      </c>
      <c r="BN173" s="17">
        <f t="shared" si="788"/>
        <v>50</v>
      </c>
      <c r="BO173" s="17">
        <f t="shared" si="789"/>
        <v>65.062647806544774</v>
      </c>
      <c r="BP173" s="17">
        <f t="shared" si="790"/>
        <v>315.4785530024273</v>
      </c>
      <c r="BQ173" s="17">
        <f t="shared" si="791"/>
        <v>4919.7818879999995</v>
      </c>
      <c r="BR173" s="17">
        <f t="shared" si="792"/>
        <v>1874.2026239999989</v>
      </c>
      <c r="BS173" s="17">
        <f t="shared" si="793"/>
        <v>512.47727999999972</v>
      </c>
      <c r="BT173" s="17">
        <f t="shared" si="794"/>
        <v>1345.2528599999998</v>
      </c>
      <c r="BU173" s="17">
        <f t="shared" si="795"/>
        <v>0</v>
      </c>
      <c r="BV173" s="17">
        <f t="shared" si="796"/>
        <v>3412</v>
      </c>
      <c r="BW173" s="17">
        <f t="shared" si="797"/>
        <v>472.22250599999995</v>
      </c>
      <c r="BX173" s="17">
        <f t="shared" si="798"/>
        <v>17495.999999999989</v>
      </c>
      <c r="BY173" s="17">
        <f t="shared" si="799"/>
        <v>5083.1186466815998</v>
      </c>
      <c r="BZ173" s="17"/>
      <c r="CA173" s="17">
        <f t="shared" si="800"/>
        <v>0</v>
      </c>
      <c r="CB173" s="17">
        <f t="shared" si="801"/>
        <v>241341.0930468569</v>
      </c>
      <c r="CC173" s="17">
        <f t="shared" si="802"/>
        <v>26711.202784353376</v>
      </c>
      <c r="CD173" s="17">
        <f t="shared" si="803"/>
        <v>240400.82505918032</v>
      </c>
      <c r="CE173" s="17">
        <f t="shared" si="804"/>
        <v>31383.123040681588</v>
      </c>
      <c r="CF173" s="17">
        <f t="shared" si="805"/>
        <v>508453.12089039059</v>
      </c>
      <c r="CG173" s="17">
        <f t="shared" si="806"/>
        <v>539836.24393107218</v>
      </c>
      <c r="CH173" s="17">
        <f t="shared" si="807"/>
        <v>14.400000000000006</v>
      </c>
      <c r="CI173" s="17">
        <f t="shared" si="808"/>
        <v>-43.2</v>
      </c>
      <c r="CJ173" s="17">
        <f t="shared" si="809"/>
        <v>16</v>
      </c>
      <c r="CK173" s="17">
        <f t="shared" si="810"/>
        <v>90</v>
      </c>
      <c r="CL173" s="17">
        <f t="shared" si="811"/>
        <v>71.46880726181422</v>
      </c>
      <c r="CM173" s="17">
        <f t="shared" si="812"/>
        <v>24</v>
      </c>
      <c r="CN173" s="17">
        <f t="shared" si="813"/>
        <v>50</v>
      </c>
      <c r="CO173" s="17">
        <f t="shared" si="814"/>
        <v>65.062647806544774</v>
      </c>
      <c r="CP173" s="17">
        <f t="shared" si="815"/>
        <v>6.4061594552694459</v>
      </c>
      <c r="CQ173" s="17">
        <f t="shared" si="816"/>
        <v>0</v>
      </c>
      <c r="CR173" s="17">
        <f t="shared" si="817"/>
        <v>100</v>
      </c>
      <c r="CS173" s="17">
        <f t="shared" si="818"/>
        <v>26.404773030064671</v>
      </c>
      <c r="CT173" s="17">
        <f t="shared" si="819"/>
        <v>24</v>
      </c>
      <c r="CU173" s="17">
        <f t="shared" si="820"/>
        <v>50</v>
      </c>
      <c r="CV173" s="17">
        <f t="shared" si="821"/>
        <v>65.062647806544774</v>
      </c>
      <c r="CW173" s="17">
        <f t="shared" si="822"/>
        <v>-38.657874776480099</v>
      </c>
      <c r="CX173" s="17">
        <f t="shared" si="760"/>
        <v>-5622.6078720000005</v>
      </c>
      <c r="CY173" s="17">
        <f t="shared" si="760"/>
        <v>-5622.6078720000005</v>
      </c>
      <c r="CZ173" s="17">
        <f t="shared" si="823"/>
        <v>512.47728000000018</v>
      </c>
      <c r="DA173" s="17">
        <f t="shared" si="824"/>
        <v>-1537.4318400000002</v>
      </c>
      <c r="DB173" s="17">
        <f t="shared" si="825"/>
        <v>0</v>
      </c>
      <c r="DC173" s="17">
        <f t="shared" si="826"/>
        <v>3412</v>
      </c>
      <c r="DD173" s="17">
        <f t="shared" si="827"/>
        <v>472.22250599999995</v>
      </c>
      <c r="DE173" s="17">
        <f t="shared" si="828"/>
        <v>17496.000000000007</v>
      </c>
      <c r="DF173" s="17">
        <f t="shared" si="829"/>
        <v>-5809.2784533504</v>
      </c>
      <c r="DG173" s="17"/>
      <c r="DH173" s="17">
        <f t="shared" si="830"/>
        <v>0</v>
      </c>
      <c r="DI173" s="17">
        <f t="shared" si="831"/>
        <v>-29573.274204007277</v>
      </c>
      <c r="DJ173" s="17">
        <f t="shared" si="832"/>
        <v>-3273.117372130062</v>
      </c>
      <c r="DK173" s="17">
        <f t="shared" si="833"/>
        <v>4881.618746665149</v>
      </c>
      <c r="DL173" s="17">
        <f t="shared" si="834"/>
        <v>8923.3816206496067</v>
      </c>
      <c r="DM173" s="17">
        <f t="shared" si="835"/>
        <v>-27964.772829472186</v>
      </c>
      <c r="DN173" s="17">
        <f t="shared" si="836"/>
        <v>-19041.391208822577</v>
      </c>
    </row>
    <row r="174" spans="3:120" ht="18.600000000000001">
      <c r="C174" s="13">
        <f>IF(D174&lt;&gt;"",COUNTA($D$10:D174),"")</f>
        <v>141</v>
      </c>
      <c r="D174" s="14" t="s">
        <v>204</v>
      </c>
      <c r="E174" s="14">
        <v>2.7</v>
      </c>
      <c r="F174" s="14">
        <v>4</v>
      </c>
      <c r="G174" s="14">
        <v>2.4</v>
      </c>
      <c r="H174" s="14">
        <v>2</v>
      </c>
      <c r="I174" s="14">
        <v>1</v>
      </c>
      <c r="J174" s="14">
        <v>1.75</v>
      </c>
      <c r="K174" s="14">
        <v>3</v>
      </c>
      <c r="L174" s="15">
        <v>0.1</v>
      </c>
      <c r="M174" s="15">
        <v>0</v>
      </c>
      <c r="N174" s="14">
        <v>24</v>
      </c>
      <c r="O174" s="14">
        <v>50</v>
      </c>
      <c r="P174" s="13">
        <v>45</v>
      </c>
      <c r="Q174" s="13">
        <v>85</v>
      </c>
      <c r="R174" s="13" t="s">
        <v>17</v>
      </c>
      <c r="S174" s="13">
        <v>120</v>
      </c>
      <c r="T174" s="13">
        <v>0</v>
      </c>
      <c r="U174" s="13">
        <v>100</v>
      </c>
      <c r="V174" s="13" t="str">
        <f t="shared" si="761"/>
        <v>ISO 6</v>
      </c>
      <c r="W174" s="13">
        <f t="shared" si="762"/>
        <v>120</v>
      </c>
      <c r="X174" s="16">
        <f t="shared" si="763"/>
        <v>116.208</v>
      </c>
      <c r="Y174" s="16">
        <f t="shared" si="764"/>
        <v>914.78937599999995</v>
      </c>
      <c r="Z174" s="16">
        <f t="shared" si="765"/>
        <v>1829.5787519999999</v>
      </c>
      <c r="AA174" s="16">
        <f t="shared" si="766"/>
        <v>182.95787519999999</v>
      </c>
      <c r="AB174" s="16">
        <f t="shared" si="767"/>
        <v>0</v>
      </c>
      <c r="AC174" s="16">
        <f t="shared" si="768"/>
        <v>16.830680621229575</v>
      </c>
      <c r="AD174" s="16">
        <f t="shared" si="769"/>
        <v>3375</v>
      </c>
      <c r="AE174" s="16">
        <f t="shared" si="770"/>
        <v>3375</v>
      </c>
      <c r="AF174" s="16">
        <f t="shared" si="771"/>
        <v>20</v>
      </c>
      <c r="AG174" s="16">
        <f t="shared" si="772"/>
        <v>8.5</v>
      </c>
      <c r="AH174" s="838" t="s">
        <v>85</v>
      </c>
      <c r="AI174" s="17">
        <f t="shared" si="773"/>
        <v>5</v>
      </c>
      <c r="AJ174" s="17">
        <f t="shared" si="774"/>
        <v>8.5</v>
      </c>
      <c r="AK174" s="891"/>
      <c r="AL174" s="18" t="s">
        <v>256</v>
      </c>
      <c r="AM174" s="889"/>
      <c r="AN174" s="891"/>
      <c r="AO174" s="888"/>
      <c r="AP174" s="891"/>
      <c r="AQ174" s="891"/>
      <c r="AR174" s="889"/>
      <c r="AS174" s="888"/>
      <c r="AT174" s="888"/>
      <c r="AU174" s="890"/>
      <c r="AV174" s="888"/>
      <c r="AW174" s="888"/>
      <c r="AX174" s="888"/>
      <c r="AY174" s="887"/>
      <c r="AZ174" s="888"/>
      <c r="BA174" s="17">
        <f t="shared" si="775"/>
        <v>14.399999999999991</v>
      </c>
      <c r="BB174" s="17">
        <f t="shared" si="776"/>
        <v>37.799999999999997</v>
      </c>
      <c r="BC174" s="17">
        <f t="shared" si="777"/>
        <v>32</v>
      </c>
      <c r="BD174" s="17">
        <f t="shared" si="778"/>
        <v>85</v>
      </c>
      <c r="BE174" s="17">
        <f t="shared" si="779"/>
        <v>180.86341983910182</v>
      </c>
      <c r="BF174" s="17">
        <f t="shared" si="780"/>
        <v>24</v>
      </c>
      <c r="BG174" s="17">
        <f t="shared" si="781"/>
        <v>50</v>
      </c>
      <c r="BH174" s="17">
        <f t="shared" si="782"/>
        <v>65.062647806544774</v>
      </c>
      <c r="BI174" s="17">
        <f t="shared" si="783"/>
        <v>115.80077203255705</v>
      </c>
      <c r="BJ174" s="17">
        <f t="shared" si="784"/>
        <v>45</v>
      </c>
      <c r="BK174" s="17">
        <f t="shared" si="785"/>
        <v>85</v>
      </c>
      <c r="BL174" s="17">
        <f t="shared" si="786"/>
        <v>380.54120080897206</v>
      </c>
      <c r="BM174" s="17">
        <f t="shared" si="787"/>
        <v>24</v>
      </c>
      <c r="BN174" s="17">
        <f t="shared" si="788"/>
        <v>50</v>
      </c>
      <c r="BO174" s="17">
        <f t="shared" si="789"/>
        <v>65.062647806544774</v>
      </c>
      <c r="BP174" s="17">
        <f t="shared" si="790"/>
        <v>315.4785530024273</v>
      </c>
      <c r="BQ174" s="17">
        <f t="shared" si="791"/>
        <v>5886.1676159999997</v>
      </c>
      <c r="BR174" s="17">
        <f t="shared" si="792"/>
        <v>2242.3495679999987</v>
      </c>
      <c r="BS174" s="17">
        <f t="shared" si="793"/>
        <v>753.02783999999963</v>
      </c>
      <c r="BT174" s="17">
        <f t="shared" si="794"/>
        <v>1976.6980799999997</v>
      </c>
      <c r="BU174" s="17">
        <f t="shared" si="795"/>
        <v>23269.68</v>
      </c>
      <c r="BV174" s="17">
        <f t="shared" si="796"/>
        <v>3412</v>
      </c>
      <c r="BW174" s="17">
        <f t="shared" si="797"/>
        <v>693.87796800000001</v>
      </c>
      <c r="BX174" s="17">
        <f t="shared" si="798"/>
        <v>17495.999999999989</v>
      </c>
      <c r="BY174" s="17">
        <f t="shared" si="799"/>
        <v>7469.0722971647992</v>
      </c>
      <c r="BZ174" s="17"/>
      <c r="CA174" s="17">
        <f t="shared" si="800"/>
        <v>85810.166416660228</v>
      </c>
      <c r="CB174" s="17">
        <f t="shared" si="801"/>
        <v>241341.0930468569</v>
      </c>
      <c r="CC174" s="17">
        <f t="shared" si="802"/>
        <v>39249.114295376385</v>
      </c>
      <c r="CD174" s="17">
        <f t="shared" si="803"/>
        <v>353242.02865838748</v>
      </c>
      <c r="CE174" s="17">
        <f t="shared" si="804"/>
        <v>58226.797881164784</v>
      </c>
      <c r="CF174" s="17">
        <f t="shared" si="805"/>
        <v>719642.40241728094</v>
      </c>
      <c r="CG174" s="17">
        <f t="shared" si="806"/>
        <v>777869.20029844576</v>
      </c>
      <c r="CH174" s="17">
        <f t="shared" si="807"/>
        <v>14.400000000000006</v>
      </c>
      <c r="CI174" s="17">
        <f t="shared" si="808"/>
        <v>-43.2</v>
      </c>
      <c r="CJ174" s="17">
        <f t="shared" si="809"/>
        <v>16</v>
      </c>
      <c r="CK174" s="17">
        <f t="shared" si="810"/>
        <v>90</v>
      </c>
      <c r="CL174" s="17">
        <f t="shared" si="811"/>
        <v>71.46880726181422</v>
      </c>
      <c r="CM174" s="17">
        <f t="shared" si="812"/>
        <v>24</v>
      </c>
      <c r="CN174" s="17">
        <f t="shared" si="813"/>
        <v>50</v>
      </c>
      <c r="CO174" s="17">
        <f t="shared" si="814"/>
        <v>65.062647806544774</v>
      </c>
      <c r="CP174" s="17">
        <f t="shared" si="815"/>
        <v>6.4061594552694459</v>
      </c>
      <c r="CQ174" s="17">
        <f t="shared" si="816"/>
        <v>0</v>
      </c>
      <c r="CR174" s="17">
        <f t="shared" si="817"/>
        <v>100</v>
      </c>
      <c r="CS174" s="17">
        <f t="shared" si="818"/>
        <v>26.404773030064671</v>
      </c>
      <c r="CT174" s="17">
        <f t="shared" si="819"/>
        <v>24</v>
      </c>
      <c r="CU174" s="17">
        <f t="shared" si="820"/>
        <v>50</v>
      </c>
      <c r="CV174" s="17">
        <f t="shared" si="821"/>
        <v>65.062647806544774</v>
      </c>
      <c r="CW174" s="17">
        <f t="shared" si="822"/>
        <v>-38.657874776480099</v>
      </c>
      <c r="CX174" s="17">
        <f t="shared" si="760"/>
        <v>-6727.0487040000007</v>
      </c>
      <c r="CY174" s="17">
        <f t="shared" si="760"/>
        <v>-6727.0487040000007</v>
      </c>
      <c r="CZ174" s="17">
        <f t="shared" si="823"/>
        <v>753.02784000000031</v>
      </c>
      <c r="DA174" s="17">
        <f t="shared" si="824"/>
        <v>-2259.0835200000006</v>
      </c>
      <c r="DB174" s="17">
        <f t="shared" si="825"/>
        <v>-26593.920000000002</v>
      </c>
      <c r="DC174" s="17">
        <f t="shared" si="826"/>
        <v>3412</v>
      </c>
      <c r="DD174" s="17">
        <f t="shared" si="827"/>
        <v>693.87796800000001</v>
      </c>
      <c r="DE174" s="17">
        <f t="shared" si="828"/>
        <v>17496.000000000007</v>
      </c>
      <c r="DF174" s="17">
        <f t="shared" si="829"/>
        <v>-8536.0826253312007</v>
      </c>
      <c r="DG174" s="17"/>
      <c r="DH174" s="17">
        <f t="shared" si="830"/>
        <v>-10514.941939202587</v>
      </c>
      <c r="DI174" s="17">
        <f t="shared" si="831"/>
        <v>-29573.274204007277</v>
      </c>
      <c r="DJ174" s="17">
        <f t="shared" si="832"/>
        <v>-4809.478587619682</v>
      </c>
      <c r="DK174" s="17">
        <f t="shared" si="833"/>
        <v>7172.9908114263426</v>
      </c>
      <c r="DL174" s="17">
        <f t="shared" si="834"/>
        <v>-21761.229041331197</v>
      </c>
      <c r="DM174" s="17">
        <f t="shared" si="835"/>
        <v>-37724.703919403204</v>
      </c>
      <c r="DN174" s="17">
        <f t="shared" si="836"/>
        <v>-59485.932960734397</v>
      </c>
    </row>
    <row r="175" spans="3:120" ht="18.600000000000001">
      <c r="C175" s="13">
        <f>IF(D175&lt;&gt;"",COUNTA($D$10:D175),"")</f>
        <v>142</v>
      </c>
      <c r="D175" s="14" t="s">
        <v>205</v>
      </c>
      <c r="E175" s="14">
        <v>3.8</v>
      </c>
      <c r="F175" s="14">
        <v>4.2</v>
      </c>
      <c r="G175" s="14">
        <v>2.4</v>
      </c>
      <c r="H175" s="14">
        <v>3</v>
      </c>
      <c r="I175" s="14">
        <v>3</v>
      </c>
      <c r="J175" s="14">
        <v>1.75</v>
      </c>
      <c r="K175" s="14">
        <v>3</v>
      </c>
      <c r="L175" s="15">
        <v>0.1</v>
      </c>
      <c r="M175" s="15">
        <v>0</v>
      </c>
      <c r="N175" s="14">
        <v>24</v>
      </c>
      <c r="O175" s="14">
        <v>50</v>
      </c>
      <c r="P175" s="13">
        <v>45</v>
      </c>
      <c r="Q175" s="13">
        <v>85</v>
      </c>
      <c r="R175" s="13" t="s">
        <v>17</v>
      </c>
      <c r="S175" s="13">
        <v>120</v>
      </c>
      <c r="T175" s="13">
        <v>0</v>
      </c>
      <c r="U175" s="13">
        <v>100</v>
      </c>
      <c r="V175" s="13" t="str">
        <f t="shared" si="761"/>
        <v>ISO 6</v>
      </c>
      <c r="W175" s="13">
        <f t="shared" si="762"/>
        <v>120</v>
      </c>
      <c r="X175" s="16">
        <f t="shared" si="763"/>
        <v>171.72959999999998</v>
      </c>
      <c r="Y175" s="16">
        <f t="shared" si="764"/>
        <v>1351.8554111999997</v>
      </c>
      <c r="Z175" s="16">
        <f t="shared" si="765"/>
        <v>2703.7108223999994</v>
      </c>
      <c r="AA175" s="16">
        <f t="shared" si="766"/>
        <v>270.37108223999996</v>
      </c>
      <c r="AB175" s="16">
        <f t="shared" si="767"/>
        <v>0</v>
      </c>
      <c r="AC175" s="16">
        <f t="shared" si="768"/>
        <v>24.872005806928151</v>
      </c>
      <c r="AD175" s="16">
        <f t="shared" si="769"/>
        <v>4450</v>
      </c>
      <c r="AE175" s="16">
        <f t="shared" si="770"/>
        <v>4450</v>
      </c>
      <c r="AF175" s="16">
        <f t="shared" si="771"/>
        <v>26</v>
      </c>
      <c r="AG175" s="16">
        <f t="shared" si="772"/>
        <v>11.5</v>
      </c>
      <c r="AH175" s="838" t="s">
        <v>85</v>
      </c>
      <c r="AI175" s="17">
        <f t="shared" si="773"/>
        <v>7</v>
      </c>
      <c r="AJ175" s="17">
        <f t="shared" si="774"/>
        <v>11.5</v>
      </c>
      <c r="AK175" s="891"/>
      <c r="AL175" s="18">
        <f>IF(AL179&lt;4000,AL179,AL179+400)</f>
        <v>5800</v>
      </c>
      <c r="AM175" s="889"/>
      <c r="AN175" s="891"/>
      <c r="AO175" s="888"/>
      <c r="AP175" s="891"/>
      <c r="AQ175" s="891"/>
      <c r="AR175" s="889"/>
      <c r="AS175" s="888"/>
      <c r="AT175" s="888"/>
      <c r="AU175" s="890"/>
      <c r="AV175" s="888"/>
      <c r="AW175" s="888"/>
      <c r="AX175" s="888"/>
      <c r="AY175" s="887"/>
      <c r="AZ175" s="888"/>
      <c r="BA175" s="17">
        <f t="shared" si="775"/>
        <v>14.399999999999991</v>
      </c>
      <c r="BB175" s="17">
        <f t="shared" si="776"/>
        <v>37.799999999999997</v>
      </c>
      <c r="BC175" s="17">
        <f t="shared" si="777"/>
        <v>32</v>
      </c>
      <c r="BD175" s="17">
        <f t="shared" si="778"/>
        <v>85</v>
      </c>
      <c r="BE175" s="17">
        <f t="shared" si="779"/>
        <v>180.86341983910182</v>
      </c>
      <c r="BF175" s="17">
        <f t="shared" si="780"/>
        <v>24</v>
      </c>
      <c r="BG175" s="17">
        <f t="shared" si="781"/>
        <v>50</v>
      </c>
      <c r="BH175" s="17">
        <f t="shared" si="782"/>
        <v>65.062647806544774</v>
      </c>
      <c r="BI175" s="17">
        <f t="shared" si="783"/>
        <v>115.80077203255705</v>
      </c>
      <c r="BJ175" s="17">
        <f t="shared" si="784"/>
        <v>45</v>
      </c>
      <c r="BK175" s="17">
        <f t="shared" si="785"/>
        <v>85</v>
      </c>
      <c r="BL175" s="17">
        <f t="shared" si="786"/>
        <v>380.54120080897206</v>
      </c>
      <c r="BM175" s="17">
        <f t="shared" si="787"/>
        <v>24</v>
      </c>
      <c r="BN175" s="17">
        <f t="shared" si="788"/>
        <v>50</v>
      </c>
      <c r="BO175" s="17">
        <f t="shared" si="789"/>
        <v>65.062647806544774</v>
      </c>
      <c r="BP175" s="17">
        <f t="shared" si="790"/>
        <v>315.4785530024273</v>
      </c>
      <c r="BQ175" s="17">
        <f t="shared" si="791"/>
        <v>7028.2598399999997</v>
      </c>
      <c r="BR175" s="17">
        <f t="shared" si="792"/>
        <v>2677.4323199999981</v>
      </c>
      <c r="BS175" s="17">
        <f t="shared" si="793"/>
        <v>1112.8078079999991</v>
      </c>
      <c r="BT175" s="17">
        <f t="shared" si="794"/>
        <v>2921.1204959999995</v>
      </c>
      <c r="BU175" s="17">
        <f t="shared" si="795"/>
        <v>34904.520000000004</v>
      </c>
      <c r="BV175" s="17">
        <f t="shared" si="796"/>
        <v>10236</v>
      </c>
      <c r="BW175" s="17">
        <f t="shared" si="797"/>
        <v>1025.3974415999999</v>
      </c>
      <c r="BX175" s="17">
        <f t="shared" si="798"/>
        <v>17495.999999999989</v>
      </c>
      <c r="BY175" s="17">
        <f t="shared" si="799"/>
        <v>11037.62906136576</v>
      </c>
      <c r="BZ175" s="17"/>
      <c r="CA175" s="17">
        <f t="shared" si="800"/>
        <v>128715.24962499036</v>
      </c>
      <c r="CB175" s="17">
        <f t="shared" si="801"/>
        <v>241341.0930468569</v>
      </c>
      <c r="CC175" s="17">
        <f t="shared" si="802"/>
        <v>58001.468903167319</v>
      </c>
      <c r="CD175" s="17">
        <f t="shared" si="803"/>
        <v>522013.22012850584</v>
      </c>
      <c r="CE175" s="17">
        <f t="shared" si="804"/>
        <v>81727.806342965749</v>
      </c>
      <c r="CF175" s="17">
        <f t="shared" si="805"/>
        <v>950071.03170352045</v>
      </c>
      <c r="CG175" s="17">
        <f t="shared" si="806"/>
        <v>1031798.8380464863</v>
      </c>
      <c r="CH175" s="17">
        <f t="shared" si="807"/>
        <v>14.400000000000006</v>
      </c>
      <c r="CI175" s="17">
        <f t="shared" si="808"/>
        <v>-43.2</v>
      </c>
      <c r="CJ175" s="17">
        <f t="shared" si="809"/>
        <v>16</v>
      </c>
      <c r="CK175" s="17">
        <f t="shared" si="810"/>
        <v>90</v>
      </c>
      <c r="CL175" s="17">
        <f t="shared" si="811"/>
        <v>71.46880726181422</v>
      </c>
      <c r="CM175" s="17">
        <f t="shared" si="812"/>
        <v>24</v>
      </c>
      <c r="CN175" s="17">
        <f t="shared" si="813"/>
        <v>50</v>
      </c>
      <c r="CO175" s="17">
        <f t="shared" si="814"/>
        <v>65.062647806544774</v>
      </c>
      <c r="CP175" s="17">
        <f t="shared" si="815"/>
        <v>6.4061594552694459</v>
      </c>
      <c r="CQ175" s="17">
        <f t="shared" si="816"/>
        <v>0</v>
      </c>
      <c r="CR175" s="17">
        <f t="shared" si="817"/>
        <v>100</v>
      </c>
      <c r="CS175" s="17">
        <f t="shared" si="818"/>
        <v>26.404773030064671</v>
      </c>
      <c r="CT175" s="17">
        <f t="shared" si="819"/>
        <v>24</v>
      </c>
      <c r="CU175" s="17">
        <f t="shared" si="820"/>
        <v>50</v>
      </c>
      <c r="CV175" s="17">
        <f t="shared" si="821"/>
        <v>65.062647806544774</v>
      </c>
      <c r="CW175" s="17">
        <f t="shared" si="822"/>
        <v>-38.657874776480099</v>
      </c>
      <c r="CX175" s="17">
        <f t="shared" si="760"/>
        <v>-8032.2969600000006</v>
      </c>
      <c r="CY175" s="17">
        <f t="shared" si="760"/>
        <v>-8032.2969600000006</v>
      </c>
      <c r="CZ175" s="17">
        <f t="shared" si="823"/>
        <v>1112.8078080000003</v>
      </c>
      <c r="DA175" s="17">
        <f t="shared" si="824"/>
        <v>-3338.4234240000001</v>
      </c>
      <c r="DB175" s="17">
        <f t="shared" si="825"/>
        <v>-39890.880000000005</v>
      </c>
      <c r="DC175" s="17">
        <f t="shared" si="826"/>
        <v>10236</v>
      </c>
      <c r="DD175" s="17">
        <f t="shared" si="827"/>
        <v>1025.3974415999999</v>
      </c>
      <c r="DE175" s="17">
        <f t="shared" si="828"/>
        <v>17496.000000000007</v>
      </c>
      <c r="DF175" s="17">
        <f t="shared" si="829"/>
        <v>-12614.433212989441</v>
      </c>
      <c r="DG175" s="17"/>
      <c r="DH175" s="17">
        <f t="shared" si="830"/>
        <v>-15772.412908803883</v>
      </c>
      <c r="DI175" s="17">
        <f t="shared" si="831"/>
        <v>-29573.274204007277</v>
      </c>
      <c r="DJ175" s="17">
        <f t="shared" si="832"/>
        <v>-7107.3405794824193</v>
      </c>
      <c r="DK175" s="17">
        <f t="shared" si="833"/>
        <v>10600.086421330037</v>
      </c>
      <c r="DL175" s="17">
        <f t="shared" si="834"/>
        <v>-34005.828347389441</v>
      </c>
      <c r="DM175" s="17">
        <f t="shared" si="835"/>
        <v>-41852.941270963544</v>
      </c>
      <c r="DN175" s="17">
        <f t="shared" si="836"/>
        <v>-75858.769618352992</v>
      </c>
    </row>
    <row r="176" spans="3:120" ht="18.600000000000001">
      <c r="C176" s="13">
        <f>IF(D176&lt;&gt;"",COUNTA($D$10:D176),"")</f>
        <v>143</v>
      </c>
      <c r="D176" s="14" t="s">
        <v>206</v>
      </c>
      <c r="E176" s="14">
        <v>3.1</v>
      </c>
      <c r="F176" s="14">
        <v>2.6</v>
      </c>
      <c r="G176" s="14">
        <v>2.4</v>
      </c>
      <c r="H176" s="14">
        <v>2</v>
      </c>
      <c r="I176" s="14">
        <v>1</v>
      </c>
      <c r="J176" s="14">
        <v>1.75</v>
      </c>
      <c r="K176" s="14">
        <v>3</v>
      </c>
      <c r="L176" s="15">
        <v>0.1</v>
      </c>
      <c r="M176" s="15">
        <v>0</v>
      </c>
      <c r="N176" s="14">
        <v>24</v>
      </c>
      <c r="O176" s="14">
        <v>50</v>
      </c>
      <c r="P176" s="13">
        <v>45</v>
      </c>
      <c r="Q176" s="13">
        <v>85</v>
      </c>
      <c r="R176" s="13" t="s">
        <v>17</v>
      </c>
      <c r="S176" s="13">
        <v>120</v>
      </c>
      <c r="T176" s="13">
        <v>0</v>
      </c>
      <c r="U176" s="13">
        <v>100</v>
      </c>
      <c r="V176" s="13" t="str">
        <f t="shared" si="761"/>
        <v>ISO 6</v>
      </c>
      <c r="W176" s="13">
        <f t="shared" si="762"/>
        <v>120</v>
      </c>
      <c r="X176" s="16">
        <f t="shared" si="763"/>
        <v>86.7256</v>
      </c>
      <c r="Y176" s="16">
        <f t="shared" si="764"/>
        <v>682.70392319999996</v>
      </c>
      <c r="Z176" s="16">
        <f t="shared" si="765"/>
        <v>1365.4078463999999</v>
      </c>
      <c r="AA176" s="16">
        <f t="shared" si="766"/>
        <v>136.54078464</v>
      </c>
      <c r="AB176" s="16">
        <f t="shared" si="767"/>
        <v>0</v>
      </c>
      <c r="AC176" s="16">
        <f t="shared" si="768"/>
        <v>12.560674611769482</v>
      </c>
      <c r="AD176" s="16">
        <f t="shared" si="769"/>
        <v>2900</v>
      </c>
      <c r="AE176" s="16">
        <f t="shared" si="770"/>
        <v>2900</v>
      </c>
      <c r="AF176" s="16">
        <f t="shared" si="771"/>
        <v>18</v>
      </c>
      <c r="AG176" s="16">
        <f t="shared" si="772"/>
        <v>7.5</v>
      </c>
      <c r="AH176" s="838" t="s">
        <v>85</v>
      </c>
      <c r="AI176" s="17">
        <f t="shared" si="773"/>
        <v>5</v>
      </c>
      <c r="AJ176" s="17">
        <f t="shared" si="774"/>
        <v>7.5</v>
      </c>
      <c r="AK176" s="891"/>
      <c r="AL176" s="18"/>
      <c r="AM176" s="889"/>
      <c r="AN176" s="891"/>
      <c r="AO176" s="888"/>
      <c r="AP176" s="891"/>
      <c r="AQ176" s="891"/>
      <c r="AR176" s="889"/>
      <c r="AS176" s="888"/>
      <c r="AT176" s="888"/>
      <c r="AU176" s="890"/>
      <c r="AV176" s="888"/>
      <c r="AW176" s="888"/>
      <c r="AX176" s="888"/>
      <c r="AY176" s="887"/>
      <c r="AZ176" s="888"/>
      <c r="BA176" s="17">
        <f t="shared" si="775"/>
        <v>14.399999999999991</v>
      </c>
      <c r="BB176" s="17">
        <f t="shared" si="776"/>
        <v>37.799999999999997</v>
      </c>
      <c r="BC176" s="17">
        <f t="shared" si="777"/>
        <v>32</v>
      </c>
      <c r="BD176" s="17">
        <f t="shared" si="778"/>
        <v>85</v>
      </c>
      <c r="BE176" s="17">
        <f t="shared" si="779"/>
        <v>180.86341983910182</v>
      </c>
      <c r="BF176" s="17">
        <f t="shared" si="780"/>
        <v>24</v>
      </c>
      <c r="BG176" s="17">
        <f t="shared" si="781"/>
        <v>50</v>
      </c>
      <c r="BH176" s="17">
        <f t="shared" si="782"/>
        <v>65.062647806544774</v>
      </c>
      <c r="BI176" s="17">
        <f t="shared" si="783"/>
        <v>115.80077203255705</v>
      </c>
      <c r="BJ176" s="17">
        <f t="shared" si="784"/>
        <v>45</v>
      </c>
      <c r="BK176" s="17">
        <f t="shared" si="785"/>
        <v>85</v>
      </c>
      <c r="BL176" s="17">
        <f t="shared" si="786"/>
        <v>380.54120080897206</v>
      </c>
      <c r="BM176" s="17">
        <f t="shared" si="787"/>
        <v>24</v>
      </c>
      <c r="BN176" s="17">
        <f t="shared" si="788"/>
        <v>50</v>
      </c>
      <c r="BO176" s="17">
        <f t="shared" si="789"/>
        <v>65.062647806544774</v>
      </c>
      <c r="BP176" s="17">
        <f t="shared" si="790"/>
        <v>315.4785530024273</v>
      </c>
      <c r="BQ176" s="17">
        <f t="shared" si="791"/>
        <v>5007.6351359999999</v>
      </c>
      <c r="BR176" s="17">
        <f t="shared" si="792"/>
        <v>1907.670527999999</v>
      </c>
      <c r="BS176" s="17">
        <f t="shared" si="793"/>
        <v>561.98188799999969</v>
      </c>
      <c r="BT176" s="17">
        <f t="shared" si="794"/>
        <v>1475.202456</v>
      </c>
      <c r="BU176" s="17">
        <f t="shared" si="795"/>
        <v>23269.68</v>
      </c>
      <c r="BV176" s="17">
        <f t="shared" si="796"/>
        <v>3412</v>
      </c>
      <c r="BW176" s="17">
        <f t="shared" si="797"/>
        <v>517.83855759999994</v>
      </c>
      <c r="BX176" s="17">
        <f t="shared" si="798"/>
        <v>17495.999999999989</v>
      </c>
      <c r="BY176" s="17">
        <f t="shared" si="799"/>
        <v>5574.1409921433597</v>
      </c>
      <c r="BZ176" s="17"/>
      <c r="CA176" s="17">
        <f t="shared" si="800"/>
        <v>85810.166416660228</v>
      </c>
      <c r="CB176" s="17">
        <f t="shared" si="801"/>
        <v>241341.0930468569</v>
      </c>
      <c r="CC176" s="17">
        <f t="shared" si="802"/>
        <v>29291.468631549415</v>
      </c>
      <c r="CD176" s="17">
        <f t="shared" si="803"/>
        <v>263623.21768394468</v>
      </c>
      <c r="CE176" s="17">
        <f t="shared" si="804"/>
        <v>55277.294685743349</v>
      </c>
      <c r="CF176" s="17">
        <f t="shared" si="805"/>
        <v>620065.94577901112</v>
      </c>
      <c r="CG176" s="17">
        <f t="shared" si="806"/>
        <v>675343.24046475452</v>
      </c>
      <c r="CH176" s="17">
        <f t="shared" si="807"/>
        <v>14.400000000000006</v>
      </c>
      <c r="CI176" s="17">
        <f t="shared" si="808"/>
        <v>-43.2</v>
      </c>
      <c r="CJ176" s="17">
        <f t="shared" si="809"/>
        <v>16</v>
      </c>
      <c r="CK176" s="17">
        <f t="shared" si="810"/>
        <v>90</v>
      </c>
      <c r="CL176" s="17">
        <f t="shared" si="811"/>
        <v>71.46880726181422</v>
      </c>
      <c r="CM176" s="17">
        <f t="shared" si="812"/>
        <v>24</v>
      </c>
      <c r="CN176" s="17">
        <f t="shared" si="813"/>
        <v>50</v>
      </c>
      <c r="CO176" s="17">
        <f t="shared" si="814"/>
        <v>65.062647806544774</v>
      </c>
      <c r="CP176" s="17">
        <f t="shared" si="815"/>
        <v>6.4061594552694459</v>
      </c>
      <c r="CQ176" s="17">
        <f t="shared" si="816"/>
        <v>0</v>
      </c>
      <c r="CR176" s="17">
        <f t="shared" si="817"/>
        <v>100</v>
      </c>
      <c r="CS176" s="17">
        <f t="shared" si="818"/>
        <v>26.404773030064671</v>
      </c>
      <c r="CT176" s="17">
        <f t="shared" si="819"/>
        <v>24</v>
      </c>
      <c r="CU176" s="17">
        <f t="shared" si="820"/>
        <v>50</v>
      </c>
      <c r="CV176" s="17">
        <f t="shared" si="821"/>
        <v>65.062647806544774</v>
      </c>
      <c r="CW176" s="17">
        <f t="shared" si="822"/>
        <v>-38.657874776480099</v>
      </c>
      <c r="CX176" s="17">
        <f t="shared" si="760"/>
        <v>-5723.0115840000008</v>
      </c>
      <c r="CY176" s="17">
        <f t="shared" si="760"/>
        <v>-5723.0115840000008</v>
      </c>
      <c r="CZ176" s="17">
        <f t="shared" si="823"/>
        <v>561.98188800000014</v>
      </c>
      <c r="DA176" s="17">
        <f t="shared" si="824"/>
        <v>-1685.9456640000001</v>
      </c>
      <c r="DB176" s="17">
        <f t="shared" si="825"/>
        <v>-26593.920000000002</v>
      </c>
      <c r="DC176" s="17">
        <f t="shared" si="826"/>
        <v>3412</v>
      </c>
      <c r="DD176" s="17">
        <f t="shared" si="827"/>
        <v>517.83855759999994</v>
      </c>
      <c r="DE176" s="17">
        <f t="shared" si="828"/>
        <v>17496.000000000007</v>
      </c>
      <c r="DF176" s="17">
        <f t="shared" si="829"/>
        <v>-6370.4468481638405</v>
      </c>
      <c r="DG176" s="17"/>
      <c r="DH176" s="17">
        <f t="shared" si="830"/>
        <v>-10514.941939202587</v>
      </c>
      <c r="DI176" s="17">
        <f t="shared" si="831"/>
        <v>-29573.274204007277</v>
      </c>
      <c r="DJ176" s="17">
        <f t="shared" si="832"/>
        <v>-3589.2960570569112</v>
      </c>
      <c r="DK176" s="17">
        <f t="shared" si="833"/>
        <v>5353.1764759348434</v>
      </c>
      <c r="DL176" s="17">
        <f t="shared" si="834"/>
        <v>-18385.503650563835</v>
      </c>
      <c r="DM176" s="17">
        <f t="shared" si="835"/>
        <v>-38324.335724331933</v>
      </c>
      <c r="DN176" s="17">
        <f t="shared" si="836"/>
        <v>-56709.839374895768</v>
      </c>
    </row>
    <row r="177" spans="3:120" ht="18.600000000000001">
      <c r="C177" s="13">
        <f>IF(D177&lt;&gt;"",COUNTA($D$10:D177),"")</f>
        <v>144</v>
      </c>
      <c r="D177" s="14" t="s">
        <v>207</v>
      </c>
      <c r="E177" s="14">
        <v>1.9</v>
      </c>
      <c r="F177" s="14">
        <v>2.4</v>
      </c>
      <c r="G177" s="14">
        <v>2.4</v>
      </c>
      <c r="H177" s="14">
        <v>3</v>
      </c>
      <c r="I177" s="14">
        <v>2</v>
      </c>
      <c r="J177" s="14">
        <v>1.75</v>
      </c>
      <c r="K177" s="14">
        <v>3</v>
      </c>
      <c r="L177" s="15">
        <v>0.1</v>
      </c>
      <c r="M177" s="15">
        <v>0</v>
      </c>
      <c r="N177" s="14">
        <v>24</v>
      </c>
      <c r="O177" s="14">
        <v>50</v>
      </c>
      <c r="P177" s="13">
        <v>45</v>
      </c>
      <c r="Q177" s="13">
        <v>85</v>
      </c>
      <c r="R177" s="13" t="s">
        <v>17</v>
      </c>
      <c r="S177" s="13">
        <v>120</v>
      </c>
      <c r="T177" s="13">
        <v>0</v>
      </c>
      <c r="U177" s="13">
        <v>100</v>
      </c>
      <c r="V177" s="13" t="str">
        <f t="shared" si="761"/>
        <v>ISO 6</v>
      </c>
      <c r="W177" s="13">
        <f t="shared" si="762"/>
        <v>120</v>
      </c>
      <c r="X177" s="16">
        <f t="shared" si="763"/>
        <v>49.065599999999996</v>
      </c>
      <c r="Y177" s="16">
        <f t="shared" si="764"/>
        <v>386.24440319999997</v>
      </c>
      <c r="Z177" s="16">
        <f t="shared" si="765"/>
        <v>772.48880639999993</v>
      </c>
      <c r="AA177" s="16">
        <f t="shared" si="766"/>
        <v>77.248880639999996</v>
      </c>
      <c r="AB177" s="16">
        <f t="shared" si="767"/>
        <v>0</v>
      </c>
      <c r="AC177" s="16">
        <f t="shared" si="768"/>
        <v>7.1062873734080432</v>
      </c>
      <c r="AD177" s="16">
        <f t="shared" si="769"/>
        <v>2500</v>
      </c>
      <c r="AE177" s="16">
        <f t="shared" si="770"/>
        <v>2500</v>
      </c>
      <c r="AF177" s="16">
        <f t="shared" si="771"/>
        <v>16</v>
      </c>
      <c r="AG177" s="16">
        <f t="shared" si="772"/>
        <v>6.5</v>
      </c>
      <c r="AH177" s="838" t="s">
        <v>85</v>
      </c>
      <c r="AI177" s="17">
        <f t="shared" si="773"/>
        <v>6</v>
      </c>
      <c r="AJ177" s="17">
        <f t="shared" si="774"/>
        <v>6.5</v>
      </c>
      <c r="AK177" s="891"/>
      <c r="AL177" s="18"/>
      <c r="AM177" s="889"/>
      <c r="AN177" s="891"/>
      <c r="AO177" s="888"/>
      <c r="AP177" s="891"/>
      <c r="AQ177" s="891"/>
      <c r="AR177" s="889"/>
      <c r="AS177" s="888"/>
      <c r="AT177" s="888"/>
      <c r="AU177" s="890"/>
      <c r="AV177" s="888"/>
      <c r="AW177" s="888"/>
      <c r="AX177" s="888"/>
      <c r="AY177" s="887"/>
      <c r="AZ177" s="888"/>
      <c r="BA177" s="17">
        <f t="shared" si="775"/>
        <v>14.399999999999991</v>
      </c>
      <c r="BB177" s="17">
        <f t="shared" si="776"/>
        <v>37.799999999999997</v>
      </c>
      <c r="BC177" s="17">
        <f t="shared" si="777"/>
        <v>32</v>
      </c>
      <c r="BD177" s="17">
        <f t="shared" si="778"/>
        <v>85</v>
      </c>
      <c r="BE177" s="17">
        <f t="shared" si="779"/>
        <v>180.86341983910182</v>
      </c>
      <c r="BF177" s="17">
        <f t="shared" si="780"/>
        <v>24</v>
      </c>
      <c r="BG177" s="17">
        <f t="shared" si="781"/>
        <v>50</v>
      </c>
      <c r="BH177" s="17">
        <f t="shared" si="782"/>
        <v>65.062647806544774</v>
      </c>
      <c r="BI177" s="17">
        <f t="shared" si="783"/>
        <v>115.80077203255705</v>
      </c>
      <c r="BJ177" s="17">
        <f t="shared" si="784"/>
        <v>45</v>
      </c>
      <c r="BK177" s="17">
        <f t="shared" si="785"/>
        <v>85</v>
      </c>
      <c r="BL177" s="17">
        <f t="shared" si="786"/>
        <v>380.54120080897206</v>
      </c>
      <c r="BM177" s="17">
        <f t="shared" si="787"/>
        <v>24</v>
      </c>
      <c r="BN177" s="17">
        <f t="shared" si="788"/>
        <v>50</v>
      </c>
      <c r="BO177" s="17">
        <f t="shared" si="789"/>
        <v>65.062647806544774</v>
      </c>
      <c r="BP177" s="17">
        <f t="shared" si="790"/>
        <v>315.4785530024273</v>
      </c>
      <c r="BQ177" s="17">
        <f t="shared" si="791"/>
        <v>3777.6896639999995</v>
      </c>
      <c r="BR177" s="17">
        <f t="shared" si="792"/>
        <v>1439.1198719999991</v>
      </c>
      <c r="BS177" s="17">
        <f t="shared" si="793"/>
        <v>317.94508799999977</v>
      </c>
      <c r="BT177" s="17">
        <f t="shared" si="794"/>
        <v>834.6058559999999</v>
      </c>
      <c r="BU177" s="17">
        <f t="shared" si="795"/>
        <v>34904.520000000004</v>
      </c>
      <c r="BV177" s="17">
        <f t="shared" si="796"/>
        <v>6824</v>
      </c>
      <c r="BW177" s="17">
        <f t="shared" si="797"/>
        <v>292.97069759999994</v>
      </c>
      <c r="BX177" s="17">
        <f t="shared" si="798"/>
        <v>17495.999999999989</v>
      </c>
      <c r="BY177" s="17">
        <f t="shared" si="799"/>
        <v>3153.6083032473598</v>
      </c>
      <c r="BZ177" s="17"/>
      <c r="CA177" s="17">
        <f t="shared" si="800"/>
        <v>128715.24962499036</v>
      </c>
      <c r="CB177" s="17">
        <f t="shared" si="801"/>
        <v>241341.0930468569</v>
      </c>
      <c r="CC177" s="17">
        <f t="shared" si="802"/>
        <v>16571.848258047805</v>
      </c>
      <c r="CD177" s="17">
        <f t="shared" si="803"/>
        <v>149146.63432243024</v>
      </c>
      <c r="CE177" s="17">
        <f t="shared" si="804"/>
        <v>66448.78866484735</v>
      </c>
      <c r="CF177" s="17">
        <f t="shared" si="805"/>
        <v>535774.82525232527</v>
      </c>
      <c r="CG177" s="17">
        <f t="shared" si="806"/>
        <v>602223.61391717265</v>
      </c>
      <c r="CH177" s="17">
        <f t="shared" si="807"/>
        <v>14.400000000000006</v>
      </c>
      <c r="CI177" s="17">
        <f t="shared" si="808"/>
        <v>-43.2</v>
      </c>
      <c r="CJ177" s="17">
        <f t="shared" si="809"/>
        <v>16</v>
      </c>
      <c r="CK177" s="17">
        <f t="shared" si="810"/>
        <v>90</v>
      </c>
      <c r="CL177" s="17">
        <f t="shared" si="811"/>
        <v>71.46880726181422</v>
      </c>
      <c r="CM177" s="17">
        <f t="shared" si="812"/>
        <v>24</v>
      </c>
      <c r="CN177" s="17">
        <f t="shared" si="813"/>
        <v>50</v>
      </c>
      <c r="CO177" s="17">
        <f t="shared" si="814"/>
        <v>65.062647806544774</v>
      </c>
      <c r="CP177" s="17">
        <f t="shared" si="815"/>
        <v>6.4061594552694459</v>
      </c>
      <c r="CQ177" s="17">
        <f t="shared" si="816"/>
        <v>0</v>
      </c>
      <c r="CR177" s="17">
        <f t="shared" si="817"/>
        <v>100</v>
      </c>
      <c r="CS177" s="17">
        <f t="shared" si="818"/>
        <v>26.404773030064671</v>
      </c>
      <c r="CT177" s="17">
        <f t="shared" si="819"/>
        <v>24</v>
      </c>
      <c r="CU177" s="17">
        <f t="shared" si="820"/>
        <v>50</v>
      </c>
      <c r="CV177" s="17">
        <f t="shared" si="821"/>
        <v>65.062647806544774</v>
      </c>
      <c r="CW177" s="17">
        <f t="shared" si="822"/>
        <v>-38.657874776480099</v>
      </c>
      <c r="CX177" s="17">
        <f t="shared" si="760"/>
        <v>-4317.3596159999997</v>
      </c>
      <c r="CY177" s="17">
        <f t="shared" si="760"/>
        <v>-4317.3596159999997</v>
      </c>
      <c r="CZ177" s="17">
        <f t="shared" si="823"/>
        <v>317.94508800000011</v>
      </c>
      <c r="DA177" s="17">
        <f t="shared" si="824"/>
        <v>-953.83526399999994</v>
      </c>
      <c r="DB177" s="17">
        <f t="shared" si="825"/>
        <v>-39890.880000000005</v>
      </c>
      <c r="DC177" s="17">
        <f t="shared" si="826"/>
        <v>6824</v>
      </c>
      <c r="DD177" s="17">
        <f t="shared" si="827"/>
        <v>292.97069759999994</v>
      </c>
      <c r="DE177" s="17">
        <f t="shared" si="828"/>
        <v>17496.000000000007</v>
      </c>
      <c r="DF177" s="17">
        <f t="shared" si="829"/>
        <v>-3604.1237751398403</v>
      </c>
      <c r="DG177" s="17"/>
      <c r="DH177" s="17">
        <f t="shared" si="830"/>
        <v>-15772.412908803883</v>
      </c>
      <c r="DI177" s="17">
        <f t="shared" si="831"/>
        <v>-29573.274204007277</v>
      </c>
      <c r="DJ177" s="17">
        <f t="shared" si="832"/>
        <v>-2030.6687369949768</v>
      </c>
      <c r="DK177" s="17">
        <f t="shared" si="833"/>
        <v>3028.5961203800107</v>
      </c>
      <c r="DL177" s="17">
        <f t="shared" si="834"/>
        <v>-23835.282869539838</v>
      </c>
      <c r="DM177" s="17">
        <f t="shared" si="835"/>
        <v>-44347.759729426129</v>
      </c>
      <c r="DN177" s="17">
        <f t="shared" si="836"/>
        <v>-68183.042598965971</v>
      </c>
    </row>
    <row r="178" spans="3:120" ht="18.600000000000001">
      <c r="C178" s="13">
        <f>IF(D178&lt;&gt;"",COUNTA($D$10:D178),"")</f>
        <v>145</v>
      </c>
      <c r="D178" s="14" t="s">
        <v>208</v>
      </c>
      <c r="E178" s="14">
        <v>3</v>
      </c>
      <c r="F178" s="14">
        <v>2.9</v>
      </c>
      <c r="G178" s="14">
        <v>2.4</v>
      </c>
      <c r="H178" s="14">
        <v>2</v>
      </c>
      <c r="I178" s="14">
        <v>1</v>
      </c>
      <c r="J178" s="14">
        <v>1.75</v>
      </c>
      <c r="K178" s="14">
        <v>3</v>
      </c>
      <c r="L178" s="15">
        <v>0.1</v>
      </c>
      <c r="M178" s="15">
        <v>0</v>
      </c>
      <c r="N178" s="14">
        <v>24</v>
      </c>
      <c r="O178" s="14">
        <v>50</v>
      </c>
      <c r="P178" s="13">
        <v>45</v>
      </c>
      <c r="Q178" s="13">
        <v>85</v>
      </c>
      <c r="R178" s="13" t="s">
        <v>17</v>
      </c>
      <c r="S178" s="13">
        <v>120</v>
      </c>
      <c r="T178" s="13">
        <v>0</v>
      </c>
      <c r="U178" s="13">
        <v>100</v>
      </c>
      <c r="V178" s="13" t="str">
        <f t="shared" si="761"/>
        <v>ISO 6</v>
      </c>
      <c r="W178" s="13">
        <f t="shared" si="762"/>
        <v>120</v>
      </c>
      <c r="X178" s="16">
        <f t="shared" si="763"/>
        <v>93.611999999999995</v>
      </c>
      <c r="Y178" s="16">
        <f t="shared" si="764"/>
        <v>736.91366399999993</v>
      </c>
      <c r="Z178" s="16">
        <f t="shared" si="765"/>
        <v>1473.8273279999999</v>
      </c>
      <c r="AA178" s="16">
        <f t="shared" si="766"/>
        <v>147.38273279999999</v>
      </c>
      <c r="AB178" s="16">
        <f t="shared" si="767"/>
        <v>0</v>
      </c>
      <c r="AC178" s="16">
        <f t="shared" si="768"/>
        <v>13.558048278212716</v>
      </c>
      <c r="AD178" s="16">
        <f>IF(ISNUMBER(N178), CEILING(CF178/(0.68*BP178),25), "Ambient")</f>
        <v>3000</v>
      </c>
      <c r="AE178" s="16">
        <f t="shared" si="770"/>
        <v>3000</v>
      </c>
      <c r="AF178" s="16">
        <f t="shared" si="771"/>
        <v>18</v>
      </c>
      <c r="AG178" s="16">
        <f t="shared" si="772"/>
        <v>7.5</v>
      </c>
      <c r="AH178" s="838" t="s">
        <v>85</v>
      </c>
      <c r="AI178" s="17">
        <f t="shared" si="773"/>
        <v>5</v>
      </c>
      <c r="AJ178" s="17">
        <f t="shared" si="774"/>
        <v>7.5</v>
      </c>
      <c r="AK178" s="891"/>
      <c r="AL178" s="18"/>
      <c r="AM178" s="889"/>
      <c r="AN178" s="891"/>
      <c r="AO178" s="888"/>
      <c r="AP178" s="891"/>
      <c r="AQ178" s="891"/>
      <c r="AR178" s="889"/>
      <c r="AS178" s="888"/>
      <c r="AT178" s="888"/>
      <c r="AU178" s="890"/>
      <c r="AV178" s="888"/>
      <c r="AW178" s="888"/>
      <c r="AX178" s="888"/>
      <c r="AY178" s="887"/>
      <c r="AZ178" s="888"/>
      <c r="BA178" s="17">
        <f t="shared" si="775"/>
        <v>14.399999999999991</v>
      </c>
      <c r="BB178" s="17">
        <f t="shared" si="776"/>
        <v>37.799999999999997</v>
      </c>
      <c r="BC178" s="17">
        <f t="shared" si="777"/>
        <v>32</v>
      </c>
      <c r="BD178" s="17">
        <f t="shared" si="778"/>
        <v>85</v>
      </c>
      <c r="BE178" s="17">
        <f t="shared" si="779"/>
        <v>180.86341983910182</v>
      </c>
      <c r="BF178" s="17">
        <f t="shared" si="780"/>
        <v>24</v>
      </c>
      <c r="BG178" s="17">
        <f t="shared" si="781"/>
        <v>50</v>
      </c>
      <c r="BH178" s="17">
        <f t="shared" si="782"/>
        <v>65.062647806544774</v>
      </c>
      <c r="BI178" s="17">
        <f t="shared" si="783"/>
        <v>115.80077203255705</v>
      </c>
      <c r="BJ178" s="17">
        <f t="shared" si="784"/>
        <v>45</v>
      </c>
      <c r="BK178" s="17">
        <f t="shared" si="785"/>
        <v>85</v>
      </c>
      <c r="BL178" s="17">
        <f t="shared" si="786"/>
        <v>380.54120080897206</v>
      </c>
      <c r="BM178" s="17">
        <f t="shared" si="787"/>
        <v>24</v>
      </c>
      <c r="BN178" s="17">
        <f t="shared" si="788"/>
        <v>50</v>
      </c>
      <c r="BO178" s="17">
        <f t="shared" si="789"/>
        <v>65.062647806544774</v>
      </c>
      <c r="BP178" s="17">
        <f t="shared" si="790"/>
        <v>315.4785530024273</v>
      </c>
      <c r="BQ178" s="17">
        <f t="shared" si="791"/>
        <v>5183.3416319999997</v>
      </c>
      <c r="BR178" s="17">
        <f t="shared" si="792"/>
        <v>1974.6063359999991</v>
      </c>
      <c r="BS178" s="17">
        <f t="shared" si="793"/>
        <v>606.60575999999958</v>
      </c>
      <c r="BT178" s="17">
        <f t="shared" si="794"/>
        <v>1592.3401199999998</v>
      </c>
      <c r="BU178" s="17">
        <f t="shared" si="795"/>
        <v>23269.68</v>
      </c>
      <c r="BV178" s="17">
        <f t="shared" si="796"/>
        <v>3412</v>
      </c>
      <c r="BW178" s="17">
        <f t="shared" si="797"/>
        <v>558.95725199999993</v>
      </c>
      <c r="BX178" s="17">
        <f t="shared" si="798"/>
        <v>17495.999999999989</v>
      </c>
      <c r="BY178" s="17">
        <f t="shared" si="799"/>
        <v>6016.7526838271997</v>
      </c>
      <c r="BZ178" s="17"/>
      <c r="CA178" s="17">
        <f t="shared" si="800"/>
        <v>85810.166416660228</v>
      </c>
      <c r="CB178" s="17">
        <f t="shared" si="801"/>
        <v>241341.0930468569</v>
      </c>
      <c r="CC178" s="17">
        <f t="shared" si="802"/>
        <v>31617.34207127542</v>
      </c>
      <c r="CD178" s="17">
        <f t="shared" si="803"/>
        <v>284556.07864147879</v>
      </c>
      <c r="CE178" s="17">
        <f t="shared" si="804"/>
        <v>55936.731567827192</v>
      </c>
      <c r="CF178" s="17">
        <f t="shared" si="805"/>
        <v>643324.68017627136</v>
      </c>
      <c r="CG178" s="17">
        <f t="shared" si="806"/>
        <v>699261.41174409853</v>
      </c>
      <c r="CH178" s="17">
        <f t="shared" si="807"/>
        <v>14.400000000000006</v>
      </c>
      <c r="CI178" s="17">
        <f t="shared" si="808"/>
        <v>-43.2</v>
      </c>
      <c r="CJ178" s="17">
        <f t="shared" si="809"/>
        <v>16</v>
      </c>
      <c r="CK178" s="17">
        <f t="shared" si="810"/>
        <v>90</v>
      </c>
      <c r="CL178" s="17">
        <f t="shared" si="811"/>
        <v>71.46880726181422</v>
      </c>
      <c r="CM178" s="17">
        <f t="shared" si="812"/>
        <v>24</v>
      </c>
      <c r="CN178" s="17">
        <f t="shared" si="813"/>
        <v>50</v>
      </c>
      <c r="CO178" s="17">
        <f t="shared" si="814"/>
        <v>65.062647806544774</v>
      </c>
      <c r="CP178" s="17">
        <f t="shared" si="815"/>
        <v>6.4061594552694459</v>
      </c>
      <c r="CQ178" s="17">
        <f t="shared" si="816"/>
        <v>0</v>
      </c>
      <c r="CR178" s="17">
        <f t="shared" si="817"/>
        <v>100</v>
      </c>
      <c r="CS178" s="17">
        <f t="shared" si="818"/>
        <v>26.404773030064671</v>
      </c>
      <c r="CT178" s="17">
        <f t="shared" si="819"/>
        <v>24</v>
      </c>
      <c r="CU178" s="17">
        <f t="shared" si="820"/>
        <v>50</v>
      </c>
      <c r="CV178" s="17">
        <f t="shared" si="821"/>
        <v>65.062647806544774</v>
      </c>
      <c r="CW178" s="17">
        <f t="shared" si="822"/>
        <v>-38.657874776480099</v>
      </c>
      <c r="CX178" s="17">
        <f t="shared" si="760"/>
        <v>-5923.8190080000013</v>
      </c>
      <c r="CY178" s="17">
        <f t="shared" si="760"/>
        <v>-5923.8190080000013</v>
      </c>
      <c r="CZ178" s="17">
        <f t="shared" si="823"/>
        <v>606.60576000000026</v>
      </c>
      <c r="DA178" s="17">
        <f t="shared" si="824"/>
        <v>-1819.81728</v>
      </c>
      <c r="DB178" s="17">
        <f t="shared" si="825"/>
        <v>-26593.920000000002</v>
      </c>
      <c r="DC178" s="17">
        <f t="shared" si="826"/>
        <v>3412</v>
      </c>
      <c r="DD178" s="17">
        <f t="shared" si="827"/>
        <v>558.95725199999993</v>
      </c>
      <c r="DE178" s="17">
        <f t="shared" si="828"/>
        <v>17496.000000000007</v>
      </c>
      <c r="DF178" s="17">
        <f t="shared" si="829"/>
        <v>-6876.2887815168006</v>
      </c>
      <c r="DG178" s="17"/>
      <c r="DH178" s="17">
        <f t="shared" si="830"/>
        <v>-10514.941939202587</v>
      </c>
      <c r="DI178" s="17">
        <f t="shared" si="831"/>
        <v>-29573.274204007277</v>
      </c>
      <c r="DJ178" s="17">
        <f t="shared" si="832"/>
        <v>-3874.3021955825216</v>
      </c>
      <c r="DK178" s="17">
        <f t="shared" si="833"/>
        <v>5778.2425980934422</v>
      </c>
      <c r="DL178" s="17">
        <f t="shared" si="834"/>
        <v>-19140.282057516793</v>
      </c>
      <c r="DM178" s="17">
        <f t="shared" si="835"/>
        <v>-38184.275740698948</v>
      </c>
      <c r="DN178" s="17">
        <f t="shared" si="836"/>
        <v>-57324.557798215741</v>
      </c>
    </row>
    <row r="179" spans="3:120" ht="18.600000000000001">
      <c r="C179" s="13">
        <f>IF(D179&lt;&gt;"",COUNTA($D$10:D179),"")</f>
        <v>146</v>
      </c>
      <c r="D179" s="14" t="s">
        <v>209</v>
      </c>
      <c r="E179" s="14">
        <v>2.4</v>
      </c>
      <c r="F179" s="14">
        <v>2</v>
      </c>
      <c r="G179" s="14">
        <v>2.4</v>
      </c>
      <c r="H179" s="14">
        <v>2</v>
      </c>
      <c r="I179" s="14">
        <v>1</v>
      </c>
      <c r="J179" s="14">
        <v>1.75</v>
      </c>
      <c r="K179" s="14">
        <v>3</v>
      </c>
      <c r="L179" s="15">
        <v>0.1</v>
      </c>
      <c r="M179" s="15">
        <v>0</v>
      </c>
      <c r="N179" s="14">
        <v>24</v>
      </c>
      <c r="O179" s="14">
        <v>50</v>
      </c>
      <c r="P179" s="13">
        <v>45</v>
      </c>
      <c r="Q179" s="13">
        <v>85</v>
      </c>
      <c r="R179" s="13" t="s">
        <v>17</v>
      </c>
      <c r="S179" s="13">
        <v>120</v>
      </c>
      <c r="T179" s="13">
        <v>0</v>
      </c>
      <c r="U179" s="13">
        <v>100</v>
      </c>
      <c r="V179" s="13" t="str">
        <f t="shared" si="761"/>
        <v>ISO 6</v>
      </c>
      <c r="W179" s="13">
        <f t="shared" si="762"/>
        <v>120</v>
      </c>
      <c r="X179" s="16">
        <f t="shared" si="763"/>
        <v>51.647999999999996</v>
      </c>
      <c r="Y179" s="16">
        <f t="shared" si="764"/>
        <v>406.57305599999995</v>
      </c>
      <c r="Z179" s="16">
        <f t="shared" si="765"/>
        <v>813.1461119999999</v>
      </c>
      <c r="AA179" s="16">
        <f t="shared" si="766"/>
        <v>81.314611200000002</v>
      </c>
      <c r="AB179" s="16">
        <f t="shared" si="767"/>
        <v>0</v>
      </c>
      <c r="AC179" s="16">
        <f t="shared" si="768"/>
        <v>7.4803024983242565</v>
      </c>
      <c r="AD179" s="16">
        <f t="shared" ref="AD179:AD185" si="837">IF(ISNUMBER(N179), CEILING(CF179/(0.68*BP179),25), "Ambient")</f>
        <v>2350</v>
      </c>
      <c r="AE179" s="16">
        <f t="shared" si="770"/>
        <v>2350</v>
      </c>
      <c r="AF179" s="16">
        <f t="shared" si="771"/>
        <v>14</v>
      </c>
      <c r="AG179" s="16">
        <f t="shared" si="772"/>
        <v>6</v>
      </c>
      <c r="AH179" s="838" t="s">
        <v>85</v>
      </c>
      <c r="AI179" s="17">
        <f t="shared" si="773"/>
        <v>4.5</v>
      </c>
      <c r="AJ179" s="17">
        <f t="shared" si="774"/>
        <v>6</v>
      </c>
      <c r="AK179" s="891"/>
      <c r="AL179" s="174">
        <f>IF(AN170&lt;=315,1600,(IF(AN170=355,1650,(IF(AN170=400,1650,(IF(AN170=450,1700,(IF(AN170=500,1700,(IF(AN170=560,1800,(IF(AN170=630,2000,(IF(AN170=710,2200,2500)))))))))))))))+IF(AR170=2,1800,(IF(AR170=3,2300,(IF(AR170=4,3300,0)))))+IF(AP170&lt;=4,600,(IF(AP170&lt;=6,800,(IF(AP170&lt;=8,1000,1200)))))</f>
        <v>5400</v>
      </c>
      <c r="AM179" s="889"/>
      <c r="AN179" s="891"/>
      <c r="AO179" s="888"/>
      <c r="AP179" s="891"/>
      <c r="AQ179" s="891"/>
      <c r="AR179" s="889"/>
      <c r="AS179" s="888"/>
      <c r="AT179" s="888"/>
      <c r="AU179" s="890"/>
      <c r="AV179" s="888"/>
      <c r="AW179" s="888"/>
      <c r="AX179" s="888"/>
      <c r="AY179" s="887"/>
      <c r="AZ179" s="888"/>
      <c r="BA179" s="17">
        <f t="shared" si="775"/>
        <v>14.399999999999991</v>
      </c>
      <c r="BB179" s="17">
        <f t="shared" si="776"/>
        <v>37.799999999999997</v>
      </c>
      <c r="BC179" s="17">
        <f t="shared" si="777"/>
        <v>32</v>
      </c>
      <c r="BD179" s="17">
        <f t="shared" si="778"/>
        <v>85</v>
      </c>
      <c r="BE179" s="17">
        <f t="shared" si="779"/>
        <v>180.86341983910182</v>
      </c>
      <c r="BF179" s="17">
        <f t="shared" si="780"/>
        <v>24</v>
      </c>
      <c r="BG179" s="17">
        <f t="shared" si="781"/>
        <v>50</v>
      </c>
      <c r="BH179" s="17">
        <f t="shared" si="782"/>
        <v>65.062647806544774</v>
      </c>
      <c r="BI179" s="17">
        <f t="shared" si="783"/>
        <v>115.80077203255705</v>
      </c>
      <c r="BJ179" s="17">
        <f t="shared" si="784"/>
        <v>45</v>
      </c>
      <c r="BK179" s="17">
        <f t="shared" si="785"/>
        <v>85</v>
      </c>
      <c r="BL179" s="17">
        <f t="shared" si="786"/>
        <v>380.54120080897206</v>
      </c>
      <c r="BM179" s="17">
        <f t="shared" si="787"/>
        <v>24</v>
      </c>
      <c r="BN179" s="17">
        <f t="shared" si="788"/>
        <v>50</v>
      </c>
      <c r="BO179" s="17">
        <f t="shared" si="789"/>
        <v>65.062647806544774</v>
      </c>
      <c r="BP179" s="17">
        <f t="shared" si="790"/>
        <v>315.4785530024273</v>
      </c>
      <c r="BQ179" s="17">
        <f t="shared" si="791"/>
        <v>3865.5429119999999</v>
      </c>
      <c r="BR179" s="17">
        <f t="shared" si="792"/>
        <v>1472.5877759999992</v>
      </c>
      <c r="BS179" s="17">
        <f t="shared" si="793"/>
        <v>334.67903999999976</v>
      </c>
      <c r="BT179" s="17">
        <f t="shared" si="794"/>
        <v>878.53247999999996</v>
      </c>
      <c r="BU179" s="17">
        <f t="shared" si="795"/>
        <v>23269.68</v>
      </c>
      <c r="BV179" s="17">
        <f t="shared" si="796"/>
        <v>3412</v>
      </c>
      <c r="BW179" s="17">
        <f t="shared" si="797"/>
        <v>308.39020799999997</v>
      </c>
      <c r="BX179" s="17">
        <f t="shared" si="798"/>
        <v>17495.999999999989</v>
      </c>
      <c r="BY179" s="17">
        <f t="shared" si="799"/>
        <v>3319.5876876287998</v>
      </c>
      <c r="BZ179" s="17"/>
      <c r="CA179" s="17">
        <f t="shared" si="800"/>
        <v>85810.166416660228</v>
      </c>
      <c r="CB179" s="17">
        <f t="shared" si="801"/>
        <v>241341.0930468569</v>
      </c>
      <c r="CC179" s="17">
        <f t="shared" si="802"/>
        <v>17444.050797945059</v>
      </c>
      <c r="CD179" s="17">
        <f t="shared" si="803"/>
        <v>156996.45718150554</v>
      </c>
      <c r="CE179" s="17">
        <f t="shared" si="804"/>
        <v>51671.200807628797</v>
      </c>
      <c r="CF179" s="17">
        <f t="shared" si="805"/>
        <v>501591.76744296774</v>
      </c>
      <c r="CG179" s="17">
        <f t="shared" si="806"/>
        <v>553262.96825059655</v>
      </c>
      <c r="CH179" s="17">
        <f t="shared" si="807"/>
        <v>14.400000000000006</v>
      </c>
      <c r="CI179" s="17">
        <f t="shared" si="808"/>
        <v>-43.2</v>
      </c>
      <c r="CJ179" s="17">
        <f t="shared" si="809"/>
        <v>16</v>
      </c>
      <c r="CK179" s="17">
        <f t="shared" si="810"/>
        <v>90</v>
      </c>
      <c r="CL179" s="17">
        <f t="shared" si="811"/>
        <v>71.46880726181422</v>
      </c>
      <c r="CM179" s="17">
        <f t="shared" si="812"/>
        <v>24</v>
      </c>
      <c r="CN179" s="17">
        <f t="shared" si="813"/>
        <v>50</v>
      </c>
      <c r="CO179" s="17">
        <f t="shared" si="814"/>
        <v>65.062647806544774</v>
      </c>
      <c r="CP179" s="17">
        <f t="shared" si="815"/>
        <v>6.4061594552694459</v>
      </c>
      <c r="CQ179" s="17">
        <f t="shared" si="816"/>
        <v>0</v>
      </c>
      <c r="CR179" s="17">
        <f t="shared" si="817"/>
        <v>100</v>
      </c>
      <c r="CS179" s="17">
        <f t="shared" si="818"/>
        <v>26.404773030064671</v>
      </c>
      <c r="CT179" s="17">
        <f t="shared" si="819"/>
        <v>24</v>
      </c>
      <c r="CU179" s="17">
        <f t="shared" si="820"/>
        <v>50</v>
      </c>
      <c r="CV179" s="17">
        <f t="shared" si="821"/>
        <v>65.062647806544774</v>
      </c>
      <c r="CW179" s="17">
        <f t="shared" si="822"/>
        <v>-38.657874776480099</v>
      </c>
      <c r="CX179" s="17">
        <f t="shared" si="760"/>
        <v>-4417.7633280000009</v>
      </c>
      <c r="CY179" s="17">
        <f t="shared" si="760"/>
        <v>-4417.7633280000009</v>
      </c>
      <c r="CZ179" s="17">
        <f t="shared" si="823"/>
        <v>334.67904000000016</v>
      </c>
      <c r="DA179" s="17">
        <f t="shared" si="824"/>
        <v>-1004.0371200000001</v>
      </c>
      <c r="DB179" s="17">
        <f t="shared" si="825"/>
        <v>-26593.920000000002</v>
      </c>
      <c r="DC179" s="17">
        <f t="shared" si="826"/>
        <v>3412</v>
      </c>
      <c r="DD179" s="17">
        <f t="shared" si="827"/>
        <v>308.39020799999997</v>
      </c>
      <c r="DE179" s="17">
        <f t="shared" si="828"/>
        <v>17496.000000000007</v>
      </c>
      <c r="DF179" s="17">
        <f t="shared" si="829"/>
        <v>-3793.8145001472003</v>
      </c>
      <c r="DG179" s="17"/>
      <c r="DH179" s="17">
        <f t="shared" si="830"/>
        <v>-10514.941939202587</v>
      </c>
      <c r="DI179" s="17">
        <f t="shared" si="831"/>
        <v>-29573.274204007277</v>
      </c>
      <c r="DJ179" s="17">
        <f t="shared" si="832"/>
        <v>-2137.5460389420814</v>
      </c>
      <c r="DK179" s="17">
        <f t="shared" si="833"/>
        <v>3187.9959161894853</v>
      </c>
      <c r="DL179" s="17">
        <f t="shared" si="834"/>
        <v>-14258.465700147197</v>
      </c>
      <c r="DM179" s="17">
        <f t="shared" si="835"/>
        <v>-39037.766265962462</v>
      </c>
      <c r="DN179" s="17">
        <f t="shared" si="836"/>
        <v>-53296.231966109655</v>
      </c>
    </row>
    <row r="180" spans="3:120" ht="18.600000000000001">
      <c r="C180" s="13">
        <f>IF(D180&lt;&gt;"",COUNTA($D$10:D180),"")</f>
        <v>147</v>
      </c>
      <c r="D180" s="14" t="s">
        <v>210</v>
      </c>
      <c r="E180" s="14">
        <v>2.1</v>
      </c>
      <c r="F180" s="14">
        <v>1.8</v>
      </c>
      <c r="G180" s="14">
        <v>2.4</v>
      </c>
      <c r="H180" s="14">
        <v>2</v>
      </c>
      <c r="I180" s="14">
        <v>1</v>
      </c>
      <c r="J180" s="14">
        <v>1.75</v>
      </c>
      <c r="K180" s="14">
        <v>3</v>
      </c>
      <c r="L180" s="15">
        <v>0.1</v>
      </c>
      <c r="M180" s="15">
        <v>0</v>
      </c>
      <c r="N180" s="14">
        <v>24</v>
      </c>
      <c r="O180" s="14">
        <v>50</v>
      </c>
      <c r="P180" s="13">
        <v>45</v>
      </c>
      <c r="Q180" s="13">
        <v>85</v>
      </c>
      <c r="R180" s="13" t="s">
        <v>17</v>
      </c>
      <c r="S180" s="13">
        <v>120</v>
      </c>
      <c r="T180" s="13">
        <v>0</v>
      </c>
      <c r="U180" s="13">
        <v>100</v>
      </c>
      <c r="V180" s="13" t="str">
        <f t="shared" si="761"/>
        <v>ISO 6</v>
      </c>
      <c r="W180" s="13">
        <f t="shared" si="762"/>
        <v>120</v>
      </c>
      <c r="X180" s="16">
        <f t="shared" si="763"/>
        <v>40.672800000000002</v>
      </c>
      <c r="Y180" s="16">
        <f t="shared" si="764"/>
        <v>320.17628159999998</v>
      </c>
      <c r="Z180" s="16">
        <f t="shared" si="765"/>
        <v>640.35256319999996</v>
      </c>
      <c r="AA180" s="16">
        <f t="shared" si="766"/>
        <v>64.035256320000002</v>
      </c>
      <c r="AB180" s="16">
        <f t="shared" si="767"/>
        <v>0</v>
      </c>
      <c r="AC180" s="16">
        <f t="shared" si="768"/>
        <v>5.8907382174303526</v>
      </c>
      <c r="AD180" s="16">
        <f t="shared" si="837"/>
        <v>2175</v>
      </c>
      <c r="AE180" s="16">
        <f t="shared" si="770"/>
        <v>2175</v>
      </c>
      <c r="AF180" s="16">
        <f t="shared" si="771"/>
        <v>14</v>
      </c>
      <c r="AG180" s="16">
        <f t="shared" si="772"/>
        <v>5.5</v>
      </c>
      <c r="AH180" s="838" t="s">
        <v>85</v>
      </c>
      <c r="AI180" s="17">
        <f t="shared" si="773"/>
        <v>4.5</v>
      </c>
      <c r="AJ180" s="17">
        <f t="shared" si="774"/>
        <v>5.5</v>
      </c>
      <c r="AK180" s="891"/>
      <c r="AL180" s="18"/>
      <c r="AM180" s="889"/>
      <c r="AN180" s="891"/>
      <c r="AO180" s="888"/>
      <c r="AP180" s="891"/>
      <c r="AQ180" s="891"/>
      <c r="AR180" s="889"/>
      <c r="AS180" s="888"/>
      <c r="AT180" s="888"/>
      <c r="AU180" s="890"/>
      <c r="AV180" s="888"/>
      <c r="AW180" s="888"/>
      <c r="AX180" s="888"/>
      <c r="AY180" s="887"/>
      <c r="AZ180" s="888"/>
      <c r="BA180" s="17">
        <f t="shared" si="775"/>
        <v>14.399999999999991</v>
      </c>
      <c r="BB180" s="17">
        <f t="shared" si="776"/>
        <v>37.799999999999997</v>
      </c>
      <c r="BC180" s="17">
        <f t="shared" si="777"/>
        <v>32</v>
      </c>
      <c r="BD180" s="17">
        <f t="shared" si="778"/>
        <v>85</v>
      </c>
      <c r="BE180" s="17">
        <f t="shared" si="779"/>
        <v>180.86341983910182</v>
      </c>
      <c r="BF180" s="17">
        <f t="shared" si="780"/>
        <v>24</v>
      </c>
      <c r="BG180" s="17">
        <f t="shared" si="781"/>
        <v>50</v>
      </c>
      <c r="BH180" s="17">
        <f t="shared" si="782"/>
        <v>65.062647806544774</v>
      </c>
      <c r="BI180" s="17">
        <f t="shared" si="783"/>
        <v>115.80077203255705</v>
      </c>
      <c r="BJ180" s="17">
        <f t="shared" si="784"/>
        <v>45</v>
      </c>
      <c r="BK180" s="17">
        <f t="shared" si="785"/>
        <v>85</v>
      </c>
      <c r="BL180" s="17">
        <f t="shared" si="786"/>
        <v>380.54120080897206</v>
      </c>
      <c r="BM180" s="17">
        <f t="shared" si="787"/>
        <v>24</v>
      </c>
      <c r="BN180" s="17">
        <f t="shared" si="788"/>
        <v>50</v>
      </c>
      <c r="BO180" s="17">
        <f t="shared" si="789"/>
        <v>65.062647806544774</v>
      </c>
      <c r="BP180" s="17">
        <f t="shared" si="790"/>
        <v>315.4785530024273</v>
      </c>
      <c r="BQ180" s="17">
        <f t="shared" si="791"/>
        <v>3426.2766719999995</v>
      </c>
      <c r="BR180" s="17">
        <f t="shared" si="792"/>
        <v>1305.2482559999992</v>
      </c>
      <c r="BS180" s="17">
        <f t="shared" si="793"/>
        <v>263.55974399999985</v>
      </c>
      <c r="BT180" s="17">
        <f t="shared" si="794"/>
        <v>691.84432800000002</v>
      </c>
      <c r="BU180" s="17">
        <f t="shared" si="795"/>
        <v>23269.68</v>
      </c>
      <c r="BV180" s="17">
        <f t="shared" si="796"/>
        <v>3412</v>
      </c>
      <c r="BW180" s="17">
        <f t="shared" si="797"/>
        <v>242.85728880000002</v>
      </c>
      <c r="BX180" s="17">
        <f t="shared" si="798"/>
        <v>17495.999999999989</v>
      </c>
      <c r="BY180" s="17">
        <f t="shared" si="799"/>
        <v>2614.1753040076801</v>
      </c>
      <c r="BZ180" s="17"/>
      <c r="CA180" s="17">
        <f t="shared" si="800"/>
        <v>85810.166416660228</v>
      </c>
      <c r="CB180" s="17">
        <f t="shared" si="801"/>
        <v>241341.0930468569</v>
      </c>
      <c r="CC180" s="17">
        <f t="shared" si="802"/>
        <v>13737.190003381735</v>
      </c>
      <c r="CD180" s="17">
        <f t="shared" si="803"/>
        <v>123634.7100304356</v>
      </c>
      <c r="CE180" s="17">
        <f t="shared" si="804"/>
        <v>50460.989264807671</v>
      </c>
      <c r="CF180" s="17">
        <f t="shared" si="805"/>
        <v>464523.15949733445</v>
      </c>
      <c r="CG180" s="17">
        <f t="shared" si="806"/>
        <v>514984.14876214211</v>
      </c>
      <c r="CH180" s="17">
        <f t="shared" si="807"/>
        <v>14.400000000000006</v>
      </c>
      <c r="CI180" s="17">
        <f t="shared" si="808"/>
        <v>-43.2</v>
      </c>
      <c r="CJ180" s="17">
        <f t="shared" si="809"/>
        <v>16</v>
      </c>
      <c r="CK180" s="17">
        <f t="shared" si="810"/>
        <v>90</v>
      </c>
      <c r="CL180" s="17">
        <f t="shared" si="811"/>
        <v>71.46880726181422</v>
      </c>
      <c r="CM180" s="17">
        <f t="shared" si="812"/>
        <v>24</v>
      </c>
      <c r="CN180" s="17">
        <f t="shared" si="813"/>
        <v>50</v>
      </c>
      <c r="CO180" s="17">
        <f t="shared" si="814"/>
        <v>65.062647806544774</v>
      </c>
      <c r="CP180" s="17">
        <f t="shared" si="815"/>
        <v>6.4061594552694459</v>
      </c>
      <c r="CQ180" s="17">
        <f t="shared" si="816"/>
        <v>0</v>
      </c>
      <c r="CR180" s="17">
        <f t="shared" si="817"/>
        <v>100</v>
      </c>
      <c r="CS180" s="17">
        <f t="shared" si="818"/>
        <v>26.404773030064671</v>
      </c>
      <c r="CT180" s="17">
        <f t="shared" si="819"/>
        <v>24</v>
      </c>
      <c r="CU180" s="17">
        <f t="shared" si="820"/>
        <v>50</v>
      </c>
      <c r="CV180" s="17">
        <f t="shared" si="821"/>
        <v>65.062647806544774</v>
      </c>
      <c r="CW180" s="17">
        <f t="shared" si="822"/>
        <v>-38.657874776480099</v>
      </c>
      <c r="CX180" s="17">
        <f t="shared" si="760"/>
        <v>-3915.744768</v>
      </c>
      <c r="CY180" s="17">
        <f t="shared" si="760"/>
        <v>-3915.744768</v>
      </c>
      <c r="CZ180" s="17">
        <f t="shared" si="823"/>
        <v>263.55974400000014</v>
      </c>
      <c r="DA180" s="17">
        <f t="shared" si="824"/>
        <v>-790.67923200000007</v>
      </c>
      <c r="DB180" s="17">
        <f t="shared" si="825"/>
        <v>-26593.920000000002</v>
      </c>
      <c r="DC180" s="17">
        <f t="shared" si="826"/>
        <v>3412</v>
      </c>
      <c r="DD180" s="17">
        <f t="shared" si="827"/>
        <v>242.85728880000002</v>
      </c>
      <c r="DE180" s="17">
        <f t="shared" si="828"/>
        <v>17496.000000000007</v>
      </c>
      <c r="DF180" s="17">
        <f t="shared" si="829"/>
        <v>-2987.6289188659202</v>
      </c>
      <c r="DG180" s="17"/>
      <c r="DH180" s="17">
        <f t="shared" si="830"/>
        <v>-10514.941939202587</v>
      </c>
      <c r="DI180" s="17">
        <f t="shared" si="831"/>
        <v>-29573.274204007277</v>
      </c>
      <c r="DJ180" s="17">
        <f t="shared" si="832"/>
        <v>-1683.3175056668888</v>
      </c>
      <c r="DK180" s="17">
        <f t="shared" si="833"/>
        <v>2510.5467839992198</v>
      </c>
      <c r="DL180" s="17">
        <f t="shared" si="834"/>
        <v>-12873.555886065915</v>
      </c>
      <c r="DM180" s="17">
        <f t="shared" si="835"/>
        <v>-39260.986864877537</v>
      </c>
      <c r="DN180" s="17">
        <f t="shared" si="836"/>
        <v>-52134.542750943452</v>
      </c>
    </row>
    <row r="181" spans="3:120" ht="18.600000000000001">
      <c r="C181" s="13">
        <f>IF(D181&lt;&gt;"",COUNTA($D$10:D181),"")</f>
        <v>148</v>
      </c>
      <c r="D181" s="14" t="s">
        <v>211</v>
      </c>
      <c r="E181" s="14">
        <v>1.8</v>
      </c>
      <c r="F181" s="14">
        <v>1.9</v>
      </c>
      <c r="G181" s="14">
        <v>2.4</v>
      </c>
      <c r="H181" s="14">
        <v>2</v>
      </c>
      <c r="I181" s="14">
        <v>1</v>
      </c>
      <c r="J181" s="14">
        <v>1.75</v>
      </c>
      <c r="K181" s="14">
        <v>3</v>
      </c>
      <c r="L181" s="15">
        <v>0.1</v>
      </c>
      <c r="M181" s="15">
        <v>0</v>
      </c>
      <c r="N181" s="14">
        <v>24</v>
      </c>
      <c r="O181" s="14">
        <v>50</v>
      </c>
      <c r="P181" s="13">
        <v>45</v>
      </c>
      <c r="Q181" s="13">
        <v>85</v>
      </c>
      <c r="R181" s="13" t="s">
        <v>17</v>
      </c>
      <c r="S181" s="13">
        <v>120</v>
      </c>
      <c r="T181" s="13">
        <v>0</v>
      </c>
      <c r="U181" s="13">
        <v>100</v>
      </c>
      <c r="V181" s="13" t="str">
        <f t="shared" si="761"/>
        <v>ISO 6</v>
      </c>
      <c r="W181" s="13">
        <f t="shared" si="762"/>
        <v>120</v>
      </c>
      <c r="X181" s="16">
        <f t="shared" si="763"/>
        <v>36.799199999999999</v>
      </c>
      <c r="Y181" s="16">
        <f t="shared" si="764"/>
        <v>289.68330239999995</v>
      </c>
      <c r="Z181" s="16">
        <f t="shared" si="765"/>
        <v>579.36660479999989</v>
      </c>
      <c r="AA181" s="16">
        <f t="shared" si="766"/>
        <v>57.936660479999993</v>
      </c>
      <c r="AB181" s="16">
        <f t="shared" si="767"/>
        <v>0</v>
      </c>
      <c r="AC181" s="16">
        <f t="shared" si="768"/>
        <v>5.3297155300560322</v>
      </c>
      <c r="AD181" s="16">
        <f t="shared" si="837"/>
        <v>2125</v>
      </c>
      <c r="AE181" s="16">
        <f t="shared" si="770"/>
        <v>2125</v>
      </c>
      <c r="AF181" s="16">
        <f t="shared" si="771"/>
        <v>14</v>
      </c>
      <c r="AG181" s="16">
        <f t="shared" si="772"/>
        <v>5.5</v>
      </c>
      <c r="AH181" s="838" t="s">
        <v>85</v>
      </c>
      <c r="AI181" s="17">
        <f t="shared" si="773"/>
        <v>4.5</v>
      </c>
      <c r="AJ181" s="17">
        <f t="shared" si="774"/>
        <v>5.5</v>
      </c>
      <c r="AK181" s="891"/>
      <c r="AL181" s="18"/>
      <c r="AM181" s="889"/>
      <c r="AN181" s="891"/>
      <c r="AO181" s="888"/>
      <c r="AP181" s="891"/>
      <c r="AQ181" s="891"/>
      <c r="AR181" s="889"/>
      <c r="AS181" s="888"/>
      <c r="AT181" s="888"/>
      <c r="AU181" s="890"/>
      <c r="AV181" s="888"/>
      <c r="AW181" s="888"/>
      <c r="AX181" s="888"/>
      <c r="AY181" s="887"/>
      <c r="AZ181" s="888"/>
      <c r="BA181" s="17">
        <f t="shared" si="775"/>
        <v>14.399999999999991</v>
      </c>
      <c r="BB181" s="17">
        <f t="shared" si="776"/>
        <v>37.799999999999997</v>
      </c>
      <c r="BC181" s="17">
        <f t="shared" si="777"/>
        <v>32</v>
      </c>
      <c r="BD181" s="17">
        <f t="shared" si="778"/>
        <v>85</v>
      </c>
      <c r="BE181" s="17">
        <f t="shared" si="779"/>
        <v>180.86341983910182</v>
      </c>
      <c r="BF181" s="17">
        <f t="shared" si="780"/>
        <v>24</v>
      </c>
      <c r="BG181" s="17">
        <f t="shared" si="781"/>
        <v>50</v>
      </c>
      <c r="BH181" s="17">
        <f t="shared" si="782"/>
        <v>65.062647806544774</v>
      </c>
      <c r="BI181" s="17">
        <f t="shared" si="783"/>
        <v>115.80077203255705</v>
      </c>
      <c r="BJ181" s="17">
        <f t="shared" si="784"/>
        <v>45</v>
      </c>
      <c r="BK181" s="17">
        <f t="shared" si="785"/>
        <v>85</v>
      </c>
      <c r="BL181" s="17">
        <f t="shared" si="786"/>
        <v>380.54120080897206</v>
      </c>
      <c r="BM181" s="17">
        <f t="shared" si="787"/>
        <v>24</v>
      </c>
      <c r="BN181" s="17">
        <f t="shared" si="788"/>
        <v>50</v>
      </c>
      <c r="BO181" s="17">
        <f t="shared" si="789"/>
        <v>65.062647806544774</v>
      </c>
      <c r="BP181" s="17">
        <f t="shared" si="790"/>
        <v>315.4785530024273</v>
      </c>
      <c r="BQ181" s="17">
        <f t="shared" si="791"/>
        <v>3250.5701760000002</v>
      </c>
      <c r="BR181" s="17">
        <f t="shared" si="792"/>
        <v>1238.3124479999992</v>
      </c>
      <c r="BS181" s="17">
        <f t="shared" si="793"/>
        <v>238.45881599999987</v>
      </c>
      <c r="BT181" s="17">
        <f t="shared" si="794"/>
        <v>625.95439199999998</v>
      </c>
      <c r="BU181" s="17">
        <f t="shared" si="795"/>
        <v>23269.68</v>
      </c>
      <c r="BV181" s="17">
        <f t="shared" si="796"/>
        <v>3412</v>
      </c>
      <c r="BW181" s="17">
        <f t="shared" si="797"/>
        <v>219.7280232</v>
      </c>
      <c r="BX181" s="17">
        <f t="shared" si="798"/>
        <v>17495.999999999989</v>
      </c>
      <c r="BY181" s="17">
        <f t="shared" si="799"/>
        <v>2365.2062274355198</v>
      </c>
      <c r="BZ181" s="17"/>
      <c r="CA181" s="17">
        <f t="shared" si="800"/>
        <v>85810.166416660228</v>
      </c>
      <c r="CB181" s="17">
        <f t="shared" si="801"/>
        <v>241341.0930468569</v>
      </c>
      <c r="CC181" s="17">
        <f t="shared" si="802"/>
        <v>12428.886193535853</v>
      </c>
      <c r="CD181" s="17">
        <f t="shared" si="803"/>
        <v>111859.97574182268</v>
      </c>
      <c r="CE181" s="17">
        <f t="shared" si="804"/>
        <v>50013.184426635511</v>
      </c>
      <c r="CF181" s="17">
        <f t="shared" si="805"/>
        <v>451440.12139887566</v>
      </c>
      <c r="CG181" s="17">
        <f t="shared" si="806"/>
        <v>501453.30582551117</v>
      </c>
      <c r="CH181" s="17">
        <f t="shared" si="807"/>
        <v>14.400000000000006</v>
      </c>
      <c r="CI181" s="17">
        <f t="shared" si="808"/>
        <v>-43.2</v>
      </c>
      <c r="CJ181" s="17">
        <f t="shared" si="809"/>
        <v>16</v>
      </c>
      <c r="CK181" s="17">
        <f t="shared" si="810"/>
        <v>90</v>
      </c>
      <c r="CL181" s="17">
        <f t="shared" si="811"/>
        <v>71.46880726181422</v>
      </c>
      <c r="CM181" s="17">
        <f t="shared" si="812"/>
        <v>24</v>
      </c>
      <c r="CN181" s="17">
        <f t="shared" si="813"/>
        <v>50</v>
      </c>
      <c r="CO181" s="17">
        <f t="shared" si="814"/>
        <v>65.062647806544774</v>
      </c>
      <c r="CP181" s="17">
        <f t="shared" si="815"/>
        <v>6.4061594552694459</v>
      </c>
      <c r="CQ181" s="17">
        <f t="shared" si="816"/>
        <v>0</v>
      </c>
      <c r="CR181" s="17">
        <f t="shared" si="817"/>
        <v>100</v>
      </c>
      <c r="CS181" s="17">
        <f t="shared" si="818"/>
        <v>26.404773030064671</v>
      </c>
      <c r="CT181" s="17">
        <f t="shared" si="819"/>
        <v>24</v>
      </c>
      <c r="CU181" s="17">
        <f t="shared" si="820"/>
        <v>50</v>
      </c>
      <c r="CV181" s="17">
        <f t="shared" si="821"/>
        <v>65.062647806544774</v>
      </c>
      <c r="CW181" s="17">
        <f t="shared" si="822"/>
        <v>-38.657874776480099</v>
      </c>
      <c r="CX181" s="17">
        <f t="shared" si="760"/>
        <v>-3714.9373440000004</v>
      </c>
      <c r="CY181" s="17">
        <f t="shared" si="760"/>
        <v>-3714.9373440000004</v>
      </c>
      <c r="CZ181" s="17">
        <f t="shared" si="823"/>
        <v>238.45881600000007</v>
      </c>
      <c r="DA181" s="17">
        <f t="shared" si="824"/>
        <v>-715.3764480000001</v>
      </c>
      <c r="DB181" s="17">
        <f t="shared" si="825"/>
        <v>-26593.920000000002</v>
      </c>
      <c r="DC181" s="17">
        <f t="shared" si="826"/>
        <v>3412</v>
      </c>
      <c r="DD181" s="17">
        <f t="shared" si="827"/>
        <v>219.7280232</v>
      </c>
      <c r="DE181" s="17">
        <f t="shared" si="828"/>
        <v>17496.000000000007</v>
      </c>
      <c r="DF181" s="17">
        <f t="shared" si="829"/>
        <v>-2703.0928313548802</v>
      </c>
      <c r="DG181" s="17"/>
      <c r="DH181" s="17">
        <f t="shared" si="830"/>
        <v>-10514.941939202587</v>
      </c>
      <c r="DI181" s="17">
        <f t="shared" si="831"/>
        <v>-29573.274204007277</v>
      </c>
      <c r="DJ181" s="17">
        <f t="shared" si="832"/>
        <v>-1523.0015527462326</v>
      </c>
      <c r="DK181" s="17">
        <f t="shared" si="833"/>
        <v>2271.447090285008</v>
      </c>
      <c r="DL181" s="17">
        <f t="shared" si="834"/>
        <v>-12361.139784154871</v>
      </c>
      <c r="DM181" s="17">
        <f t="shared" si="835"/>
        <v>-39339.770605671089</v>
      </c>
      <c r="DN181" s="17">
        <f t="shared" si="836"/>
        <v>-51700.910389825964</v>
      </c>
    </row>
    <row r="182" spans="3:120" ht="18.600000000000001">
      <c r="C182" s="13">
        <f>IF(D182&lt;&gt;"",COUNTA($D$10:D182),"")</f>
        <v>149</v>
      </c>
      <c r="D182" s="14" t="s">
        <v>212</v>
      </c>
      <c r="E182" s="14">
        <v>1.9</v>
      </c>
      <c r="F182" s="14">
        <v>2</v>
      </c>
      <c r="G182" s="14">
        <v>2.4</v>
      </c>
      <c r="H182" s="14">
        <v>2</v>
      </c>
      <c r="I182" s="14">
        <v>1</v>
      </c>
      <c r="J182" s="14">
        <v>1.75</v>
      </c>
      <c r="K182" s="14">
        <v>3</v>
      </c>
      <c r="L182" s="15">
        <v>0.1</v>
      </c>
      <c r="M182" s="15">
        <v>0</v>
      </c>
      <c r="N182" s="14">
        <v>24</v>
      </c>
      <c r="O182" s="14">
        <v>50</v>
      </c>
      <c r="P182" s="13">
        <v>45</v>
      </c>
      <c r="Q182" s="13">
        <v>85</v>
      </c>
      <c r="R182" s="13" t="s">
        <v>17</v>
      </c>
      <c r="S182" s="13">
        <v>120</v>
      </c>
      <c r="T182" s="13">
        <v>0</v>
      </c>
      <c r="U182" s="13">
        <v>100</v>
      </c>
      <c r="V182" s="13" t="str">
        <f t="shared" si="761"/>
        <v>ISO 6</v>
      </c>
      <c r="W182" s="13">
        <f t="shared" si="762"/>
        <v>120</v>
      </c>
      <c r="X182" s="16">
        <f t="shared" si="763"/>
        <v>40.887999999999998</v>
      </c>
      <c r="Y182" s="16">
        <f t="shared" si="764"/>
        <v>321.87033599999995</v>
      </c>
      <c r="Z182" s="16">
        <f t="shared" si="765"/>
        <v>643.7406719999999</v>
      </c>
      <c r="AA182" s="16">
        <f t="shared" si="766"/>
        <v>64.374067199999999</v>
      </c>
      <c r="AB182" s="16">
        <f t="shared" si="767"/>
        <v>0</v>
      </c>
      <c r="AC182" s="16">
        <f t="shared" si="768"/>
        <v>5.9219061445067043</v>
      </c>
      <c r="AD182" s="16">
        <f t="shared" si="837"/>
        <v>2175</v>
      </c>
      <c r="AE182" s="16">
        <f t="shared" si="770"/>
        <v>2175</v>
      </c>
      <c r="AF182" s="16">
        <f t="shared" si="771"/>
        <v>14</v>
      </c>
      <c r="AG182" s="16">
        <f t="shared" si="772"/>
        <v>5.5</v>
      </c>
      <c r="AH182" s="838" t="s">
        <v>85</v>
      </c>
      <c r="AI182" s="17">
        <f t="shared" si="773"/>
        <v>4.5</v>
      </c>
      <c r="AJ182" s="17">
        <f t="shared" si="774"/>
        <v>5.5</v>
      </c>
      <c r="AK182" s="891"/>
      <c r="AL182" s="18"/>
      <c r="AM182" s="889"/>
      <c r="AN182" s="891"/>
      <c r="AO182" s="888"/>
      <c r="AP182" s="891"/>
      <c r="AQ182" s="891"/>
      <c r="AR182" s="889"/>
      <c r="AS182" s="888"/>
      <c r="AT182" s="888"/>
      <c r="AU182" s="890"/>
      <c r="AV182" s="888"/>
      <c r="AW182" s="888"/>
      <c r="AX182" s="888"/>
      <c r="AY182" s="887"/>
      <c r="AZ182" s="888"/>
      <c r="BA182" s="17">
        <f t="shared" si="775"/>
        <v>14.399999999999991</v>
      </c>
      <c r="BB182" s="17">
        <f t="shared" si="776"/>
        <v>37.799999999999997</v>
      </c>
      <c r="BC182" s="17">
        <f t="shared" si="777"/>
        <v>32</v>
      </c>
      <c r="BD182" s="17">
        <f t="shared" si="778"/>
        <v>85</v>
      </c>
      <c r="BE182" s="17">
        <f t="shared" si="779"/>
        <v>180.86341983910182</v>
      </c>
      <c r="BF182" s="17">
        <f t="shared" si="780"/>
        <v>24</v>
      </c>
      <c r="BG182" s="17">
        <f t="shared" si="781"/>
        <v>50</v>
      </c>
      <c r="BH182" s="17">
        <f t="shared" si="782"/>
        <v>65.062647806544774</v>
      </c>
      <c r="BI182" s="17">
        <f t="shared" si="783"/>
        <v>115.80077203255705</v>
      </c>
      <c r="BJ182" s="17">
        <f t="shared" si="784"/>
        <v>45</v>
      </c>
      <c r="BK182" s="17">
        <f t="shared" si="785"/>
        <v>85</v>
      </c>
      <c r="BL182" s="17">
        <f t="shared" si="786"/>
        <v>380.54120080897206</v>
      </c>
      <c r="BM182" s="17">
        <f t="shared" si="787"/>
        <v>24</v>
      </c>
      <c r="BN182" s="17">
        <f t="shared" si="788"/>
        <v>50</v>
      </c>
      <c r="BO182" s="17">
        <f t="shared" si="789"/>
        <v>65.062647806544774</v>
      </c>
      <c r="BP182" s="17">
        <f t="shared" si="790"/>
        <v>315.4785530024273</v>
      </c>
      <c r="BQ182" s="17">
        <f t="shared" si="791"/>
        <v>3426.2766719999991</v>
      </c>
      <c r="BR182" s="17">
        <f t="shared" si="792"/>
        <v>1305.2482559999989</v>
      </c>
      <c r="BS182" s="17">
        <f t="shared" si="793"/>
        <v>264.95423999999986</v>
      </c>
      <c r="BT182" s="17">
        <f t="shared" si="794"/>
        <v>695.50487999999984</v>
      </c>
      <c r="BU182" s="17">
        <f t="shared" si="795"/>
        <v>23269.68</v>
      </c>
      <c r="BV182" s="17">
        <f t="shared" si="796"/>
        <v>3412</v>
      </c>
      <c r="BW182" s="17">
        <f t="shared" si="797"/>
        <v>244.142248</v>
      </c>
      <c r="BX182" s="17">
        <f t="shared" si="798"/>
        <v>17495.999999999989</v>
      </c>
      <c r="BY182" s="17">
        <f t="shared" si="799"/>
        <v>2628.0069193727995</v>
      </c>
      <c r="BZ182" s="17"/>
      <c r="CA182" s="17">
        <f t="shared" si="800"/>
        <v>85810.166416660228</v>
      </c>
      <c r="CB182" s="17">
        <f t="shared" si="801"/>
        <v>241341.0930468569</v>
      </c>
      <c r="CC182" s="17">
        <f t="shared" si="802"/>
        <v>13809.873548373173</v>
      </c>
      <c r="CD182" s="17">
        <f t="shared" si="803"/>
        <v>124288.86193535852</v>
      </c>
      <c r="CE182" s="17">
        <f t="shared" si="804"/>
        <v>50476.105839372787</v>
      </c>
      <c r="CF182" s="17">
        <f t="shared" si="805"/>
        <v>465249.99494724884</v>
      </c>
      <c r="CG182" s="17">
        <f t="shared" si="806"/>
        <v>515726.10078662162</v>
      </c>
      <c r="CH182" s="17">
        <f t="shared" si="807"/>
        <v>14.400000000000006</v>
      </c>
      <c r="CI182" s="17">
        <f t="shared" si="808"/>
        <v>-43.2</v>
      </c>
      <c r="CJ182" s="17">
        <f t="shared" si="809"/>
        <v>16</v>
      </c>
      <c r="CK182" s="17">
        <f t="shared" si="810"/>
        <v>90</v>
      </c>
      <c r="CL182" s="17">
        <f t="shared" si="811"/>
        <v>71.46880726181422</v>
      </c>
      <c r="CM182" s="17">
        <f t="shared" si="812"/>
        <v>24</v>
      </c>
      <c r="CN182" s="17">
        <f t="shared" si="813"/>
        <v>50</v>
      </c>
      <c r="CO182" s="17">
        <f t="shared" si="814"/>
        <v>65.062647806544774</v>
      </c>
      <c r="CP182" s="17">
        <f t="shared" si="815"/>
        <v>6.4061594552694459</v>
      </c>
      <c r="CQ182" s="17">
        <f t="shared" si="816"/>
        <v>0</v>
      </c>
      <c r="CR182" s="17">
        <f t="shared" si="817"/>
        <v>100</v>
      </c>
      <c r="CS182" s="17">
        <f t="shared" si="818"/>
        <v>26.404773030064671</v>
      </c>
      <c r="CT182" s="17">
        <f t="shared" si="819"/>
        <v>24</v>
      </c>
      <c r="CU182" s="17">
        <f t="shared" si="820"/>
        <v>50</v>
      </c>
      <c r="CV182" s="17">
        <f t="shared" si="821"/>
        <v>65.062647806544774</v>
      </c>
      <c r="CW182" s="17">
        <f t="shared" si="822"/>
        <v>-38.657874776480099</v>
      </c>
      <c r="CX182" s="17">
        <f t="shared" si="760"/>
        <v>-3915.744768</v>
      </c>
      <c r="CY182" s="17">
        <f t="shared" si="760"/>
        <v>-3915.744768</v>
      </c>
      <c r="CZ182" s="17">
        <f t="shared" si="823"/>
        <v>264.95424000000008</v>
      </c>
      <c r="DA182" s="17">
        <f t="shared" si="824"/>
        <v>-794.86271999999997</v>
      </c>
      <c r="DB182" s="17">
        <f t="shared" si="825"/>
        <v>-26593.920000000002</v>
      </c>
      <c r="DC182" s="17">
        <f t="shared" si="826"/>
        <v>3412</v>
      </c>
      <c r="DD182" s="17">
        <f t="shared" si="827"/>
        <v>244.142248</v>
      </c>
      <c r="DE182" s="17">
        <f t="shared" si="828"/>
        <v>17496.000000000007</v>
      </c>
      <c r="DF182" s="17">
        <f t="shared" si="829"/>
        <v>-3003.4364792832002</v>
      </c>
      <c r="DG182" s="17"/>
      <c r="DH182" s="17">
        <f t="shared" si="830"/>
        <v>-10514.941939202587</v>
      </c>
      <c r="DI182" s="17">
        <f t="shared" si="831"/>
        <v>-29573.274204007277</v>
      </c>
      <c r="DJ182" s="17">
        <f t="shared" si="832"/>
        <v>-1692.2239474958142</v>
      </c>
      <c r="DK182" s="17">
        <f t="shared" si="833"/>
        <v>2523.8301003166753</v>
      </c>
      <c r="DL182" s="17">
        <f t="shared" si="834"/>
        <v>-12890.867479283193</v>
      </c>
      <c r="DM182" s="17">
        <f t="shared" si="835"/>
        <v>-39256.609990388999</v>
      </c>
      <c r="DN182" s="17">
        <f t="shared" si="836"/>
        <v>-52147.477469672194</v>
      </c>
    </row>
    <row r="183" spans="3:120" ht="18.600000000000001">
      <c r="C183" s="13">
        <f>IF(D183&lt;&gt;"",COUNTA($D$10:D183),"")</f>
        <v>150</v>
      </c>
      <c r="D183" s="14" t="s">
        <v>213</v>
      </c>
      <c r="E183" s="14">
        <v>2.2999999999999998</v>
      </c>
      <c r="F183" s="14">
        <v>2.2000000000000002</v>
      </c>
      <c r="G183" s="14">
        <v>2.4</v>
      </c>
      <c r="H183" s="14">
        <v>2</v>
      </c>
      <c r="I183" s="14">
        <v>1</v>
      </c>
      <c r="J183" s="14">
        <v>1.75</v>
      </c>
      <c r="K183" s="14">
        <v>3</v>
      </c>
      <c r="L183" s="15">
        <v>0.1</v>
      </c>
      <c r="M183" s="15">
        <v>0</v>
      </c>
      <c r="N183" s="14">
        <v>24</v>
      </c>
      <c r="O183" s="14">
        <v>50</v>
      </c>
      <c r="P183" s="13">
        <v>45</v>
      </c>
      <c r="Q183" s="13">
        <v>85</v>
      </c>
      <c r="R183" s="13" t="s">
        <v>17</v>
      </c>
      <c r="S183" s="13">
        <v>120</v>
      </c>
      <c r="T183" s="13">
        <v>0</v>
      </c>
      <c r="U183" s="13">
        <v>100</v>
      </c>
      <c r="V183" s="13" t="str">
        <f t="shared" si="761"/>
        <v>ISO 6</v>
      </c>
      <c r="W183" s="13">
        <f t="shared" si="762"/>
        <v>120</v>
      </c>
      <c r="X183" s="16">
        <f t="shared" si="763"/>
        <v>54.445599999999992</v>
      </c>
      <c r="Y183" s="16">
        <f t="shared" si="764"/>
        <v>428.59576319999991</v>
      </c>
      <c r="Z183" s="16">
        <f t="shared" si="765"/>
        <v>857.19152639999982</v>
      </c>
      <c r="AA183" s="16">
        <f t="shared" si="766"/>
        <v>85.71915263999999</v>
      </c>
      <c r="AB183" s="16">
        <f t="shared" si="767"/>
        <v>0</v>
      </c>
      <c r="AC183" s="16">
        <f t="shared" si="768"/>
        <v>7.8854855503168197</v>
      </c>
      <c r="AD183" s="16">
        <f t="shared" si="837"/>
        <v>2400</v>
      </c>
      <c r="AE183" s="16">
        <f t="shared" si="770"/>
        <v>2400</v>
      </c>
      <c r="AF183" s="16">
        <f t="shared" si="771"/>
        <v>14</v>
      </c>
      <c r="AG183" s="16">
        <f t="shared" si="772"/>
        <v>6</v>
      </c>
      <c r="AH183" s="838" t="s">
        <v>85</v>
      </c>
      <c r="AI183" s="17">
        <f t="shared" si="773"/>
        <v>4.5</v>
      </c>
      <c r="AJ183" s="17">
        <f t="shared" si="774"/>
        <v>6</v>
      </c>
      <c r="AK183" s="891"/>
      <c r="AL183" s="18"/>
      <c r="AM183" s="889"/>
      <c r="AN183" s="891"/>
      <c r="AO183" s="888"/>
      <c r="AP183" s="891"/>
      <c r="AQ183" s="891"/>
      <c r="AR183" s="889"/>
      <c r="AS183" s="888"/>
      <c r="AT183" s="888"/>
      <c r="AU183" s="890"/>
      <c r="AV183" s="888"/>
      <c r="AW183" s="888"/>
      <c r="AX183" s="888"/>
      <c r="AY183" s="887"/>
      <c r="AZ183" s="888"/>
      <c r="BA183" s="17">
        <f t="shared" si="775"/>
        <v>14.399999999999991</v>
      </c>
      <c r="BB183" s="17">
        <f t="shared" si="776"/>
        <v>37.799999999999997</v>
      </c>
      <c r="BC183" s="17">
        <f t="shared" si="777"/>
        <v>32</v>
      </c>
      <c r="BD183" s="17">
        <f t="shared" si="778"/>
        <v>85</v>
      </c>
      <c r="BE183" s="17">
        <f t="shared" si="779"/>
        <v>180.86341983910182</v>
      </c>
      <c r="BF183" s="17">
        <f t="shared" si="780"/>
        <v>24</v>
      </c>
      <c r="BG183" s="17">
        <f t="shared" si="781"/>
        <v>50</v>
      </c>
      <c r="BH183" s="17">
        <f t="shared" si="782"/>
        <v>65.062647806544774</v>
      </c>
      <c r="BI183" s="17">
        <f t="shared" si="783"/>
        <v>115.80077203255705</v>
      </c>
      <c r="BJ183" s="17">
        <f t="shared" si="784"/>
        <v>45</v>
      </c>
      <c r="BK183" s="17">
        <f t="shared" si="785"/>
        <v>85</v>
      </c>
      <c r="BL183" s="17">
        <f t="shared" si="786"/>
        <v>380.54120080897206</v>
      </c>
      <c r="BM183" s="17">
        <f t="shared" si="787"/>
        <v>24</v>
      </c>
      <c r="BN183" s="17">
        <f t="shared" si="788"/>
        <v>50</v>
      </c>
      <c r="BO183" s="17">
        <f t="shared" si="789"/>
        <v>65.062647806544774</v>
      </c>
      <c r="BP183" s="17">
        <f t="shared" si="790"/>
        <v>315.4785530024273</v>
      </c>
      <c r="BQ183" s="17">
        <f t="shared" si="791"/>
        <v>3953.3961599999993</v>
      </c>
      <c r="BR183" s="17">
        <f t="shared" si="792"/>
        <v>1506.0556799999993</v>
      </c>
      <c r="BS183" s="17">
        <f t="shared" si="793"/>
        <v>352.80748799999975</v>
      </c>
      <c r="BT183" s="17">
        <f t="shared" si="794"/>
        <v>926.11965599999974</v>
      </c>
      <c r="BU183" s="17">
        <f t="shared" si="795"/>
        <v>23269.68</v>
      </c>
      <c r="BV183" s="17">
        <f t="shared" si="796"/>
        <v>3412</v>
      </c>
      <c r="BW183" s="17">
        <f t="shared" si="797"/>
        <v>325.0946775999999</v>
      </c>
      <c r="BX183" s="17">
        <f t="shared" si="798"/>
        <v>17495.999999999989</v>
      </c>
      <c r="BY183" s="17">
        <f t="shared" si="799"/>
        <v>3499.3986873753597</v>
      </c>
      <c r="BZ183" s="17"/>
      <c r="CA183" s="17">
        <f t="shared" si="800"/>
        <v>85810.166416660228</v>
      </c>
      <c r="CB183" s="17">
        <f t="shared" si="801"/>
        <v>241341.0930468569</v>
      </c>
      <c r="CC183" s="17">
        <f t="shared" si="802"/>
        <v>18388.936882833746</v>
      </c>
      <c r="CD183" s="17">
        <f t="shared" si="803"/>
        <v>165500.43194550375</v>
      </c>
      <c r="CE183" s="17">
        <f t="shared" si="804"/>
        <v>51955.569524975348</v>
      </c>
      <c r="CF183" s="17">
        <f t="shared" si="805"/>
        <v>511040.62829185458</v>
      </c>
      <c r="CG183" s="17">
        <f t="shared" si="806"/>
        <v>562996.1978168299</v>
      </c>
      <c r="CH183" s="17">
        <f t="shared" si="807"/>
        <v>14.400000000000006</v>
      </c>
      <c r="CI183" s="17">
        <f t="shared" si="808"/>
        <v>-43.2</v>
      </c>
      <c r="CJ183" s="17">
        <f t="shared" si="809"/>
        <v>16</v>
      </c>
      <c r="CK183" s="17">
        <f t="shared" si="810"/>
        <v>90</v>
      </c>
      <c r="CL183" s="17">
        <f t="shared" si="811"/>
        <v>71.46880726181422</v>
      </c>
      <c r="CM183" s="17">
        <f t="shared" si="812"/>
        <v>24</v>
      </c>
      <c r="CN183" s="17">
        <f t="shared" si="813"/>
        <v>50</v>
      </c>
      <c r="CO183" s="17">
        <f t="shared" si="814"/>
        <v>65.062647806544774</v>
      </c>
      <c r="CP183" s="17">
        <f t="shared" si="815"/>
        <v>6.4061594552694459</v>
      </c>
      <c r="CQ183" s="17">
        <f t="shared" si="816"/>
        <v>0</v>
      </c>
      <c r="CR183" s="17">
        <f t="shared" si="817"/>
        <v>100</v>
      </c>
      <c r="CS183" s="17">
        <f t="shared" si="818"/>
        <v>26.404773030064671</v>
      </c>
      <c r="CT183" s="17">
        <f t="shared" si="819"/>
        <v>24</v>
      </c>
      <c r="CU183" s="17">
        <f t="shared" si="820"/>
        <v>50</v>
      </c>
      <c r="CV183" s="17">
        <f t="shared" si="821"/>
        <v>65.062647806544774</v>
      </c>
      <c r="CW183" s="17">
        <f t="shared" si="822"/>
        <v>-38.657874776480099</v>
      </c>
      <c r="CX183" s="17">
        <f t="shared" si="760"/>
        <v>-4518.1670400000012</v>
      </c>
      <c r="CY183" s="17">
        <f t="shared" si="760"/>
        <v>-4518.1670400000012</v>
      </c>
      <c r="CZ183" s="17">
        <f t="shared" si="823"/>
        <v>352.80748800000009</v>
      </c>
      <c r="DA183" s="17">
        <f t="shared" si="824"/>
        <v>-1058.422464</v>
      </c>
      <c r="DB183" s="17">
        <f t="shared" si="825"/>
        <v>-26593.920000000002</v>
      </c>
      <c r="DC183" s="17">
        <f t="shared" si="826"/>
        <v>3412</v>
      </c>
      <c r="DD183" s="17">
        <f t="shared" si="827"/>
        <v>325.0946775999999</v>
      </c>
      <c r="DE183" s="17">
        <f t="shared" si="828"/>
        <v>17496.000000000007</v>
      </c>
      <c r="DF183" s="17">
        <f t="shared" si="829"/>
        <v>-3999.3127855718403</v>
      </c>
      <c r="DG183" s="17"/>
      <c r="DH183" s="17">
        <f t="shared" si="830"/>
        <v>-10514.941939202587</v>
      </c>
      <c r="DI183" s="17">
        <f t="shared" si="831"/>
        <v>-29573.274204007277</v>
      </c>
      <c r="DJ183" s="17">
        <f t="shared" si="832"/>
        <v>-2253.32978271811</v>
      </c>
      <c r="DK183" s="17">
        <f t="shared" si="833"/>
        <v>3360.6790283164155</v>
      </c>
      <c r="DL183" s="17">
        <f t="shared" si="834"/>
        <v>-14583.920123971839</v>
      </c>
      <c r="DM183" s="17">
        <f t="shared" si="835"/>
        <v>-38980.866897611559</v>
      </c>
      <c r="DN183" s="17">
        <f t="shared" si="836"/>
        <v>-53564.787021583397</v>
      </c>
    </row>
    <row r="184" spans="3:120" ht="18.600000000000001">
      <c r="C184" s="13">
        <f>IF(D184&lt;&gt;"",COUNTA($D$10:D184),"")</f>
        <v>151</v>
      </c>
      <c r="D184" s="14" t="s">
        <v>214</v>
      </c>
      <c r="E184" s="14">
        <v>2.2000000000000002</v>
      </c>
      <c r="F184" s="14">
        <v>2.8</v>
      </c>
      <c r="G184" s="14">
        <v>2.4</v>
      </c>
      <c r="H184" s="14">
        <v>2</v>
      </c>
      <c r="I184" s="14">
        <v>1</v>
      </c>
      <c r="J184" s="14">
        <v>1.75</v>
      </c>
      <c r="K184" s="14">
        <v>3</v>
      </c>
      <c r="L184" s="15">
        <v>0.1</v>
      </c>
      <c r="M184" s="15">
        <v>0</v>
      </c>
      <c r="N184" s="14">
        <v>24</v>
      </c>
      <c r="O184" s="14">
        <v>50</v>
      </c>
      <c r="P184" s="13">
        <v>45</v>
      </c>
      <c r="Q184" s="13">
        <v>85</v>
      </c>
      <c r="R184" s="13" t="s">
        <v>17</v>
      </c>
      <c r="S184" s="13">
        <v>120</v>
      </c>
      <c r="T184" s="13">
        <v>0</v>
      </c>
      <c r="U184" s="13">
        <v>100</v>
      </c>
      <c r="V184" s="13" t="str">
        <f t="shared" si="761"/>
        <v>ISO 6</v>
      </c>
      <c r="W184" s="13">
        <f t="shared" si="762"/>
        <v>120</v>
      </c>
      <c r="X184" s="16">
        <f t="shared" si="763"/>
        <v>66.281599999999997</v>
      </c>
      <c r="Y184" s="16">
        <f t="shared" si="764"/>
        <v>521.76875519999999</v>
      </c>
      <c r="Z184" s="16">
        <f t="shared" si="765"/>
        <v>1043.5375104</v>
      </c>
      <c r="AA184" s="16">
        <f t="shared" si="766"/>
        <v>104.35375104000001</v>
      </c>
      <c r="AB184" s="16">
        <f t="shared" si="767"/>
        <v>0</v>
      </c>
      <c r="AC184" s="16">
        <f t="shared" si="768"/>
        <v>9.5997215395161284</v>
      </c>
      <c r="AD184" s="16">
        <f t="shared" si="837"/>
        <v>2575</v>
      </c>
      <c r="AE184" s="16">
        <f t="shared" si="770"/>
        <v>2575</v>
      </c>
      <c r="AF184" s="16">
        <f t="shared" si="771"/>
        <v>16</v>
      </c>
      <c r="AG184" s="16">
        <f t="shared" si="772"/>
        <v>6.5</v>
      </c>
      <c r="AH184" s="838" t="s">
        <v>85</v>
      </c>
      <c r="AI184" s="17">
        <f t="shared" si="773"/>
        <v>4.5</v>
      </c>
      <c r="AJ184" s="17">
        <f t="shared" si="774"/>
        <v>6.5</v>
      </c>
      <c r="AK184" s="891"/>
      <c r="AL184" s="18"/>
      <c r="AM184" s="889"/>
      <c r="AN184" s="891"/>
      <c r="AO184" s="888"/>
      <c r="AP184" s="891"/>
      <c r="AQ184" s="891"/>
      <c r="AR184" s="889"/>
      <c r="AS184" s="888"/>
      <c r="AT184" s="888"/>
      <c r="AU184" s="890"/>
      <c r="AV184" s="888"/>
      <c r="AW184" s="888"/>
      <c r="AX184" s="888"/>
      <c r="AY184" s="887"/>
      <c r="AZ184" s="888"/>
      <c r="BA184" s="17">
        <f t="shared" si="775"/>
        <v>14.399999999999991</v>
      </c>
      <c r="BB184" s="17">
        <f t="shared" si="776"/>
        <v>37.799999999999997</v>
      </c>
      <c r="BC184" s="17">
        <f t="shared" si="777"/>
        <v>32</v>
      </c>
      <c r="BD184" s="17">
        <f t="shared" si="778"/>
        <v>85</v>
      </c>
      <c r="BE184" s="17">
        <f t="shared" si="779"/>
        <v>180.86341983910182</v>
      </c>
      <c r="BF184" s="17">
        <f t="shared" si="780"/>
        <v>24</v>
      </c>
      <c r="BG184" s="17">
        <f t="shared" si="781"/>
        <v>50</v>
      </c>
      <c r="BH184" s="17">
        <f t="shared" si="782"/>
        <v>65.062647806544774</v>
      </c>
      <c r="BI184" s="17">
        <f t="shared" si="783"/>
        <v>115.80077203255705</v>
      </c>
      <c r="BJ184" s="17">
        <f t="shared" si="784"/>
        <v>45</v>
      </c>
      <c r="BK184" s="17">
        <f t="shared" si="785"/>
        <v>85</v>
      </c>
      <c r="BL184" s="17">
        <f t="shared" si="786"/>
        <v>380.54120080897206</v>
      </c>
      <c r="BM184" s="17">
        <f t="shared" si="787"/>
        <v>24</v>
      </c>
      <c r="BN184" s="17">
        <f t="shared" si="788"/>
        <v>50</v>
      </c>
      <c r="BO184" s="17">
        <f t="shared" si="789"/>
        <v>65.062647806544774</v>
      </c>
      <c r="BP184" s="17">
        <f t="shared" si="790"/>
        <v>315.4785530024273</v>
      </c>
      <c r="BQ184" s="17">
        <f t="shared" si="791"/>
        <v>4392.6624000000002</v>
      </c>
      <c r="BR184" s="17">
        <f t="shared" si="792"/>
        <v>1673.3951999999992</v>
      </c>
      <c r="BS184" s="17">
        <f t="shared" si="793"/>
        <v>429.50476799999973</v>
      </c>
      <c r="BT184" s="17">
        <f t="shared" si="794"/>
        <v>1127.4500159999998</v>
      </c>
      <c r="BU184" s="17">
        <f t="shared" si="795"/>
        <v>23269.68</v>
      </c>
      <c r="BV184" s="17">
        <f t="shared" si="796"/>
        <v>3412</v>
      </c>
      <c r="BW184" s="17">
        <f t="shared" si="797"/>
        <v>395.76743359999995</v>
      </c>
      <c r="BX184" s="17">
        <f t="shared" si="798"/>
        <v>17495.999999999989</v>
      </c>
      <c r="BY184" s="17">
        <f t="shared" si="799"/>
        <v>4260.1375324569599</v>
      </c>
      <c r="BZ184" s="17"/>
      <c r="CA184" s="17">
        <f t="shared" si="800"/>
        <v>85810.166416660228</v>
      </c>
      <c r="CB184" s="17">
        <f t="shared" si="801"/>
        <v>241341.0930468569</v>
      </c>
      <c r="CC184" s="17">
        <f t="shared" si="802"/>
        <v>22386.531857362828</v>
      </c>
      <c r="CD184" s="17">
        <f t="shared" si="803"/>
        <v>201478.78671626543</v>
      </c>
      <c r="CE184" s="17">
        <f t="shared" si="804"/>
        <v>53226.247366056945</v>
      </c>
      <c r="CF184" s="17">
        <f t="shared" si="805"/>
        <v>551016.57803714531</v>
      </c>
      <c r="CG184" s="17">
        <f t="shared" si="806"/>
        <v>604242.82540320221</v>
      </c>
      <c r="CH184" s="17">
        <f t="shared" si="807"/>
        <v>14.400000000000006</v>
      </c>
      <c r="CI184" s="17">
        <f t="shared" si="808"/>
        <v>-43.2</v>
      </c>
      <c r="CJ184" s="17">
        <f t="shared" si="809"/>
        <v>16</v>
      </c>
      <c r="CK184" s="17">
        <f t="shared" si="810"/>
        <v>90</v>
      </c>
      <c r="CL184" s="17">
        <f t="shared" si="811"/>
        <v>71.46880726181422</v>
      </c>
      <c r="CM184" s="17">
        <f t="shared" si="812"/>
        <v>24</v>
      </c>
      <c r="CN184" s="17">
        <f t="shared" si="813"/>
        <v>50</v>
      </c>
      <c r="CO184" s="17">
        <f t="shared" si="814"/>
        <v>65.062647806544774</v>
      </c>
      <c r="CP184" s="17">
        <f t="shared" si="815"/>
        <v>6.4061594552694459</v>
      </c>
      <c r="CQ184" s="17">
        <f t="shared" si="816"/>
        <v>0</v>
      </c>
      <c r="CR184" s="17">
        <f t="shared" si="817"/>
        <v>100</v>
      </c>
      <c r="CS184" s="17">
        <f t="shared" si="818"/>
        <v>26.404773030064671</v>
      </c>
      <c r="CT184" s="17">
        <f t="shared" si="819"/>
        <v>24</v>
      </c>
      <c r="CU184" s="17">
        <f t="shared" si="820"/>
        <v>50</v>
      </c>
      <c r="CV184" s="17">
        <f t="shared" si="821"/>
        <v>65.062647806544774</v>
      </c>
      <c r="CW184" s="17">
        <f t="shared" si="822"/>
        <v>-38.657874776480099</v>
      </c>
      <c r="CX184" s="17">
        <f t="shared" si="760"/>
        <v>-5020.1856000000007</v>
      </c>
      <c r="CY184" s="17">
        <f t="shared" si="760"/>
        <v>-5020.1856000000007</v>
      </c>
      <c r="CZ184" s="17">
        <f t="shared" si="823"/>
        <v>429.50476800000018</v>
      </c>
      <c r="DA184" s="17">
        <f t="shared" si="824"/>
        <v>-1288.514304</v>
      </c>
      <c r="DB184" s="17">
        <f t="shared" si="825"/>
        <v>-26593.920000000002</v>
      </c>
      <c r="DC184" s="17">
        <f t="shared" si="826"/>
        <v>3412</v>
      </c>
      <c r="DD184" s="17">
        <f t="shared" si="827"/>
        <v>395.76743359999995</v>
      </c>
      <c r="DE184" s="17">
        <f t="shared" si="828"/>
        <v>17496.000000000007</v>
      </c>
      <c r="DF184" s="17">
        <f t="shared" si="829"/>
        <v>-4868.7286085222404</v>
      </c>
      <c r="DG184" s="17"/>
      <c r="DH184" s="17">
        <f t="shared" si="830"/>
        <v>-10514.941939202587</v>
      </c>
      <c r="DI184" s="17">
        <f t="shared" si="831"/>
        <v>-29573.274204007277</v>
      </c>
      <c r="DJ184" s="17">
        <f t="shared" si="832"/>
        <v>-2743.1840833090046</v>
      </c>
      <c r="DK184" s="17">
        <f t="shared" si="833"/>
        <v>4091.2614257765063</v>
      </c>
      <c r="DL184" s="17">
        <f t="shared" si="834"/>
        <v>-16038.076310922239</v>
      </c>
      <c r="DM184" s="17">
        <f t="shared" si="835"/>
        <v>-38740.138800742359</v>
      </c>
      <c r="DN184" s="17">
        <f t="shared" si="836"/>
        <v>-54778.215111664598</v>
      </c>
    </row>
    <row r="185" spans="3:120" ht="18.600000000000001">
      <c r="C185" s="13">
        <f>IF(D185&lt;&gt;"",COUNTA($D$10:D185),"")</f>
        <v>152</v>
      </c>
      <c r="D185" s="14" t="s">
        <v>215</v>
      </c>
      <c r="E185" s="14">
        <v>2.8</v>
      </c>
      <c r="F185" s="14">
        <v>2.4</v>
      </c>
      <c r="G185" s="14">
        <v>2.4</v>
      </c>
      <c r="H185" s="14">
        <v>2</v>
      </c>
      <c r="I185" s="14">
        <v>1</v>
      </c>
      <c r="J185" s="14">
        <v>1.75</v>
      </c>
      <c r="K185" s="14">
        <v>3</v>
      </c>
      <c r="L185" s="15">
        <v>0.1</v>
      </c>
      <c r="M185" s="15">
        <v>0</v>
      </c>
      <c r="N185" s="14">
        <v>24</v>
      </c>
      <c r="O185" s="14">
        <v>50</v>
      </c>
      <c r="P185" s="13">
        <v>45</v>
      </c>
      <c r="Q185" s="13">
        <v>85</v>
      </c>
      <c r="R185" s="13" t="s">
        <v>17</v>
      </c>
      <c r="S185" s="13">
        <v>120</v>
      </c>
      <c r="T185" s="13">
        <v>0</v>
      </c>
      <c r="U185" s="13">
        <v>100</v>
      </c>
      <c r="V185" s="13" t="str">
        <f t="shared" si="761"/>
        <v>ISO 6</v>
      </c>
      <c r="W185" s="13">
        <f t="shared" si="762"/>
        <v>120</v>
      </c>
      <c r="X185" s="16">
        <f t="shared" si="763"/>
        <v>72.307199999999995</v>
      </c>
      <c r="Y185" s="16">
        <f t="shared" si="764"/>
        <v>569.20227839999995</v>
      </c>
      <c r="Z185" s="16">
        <f t="shared" si="765"/>
        <v>1138.4045567999999</v>
      </c>
      <c r="AA185" s="16">
        <f t="shared" si="766"/>
        <v>113.84045567999999</v>
      </c>
      <c r="AB185" s="16">
        <f t="shared" si="767"/>
        <v>0</v>
      </c>
      <c r="AC185" s="16">
        <f t="shared" si="768"/>
        <v>10.472423497653956</v>
      </c>
      <c r="AD185" s="16">
        <f t="shared" si="837"/>
        <v>2675</v>
      </c>
      <c r="AE185" s="16">
        <f t="shared" si="770"/>
        <v>2675</v>
      </c>
      <c r="AF185" s="16">
        <f t="shared" si="771"/>
        <v>16</v>
      </c>
      <c r="AG185" s="16">
        <f t="shared" si="772"/>
        <v>7</v>
      </c>
      <c r="AH185" s="838" t="s">
        <v>85</v>
      </c>
      <c r="AI185" s="17">
        <f t="shared" si="773"/>
        <v>4.5</v>
      </c>
      <c r="AJ185" s="17">
        <f t="shared" si="774"/>
        <v>7</v>
      </c>
      <c r="AK185" s="891"/>
      <c r="AL185" s="18"/>
      <c r="AM185" s="889"/>
      <c r="AN185" s="891"/>
      <c r="AO185" s="888"/>
      <c r="AP185" s="891"/>
      <c r="AQ185" s="891"/>
      <c r="AR185" s="889"/>
      <c r="AS185" s="888"/>
      <c r="AT185" s="888"/>
      <c r="AU185" s="890"/>
      <c r="AV185" s="888"/>
      <c r="AW185" s="888"/>
      <c r="AX185" s="888"/>
      <c r="AY185" s="887"/>
      <c r="AZ185" s="888"/>
      <c r="BA185" s="17">
        <f t="shared" si="775"/>
        <v>14.399999999999991</v>
      </c>
      <c r="BB185" s="17">
        <f t="shared" si="776"/>
        <v>37.799999999999997</v>
      </c>
      <c r="BC185" s="17">
        <f t="shared" si="777"/>
        <v>32</v>
      </c>
      <c r="BD185" s="17">
        <f t="shared" si="778"/>
        <v>85</v>
      </c>
      <c r="BE185" s="17">
        <f t="shared" si="779"/>
        <v>180.86341983910182</v>
      </c>
      <c r="BF185" s="17">
        <f t="shared" si="780"/>
        <v>24</v>
      </c>
      <c r="BG185" s="17">
        <f t="shared" si="781"/>
        <v>50</v>
      </c>
      <c r="BH185" s="17">
        <f t="shared" si="782"/>
        <v>65.062647806544774</v>
      </c>
      <c r="BI185" s="17">
        <f t="shared" si="783"/>
        <v>115.80077203255705</v>
      </c>
      <c r="BJ185" s="17">
        <f t="shared" si="784"/>
        <v>45</v>
      </c>
      <c r="BK185" s="17">
        <f t="shared" si="785"/>
        <v>85</v>
      </c>
      <c r="BL185" s="17">
        <f t="shared" si="786"/>
        <v>380.54120080897206</v>
      </c>
      <c r="BM185" s="17">
        <f t="shared" si="787"/>
        <v>24</v>
      </c>
      <c r="BN185" s="17">
        <f t="shared" si="788"/>
        <v>50</v>
      </c>
      <c r="BO185" s="17">
        <f t="shared" si="789"/>
        <v>65.062647806544774</v>
      </c>
      <c r="BP185" s="17">
        <f t="shared" si="790"/>
        <v>315.4785530024273</v>
      </c>
      <c r="BQ185" s="17">
        <f t="shared" si="791"/>
        <v>4568.368895999999</v>
      </c>
      <c r="BR185" s="17">
        <f t="shared" si="792"/>
        <v>1740.331007999999</v>
      </c>
      <c r="BS185" s="17">
        <f t="shared" si="793"/>
        <v>468.55065599999972</v>
      </c>
      <c r="BT185" s="17">
        <f t="shared" si="794"/>
        <v>1229.9454719999999</v>
      </c>
      <c r="BU185" s="17">
        <f t="shared" si="795"/>
        <v>23269.68</v>
      </c>
      <c r="BV185" s="17">
        <f t="shared" si="796"/>
        <v>3412</v>
      </c>
      <c r="BW185" s="17">
        <f t="shared" si="797"/>
        <v>431.74629119999997</v>
      </c>
      <c r="BX185" s="17">
        <f t="shared" si="798"/>
        <v>17495.999999999989</v>
      </c>
      <c r="BY185" s="17">
        <f t="shared" si="799"/>
        <v>4647.4227626803195</v>
      </c>
      <c r="BZ185" s="17"/>
      <c r="CA185" s="17">
        <f t="shared" si="800"/>
        <v>85810.166416660228</v>
      </c>
      <c r="CB185" s="17">
        <f t="shared" si="801"/>
        <v>241341.0930468569</v>
      </c>
      <c r="CC185" s="17">
        <f t="shared" si="802"/>
        <v>24421.671117123082</v>
      </c>
      <c r="CD185" s="17">
        <f t="shared" si="803"/>
        <v>219795.04005410775</v>
      </c>
      <c r="CE185" s="17">
        <f t="shared" si="804"/>
        <v>53825.217949880309</v>
      </c>
      <c r="CF185" s="17">
        <f t="shared" si="805"/>
        <v>571367.970634748</v>
      </c>
      <c r="CG185" s="17">
        <f t="shared" si="806"/>
        <v>625193.18858462828</v>
      </c>
      <c r="CH185" s="17">
        <f t="shared" si="807"/>
        <v>14.400000000000006</v>
      </c>
      <c r="CI185" s="17">
        <f t="shared" si="808"/>
        <v>-43.2</v>
      </c>
      <c r="CJ185" s="17">
        <f t="shared" si="809"/>
        <v>16</v>
      </c>
      <c r="CK185" s="17">
        <f t="shared" si="810"/>
        <v>90</v>
      </c>
      <c r="CL185" s="17">
        <f t="shared" si="811"/>
        <v>71.46880726181422</v>
      </c>
      <c r="CM185" s="17">
        <f t="shared" si="812"/>
        <v>24</v>
      </c>
      <c r="CN185" s="17">
        <f t="shared" si="813"/>
        <v>50</v>
      </c>
      <c r="CO185" s="17">
        <f t="shared" si="814"/>
        <v>65.062647806544774</v>
      </c>
      <c r="CP185" s="17">
        <f t="shared" si="815"/>
        <v>6.4061594552694459</v>
      </c>
      <c r="CQ185" s="17">
        <f t="shared" si="816"/>
        <v>0</v>
      </c>
      <c r="CR185" s="17">
        <f t="shared" si="817"/>
        <v>100</v>
      </c>
      <c r="CS185" s="17">
        <f t="shared" si="818"/>
        <v>26.404773030064671</v>
      </c>
      <c r="CT185" s="17">
        <f t="shared" si="819"/>
        <v>24</v>
      </c>
      <c r="CU185" s="17">
        <f t="shared" si="820"/>
        <v>50</v>
      </c>
      <c r="CV185" s="17">
        <f t="shared" si="821"/>
        <v>65.062647806544774</v>
      </c>
      <c r="CW185" s="17">
        <f t="shared" si="822"/>
        <v>-38.657874776480099</v>
      </c>
      <c r="CX185" s="17">
        <f t="shared" si="760"/>
        <v>-5220.9930240000003</v>
      </c>
      <c r="CY185" s="17">
        <f t="shared" si="760"/>
        <v>-5220.9930240000003</v>
      </c>
      <c r="CZ185" s="17">
        <f t="shared" si="823"/>
        <v>468.55065600000012</v>
      </c>
      <c r="DA185" s="17">
        <f t="shared" si="824"/>
        <v>-1405.6519680000001</v>
      </c>
      <c r="DB185" s="17">
        <f t="shared" si="825"/>
        <v>-26593.920000000002</v>
      </c>
      <c r="DC185" s="17">
        <f t="shared" si="826"/>
        <v>3412</v>
      </c>
      <c r="DD185" s="17">
        <f t="shared" si="827"/>
        <v>431.74629119999997</v>
      </c>
      <c r="DE185" s="17">
        <f t="shared" si="828"/>
        <v>17496.000000000007</v>
      </c>
      <c r="DF185" s="17">
        <f t="shared" si="829"/>
        <v>-5311.3403002060804</v>
      </c>
      <c r="DG185" s="17"/>
      <c r="DH185" s="17">
        <f t="shared" si="830"/>
        <v>-10514.941939202587</v>
      </c>
      <c r="DI185" s="17">
        <f t="shared" si="831"/>
        <v>-29573.274204007277</v>
      </c>
      <c r="DJ185" s="17">
        <f t="shared" si="832"/>
        <v>-2992.5644545189134</v>
      </c>
      <c r="DK185" s="17">
        <f t="shared" si="833"/>
        <v>4463.1942826652794</v>
      </c>
      <c r="DL185" s="17">
        <f t="shared" si="834"/>
        <v>-16723.608345006072</v>
      </c>
      <c r="DM185" s="17">
        <f t="shared" si="835"/>
        <v>-38617.586315063498</v>
      </c>
      <c r="DN185" s="17">
        <f t="shared" si="836"/>
        <v>-55341.194660069566</v>
      </c>
    </row>
    <row r="186" spans="3:120">
      <c r="C186" s="13" t="str">
        <f>IF(D186&lt;&gt;"",COUNTA($D$10:D186),"")</f>
        <v/>
      </c>
      <c r="D186" s="19"/>
      <c r="E186" s="19"/>
      <c r="F186" s="19"/>
      <c r="G186" s="19"/>
      <c r="H186" s="19"/>
      <c r="I186" s="19"/>
      <c r="J186" s="19"/>
      <c r="K186" s="19"/>
      <c r="L186" s="19"/>
      <c r="M186" s="19"/>
      <c r="N186" s="19"/>
      <c r="O186" s="19"/>
      <c r="P186" s="19"/>
      <c r="Q186" s="19"/>
      <c r="R186" s="19"/>
      <c r="S186" s="19"/>
      <c r="T186" s="19"/>
      <c r="U186" s="19"/>
      <c r="V186" s="19"/>
      <c r="W186" s="19"/>
      <c r="X186" s="20">
        <f>SUM(X170:X185)</f>
        <v>1144.1108000000002</v>
      </c>
      <c r="Y186" s="20">
        <f t="shared" ref="Y186" si="838">SUM(Y170:Y185)</f>
        <v>9006.4402175999985</v>
      </c>
      <c r="Z186" s="20">
        <f t="shared" ref="Z186" si="839">SUM(Z170:Z185)</f>
        <v>18012.880435199997</v>
      </c>
      <c r="AA186" s="20">
        <f t="shared" ref="AA186" si="840">SUM(AA170:AA185)</f>
        <v>1801.2880435199995</v>
      </c>
      <c r="AB186" s="20">
        <f t="shared" ref="AB186" si="841">SUM(AB170:AB185)</f>
        <v>0</v>
      </c>
      <c r="AC186" s="20">
        <f t="shared" ref="AC186" si="842">SUM(AC170:AC185)</f>
        <v>165.70428430142042</v>
      </c>
      <c r="AD186" s="20">
        <f t="shared" ref="AD186" si="843">SUM(AD170:AD185)</f>
        <v>42375</v>
      </c>
      <c r="AE186" s="20">
        <f t="shared" ref="AE186" si="844">SUM(AE170:AE185)</f>
        <v>42375</v>
      </c>
      <c r="AF186" s="20">
        <f t="shared" ref="AF186" si="845">SUM(AF170:AF185)</f>
        <v>260</v>
      </c>
      <c r="AG186" s="20">
        <f t="shared" ref="AG186" si="846">SUM(AG170:AG185)</f>
        <v>108.5</v>
      </c>
      <c r="AH186" s="841"/>
      <c r="AI186" s="20">
        <f t="shared" ref="AI186" si="847">SUM(AI170:AI185)</f>
        <v>76.5</v>
      </c>
      <c r="AJ186" s="20">
        <f t="shared" ref="AJ186" si="848">SUM(AJ170:AJ185)</f>
        <v>108.5</v>
      </c>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2"/>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row>
    <row r="187" spans="3:120">
      <c r="C187" s="13" t="str">
        <f>IF(D187&lt;&gt;"",COUNTA($D$10:D187),"")</f>
        <v/>
      </c>
    </row>
    <row r="188" spans="3:120" ht="29.1">
      <c r="C188" s="8" t="str">
        <f>"Zoning Area  AHU - " &amp; INT((ROW()-8)/20)+1 &amp; "  " &amp;IF(AQ190&gt;0,"Air-Conditioning System " &amp; IF(AH190="D","(DX)",IF(AH190="C","(Chilled Water)","")),IF(AND(N190="Amb",AQ190=0),"Ventilation System","Refer"))</f>
        <v>Zoning Area  AHU - 10  Air-Conditioning System (Chilled Water)</v>
      </c>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39"/>
      <c r="AI188" s="8"/>
      <c r="AJ188" s="8"/>
      <c r="AK188" s="8"/>
      <c r="AL188" s="8"/>
      <c r="AM188" s="8"/>
      <c r="AN188" s="8"/>
      <c r="AO188" s="8"/>
      <c r="AP188" s="8"/>
      <c r="AQ188" s="8"/>
      <c r="AR188" s="8"/>
      <c r="AS188" s="9" t="s">
        <v>221</v>
      </c>
      <c r="AT188" s="10"/>
      <c r="AU188" s="10"/>
      <c r="AV188" s="11"/>
      <c r="AW188" s="9" t="s">
        <v>222</v>
      </c>
      <c r="AX188" s="10"/>
      <c r="AY188" s="10"/>
      <c r="AZ188" s="11"/>
      <c r="BA188" s="12" t="s">
        <v>483</v>
      </c>
      <c r="BB188" s="12"/>
      <c r="BC188" s="12"/>
      <c r="BD188" s="12"/>
      <c r="BE188" s="12"/>
      <c r="BF188" s="12"/>
      <c r="BG188" s="12"/>
      <c r="BH188" s="12"/>
      <c r="BI188" s="12"/>
      <c r="BJ188" s="12"/>
      <c r="BK188" s="12"/>
      <c r="BL188" s="12"/>
      <c r="BM188" s="12"/>
      <c r="BN188" s="12"/>
      <c r="BO188" s="12"/>
      <c r="BP188" s="12"/>
      <c r="BQ188" s="9" t="s">
        <v>484</v>
      </c>
      <c r="BR188" s="10"/>
      <c r="BS188" s="10"/>
      <c r="BT188" s="10"/>
      <c r="BU188" s="10"/>
      <c r="BV188" s="10"/>
      <c r="BW188" s="10"/>
      <c r="BX188" s="10"/>
      <c r="BY188" s="10"/>
      <c r="BZ188" s="11"/>
      <c r="CA188" s="9" t="s">
        <v>485</v>
      </c>
      <c r="CB188" s="10"/>
      <c r="CC188" s="10"/>
      <c r="CD188" s="10"/>
      <c r="CE188" s="9" t="s">
        <v>486</v>
      </c>
      <c r="CF188" s="10"/>
      <c r="CG188" s="11"/>
      <c r="CH188" s="12" t="s">
        <v>487</v>
      </c>
      <c r="CI188" s="12"/>
      <c r="CJ188" s="12"/>
      <c r="CK188" s="12"/>
      <c r="CL188" s="12"/>
      <c r="CM188" s="12"/>
      <c r="CN188" s="12"/>
      <c r="CO188" s="12"/>
      <c r="CP188" s="12"/>
      <c r="CQ188" s="12"/>
      <c r="CR188" s="12"/>
      <c r="CS188" s="12"/>
      <c r="CT188" s="12"/>
      <c r="CU188" s="12"/>
      <c r="CV188" s="12"/>
      <c r="CW188" s="12"/>
      <c r="CX188" s="9" t="s">
        <v>488</v>
      </c>
      <c r="CY188" s="10"/>
      <c r="CZ188" s="10"/>
      <c r="DA188" s="10"/>
      <c r="DB188" s="10"/>
      <c r="DC188" s="10"/>
      <c r="DD188" s="10"/>
      <c r="DE188" s="10"/>
      <c r="DF188" s="10"/>
      <c r="DG188" s="11"/>
      <c r="DH188" s="9" t="s">
        <v>489</v>
      </c>
      <c r="DI188" s="10"/>
      <c r="DJ188" s="10"/>
      <c r="DK188" s="10"/>
      <c r="DL188" s="9"/>
      <c r="DM188" s="10"/>
      <c r="DN188" s="11"/>
      <c r="DO188" s="1"/>
      <c r="DP188" s="1"/>
    </row>
    <row r="189" spans="3:120" ht="120" customHeight="1">
      <c r="C189" s="13">
        <f>IF(D189&lt;&gt;"",COUNTA($D$10:D189),"")</f>
        <v>153</v>
      </c>
      <c r="D189" s="5" t="s">
        <v>165</v>
      </c>
      <c r="E189" s="5" t="s">
        <v>166</v>
      </c>
      <c r="F189" s="5" t="s">
        <v>167</v>
      </c>
      <c r="G189" s="5" t="s">
        <v>168</v>
      </c>
      <c r="H189" s="5" t="s">
        <v>169</v>
      </c>
      <c r="I189" s="5" t="s">
        <v>170</v>
      </c>
      <c r="J189" s="5" t="s">
        <v>171</v>
      </c>
      <c r="K189" s="5" t="s">
        <v>172</v>
      </c>
      <c r="L189" s="5" t="s">
        <v>173</v>
      </c>
      <c r="M189" s="5" t="s">
        <v>174</v>
      </c>
      <c r="N189" s="5" t="s">
        <v>175</v>
      </c>
      <c r="O189" s="5" t="s">
        <v>176</v>
      </c>
      <c r="P189" s="5" t="s">
        <v>177</v>
      </c>
      <c r="Q189" s="5" t="s">
        <v>178</v>
      </c>
      <c r="R189" s="5" t="s">
        <v>199</v>
      </c>
      <c r="S189" s="5" t="s">
        <v>180</v>
      </c>
      <c r="T189" s="5" t="s">
        <v>223</v>
      </c>
      <c r="U189" s="5" t="s">
        <v>224</v>
      </c>
      <c r="V189" s="5" t="s">
        <v>199</v>
      </c>
      <c r="W189" s="5" t="s">
        <v>180</v>
      </c>
      <c r="X189" s="5" t="s">
        <v>225</v>
      </c>
      <c r="Y189" s="5" t="s">
        <v>226</v>
      </c>
      <c r="Z189" s="5" t="s">
        <v>227</v>
      </c>
      <c r="AA189" s="5" t="s">
        <v>228</v>
      </c>
      <c r="AB189" s="5" t="s">
        <v>229</v>
      </c>
      <c r="AC189" s="5" t="s">
        <v>230</v>
      </c>
      <c r="AD189" s="5" t="s">
        <v>231</v>
      </c>
      <c r="AE189" s="5" t="s">
        <v>232</v>
      </c>
      <c r="AF189" s="6" t="s">
        <v>233</v>
      </c>
      <c r="AG189" s="6" t="s">
        <v>234</v>
      </c>
      <c r="AH189" s="6" t="s">
        <v>235</v>
      </c>
      <c r="AI189" s="5" t="s">
        <v>236</v>
      </c>
      <c r="AJ189" s="5" t="s">
        <v>237</v>
      </c>
      <c r="AK189" s="5" t="s">
        <v>238</v>
      </c>
      <c r="AL189" s="5" t="s">
        <v>239</v>
      </c>
      <c r="AM189" s="5" t="s">
        <v>240</v>
      </c>
      <c r="AN189" s="5" t="s">
        <v>241</v>
      </c>
      <c r="AO189" s="5" t="s">
        <v>242</v>
      </c>
      <c r="AP189" s="5" t="s">
        <v>243</v>
      </c>
      <c r="AQ189" s="5" t="s">
        <v>244</v>
      </c>
      <c r="AR189" s="5" t="s">
        <v>245</v>
      </c>
      <c r="AS189" s="5" t="s">
        <v>246</v>
      </c>
      <c r="AT189" s="5" t="s">
        <v>247</v>
      </c>
      <c r="AU189" s="5" t="s">
        <v>248</v>
      </c>
      <c r="AV189" s="5" t="s">
        <v>249</v>
      </c>
      <c r="AW189" s="5" t="s">
        <v>250</v>
      </c>
      <c r="AX189" s="5" t="s">
        <v>251</v>
      </c>
      <c r="AY189" s="5" t="s">
        <v>252</v>
      </c>
      <c r="AZ189" s="5" t="s">
        <v>253</v>
      </c>
      <c r="BA189" s="5" t="s">
        <v>490</v>
      </c>
      <c r="BB189" s="5" t="s">
        <v>491</v>
      </c>
      <c r="BC189" s="5" t="s">
        <v>492</v>
      </c>
      <c r="BD189" s="5" t="s">
        <v>493</v>
      </c>
      <c r="BE189" s="5" t="s">
        <v>494</v>
      </c>
      <c r="BF189" s="5" t="s">
        <v>492</v>
      </c>
      <c r="BG189" s="5" t="s">
        <v>493</v>
      </c>
      <c r="BH189" s="5" t="s">
        <v>495</v>
      </c>
      <c r="BI189" s="5" t="s">
        <v>496</v>
      </c>
      <c r="BJ189" s="5" t="s">
        <v>492</v>
      </c>
      <c r="BK189" s="5" t="s">
        <v>493</v>
      </c>
      <c r="BL189" s="5" t="s">
        <v>497</v>
      </c>
      <c r="BM189" s="5" t="s">
        <v>492</v>
      </c>
      <c r="BN189" s="5" t="s">
        <v>493</v>
      </c>
      <c r="BO189" s="5" t="s">
        <v>495</v>
      </c>
      <c r="BP189" s="5" t="s">
        <v>498</v>
      </c>
      <c r="BQ189" s="5" t="s">
        <v>499</v>
      </c>
      <c r="BR189" s="5" t="s">
        <v>500</v>
      </c>
      <c r="BS189" s="5" t="s">
        <v>501</v>
      </c>
      <c r="BT189" s="5" t="s">
        <v>502</v>
      </c>
      <c r="BU189" s="5" t="s">
        <v>503</v>
      </c>
      <c r="BV189" s="5" t="s">
        <v>504</v>
      </c>
      <c r="BW189" s="5" t="s">
        <v>505</v>
      </c>
      <c r="BX189" s="5" t="s">
        <v>506</v>
      </c>
      <c r="BY189" s="5" t="s">
        <v>173</v>
      </c>
      <c r="BZ189" s="5" t="s">
        <v>174</v>
      </c>
      <c r="CA189" s="5" t="s">
        <v>503</v>
      </c>
      <c r="CB189" s="5" t="s">
        <v>507</v>
      </c>
      <c r="CC189" s="5" t="s">
        <v>173</v>
      </c>
      <c r="CD189" s="5" t="s">
        <v>508</v>
      </c>
      <c r="CE189" s="7" t="s">
        <v>509</v>
      </c>
      <c r="CF189" s="7" t="s">
        <v>510</v>
      </c>
      <c r="CG189" s="7" t="s">
        <v>511</v>
      </c>
      <c r="CH189" s="5" t="s">
        <v>512</v>
      </c>
      <c r="CI189" s="5" t="s">
        <v>513</v>
      </c>
      <c r="CJ189" s="5" t="s">
        <v>492</v>
      </c>
      <c r="CK189" s="5" t="s">
        <v>493</v>
      </c>
      <c r="CL189" s="5" t="s">
        <v>494</v>
      </c>
      <c r="CM189" s="5" t="s">
        <v>492</v>
      </c>
      <c r="CN189" s="5" t="s">
        <v>493</v>
      </c>
      <c r="CO189" s="5" t="s">
        <v>495</v>
      </c>
      <c r="CP189" s="5" t="s">
        <v>496</v>
      </c>
      <c r="CQ189" s="5" t="s">
        <v>492</v>
      </c>
      <c r="CR189" s="5" t="s">
        <v>493</v>
      </c>
      <c r="CS189" s="5" t="s">
        <v>497</v>
      </c>
      <c r="CT189" s="5" t="s">
        <v>492</v>
      </c>
      <c r="CU189" s="5" t="s">
        <v>493</v>
      </c>
      <c r="CV189" s="5" t="s">
        <v>495</v>
      </c>
      <c r="CW189" s="5" t="s">
        <v>498</v>
      </c>
      <c r="CX189" s="5" t="s">
        <v>499</v>
      </c>
      <c r="CY189" s="5" t="s">
        <v>500</v>
      </c>
      <c r="CZ189" s="5" t="s">
        <v>501</v>
      </c>
      <c r="DA189" s="5" t="s">
        <v>502</v>
      </c>
      <c r="DB189" s="5" t="s">
        <v>503</v>
      </c>
      <c r="DC189" s="5" t="s">
        <v>504</v>
      </c>
      <c r="DD189" s="5" t="s">
        <v>505</v>
      </c>
      <c r="DE189" s="5" t="s">
        <v>506</v>
      </c>
      <c r="DF189" s="5" t="s">
        <v>173</v>
      </c>
      <c r="DG189" s="5" t="s">
        <v>174</v>
      </c>
      <c r="DH189" s="5" t="s">
        <v>503</v>
      </c>
      <c r="DI189" s="5" t="s">
        <v>507</v>
      </c>
      <c r="DJ189" s="5" t="s">
        <v>173</v>
      </c>
      <c r="DK189" s="5" t="s">
        <v>508</v>
      </c>
      <c r="DL189" s="7" t="s">
        <v>509</v>
      </c>
      <c r="DM189" s="7" t="s">
        <v>510</v>
      </c>
      <c r="DN189" s="7" t="s">
        <v>511</v>
      </c>
      <c r="DO189" s="2"/>
      <c r="DP189" s="2"/>
    </row>
    <row r="190" spans="3:120" ht="18.600000000000001" customHeight="1">
      <c r="C190" s="13">
        <f>IF(D190&lt;&gt;"",COUNTA($D$10:D190),"")</f>
        <v>154</v>
      </c>
      <c r="D190" s="14" t="s">
        <v>200</v>
      </c>
      <c r="E190" s="14">
        <v>3</v>
      </c>
      <c r="F190" s="14">
        <v>3</v>
      </c>
      <c r="G190" s="14">
        <v>2.4</v>
      </c>
      <c r="H190" s="14">
        <v>1</v>
      </c>
      <c r="I190" s="14">
        <v>2</v>
      </c>
      <c r="J190" s="14">
        <v>1.75</v>
      </c>
      <c r="K190" s="14">
        <v>3</v>
      </c>
      <c r="L190" s="15">
        <v>0.1</v>
      </c>
      <c r="M190" s="15">
        <v>0</v>
      </c>
      <c r="N190" s="14">
        <v>24</v>
      </c>
      <c r="O190" s="14">
        <v>50</v>
      </c>
      <c r="P190" s="13">
        <v>45</v>
      </c>
      <c r="Q190" s="13">
        <v>85</v>
      </c>
      <c r="R190" s="13" t="s">
        <v>17</v>
      </c>
      <c r="S190" s="13">
        <v>120</v>
      </c>
      <c r="T190" s="13">
        <v>0</v>
      </c>
      <c r="U190" s="13">
        <v>100</v>
      </c>
      <c r="V190" s="13" t="str">
        <f>R190</f>
        <v>ISO 6</v>
      </c>
      <c r="W190" s="13">
        <f>S190</f>
        <v>120</v>
      </c>
      <c r="X190" s="16">
        <f>E190*F190*10.76</f>
        <v>96.84</v>
      </c>
      <c r="Y190" s="16">
        <f>X190*G190*3.28</f>
        <v>762.32447999999999</v>
      </c>
      <c r="Z190" s="16">
        <f>Y190*S190/60</f>
        <v>1524.64896</v>
      </c>
      <c r="AA190" s="16">
        <f>Z190*L190</f>
        <v>152.46489600000001</v>
      </c>
      <c r="AB190" s="16">
        <f>IF(N190="Amb",Z190,Z190*M190)</f>
        <v>0</v>
      </c>
      <c r="AC190" s="16">
        <f>IF(ISNUMBER(N190), (AA190*0.075*60/2.20462)*BP190/7000, "Ambient")</f>
        <v>14.025567184357984</v>
      </c>
      <c r="AD190" s="16">
        <f>IF(ISNUMBER(N190), CEILING(CF190/(0.68*BP190),25), "Ambient")</f>
        <v>2850</v>
      </c>
      <c r="AE190" s="16">
        <f>CEILING(MAX((Z190+AA190),AD190),25)</f>
        <v>2850</v>
      </c>
      <c r="AF190" s="16">
        <f>CEILING(IF(OR($R190="ISO 6",$R190="GRADE B",$R190="1K",$R190=1000),AE190*1/175,IF(OR($R190="ISO 5",$R190="GRADE A",$R190=100),AE190*1/100,IF(OR($R190="ISO 7",$R190="GRADE C",$R190="10K",$R190=10000),$AE190*1/250,IF(OR($R190="ISO 8",$R190="GRADE D",$R190="100K",$R190=100000),$AE190*1/250,IF(OR($R190="NC",$R190="20 Micron",$R190="5 Micron",$R190="N C"),$AE190*1/350,0))))),2)</f>
        <v>18</v>
      </c>
      <c r="AG190" s="16">
        <f>IF(ISNUMBER(N190), CEILING(MAX(AI190,AJ190),0.5), "Ambient")</f>
        <v>7.5</v>
      </c>
      <c r="AH190" s="838" t="s">
        <v>85</v>
      </c>
      <c r="AI190" s="17">
        <f>IF(ISNUMBER(N190), CEILING(CE190/12000,0.5), "Ambient")</f>
        <v>4.5</v>
      </c>
      <c r="AJ190" s="17">
        <f>IF(ISNUMBER(N190),CEILING(AE190/(IF(AH190="C",400,300)),0.5), "Ambient")</f>
        <v>7.5</v>
      </c>
      <c r="AK190" s="891">
        <f>CEILING(SUM(AE190:AE205),250)</f>
        <v>42500</v>
      </c>
      <c r="AL190" s="18" t="s">
        <v>254</v>
      </c>
      <c r="AM190" s="889">
        <v>150</v>
      </c>
      <c r="AN190" s="891">
        <f>IF(AK190&lt;=1300,200,IF(AK190&lt;=1600,225,IF(AK190&lt;=2100,250,IF(AK190&lt;=2700,280,IF(AK190&lt;=3450,315,IF(AK190&lt;=4250,355,IF(AK190&lt;=5250,400,IF(AK190&lt;=6750,450,IF(AK190&lt;=8500,500,IF(AK190&lt;=10750,560,IF(AK190&lt;=13500,630,IF(AK190&lt;=17000,710,IF(AK190&lt;=21500,800,IF(AK190&lt;=27000,900,IF(AK190&lt;=34000,1000,IF(AK190&lt;=43000,1120,IF(AK190&lt;=49000,1200,IF(AK190&lt;=68000,1450,"Refer"))))))))))))))))))</f>
        <v>1120</v>
      </c>
      <c r="AO190" s="888">
        <f>IF(AK190*AM190/(6356*0.7*0.9*1.1*25.4)&lt;=1,1,IF(AK190*AM190/(6356*0.7*0.9*1.1*25.4)&lt;=1.5,1.5,IF(AK190*AM190/(6356*0.7*0.9*1.1*25.4)&lt;=2,2,IF(AK190*AM190/(6356*0.7*0.9*1.1*25.4)&lt;=3,3,IF(AK190*AM190/(6356*0.7*0.9*1.1*25.4)&lt;=5,5,IF(AK190*AM190/(6356*0.7*0.9*1.1*25.4)&lt;=7.5,7.5,IF(AK190*AM190/(6356*0.7*0.9*1.1*25.4)&lt;=10,10,IF(AK190*AM190/(6356*0.7*0.9*1.1*25.4)&lt;=12.5,12.5,IF(AK190*AM190/(6356*0.7*0.9*1.1*25.4)&lt;=15,15,IF(AK190*AM190/(6356*0.7*0.9*1.1*25.4)&lt;=20,20,IF(AK190*AM190/(6356*0.7*0.9*1.1*25.4)&lt;=25,25,IF(AK190*AM190/(6356*0.7*0.9*1.1*25.4)&lt;=30,30,IF(AK190*AM190/(6356*0.7*0.9*1.1*25.4)&lt;=40,40,IF(AK190*AM190/(6356*0.7*0.9*1.1*25.4)&lt;=50,50,IF(AK190*AM190/(6356*0.7*0.9*1.1*25.4)&lt;=60,60,IF(AK190*AM190/(6356*0.7*0.9*1.1*25.4)&lt;=75,75,"Refer"))))))))))))))))</f>
        <v>60</v>
      </c>
      <c r="AP190" s="891">
        <f>IF(AND(AQ190=0, N190="Amb"), "Amb",IF((AL191-250)*(AL193-150)*10.76/(1000*1000) &gt;= MAX(AI206,AJ206), 4,IF((AL191-250)*(AL193-150)*10.76*1.5/(1000*1000) &gt;= MAX(AI206,AJ206), 6,IF((AL191-250)*(AL193-150)*10.76*2/(1000*1000) &gt;= MAX(AI206,AJ206), 8, 0))
 )
)</f>
        <v>4</v>
      </c>
      <c r="AQ190" s="891">
        <f>AG206</f>
        <v>108.5</v>
      </c>
      <c r="AR190" s="889">
        <f>_xlfn.SWITCH(TRIM(UPPER(R190)),"ISO 9", 3,"ISO 8", 4,"Grade D", 4,"Class 100,000", 4,"Class 100K", 4,"ISO 7", 3,"Grade C", 3,"Class 10,000", 3,"Class 10K", 3,"ISO 6", 3,"Class 1,000", 3,"Class 1K", 3,"ISO 5", 4,"Grade A", 4,"Grade B", 4,"Class 100", 4,"ISO 4", 3,"ISO 3", 4,"ISO 2", 4,"ISO 1", 4,"NCV20",1,"NCV-10",2,"NCV-5",3,"NCAC-10",1,"NCAC-5",2,"NCAC-1",3,3)</f>
        <v>3</v>
      </c>
      <c r="AS190" s="888">
        <f>MAX(AI206,AJ206)*24/6</f>
        <v>434</v>
      </c>
      <c r="AT190" s="888">
        <f>AS190*0.06309</f>
        <v>27.381059999999998</v>
      </c>
      <c r="AU190" s="890">
        <v>2</v>
      </c>
      <c r="AV190" s="888">
        <f>SQRT((4*AS190*0.00006309)/(3.14*AU190))*1000</f>
        <v>132.06121915647887</v>
      </c>
      <c r="AW190" s="888"/>
      <c r="AX190" s="888"/>
      <c r="AY190" s="887"/>
      <c r="AZ190" s="888"/>
      <c r="BA190" s="17">
        <f>-CONVERT(N190,"C","F")+CONVERT((N190+8),"C","F")</f>
        <v>14.399999999999991</v>
      </c>
      <c r="BB190" s="17">
        <f>CONVERT(P190,"C","F")-CONVERT(N190,"C","F")</f>
        <v>37.799999999999997</v>
      </c>
      <c r="BC190" s="17">
        <f>N190+8</f>
        <v>32</v>
      </c>
      <c r="BD190" s="17">
        <f>BG190+35</f>
        <v>85</v>
      </c>
      <c r="BE190" s="17">
        <f>0.622*7000*(BD190/100)*(6.1078*10^((7.5*BC190)/(237.3+BC190)))/(1013.25-(6.1078*10^((7.5*BC190)/(237.3+BC190)))*BD190/100)</f>
        <v>180.86341983910182</v>
      </c>
      <c r="BF190" s="17">
        <f>N190</f>
        <v>24</v>
      </c>
      <c r="BG190" s="17">
        <f>O190</f>
        <v>50</v>
      </c>
      <c r="BH190" s="17">
        <f>0.622*7000*(BG190/100)*(6.1078*10^((7.5*BF190)/(237.3+BF190)))/(1013.25-(6.1078*10^((7.5*BF190)/(237.3+BF190)))*BG190/100)</f>
        <v>65.062647806544774</v>
      </c>
      <c r="BI190" s="17">
        <f>BE190-BH190</f>
        <v>115.80077203255705</v>
      </c>
      <c r="BJ190" s="17">
        <f>P190</f>
        <v>45</v>
      </c>
      <c r="BK190" s="17">
        <f>Q190</f>
        <v>85</v>
      </c>
      <c r="BL190" s="17">
        <f>0.622*7000*(BK190/100)*(6.1078*10^((7.5*BJ190)/(237.3+BJ190)))/(1013.25-(6.1078*10^((7.5*BJ190)/(237.3+BJ190)))*BK190/100)</f>
        <v>380.54120080897206</v>
      </c>
      <c r="BM190" s="17">
        <f>N190</f>
        <v>24</v>
      </c>
      <c r="BN190" s="17">
        <f>BG190</f>
        <v>50</v>
      </c>
      <c r="BO190" s="17">
        <f>0.622*7000*(BN190/100)*(6.1078*10^((7.5*BM190)/(237.3+BM190)))/(1013.25-(6.1078*10^((7.5*BM190)/(237.3+BM190)))*BN190/100)</f>
        <v>65.062647806544774</v>
      </c>
      <c r="BP190" s="17">
        <f>BL190-BO190</f>
        <v>315.4785530024273</v>
      </c>
      <c r="BQ190" s="17">
        <f>($E190*$G190*10.76*2+$F190*$G190*2*10.76)*$BB190*0.45</f>
        <v>5271.1948799999991</v>
      </c>
      <c r="BR190" s="17">
        <f>($E190*$G190*10.76*2+$F190*$G190*2*10.76)*$BA190*0.45</f>
        <v>2008.0742399999988</v>
      </c>
      <c r="BS190" s="17">
        <f>($E190*$F190*10.76)*$BA190*0.45</f>
        <v>627.52319999999963</v>
      </c>
      <c r="BT190" s="17">
        <f>($E190*$F190*10.76)*$BB190*0.45</f>
        <v>1647.2483999999999</v>
      </c>
      <c r="BU190" s="17">
        <f>$H190*285*1.08*$BB190</f>
        <v>11634.84</v>
      </c>
      <c r="BV190" s="17">
        <f>$I190*1000*3.412</f>
        <v>6824</v>
      </c>
      <c r="BW190" s="17">
        <f>$J190*$X190*3.412</f>
        <v>578.23163999999997</v>
      </c>
      <c r="BX190" s="17">
        <f>$K190*1.08*375*$BA190</f>
        <v>17495.999999999989</v>
      </c>
      <c r="BY190" s="17">
        <f>($AA190+$AB190)*1.08*$BB190</f>
        <v>6224.2269143040003</v>
      </c>
      <c r="BZ190" s="17"/>
      <c r="CA190" s="17">
        <f>$H190*200*0.68*$BP190</f>
        <v>42905.083208330114</v>
      </c>
      <c r="CB190" s="17">
        <f>$K190*375*0.68*$BP190</f>
        <v>241341.0930468569</v>
      </c>
      <c r="CC190" s="17">
        <f>($AA190+$AB190)*0.68*$BP190</f>
        <v>32707.59524614699</v>
      </c>
      <c r="CD190" s="17">
        <f>($Z190-$AA190)*0.68*$BP190</f>
        <v>294368.3572153229</v>
      </c>
      <c r="CE190" s="17">
        <f>$BQ190+$BU190+$BV190+$BW190+$BX190+$BY190</f>
        <v>48028.493434303993</v>
      </c>
      <c r="CF190" s="17">
        <f>$CA190+$CB190+$CC190+$CD190</f>
        <v>611322.12871665694</v>
      </c>
      <c r="CG190" s="17">
        <f>$CE190+$CF190</f>
        <v>659350.62215096096</v>
      </c>
      <c r="CH190" s="17">
        <f>CONVERT(N190,"C","F")-CONVERT((N190-8),"C","F")</f>
        <v>14.400000000000006</v>
      </c>
      <c r="CI190" s="17">
        <f>CONVERT(T190,"C","F")-CONVERT(N190,"C","F")</f>
        <v>-43.2</v>
      </c>
      <c r="CJ190" s="17">
        <f>CM190-8</f>
        <v>16</v>
      </c>
      <c r="CK190" s="17">
        <f>O190+40</f>
        <v>90</v>
      </c>
      <c r="CL190" s="17">
        <f>0.622*7000*(CK190/100)*(6.1078*10^((7.5*CJ190)/(237.3+CJ190)))/(1013.25-(6.1078*10^((7.5*CJ190)/(237.3+CJ190)))*CK190/100)</f>
        <v>71.46880726181422</v>
      </c>
      <c r="CM190" s="17">
        <f>N190</f>
        <v>24</v>
      </c>
      <c r="CN190" s="17">
        <f>O190</f>
        <v>50</v>
      </c>
      <c r="CO190" s="17">
        <f>0.622*7000*(CN190/100)*(6.1078*10^((7.5*CM190)/(237.3+CM190)))/(1013.25-(6.1078*10^((7.5*CM190)/(237.3+CM190)))*CN190/100)</f>
        <v>65.062647806544774</v>
      </c>
      <c r="CP190" s="17">
        <f>CL190-CO190</f>
        <v>6.4061594552694459</v>
      </c>
      <c r="CQ190" s="17">
        <f>T190</f>
        <v>0</v>
      </c>
      <c r="CR190" s="17">
        <f>U190</f>
        <v>100</v>
      </c>
      <c r="CS190" s="17">
        <f>0.622*7000*(CR190/100)*(6.1078*10^((7.5*CQ190)/(237.3+CQ190)))/(1013.25-(6.1078*10^((7.5*CQ190)/(237.3+CQ190)))*CR190/100)</f>
        <v>26.404773030064671</v>
      </c>
      <c r="CT190" s="17">
        <f>CM190</f>
        <v>24</v>
      </c>
      <c r="CU190" s="17">
        <f>O190</f>
        <v>50</v>
      </c>
      <c r="CV190" s="17">
        <f>0.622*7000*(CU190/100)*(6.1078*10^((7.5*CT190)/(237.3+CT190)))/(1013.25-(6.1078*10^((7.5*CT190)/(237.3+CT190)))*CU190/100)</f>
        <v>65.062647806544774</v>
      </c>
      <c r="CW190" s="17">
        <f>CS190-CV190</f>
        <v>-38.657874776480099</v>
      </c>
      <c r="CX190" s="17">
        <f t="shared" ref="CX190:CY205" si="849">($E190*$G190*10.76*2+$F190*$G190*2*10.76)*$CI190*0.45</f>
        <v>-6024.2227199999998</v>
      </c>
      <c r="CY190" s="17">
        <f t="shared" si="849"/>
        <v>-6024.2227199999998</v>
      </c>
      <c r="CZ190" s="17">
        <f>($E190*$F190*10.76)*$CH190*0.45</f>
        <v>627.52320000000032</v>
      </c>
      <c r="DA190" s="17">
        <f>($E190*$F190*10.76)*$CI190*0.45</f>
        <v>-1882.5696000000003</v>
      </c>
      <c r="DB190" s="17">
        <f>$H190*285*1.08*$CI190</f>
        <v>-13296.960000000001</v>
      </c>
      <c r="DC190" s="17">
        <f>$I190*1000*3.412</f>
        <v>6824</v>
      </c>
      <c r="DD190" s="17">
        <f>$J190*$X190*3.412</f>
        <v>578.23163999999997</v>
      </c>
      <c r="DE190" s="17">
        <f>$K190*1.08*375*$CH190</f>
        <v>17496.000000000007</v>
      </c>
      <c r="DF190" s="17">
        <f>($AA190+$AB190)*1.08*$CI190</f>
        <v>-7113.4021877760015</v>
      </c>
      <c r="DG190" s="17"/>
      <c r="DH190" s="17">
        <f>$H190*200*0.68*CW190</f>
        <v>-5257.4709696012933</v>
      </c>
      <c r="DI190" s="17">
        <f>$K190*375*0.68*CW190</f>
        <v>-29573.274204007277</v>
      </c>
      <c r="DJ190" s="17">
        <f>(AA190+AB190)*0.68*CW190</f>
        <v>-4007.8988230164023</v>
      </c>
      <c r="DK190" s="17">
        <f>(Z190-AA190)*0.68*CP190</f>
        <v>5977.4923428552856</v>
      </c>
      <c r="DL190" s="17">
        <f>CX190+DA190+CZ190+DB190+DC190+DD190+DE190+DF190</f>
        <v>-2791.3996677759942</v>
      </c>
      <c r="DM190" s="17">
        <f>DH190+DI190+DJ190+DK190</f>
        <v>-32861.151653769688</v>
      </c>
      <c r="DN190" s="17">
        <f>DL190+DM190</f>
        <v>-35652.551321545681</v>
      </c>
    </row>
    <row r="191" spans="3:120" ht="18.600000000000001">
      <c r="C191" s="13">
        <f>IF(D191&lt;&gt;"",COUNTA($D$10:D191),"")</f>
        <v>155</v>
      </c>
      <c r="D191" s="14" t="s">
        <v>201</v>
      </c>
      <c r="E191" s="14">
        <v>1.8</v>
      </c>
      <c r="F191" s="14">
        <v>2.2000000000000002</v>
      </c>
      <c r="G191" s="14">
        <v>2.4</v>
      </c>
      <c r="H191" s="14">
        <v>2</v>
      </c>
      <c r="I191" s="14">
        <v>1</v>
      </c>
      <c r="J191" s="14">
        <v>1.75</v>
      </c>
      <c r="K191" s="14">
        <v>3</v>
      </c>
      <c r="L191" s="15">
        <v>0.1</v>
      </c>
      <c r="M191" s="15">
        <v>0</v>
      </c>
      <c r="N191" s="14">
        <v>24</v>
      </c>
      <c r="O191" s="14">
        <v>50</v>
      </c>
      <c r="P191" s="13">
        <v>45</v>
      </c>
      <c r="Q191" s="13">
        <v>85</v>
      </c>
      <c r="R191" s="13" t="s">
        <v>17</v>
      </c>
      <c r="S191" s="13">
        <v>120</v>
      </c>
      <c r="T191" s="13">
        <v>0</v>
      </c>
      <c r="U191" s="13">
        <v>100</v>
      </c>
      <c r="V191" s="13" t="str">
        <f t="shared" ref="V191:V205" si="850">R191</f>
        <v>ISO 6</v>
      </c>
      <c r="W191" s="13">
        <f t="shared" ref="W191:W205" si="851">S191</f>
        <v>120</v>
      </c>
      <c r="X191" s="16">
        <f t="shared" ref="X191:X205" si="852">E191*F191*10.76</f>
        <v>42.6096</v>
      </c>
      <c r="Y191" s="16">
        <f t="shared" ref="Y191:Y205" si="853">X191*G191*3.28</f>
        <v>335.4227712</v>
      </c>
      <c r="Z191" s="16">
        <f t="shared" ref="Z191:Z205" si="854">Y191*S191/60</f>
        <v>670.8455424</v>
      </c>
      <c r="AA191" s="16">
        <f t="shared" ref="AA191:AA205" si="855">Z191*L191</f>
        <v>67.084554240000003</v>
      </c>
      <c r="AB191" s="16">
        <f t="shared" ref="AB191:AB205" si="856">IF(N191="Amb",Z191,Z191*M191)</f>
        <v>0</v>
      </c>
      <c r="AC191" s="16">
        <f t="shared" ref="AC191:AC205" si="857">IF(ISNUMBER(N191), (AA191*0.075*60/2.20462)*BP191/7000, "Ambient")</f>
        <v>6.1712495611175129</v>
      </c>
      <c r="AD191" s="16">
        <f t="shared" ref="AD191:AD197" si="858">IF(ISNUMBER(N191), CEILING(CF191/(0.68*BP191),25), "Ambient")</f>
        <v>2200</v>
      </c>
      <c r="AE191" s="16">
        <f t="shared" ref="AE191:AE205" si="859">CEILING(MAX((Z191+AA191),AD191),25)</f>
        <v>2200</v>
      </c>
      <c r="AF191" s="16">
        <f t="shared" ref="AF191:AF205" si="860">CEILING(IF(OR($R191="ISO 6",$R191="GRADE B",$R191="1K",$R191=1000),AE191*1/175,IF(OR($R191="ISO 5",$R191="GRADE A",$R191=100),AE191*1/100,IF(OR($R191="ISO 7",$R191="GRADE C",$R191="10K",$R191=10000),$AE191*1/250,IF(OR($R191="ISO 8",$R191="GRADE D",$R191="100K",$R191=100000),$AE191*1/250,IF(OR($R191="NC",$R191="20 Micron",$R191="5 Micron",$R191="N C"),$AE191*1/350,0))))),2)</f>
        <v>14</v>
      </c>
      <c r="AG191" s="16">
        <f t="shared" ref="AG191:AG205" si="861">IF(ISNUMBER(N191), CEILING(MAX(AI191,AJ191),0.5), "Ambient")</f>
        <v>5.5</v>
      </c>
      <c r="AH191" s="838" t="s">
        <v>85</v>
      </c>
      <c r="AI191" s="17">
        <f t="shared" ref="AI191:AI205" si="862">IF(ISNUMBER(N191), CEILING(CE191/12000,0.5), "Ambient")</f>
        <v>4.5</v>
      </c>
      <c r="AJ191" s="17">
        <f t="shared" ref="AJ191:AJ205" si="863">IF(ISNUMBER(N191),CEILING(AE191/(IF(AH191="C",400,300)),0.5), "Ambient")</f>
        <v>5.5</v>
      </c>
      <c r="AK191" s="891"/>
      <c r="AL191" s="18">
        <f>IF(AK190&lt;=2000,950,(IF(AK190&lt;=3000,1150,(IF(AK190&lt;=8000,1550,(IF(AK190&lt;=10000,1750,(IF(AK190&lt;=18000,2050,(IF(AK190&lt;=32000,2900,(IF(AK190&lt;=40000,3600,4000)))))))))))))</f>
        <v>4000</v>
      </c>
      <c r="AM191" s="889"/>
      <c r="AN191" s="891"/>
      <c r="AO191" s="888"/>
      <c r="AP191" s="891"/>
      <c r="AQ191" s="891"/>
      <c r="AR191" s="889"/>
      <c r="AS191" s="888"/>
      <c r="AT191" s="888"/>
      <c r="AU191" s="890"/>
      <c r="AV191" s="888"/>
      <c r="AW191" s="888"/>
      <c r="AX191" s="888"/>
      <c r="AY191" s="887"/>
      <c r="AZ191" s="888"/>
      <c r="BA191" s="17">
        <f t="shared" ref="BA191:BA205" si="864">-CONVERT(N191,"C","F")+CONVERT((N191+8),"C","F")</f>
        <v>14.399999999999991</v>
      </c>
      <c r="BB191" s="17">
        <f t="shared" ref="BB191:BB205" si="865">CONVERT(P191,"C","F")-CONVERT(N191,"C","F")</f>
        <v>37.799999999999997</v>
      </c>
      <c r="BC191" s="17">
        <f t="shared" ref="BC191:BC205" si="866">BF191+8</f>
        <v>32</v>
      </c>
      <c r="BD191" s="17">
        <f t="shared" ref="BD191:BD205" si="867">BG191+35</f>
        <v>85</v>
      </c>
      <c r="BE191" s="17">
        <f t="shared" ref="BE191:BE205" si="868">0.622*7000*(BD191/100)*(6.1078*10^((7.5*BC191)/(237.3+BC191)))/(1013.25-(6.1078*10^((7.5*BC191)/(237.3+BC191)))*BD191/100)</f>
        <v>180.86341983910182</v>
      </c>
      <c r="BF191" s="17">
        <f t="shared" ref="BF191:BF205" si="869">N191</f>
        <v>24</v>
      </c>
      <c r="BG191" s="17">
        <f t="shared" ref="BG191:BG205" si="870">O191</f>
        <v>50</v>
      </c>
      <c r="BH191" s="17">
        <f t="shared" ref="BH191:BH205" si="871">0.622*7000*(BG191/100)*(6.1078*10^((7.5*BF191)/(237.3+BF191)))/(1013.25-(6.1078*10^((7.5*BF191)/(237.3+BF191)))*BG191/100)</f>
        <v>65.062647806544774</v>
      </c>
      <c r="BI191" s="17">
        <f t="shared" ref="BI191:BI205" si="872">BE191-BH191</f>
        <v>115.80077203255705</v>
      </c>
      <c r="BJ191" s="17">
        <f t="shared" ref="BJ191:BJ205" si="873">P191</f>
        <v>45</v>
      </c>
      <c r="BK191" s="17">
        <f t="shared" ref="BK191:BK205" si="874">Q191</f>
        <v>85</v>
      </c>
      <c r="BL191" s="17">
        <f t="shared" ref="BL191:BL205" si="875">0.622*7000*(BK191/100)*(6.1078*10^((7.5*BJ191)/(237.3+BJ191)))/(1013.25-(6.1078*10^((7.5*BJ191)/(237.3+BJ191)))*BK191/100)</f>
        <v>380.54120080897206</v>
      </c>
      <c r="BM191" s="17">
        <f t="shared" ref="BM191:BM205" si="876">BF191</f>
        <v>24</v>
      </c>
      <c r="BN191" s="17">
        <f t="shared" ref="BN191:BN205" si="877">BG191</f>
        <v>50</v>
      </c>
      <c r="BO191" s="17">
        <f t="shared" ref="BO191:BO205" si="878">0.622*7000*(BN191/100)*(6.1078*10^((7.5*BM191)/(237.3+BM191)))/(1013.25-(6.1078*10^((7.5*BM191)/(237.3+BM191)))*BN191/100)</f>
        <v>65.062647806544774</v>
      </c>
      <c r="BP191" s="17">
        <f t="shared" ref="BP191:BP205" si="879">BL191-BO191</f>
        <v>315.4785530024273</v>
      </c>
      <c r="BQ191" s="17">
        <f t="shared" ref="BQ191:BQ205" si="880">(E191*G191*10.76*2+F191*G191*2*10.76)*BB191*0.45</f>
        <v>3514.1299199999999</v>
      </c>
      <c r="BR191" s="17">
        <f t="shared" ref="BR191:BR205" si="881">(E191*G191*10.76*2+F191*G191*2*10.76)*BA191*0.45</f>
        <v>1338.7161599999993</v>
      </c>
      <c r="BS191" s="17">
        <f t="shared" ref="BS191:BS205" si="882">(E191*F191*10.76)*BA191*0.45</f>
        <v>276.11020799999983</v>
      </c>
      <c r="BT191" s="17">
        <f t="shared" ref="BT191:BT205" si="883">(E191*F191*10.76)*BB191*0.45</f>
        <v>724.78929599999992</v>
      </c>
      <c r="BU191" s="17">
        <f t="shared" ref="BU191:BU205" si="884">H191*285*1.08*BB191</f>
        <v>23269.68</v>
      </c>
      <c r="BV191" s="17">
        <f t="shared" ref="BV191:BV205" si="885">I191*1000*3.412</f>
        <v>3412</v>
      </c>
      <c r="BW191" s="17">
        <f t="shared" ref="BW191:BW205" si="886">J191*X191*3.412</f>
        <v>254.42192159999999</v>
      </c>
      <c r="BX191" s="17">
        <f t="shared" ref="BX191:BX205" si="887">K191*1.08*375*BA191</f>
        <v>17495.999999999989</v>
      </c>
      <c r="BY191" s="17">
        <f t="shared" ref="BY191:BY205" si="888">(AA191+AB191)*1.08*BB191</f>
        <v>2738.65984229376</v>
      </c>
      <c r="BZ191" s="17"/>
      <c r="CA191" s="17">
        <f t="shared" ref="CA191:CA205" si="889">H191*200*0.68*BP191</f>
        <v>85810.166416660228</v>
      </c>
      <c r="CB191" s="17">
        <f t="shared" ref="CB191:CB205" si="890">K191*375*0.68*BP191</f>
        <v>241341.0930468569</v>
      </c>
      <c r="CC191" s="17">
        <f t="shared" ref="CC191:CC205" si="891">(AA191+AB191)*0.68*BP191</f>
        <v>14391.341908304676</v>
      </c>
      <c r="CD191" s="17">
        <f t="shared" ref="CD191:CD205" si="892">($Z191-$AA191)*0.68*$BP191</f>
        <v>129522.07717474207</v>
      </c>
      <c r="CE191" s="17">
        <f t="shared" ref="CE191:CE205" si="893">$BQ191+$BU191+$BV191+$BW191+$BX191+$BY191</f>
        <v>50684.891683893751</v>
      </c>
      <c r="CF191" s="17">
        <f t="shared" ref="CF191:CF205" si="894">$CA191+$CB191+$CC191+$CD191</f>
        <v>471064.67854656384</v>
      </c>
      <c r="CG191" s="17">
        <f t="shared" ref="CG191:CG205" si="895">$CE191+$CF191</f>
        <v>521749.57023045758</v>
      </c>
      <c r="CH191" s="17">
        <f t="shared" ref="CH191:CH205" si="896">CONVERT(N191,"C","F")-CONVERT((N191-8),"C","F")</f>
        <v>14.400000000000006</v>
      </c>
      <c r="CI191" s="17">
        <f t="shared" ref="CI191:CI205" si="897">CONVERT(T191,"C","F")-CONVERT(N191,"C","F")</f>
        <v>-43.2</v>
      </c>
      <c r="CJ191" s="17">
        <f t="shared" ref="CJ191:CJ205" si="898">CM191-8</f>
        <v>16</v>
      </c>
      <c r="CK191" s="17">
        <f t="shared" ref="CK191:CK205" si="899">O191+40</f>
        <v>90</v>
      </c>
      <c r="CL191" s="17">
        <f t="shared" ref="CL191:CL205" si="900">0.622*7000*(CK191/100)*(6.1078*10^((7.5*CJ191)/(237.3+CJ191)))/(1013.25-(6.1078*10^((7.5*CJ191)/(237.3+CJ191)))*CK191/100)</f>
        <v>71.46880726181422</v>
      </c>
      <c r="CM191" s="17">
        <f t="shared" ref="CM191:CM205" si="901">N191</f>
        <v>24</v>
      </c>
      <c r="CN191" s="17">
        <f t="shared" ref="CN191:CN205" si="902">O191</f>
        <v>50</v>
      </c>
      <c r="CO191" s="17">
        <f t="shared" ref="CO191:CO205" si="903">0.622*7000*(CN191/100)*(6.1078*10^((7.5*CM191)/(237.3+CM191)))/(1013.25-(6.1078*10^((7.5*CM191)/(237.3+CM191)))*CN191/100)</f>
        <v>65.062647806544774</v>
      </c>
      <c r="CP191" s="17">
        <f t="shared" ref="CP191:CP205" si="904">CL191-CO191</f>
        <v>6.4061594552694459</v>
      </c>
      <c r="CQ191" s="17">
        <f t="shared" ref="CQ191:CQ205" si="905">T191</f>
        <v>0</v>
      </c>
      <c r="CR191" s="17">
        <f t="shared" ref="CR191:CR205" si="906">U191</f>
        <v>100</v>
      </c>
      <c r="CS191" s="17">
        <f t="shared" ref="CS191:CS205" si="907">0.622*7000*(CR191/100)*(6.1078*10^((7.5*CQ191)/(237.3+CQ191)))/(1013.25-(6.1078*10^((7.5*CQ191)/(237.3+CQ191)))*CR191/100)</f>
        <v>26.404773030064671</v>
      </c>
      <c r="CT191" s="17">
        <f t="shared" ref="CT191:CT205" si="908">CM191</f>
        <v>24</v>
      </c>
      <c r="CU191" s="17">
        <f t="shared" ref="CU191:CU205" si="909">O191</f>
        <v>50</v>
      </c>
      <c r="CV191" s="17">
        <f t="shared" ref="CV191:CV205" si="910">0.622*7000*(CU191/100)*(6.1078*10^((7.5*CT191)/(237.3+CT191)))/(1013.25-(6.1078*10^((7.5*CT191)/(237.3+CT191)))*CU191/100)</f>
        <v>65.062647806544774</v>
      </c>
      <c r="CW191" s="17">
        <f t="shared" ref="CW191:CW205" si="911">CS191-CV191</f>
        <v>-38.657874776480099</v>
      </c>
      <c r="CX191" s="17">
        <f t="shared" si="849"/>
        <v>-4016.1484800000003</v>
      </c>
      <c r="CY191" s="17">
        <f t="shared" si="849"/>
        <v>-4016.1484800000003</v>
      </c>
      <c r="CZ191" s="17">
        <f t="shared" ref="CZ191:CZ205" si="912">($E191*$F191*10.76)*$CH191*0.45</f>
        <v>276.11020800000011</v>
      </c>
      <c r="DA191" s="17">
        <f t="shared" ref="DA191:DA205" si="913">($E191*$F191*10.76)*$CI191*0.45</f>
        <v>-828.33062400000006</v>
      </c>
      <c r="DB191" s="17">
        <f t="shared" ref="DB191:DB205" si="914">$H191*285*1.08*$CI191</f>
        <v>-26593.920000000002</v>
      </c>
      <c r="DC191" s="17">
        <f t="shared" ref="DC191:DC205" si="915">$I191*1000*3.412</f>
        <v>3412</v>
      </c>
      <c r="DD191" s="17">
        <f t="shared" ref="DD191:DD205" si="916">$J191*$X191*3.412</f>
        <v>254.42192159999999</v>
      </c>
      <c r="DE191" s="17">
        <f t="shared" ref="DE191:DE205" si="917">$K191*1.08*375*$CH191</f>
        <v>17496.000000000007</v>
      </c>
      <c r="DF191" s="17">
        <f t="shared" ref="DF191:DF205" si="918">($AA191+$AB191)*1.08*$CI191</f>
        <v>-3129.8969626214403</v>
      </c>
      <c r="DG191" s="17"/>
      <c r="DH191" s="17">
        <f t="shared" ref="DH191:DH205" si="919">$H191*200*0.68*CW191</f>
        <v>-10514.941939202587</v>
      </c>
      <c r="DI191" s="17">
        <f t="shared" ref="DI191:DI205" si="920">$K191*375*0.68*CW191</f>
        <v>-29573.274204007277</v>
      </c>
      <c r="DJ191" s="17">
        <f t="shared" ref="DJ191:DJ205" si="921">(AA191+AB191)*0.68*CW191</f>
        <v>-1763.475482127217</v>
      </c>
      <c r="DK191" s="17">
        <f t="shared" ref="DK191:DK205" si="922">(Z191-AA191)*0.68*CP191</f>
        <v>2630.0966308563256</v>
      </c>
      <c r="DL191" s="17">
        <f t="shared" ref="DL191:DL205" si="923">CX191+DA191+CZ191+DB191+DC191+DD191+DE191+DF191</f>
        <v>-13129.763937021437</v>
      </c>
      <c r="DM191" s="17">
        <f t="shared" ref="DM191:DM205" si="924">DH191+DI191+DJ191+DK191</f>
        <v>-39221.594994480751</v>
      </c>
      <c r="DN191" s="17">
        <f t="shared" ref="DN191:DN205" si="925">DL191+DM191</f>
        <v>-52351.358931502189</v>
      </c>
    </row>
    <row r="192" spans="3:120" ht="18.600000000000001">
      <c r="C192" s="13">
        <f>IF(D192&lt;&gt;"",COUNTA($D$10:D192),"")</f>
        <v>156</v>
      </c>
      <c r="D192" s="14" t="s">
        <v>202</v>
      </c>
      <c r="E192" s="14">
        <v>1.5</v>
      </c>
      <c r="F192" s="14">
        <v>2.8</v>
      </c>
      <c r="G192" s="14">
        <v>2.4</v>
      </c>
      <c r="H192" s="14">
        <v>2</v>
      </c>
      <c r="I192" s="14">
        <v>3</v>
      </c>
      <c r="J192" s="14">
        <v>1.75</v>
      </c>
      <c r="K192" s="14">
        <v>3</v>
      </c>
      <c r="L192" s="15">
        <v>0.1</v>
      </c>
      <c r="M192" s="15">
        <v>0</v>
      </c>
      <c r="N192" s="14">
        <v>24</v>
      </c>
      <c r="O192" s="14">
        <v>50</v>
      </c>
      <c r="P192" s="13">
        <v>45</v>
      </c>
      <c r="Q192" s="13">
        <v>85</v>
      </c>
      <c r="R192" s="13" t="s">
        <v>17</v>
      </c>
      <c r="S192" s="13">
        <v>120</v>
      </c>
      <c r="T192" s="13">
        <v>0</v>
      </c>
      <c r="U192" s="13">
        <v>100</v>
      </c>
      <c r="V192" s="13" t="str">
        <f t="shared" si="850"/>
        <v>ISO 6</v>
      </c>
      <c r="W192" s="13">
        <f t="shared" si="851"/>
        <v>120</v>
      </c>
      <c r="X192" s="16">
        <f t="shared" si="852"/>
        <v>45.191999999999993</v>
      </c>
      <c r="Y192" s="16">
        <f t="shared" si="853"/>
        <v>355.75142399999993</v>
      </c>
      <c r="Z192" s="16">
        <f t="shared" si="854"/>
        <v>711.50284799999986</v>
      </c>
      <c r="AA192" s="16">
        <f t="shared" si="855"/>
        <v>71.150284799999994</v>
      </c>
      <c r="AB192" s="16">
        <f t="shared" si="856"/>
        <v>0</v>
      </c>
      <c r="AC192" s="16">
        <f t="shared" si="857"/>
        <v>6.5452646860337245</v>
      </c>
      <c r="AD192" s="16">
        <f t="shared" si="858"/>
        <v>2250</v>
      </c>
      <c r="AE192" s="16">
        <f t="shared" si="859"/>
        <v>2250</v>
      </c>
      <c r="AF192" s="16">
        <f t="shared" si="860"/>
        <v>14</v>
      </c>
      <c r="AG192" s="16">
        <f t="shared" si="861"/>
        <v>6</v>
      </c>
      <c r="AH192" s="838" t="s">
        <v>85</v>
      </c>
      <c r="AI192" s="17">
        <f t="shared" si="862"/>
        <v>5</v>
      </c>
      <c r="AJ192" s="17">
        <f t="shared" si="863"/>
        <v>6</v>
      </c>
      <c r="AK192" s="891"/>
      <c r="AL192" s="18" t="s">
        <v>255</v>
      </c>
      <c r="AM192" s="889"/>
      <c r="AN192" s="891"/>
      <c r="AO192" s="888"/>
      <c r="AP192" s="891"/>
      <c r="AQ192" s="891"/>
      <c r="AR192" s="889"/>
      <c r="AS192" s="888"/>
      <c r="AT192" s="888"/>
      <c r="AU192" s="890"/>
      <c r="AV192" s="888"/>
      <c r="AW192" s="888"/>
      <c r="AX192" s="888"/>
      <c r="AY192" s="887"/>
      <c r="AZ192" s="888"/>
      <c r="BA192" s="17">
        <f t="shared" si="864"/>
        <v>14.399999999999991</v>
      </c>
      <c r="BB192" s="17">
        <f t="shared" si="865"/>
        <v>37.799999999999997</v>
      </c>
      <c r="BC192" s="17">
        <f t="shared" si="866"/>
        <v>32</v>
      </c>
      <c r="BD192" s="17">
        <f t="shared" si="867"/>
        <v>85</v>
      </c>
      <c r="BE192" s="17">
        <f t="shared" si="868"/>
        <v>180.86341983910182</v>
      </c>
      <c r="BF192" s="17">
        <f t="shared" si="869"/>
        <v>24</v>
      </c>
      <c r="BG192" s="17">
        <f t="shared" si="870"/>
        <v>50</v>
      </c>
      <c r="BH192" s="17">
        <f t="shared" si="871"/>
        <v>65.062647806544774</v>
      </c>
      <c r="BI192" s="17">
        <f t="shared" si="872"/>
        <v>115.80077203255705</v>
      </c>
      <c r="BJ192" s="17">
        <f t="shared" si="873"/>
        <v>45</v>
      </c>
      <c r="BK192" s="17">
        <f t="shared" si="874"/>
        <v>85</v>
      </c>
      <c r="BL192" s="17">
        <f t="shared" si="875"/>
        <v>380.54120080897206</v>
      </c>
      <c r="BM192" s="17">
        <f t="shared" si="876"/>
        <v>24</v>
      </c>
      <c r="BN192" s="17">
        <f t="shared" si="877"/>
        <v>50</v>
      </c>
      <c r="BO192" s="17">
        <f t="shared" si="878"/>
        <v>65.062647806544774</v>
      </c>
      <c r="BP192" s="17">
        <f t="shared" si="879"/>
        <v>315.4785530024273</v>
      </c>
      <c r="BQ192" s="17">
        <f t="shared" si="880"/>
        <v>3777.6896639999995</v>
      </c>
      <c r="BR192" s="17">
        <f t="shared" si="881"/>
        <v>1439.1198719999991</v>
      </c>
      <c r="BS192" s="17">
        <f t="shared" si="882"/>
        <v>292.84415999999976</v>
      </c>
      <c r="BT192" s="17">
        <f t="shared" si="883"/>
        <v>768.71591999999987</v>
      </c>
      <c r="BU192" s="17">
        <f t="shared" si="884"/>
        <v>23269.68</v>
      </c>
      <c r="BV192" s="17">
        <f t="shared" si="885"/>
        <v>10236</v>
      </c>
      <c r="BW192" s="17">
        <f t="shared" si="886"/>
        <v>269.84143199999994</v>
      </c>
      <c r="BX192" s="17">
        <f t="shared" si="887"/>
        <v>17495.999999999989</v>
      </c>
      <c r="BY192" s="17">
        <f t="shared" si="888"/>
        <v>2904.6392266751996</v>
      </c>
      <c r="BZ192" s="17"/>
      <c r="CA192" s="17">
        <f t="shared" si="889"/>
        <v>85810.166416660228</v>
      </c>
      <c r="CB192" s="17">
        <f t="shared" si="890"/>
        <v>241341.0930468569</v>
      </c>
      <c r="CC192" s="17">
        <f t="shared" si="891"/>
        <v>15263.544448201927</v>
      </c>
      <c r="CD192" s="17">
        <f t="shared" si="892"/>
        <v>137371.90003381731</v>
      </c>
      <c r="CE192" s="17">
        <f t="shared" si="893"/>
        <v>57953.850322675185</v>
      </c>
      <c r="CF192" s="17">
        <f t="shared" si="894"/>
        <v>479786.7039455364</v>
      </c>
      <c r="CG192" s="17">
        <f t="shared" si="895"/>
        <v>537740.55426821159</v>
      </c>
      <c r="CH192" s="17">
        <f t="shared" si="896"/>
        <v>14.400000000000006</v>
      </c>
      <c r="CI192" s="17">
        <f t="shared" si="897"/>
        <v>-43.2</v>
      </c>
      <c r="CJ192" s="17">
        <f t="shared" si="898"/>
        <v>16</v>
      </c>
      <c r="CK192" s="17">
        <f t="shared" si="899"/>
        <v>90</v>
      </c>
      <c r="CL192" s="17">
        <f t="shared" si="900"/>
        <v>71.46880726181422</v>
      </c>
      <c r="CM192" s="17">
        <f t="shared" si="901"/>
        <v>24</v>
      </c>
      <c r="CN192" s="17">
        <f t="shared" si="902"/>
        <v>50</v>
      </c>
      <c r="CO192" s="17">
        <f t="shared" si="903"/>
        <v>65.062647806544774</v>
      </c>
      <c r="CP192" s="17">
        <f t="shared" si="904"/>
        <v>6.4061594552694459</v>
      </c>
      <c r="CQ192" s="17">
        <f t="shared" si="905"/>
        <v>0</v>
      </c>
      <c r="CR192" s="17">
        <f t="shared" si="906"/>
        <v>100</v>
      </c>
      <c r="CS192" s="17">
        <f t="shared" si="907"/>
        <v>26.404773030064671</v>
      </c>
      <c r="CT192" s="17">
        <f t="shared" si="908"/>
        <v>24</v>
      </c>
      <c r="CU192" s="17">
        <f t="shared" si="909"/>
        <v>50</v>
      </c>
      <c r="CV192" s="17">
        <f t="shared" si="910"/>
        <v>65.062647806544774</v>
      </c>
      <c r="CW192" s="17">
        <f t="shared" si="911"/>
        <v>-38.657874776480099</v>
      </c>
      <c r="CX192" s="17">
        <f t="shared" si="849"/>
        <v>-4317.3596159999997</v>
      </c>
      <c r="CY192" s="17">
        <f t="shared" si="849"/>
        <v>-4317.3596159999997</v>
      </c>
      <c r="CZ192" s="17">
        <f t="shared" si="912"/>
        <v>292.8441600000001</v>
      </c>
      <c r="DA192" s="17">
        <f t="shared" si="913"/>
        <v>-878.53247999999996</v>
      </c>
      <c r="DB192" s="17">
        <f t="shared" si="914"/>
        <v>-26593.920000000002</v>
      </c>
      <c r="DC192" s="17">
        <f t="shared" si="915"/>
        <v>10236</v>
      </c>
      <c r="DD192" s="17">
        <f t="shared" si="916"/>
        <v>269.84143199999994</v>
      </c>
      <c r="DE192" s="17">
        <f t="shared" si="917"/>
        <v>17496.000000000007</v>
      </c>
      <c r="DF192" s="17">
        <f t="shared" si="918"/>
        <v>-3319.5876876288003</v>
      </c>
      <c r="DG192" s="17"/>
      <c r="DH192" s="17">
        <f t="shared" si="919"/>
        <v>-10514.941939202587</v>
      </c>
      <c r="DI192" s="17">
        <f t="shared" si="920"/>
        <v>-29573.274204007277</v>
      </c>
      <c r="DJ192" s="17">
        <f t="shared" si="921"/>
        <v>-1870.3527840743209</v>
      </c>
      <c r="DK192" s="17">
        <f t="shared" si="922"/>
        <v>2789.4964266657994</v>
      </c>
      <c r="DL192" s="17">
        <f t="shared" si="923"/>
        <v>-6814.7141916287928</v>
      </c>
      <c r="DM192" s="17">
        <f t="shared" si="924"/>
        <v>-39169.072500618386</v>
      </c>
      <c r="DN192" s="17">
        <f t="shared" si="925"/>
        <v>-45983.78669224718</v>
      </c>
    </row>
    <row r="193" spans="3:120" ht="18.600000000000001">
      <c r="C193" s="13">
        <f>IF(D193&lt;&gt;"",COUNTA($D$10:D193),"")</f>
        <v>157</v>
      </c>
      <c r="D193" s="14" t="s">
        <v>203</v>
      </c>
      <c r="E193" s="14">
        <v>2.1</v>
      </c>
      <c r="F193" s="14">
        <v>3.5</v>
      </c>
      <c r="G193" s="14">
        <v>2.4</v>
      </c>
      <c r="H193" s="14">
        <v>0</v>
      </c>
      <c r="I193" s="14">
        <v>1</v>
      </c>
      <c r="J193" s="14">
        <v>1.75</v>
      </c>
      <c r="K193" s="14">
        <v>3</v>
      </c>
      <c r="L193" s="15">
        <v>0.1</v>
      </c>
      <c r="M193" s="15">
        <v>0</v>
      </c>
      <c r="N193" s="14">
        <v>24</v>
      </c>
      <c r="O193" s="14">
        <v>50</v>
      </c>
      <c r="P193" s="13">
        <v>45</v>
      </c>
      <c r="Q193" s="13">
        <v>85</v>
      </c>
      <c r="R193" s="13" t="s">
        <v>17</v>
      </c>
      <c r="S193" s="13">
        <v>120</v>
      </c>
      <c r="T193" s="13">
        <v>0</v>
      </c>
      <c r="U193" s="13">
        <v>100</v>
      </c>
      <c r="V193" s="13" t="str">
        <f t="shared" si="850"/>
        <v>ISO 6</v>
      </c>
      <c r="W193" s="13">
        <f t="shared" si="851"/>
        <v>120</v>
      </c>
      <c r="X193" s="16">
        <f t="shared" si="852"/>
        <v>79.085999999999999</v>
      </c>
      <c r="Y193" s="16">
        <f t="shared" si="853"/>
        <v>622.56499199999996</v>
      </c>
      <c r="Z193" s="16">
        <f t="shared" si="854"/>
        <v>1245.1299839999999</v>
      </c>
      <c r="AA193" s="16">
        <f t="shared" si="855"/>
        <v>124.5129984</v>
      </c>
      <c r="AB193" s="16">
        <f t="shared" si="856"/>
        <v>0</v>
      </c>
      <c r="AC193" s="16">
        <f t="shared" si="857"/>
        <v>11.454213200559018</v>
      </c>
      <c r="AD193" s="16">
        <f t="shared" si="858"/>
        <v>2375</v>
      </c>
      <c r="AE193" s="16">
        <f t="shared" si="859"/>
        <v>2375</v>
      </c>
      <c r="AF193" s="16">
        <f t="shared" si="860"/>
        <v>14</v>
      </c>
      <c r="AG193" s="16">
        <f t="shared" si="861"/>
        <v>6</v>
      </c>
      <c r="AH193" s="838" t="s">
        <v>85</v>
      </c>
      <c r="AI193" s="17">
        <f t="shared" si="862"/>
        <v>3</v>
      </c>
      <c r="AJ193" s="17">
        <f t="shared" si="863"/>
        <v>6</v>
      </c>
      <c r="AK193" s="891"/>
      <c r="AL193" s="18">
        <f>IF(AK190&lt;=2000,950,(IF(AK190&lt;=4000,1100,(IF(AK190&lt;=6000,1250,(IF(AK190&lt;=10000,1550,(IF(AK190&lt;=15000,1750,(IF(AK190&lt;=24000,2050,(IF(AK190&lt;=40000,2900,3600)))))))))))))</f>
        <v>3600</v>
      </c>
      <c r="AM193" s="889"/>
      <c r="AN193" s="891"/>
      <c r="AO193" s="888"/>
      <c r="AP193" s="891"/>
      <c r="AQ193" s="891"/>
      <c r="AR193" s="889"/>
      <c r="AS193" s="888"/>
      <c r="AT193" s="888"/>
      <c r="AU193" s="890"/>
      <c r="AV193" s="888"/>
      <c r="AW193" s="888"/>
      <c r="AX193" s="888"/>
      <c r="AY193" s="887"/>
      <c r="AZ193" s="888"/>
      <c r="BA193" s="17">
        <f t="shared" si="864"/>
        <v>14.399999999999991</v>
      </c>
      <c r="BB193" s="17">
        <f t="shared" si="865"/>
        <v>37.799999999999997</v>
      </c>
      <c r="BC193" s="17">
        <f t="shared" si="866"/>
        <v>32</v>
      </c>
      <c r="BD193" s="17">
        <f t="shared" si="867"/>
        <v>85</v>
      </c>
      <c r="BE193" s="17">
        <f t="shared" si="868"/>
        <v>180.86341983910182</v>
      </c>
      <c r="BF193" s="17">
        <f t="shared" si="869"/>
        <v>24</v>
      </c>
      <c r="BG193" s="17">
        <f t="shared" si="870"/>
        <v>50</v>
      </c>
      <c r="BH193" s="17">
        <f t="shared" si="871"/>
        <v>65.062647806544774</v>
      </c>
      <c r="BI193" s="17">
        <f t="shared" si="872"/>
        <v>115.80077203255705</v>
      </c>
      <c r="BJ193" s="17">
        <f t="shared" si="873"/>
        <v>45</v>
      </c>
      <c r="BK193" s="17">
        <f t="shared" si="874"/>
        <v>85</v>
      </c>
      <c r="BL193" s="17">
        <f t="shared" si="875"/>
        <v>380.54120080897206</v>
      </c>
      <c r="BM193" s="17">
        <f t="shared" si="876"/>
        <v>24</v>
      </c>
      <c r="BN193" s="17">
        <f t="shared" si="877"/>
        <v>50</v>
      </c>
      <c r="BO193" s="17">
        <f t="shared" si="878"/>
        <v>65.062647806544774</v>
      </c>
      <c r="BP193" s="17">
        <f t="shared" si="879"/>
        <v>315.4785530024273</v>
      </c>
      <c r="BQ193" s="17">
        <f t="shared" si="880"/>
        <v>4919.7818879999995</v>
      </c>
      <c r="BR193" s="17">
        <f t="shared" si="881"/>
        <v>1874.2026239999989</v>
      </c>
      <c r="BS193" s="17">
        <f t="shared" si="882"/>
        <v>512.47727999999972</v>
      </c>
      <c r="BT193" s="17">
        <f t="shared" si="883"/>
        <v>1345.2528599999998</v>
      </c>
      <c r="BU193" s="17">
        <f t="shared" si="884"/>
        <v>0</v>
      </c>
      <c r="BV193" s="17">
        <f t="shared" si="885"/>
        <v>3412</v>
      </c>
      <c r="BW193" s="17">
        <f t="shared" si="886"/>
        <v>472.22250599999995</v>
      </c>
      <c r="BX193" s="17">
        <f t="shared" si="887"/>
        <v>17495.999999999989</v>
      </c>
      <c r="BY193" s="17">
        <f t="shared" si="888"/>
        <v>5083.1186466815998</v>
      </c>
      <c r="BZ193" s="17"/>
      <c r="CA193" s="17">
        <f t="shared" si="889"/>
        <v>0</v>
      </c>
      <c r="CB193" s="17">
        <f t="shared" si="890"/>
        <v>241341.0930468569</v>
      </c>
      <c r="CC193" s="17">
        <f t="shared" si="891"/>
        <v>26711.202784353376</v>
      </c>
      <c r="CD193" s="17">
        <f t="shared" si="892"/>
        <v>240400.82505918032</v>
      </c>
      <c r="CE193" s="17">
        <f t="shared" si="893"/>
        <v>31383.123040681588</v>
      </c>
      <c r="CF193" s="17">
        <f t="shared" si="894"/>
        <v>508453.12089039059</v>
      </c>
      <c r="CG193" s="17">
        <f t="shared" si="895"/>
        <v>539836.24393107218</v>
      </c>
      <c r="CH193" s="17">
        <f t="shared" si="896"/>
        <v>14.400000000000006</v>
      </c>
      <c r="CI193" s="17">
        <f t="shared" si="897"/>
        <v>-43.2</v>
      </c>
      <c r="CJ193" s="17">
        <f t="shared" si="898"/>
        <v>16</v>
      </c>
      <c r="CK193" s="17">
        <f t="shared" si="899"/>
        <v>90</v>
      </c>
      <c r="CL193" s="17">
        <f t="shared" si="900"/>
        <v>71.46880726181422</v>
      </c>
      <c r="CM193" s="17">
        <f t="shared" si="901"/>
        <v>24</v>
      </c>
      <c r="CN193" s="17">
        <f t="shared" si="902"/>
        <v>50</v>
      </c>
      <c r="CO193" s="17">
        <f t="shared" si="903"/>
        <v>65.062647806544774</v>
      </c>
      <c r="CP193" s="17">
        <f t="shared" si="904"/>
        <v>6.4061594552694459</v>
      </c>
      <c r="CQ193" s="17">
        <f t="shared" si="905"/>
        <v>0</v>
      </c>
      <c r="CR193" s="17">
        <f t="shared" si="906"/>
        <v>100</v>
      </c>
      <c r="CS193" s="17">
        <f t="shared" si="907"/>
        <v>26.404773030064671</v>
      </c>
      <c r="CT193" s="17">
        <f t="shared" si="908"/>
        <v>24</v>
      </c>
      <c r="CU193" s="17">
        <f t="shared" si="909"/>
        <v>50</v>
      </c>
      <c r="CV193" s="17">
        <f t="shared" si="910"/>
        <v>65.062647806544774</v>
      </c>
      <c r="CW193" s="17">
        <f t="shared" si="911"/>
        <v>-38.657874776480099</v>
      </c>
      <c r="CX193" s="17">
        <f t="shared" si="849"/>
        <v>-5622.6078720000005</v>
      </c>
      <c r="CY193" s="17">
        <f t="shared" si="849"/>
        <v>-5622.6078720000005</v>
      </c>
      <c r="CZ193" s="17">
        <f t="shared" si="912"/>
        <v>512.47728000000018</v>
      </c>
      <c r="DA193" s="17">
        <f t="shared" si="913"/>
        <v>-1537.4318400000002</v>
      </c>
      <c r="DB193" s="17">
        <f t="shared" si="914"/>
        <v>0</v>
      </c>
      <c r="DC193" s="17">
        <f t="shared" si="915"/>
        <v>3412</v>
      </c>
      <c r="DD193" s="17">
        <f t="shared" si="916"/>
        <v>472.22250599999995</v>
      </c>
      <c r="DE193" s="17">
        <f t="shared" si="917"/>
        <v>17496.000000000007</v>
      </c>
      <c r="DF193" s="17">
        <f t="shared" si="918"/>
        <v>-5809.2784533504</v>
      </c>
      <c r="DG193" s="17"/>
      <c r="DH193" s="17">
        <f t="shared" si="919"/>
        <v>0</v>
      </c>
      <c r="DI193" s="17">
        <f t="shared" si="920"/>
        <v>-29573.274204007277</v>
      </c>
      <c r="DJ193" s="17">
        <f t="shared" si="921"/>
        <v>-3273.117372130062</v>
      </c>
      <c r="DK193" s="17">
        <f t="shared" si="922"/>
        <v>4881.618746665149</v>
      </c>
      <c r="DL193" s="17">
        <f t="shared" si="923"/>
        <v>8923.3816206496067</v>
      </c>
      <c r="DM193" s="17">
        <f t="shared" si="924"/>
        <v>-27964.772829472186</v>
      </c>
      <c r="DN193" s="17">
        <f t="shared" si="925"/>
        <v>-19041.391208822577</v>
      </c>
    </row>
    <row r="194" spans="3:120" ht="18.600000000000001">
      <c r="C194" s="13">
        <f>IF(D194&lt;&gt;"",COUNTA($D$10:D194),"")</f>
        <v>158</v>
      </c>
      <c r="D194" s="14" t="s">
        <v>204</v>
      </c>
      <c r="E194" s="14">
        <v>2.7</v>
      </c>
      <c r="F194" s="14">
        <v>4</v>
      </c>
      <c r="G194" s="14">
        <v>2.4</v>
      </c>
      <c r="H194" s="14">
        <v>2</v>
      </c>
      <c r="I194" s="14">
        <v>1</v>
      </c>
      <c r="J194" s="14">
        <v>1.75</v>
      </c>
      <c r="K194" s="14">
        <v>3</v>
      </c>
      <c r="L194" s="15">
        <v>0.1</v>
      </c>
      <c r="M194" s="15">
        <v>0</v>
      </c>
      <c r="N194" s="14">
        <v>24</v>
      </c>
      <c r="O194" s="14">
        <v>50</v>
      </c>
      <c r="P194" s="13">
        <v>45</v>
      </c>
      <c r="Q194" s="13">
        <v>85</v>
      </c>
      <c r="R194" s="13" t="s">
        <v>17</v>
      </c>
      <c r="S194" s="13">
        <v>120</v>
      </c>
      <c r="T194" s="13">
        <v>0</v>
      </c>
      <c r="U194" s="13">
        <v>100</v>
      </c>
      <c r="V194" s="13" t="str">
        <f t="shared" si="850"/>
        <v>ISO 6</v>
      </c>
      <c r="W194" s="13">
        <f t="shared" si="851"/>
        <v>120</v>
      </c>
      <c r="X194" s="16">
        <f t="shared" si="852"/>
        <v>116.208</v>
      </c>
      <c r="Y194" s="16">
        <f t="shared" si="853"/>
        <v>914.78937599999995</v>
      </c>
      <c r="Z194" s="16">
        <f t="shared" si="854"/>
        <v>1829.5787519999999</v>
      </c>
      <c r="AA194" s="16">
        <f t="shared" si="855"/>
        <v>182.95787519999999</v>
      </c>
      <c r="AB194" s="16">
        <f t="shared" si="856"/>
        <v>0</v>
      </c>
      <c r="AC194" s="16">
        <f t="shared" si="857"/>
        <v>16.830680621229575</v>
      </c>
      <c r="AD194" s="16">
        <f t="shared" si="858"/>
        <v>3375</v>
      </c>
      <c r="AE194" s="16">
        <f t="shared" si="859"/>
        <v>3375</v>
      </c>
      <c r="AF194" s="16">
        <f t="shared" si="860"/>
        <v>20</v>
      </c>
      <c r="AG194" s="16">
        <f t="shared" si="861"/>
        <v>8.5</v>
      </c>
      <c r="AH194" s="838" t="s">
        <v>85</v>
      </c>
      <c r="AI194" s="17">
        <f t="shared" si="862"/>
        <v>5</v>
      </c>
      <c r="AJ194" s="17">
        <f t="shared" si="863"/>
        <v>8.5</v>
      </c>
      <c r="AK194" s="891"/>
      <c r="AL194" s="18" t="s">
        <v>256</v>
      </c>
      <c r="AM194" s="889"/>
      <c r="AN194" s="891"/>
      <c r="AO194" s="888"/>
      <c r="AP194" s="891"/>
      <c r="AQ194" s="891"/>
      <c r="AR194" s="889"/>
      <c r="AS194" s="888"/>
      <c r="AT194" s="888"/>
      <c r="AU194" s="890"/>
      <c r="AV194" s="888"/>
      <c r="AW194" s="888"/>
      <c r="AX194" s="888"/>
      <c r="AY194" s="887"/>
      <c r="AZ194" s="888"/>
      <c r="BA194" s="17">
        <f t="shared" si="864"/>
        <v>14.399999999999991</v>
      </c>
      <c r="BB194" s="17">
        <f t="shared" si="865"/>
        <v>37.799999999999997</v>
      </c>
      <c r="BC194" s="17">
        <f t="shared" si="866"/>
        <v>32</v>
      </c>
      <c r="BD194" s="17">
        <f t="shared" si="867"/>
        <v>85</v>
      </c>
      <c r="BE194" s="17">
        <f t="shared" si="868"/>
        <v>180.86341983910182</v>
      </c>
      <c r="BF194" s="17">
        <f t="shared" si="869"/>
        <v>24</v>
      </c>
      <c r="BG194" s="17">
        <f t="shared" si="870"/>
        <v>50</v>
      </c>
      <c r="BH194" s="17">
        <f t="shared" si="871"/>
        <v>65.062647806544774</v>
      </c>
      <c r="BI194" s="17">
        <f t="shared" si="872"/>
        <v>115.80077203255705</v>
      </c>
      <c r="BJ194" s="17">
        <f t="shared" si="873"/>
        <v>45</v>
      </c>
      <c r="BK194" s="17">
        <f t="shared" si="874"/>
        <v>85</v>
      </c>
      <c r="BL194" s="17">
        <f t="shared" si="875"/>
        <v>380.54120080897206</v>
      </c>
      <c r="BM194" s="17">
        <f t="shared" si="876"/>
        <v>24</v>
      </c>
      <c r="BN194" s="17">
        <f t="shared" si="877"/>
        <v>50</v>
      </c>
      <c r="BO194" s="17">
        <f t="shared" si="878"/>
        <v>65.062647806544774</v>
      </c>
      <c r="BP194" s="17">
        <f t="shared" si="879"/>
        <v>315.4785530024273</v>
      </c>
      <c r="BQ194" s="17">
        <f t="shared" si="880"/>
        <v>5886.1676159999997</v>
      </c>
      <c r="BR194" s="17">
        <f t="shared" si="881"/>
        <v>2242.3495679999987</v>
      </c>
      <c r="BS194" s="17">
        <f t="shared" si="882"/>
        <v>753.02783999999963</v>
      </c>
      <c r="BT194" s="17">
        <f t="shared" si="883"/>
        <v>1976.6980799999997</v>
      </c>
      <c r="BU194" s="17">
        <f t="shared" si="884"/>
        <v>23269.68</v>
      </c>
      <c r="BV194" s="17">
        <f t="shared" si="885"/>
        <v>3412</v>
      </c>
      <c r="BW194" s="17">
        <f t="shared" si="886"/>
        <v>693.87796800000001</v>
      </c>
      <c r="BX194" s="17">
        <f t="shared" si="887"/>
        <v>17495.999999999989</v>
      </c>
      <c r="BY194" s="17">
        <f t="shared" si="888"/>
        <v>7469.0722971647992</v>
      </c>
      <c r="BZ194" s="17"/>
      <c r="CA194" s="17">
        <f t="shared" si="889"/>
        <v>85810.166416660228</v>
      </c>
      <c r="CB194" s="17">
        <f t="shared" si="890"/>
        <v>241341.0930468569</v>
      </c>
      <c r="CC194" s="17">
        <f t="shared" si="891"/>
        <v>39249.114295376385</v>
      </c>
      <c r="CD194" s="17">
        <f t="shared" si="892"/>
        <v>353242.02865838748</v>
      </c>
      <c r="CE194" s="17">
        <f t="shared" si="893"/>
        <v>58226.797881164784</v>
      </c>
      <c r="CF194" s="17">
        <f t="shared" si="894"/>
        <v>719642.40241728094</v>
      </c>
      <c r="CG194" s="17">
        <f t="shared" si="895"/>
        <v>777869.20029844576</v>
      </c>
      <c r="CH194" s="17">
        <f t="shared" si="896"/>
        <v>14.400000000000006</v>
      </c>
      <c r="CI194" s="17">
        <f t="shared" si="897"/>
        <v>-43.2</v>
      </c>
      <c r="CJ194" s="17">
        <f t="shared" si="898"/>
        <v>16</v>
      </c>
      <c r="CK194" s="17">
        <f t="shared" si="899"/>
        <v>90</v>
      </c>
      <c r="CL194" s="17">
        <f t="shared" si="900"/>
        <v>71.46880726181422</v>
      </c>
      <c r="CM194" s="17">
        <f t="shared" si="901"/>
        <v>24</v>
      </c>
      <c r="CN194" s="17">
        <f t="shared" si="902"/>
        <v>50</v>
      </c>
      <c r="CO194" s="17">
        <f t="shared" si="903"/>
        <v>65.062647806544774</v>
      </c>
      <c r="CP194" s="17">
        <f t="shared" si="904"/>
        <v>6.4061594552694459</v>
      </c>
      <c r="CQ194" s="17">
        <f t="shared" si="905"/>
        <v>0</v>
      </c>
      <c r="CR194" s="17">
        <f t="shared" si="906"/>
        <v>100</v>
      </c>
      <c r="CS194" s="17">
        <f t="shared" si="907"/>
        <v>26.404773030064671</v>
      </c>
      <c r="CT194" s="17">
        <f t="shared" si="908"/>
        <v>24</v>
      </c>
      <c r="CU194" s="17">
        <f t="shared" si="909"/>
        <v>50</v>
      </c>
      <c r="CV194" s="17">
        <f t="shared" si="910"/>
        <v>65.062647806544774</v>
      </c>
      <c r="CW194" s="17">
        <f t="shared" si="911"/>
        <v>-38.657874776480099</v>
      </c>
      <c r="CX194" s="17">
        <f t="shared" si="849"/>
        <v>-6727.0487040000007</v>
      </c>
      <c r="CY194" s="17">
        <f t="shared" si="849"/>
        <v>-6727.0487040000007</v>
      </c>
      <c r="CZ194" s="17">
        <f t="shared" si="912"/>
        <v>753.02784000000031</v>
      </c>
      <c r="DA194" s="17">
        <f t="shared" si="913"/>
        <v>-2259.0835200000006</v>
      </c>
      <c r="DB194" s="17">
        <f t="shared" si="914"/>
        <v>-26593.920000000002</v>
      </c>
      <c r="DC194" s="17">
        <f t="shared" si="915"/>
        <v>3412</v>
      </c>
      <c r="DD194" s="17">
        <f t="shared" si="916"/>
        <v>693.87796800000001</v>
      </c>
      <c r="DE194" s="17">
        <f t="shared" si="917"/>
        <v>17496.000000000007</v>
      </c>
      <c r="DF194" s="17">
        <f t="shared" si="918"/>
        <v>-8536.0826253312007</v>
      </c>
      <c r="DG194" s="17"/>
      <c r="DH194" s="17">
        <f t="shared" si="919"/>
        <v>-10514.941939202587</v>
      </c>
      <c r="DI194" s="17">
        <f t="shared" si="920"/>
        <v>-29573.274204007277</v>
      </c>
      <c r="DJ194" s="17">
        <f t="shared" si="921"/>
        <v>-4809.478587619682</v>
      </c>
      <c r="DK194" s="17">
        <f t="shared" si="922"/>
        <v>7172.9908114263426</v>
      </c>
      <c r="DL194" s="17">
        <f t="shared" si="923"/>
        <v>-21761.229041331197</v>
      </c>
      <c r="DM194" s="17">
        <f t="shared" si="924"/>
        <v>-37724.703919403204</v>
      </c>
      <c r="DN194" s="17">
        <f t="shared" si="925"/>
        <v>-59485.932960734397</v>
      </c>
    </row>
    <row r="195" spans="3:120" ht="18.600000000000001">
      <c r="C195" s="13">
        <f>IF(D195&lt;&gt;"",COUNTA($D$10:D195),"")</f>
        <v>159</v>
      </c>
      <c r="D195" s="14" t="s">
        <v>205</v>
      </c>
      <c r="E195" s="14">
        <v>3.8</v>
      </c>
      <c r="F195" s="14">
        <v>4.2</v>
      </c>
      <c r="G195" s="14">
        <v>2.4</v>
      </c>
      <c r="H195" s="14">
        <v>3</v>
      </c>
      <c r="I195" s="14">
        <v>3</v>
      </c>
      <c r="J195" s="14">
        <v>1.75</v>
      </c>
      <c r="K195" s="14">
        <v>3</v>
      </c>
      <c r="L195" s="15">
        <v>0.1</v>
      </c>
      <c r="M195" s="15">
        <v>0</v>
      </c>
      <c r="N195" s="14">
        <v>24</v>
      </c>
      <c r="O195" s="14">
        <v>50</v>
      </c>
      <c r="P195" s="13">
        <v>45</v>
      </c>
      <c r="Q195" s="13">
        <v>85</v>
      </c>
      <c r="R195" s="13" t="s">
        <v>17</v>
      </c>
      <c r="S195" s="13">
        <v>120</v>
      </c>
      <c r="T195" s="13">
        <v>0</v>
      </c>
      <c r="U195" s="13">
        <v>100</v>
      </c>
      <c r="V195" s="13" t="str">
        <f t="shared" si="850"/>
        <v>ISO 6</v>
      </c>
      <c r="W195" s="13">
        <f t="shared" si="851"/>
        <v>120</v>
      </c>
      <c r="X195" s="16">
        <f t="shared" si="852"/>
        <v>171.72959999999998</v>
      </c>
      <c r="Y195" s="16">
        <f t="shared" si="853"/>
        <v>1351.8554111999997</v>
      </c>
      <c r="Z195" s="16">
        <f t="shared" si="854"/>
        <v>2703.7108223999994</v>
      </c>
      <c r="AA195" s="16">
        <f t="shared" si="855"/>
        <v>270.37108223999996</v>
      </c>
      <c r="AB195" s="16">
        <f t="shared" si="856"/>
        <v>0</v>
      </c>
      <c r="AC195" s="16">
        <f t="shared" si="857"/>
        <v>24.872005806928151</v>
      </c>
      <c r="AD195" s="16">
        <f t="shared" si="858"/>
        <v>4450</v>
      </c>
      <c r="AE195" s="16">
        <f t="shared" si="859"/>
        <v>4450</v>
      </c>
      <c r="AF195" s="16">
        <f t="shared" si="860"/>
        <v>26</v>
      </c>
      <c r="AG195" s="16">
        <f t="shared" si="861"/>
        <v>11.5</v>
      </c>
      <c r="AH195" s="838" t="s">
        <v>85</v>
      </c>
      <c r="AI195" s="17">
        <f t="shared" si="862"/>
        <v>7</v>
      </c>
      <c r="AJ195" s="17">
        <f t="shared" si="863"/>
        <v>11.5</v>
      </c>
      <c r="AK195" s="891"/>
      <c r="AL195" s="18">
        <f>IF(AL199&lt;4000,AL199,AL199+400)</f>
        <v>5800</v>
      </c>
      <c r="AM195" s="889"/>
      <c r="AN195" s="891"/>
      <c r="AO195" s="888"/>
      <c r="AP195" s="891"/>
      <c r="AQ195" s="891"/>
      <c r="AR195" s="889"/>
      <c r="AS195" s="888"/>
      <c r="AT195" s="888"/>
      <c r="AU195" s="890"/>
      <c r="AV195" s="888"/>
      <c r="AW195" s="888"/>
      <c r="AX195" s="888"/>
      <c r="AY195" s="887"/>
      <c r="AZ195" s="888"/>
      <c r="BA195" s="17">
        <f t="shared" si="864"/>
        <v>14.399999999999991</v>
      </c>
      <c r="BB195" s="17">
        <f t="shared" si="865"/>
        <v>37.799999999999997</v>
      </c>
      <c r="BC195" s="17">
        <f t="shared" si="866"/>
        <v>32</v>
      </c>
      <c r="BD195" s="17">
        <f t="shared" si="867"/>
        <v>85</v>
      </c>
      <c r="BE195" s="17">
        <f t="shared" si="868"/>
        <v>180.86341983910182</v>
      </c>
      <c r="BF195" s="17">
        <f t="shared" si="869"/>
        <v>24</v>
      </c>
      <c r="BG195" s="17">
        <f t="shared" si="870"/>
        <v>50</v>
      </c>
      <c r="BH195" s="17">
        <f t="shared" si="871"/>
        <v>65.062647806544774</v>
      </c>
      <c r="BI195" s="17">
        <f t="shared" si="872"/>
        <v>115.80077203255705</v>
      </c>
      <c r="BJ195" s="17">
        <f t="shared" si="873"/>
        <v>45</v>
      </c>
      <c r="BK195" s="17">
        <f t="shared" si="874"/>
        <v>85</v>
      </c>
      <c r="BL195" s="17">
        <f t="shared" si="875"/>
        <v>380.54120080897206</v>
      </c>
      <c r="BM195" s="17">
        <f t="shared" si="876"/>
        <v>24</v>
      </c>
      <c r="BN195" s="17">
        <f t="shared" si="877"/>
        <v>50</v>
      </c>
      <c r="BO195" s="17">
        <f t="shared" si="878"/>
        <v>65.062647806544774</v>
      </c>
      <c r="BP195" s="17">
        <f t="shared" si="879"/>
        <v>315.4785530024273</v>
      </c>
      <c r="BQ195" s="17">
        <f t="shared" si="880"/>
        <v>7028.2598399999997</v>
      </c>
      <c r="BR195" s="17">
        <f t="shared" si="881"/>
        <v>2677.4323199999981</v>
      </c>
      <c r="BS195" s="17">
        <f t="shared" si="882"/>
        <v>1112.8078079999991</v>
      </c>
      <c r="BT195" s="17">
        <f t="shared" si="883"/>
        <v>2921.1204959999995</v>
      </c>
      <c r="BU195" s="17">
        <f t="shared" si="884"/>
        <v>34904.520000000004</v>
      </c>
      <c r="BV195" s="17">
        <f t="shared" si="885"/>
        <v>10236</v>
      </c>
      <c r="BW195" s="17">
        <f t="shared" si="886"/>
        <v>1025.3974415999999</v>
      </c>
      <c r="BX195" s="17">
        <f t="shared" si="887"/>
        <v>17495.999999999989</v>
      </c>
      <c r="BY195" s="17">
        <f t="shared" si="888"/>
        <v>11037.62906136576</v>
      </c>
      <c r="BZ195" s="17"/>
      <c r="CA195" s="17">
        <f t="shared" si="889"/>
        <v>128715.24962499036</v>
      </c>
      <c r="CB195" s="17">
        <f t="shared" si="890"/>
        <v>241341.0930468569</v>
      </c>
      <c r="CC195" s="17">
        <f t="shared" si="891"/>
        <v>58001.468903167319</v>
      </c>
      <c r="CD195" s="17">
        <f t="shared" si="892"/>
        <v>522013.22012850584</v>
      </c>
      <c r="CE195" s="17">
        <f t="shared" si="893"/>
        <v>81727.806342965749</v>
      </c>
      <c r="CF195" s="17">
        <f t="shared" si="894"/>
        <v>950071.03170352045</v>
      </c>
      <c r="CG195" s="17">
        <f t="shared" si="895"/>
        <v>1031798.8380464863</v>
      </c>
      <c r="CH195" s="17">
        <f t="shared" si="896"/>
        <v>14.400000000000006</v>
      </c>
      <c r="CI195" s="17">
        <f t="shared" si="897"/>
        <v>-43.2</v>
      </c>
      <c r="CJ195" s="17">
        <f t="shared" si="898"/>
        <v>16</v>
      </c>
      <c r="CK195" s="17">
        <f t="shared" si="899"/>
        <v>90</v>
      </c>
      <c r="CL195" s="17">
        <f t="shared" si="900"/>
        <v>71.46880726181422</v>
      </c>
      <c r="CM195" s="17">
        <f t="shared" si="901"/>
        <v>24</v>
      </c>
      <c r="CN195" s="17">
        <f t="shared" si="902"/>
        <v>50</v>
      </c>
      <c r="CO195" s="17">
        <f t="shared" si="903"/>
        <v>65.062647806544774</v>
      </c>
      <c r="CP195" s="17">
        <f t="shared" si="904"/>
        <v>6.4061594552694459</v>
      </c>
      <c r="CQ195" s="17">
        <f t="shared" si="905"/>
        <v>0</v>
      </c>
      <c r="CR195" s="17">
        <f t="shared" si="906"/>
        <v>100</v>
      </c>
      <c r="CS195" s="17">
        <f t="shared" si="907"/>
        <v>26.404773030064671</v>
      </c>
      <c r="CT195" s="17">
        <f t="shared" si="908"/>
        <v>24</v>
      </c>
      <c r="CU195" s="17">
        <f t="shared" si="909"/>
        <v>50</v>
      </c>
      <c r="CV195" s="17">
        <f t="shared" si="910"/>
        <v>65.062647806544774</v>
      </c>
      <c r="CW195" s="17">
        <f t="shared" si="911"/>
        <v>-38.657874776480099</v>
      </c>
      <c r="CX195" s="17">
        <f t="shared" si="849"/>
        <v>-8032.2969600000006</v>
      </c>
      <c r="CY195" s="17">
        <f t="shared" si="849"/>
        <v>-8032.2969600000006</v>
      </c>
      <c r="CZ195" s="17">
        <f t="shared" si="912"/>
        <v>1112.8078080000003</v>
      </c>
      <c r="DA195" s="17">
        <f t="shared" si="913"/>
        <v>-3338.4234240000001</v>
      </c>
      <c r="DB195" s="17">
        <f t="shared" si="914"/>
        <v>-39890.880000000005</v>
      </c>
      <c r="DC195" s="17">
        <f t="shared" si="915"/>
        <v>10236</v>
      </c>
      <c r="DD195" s="17">
        <f t="shared" si="916"/>
        <v>1025.3974415999999</v>
      </c>
      <c r="DE195" s="17">
        <f t="shared" si="917"/>
        <v>17496.000000000007</v>
      </c>
      <c r="DF195" s="17">
        <f t="shared" si="918"/>
        <v>-12614.433212989441</v>
      </c>
      <c r="DG195" s="17"/>
      <c r="DH195" s="17">
        <f t="shared" si="919"/>
        <v>-15772.412908803883</v>
      </c>
      <c r="DI195" s="17">
        <f t="shared" si="920"/>
        <v>-29573.274204007277</v>
      </c>
      <c r="DJ195" s="17">
        <f t="shared" si="921"/>
        <v>-7107.3405794824193</v>
      </c>
      <c r="DK195" s="17">
        <f t="shared" si="922"/>
        <v>10600.086421330037</v>
      </c>
      <c r="DL195" s="17">
        <f t="shared" si="923"/>
        <v>-34005.828347389441</v>
      </c>
      <c r="DM195" s="17">
        <f t="shared" si="924"/>
        <v>-41852.941270963544</v>
      </c>
      <c r="DN195" s="17">
        <f t="shared" si="925"/>
        <v>-75858.769618352992</v>
      </c>
    </row>
    <row r="196" spans="3:120" ht="18.600000000000001">
      <c r="C196" s="13">
        <f>IF(D196&lt;&gt;"",COUNTA($D$10:D196),"")</f>
        <v>160</v>
      </c>
      <c r="D196" s="14" t="s">
        <v>206</v>
      </c>
      <c r="E196" s="14">
        <v>3.1</v>
      </c>
      <c r="F196" s="14">
        <v>2.6</v>
      </c>
      <c r="G196" s="14">
        <v>2.4</v>
      </c>
      <c r="H196" s="14">
        <v>2</v>
      </c>
      <c r="I196" s="14">
        <v>1</v>
      </c>
      <c r="J196" s="14">
        <v>1.75</v>
      </c>
      <c r="K196" s="14">
        <v>3</v>
      </c>
      <c r="L196" s="15">
        <v>0.1</v>
      </c>
      <c r="M196" s="15">
        <v>0</v>
      </c>
      <c r="N196" s="14">
        <v>24</v>
      </c>
      <c r="O196" s="14">
        <v>50</v>
      </c>
      <c r="P196" s="13">
        <v>45</v>
      </c>
      <c r="Q196" s="13">
        <v>85</v>
      </c>
      <c r="R196" s="13" t="s">
        <v>17</v>
      </c>
      <c r="S196" s="13">
        <v>120</v>
      </c>
      <c r="T196" s="13">
        <v>0</v>
      </c>
      <c r="U196" s="13">
        <v>100</v>
      </c>
      <c r="V196" s="13" t="str">
        <f t="shared" si="850"/>
        <v>ISO 6</v>
      </c>
      <c r="W196" s="13">
        <f t="shared" si="851"/>
        <v>120</v>
      </c>
      <c r="X196" s="16">
        <f t="shared" si="852"/>
        <v>86.7256</v>
      </c>
      <c r="Y196" s="16">
        <f t="shared" si="853"/>
        <v>682.70392319999996</v>
      </c>
      <c r="Z196" s="16">
        <f t="shared" si="854"/>
        <v>1365.4078463999999</v>
      </c>
      <c r="AA196" s="16">
        <f t="shared" si="855"/>
        <v>136.54078464</v>
      </c>
      <c r="AB196" s="16">
        <f t="shared" si="856"/>
        <v>0</v>
      </c>
      <c r="AC196" s="16">
        <f t="shared" si="857"/>
        <v>12.560674611769482</v>
      </c>
      <c r="AD196" s="16">
        <f t="shared" si="858"/>
        <v>2900</v>
      </c>
      <c r="AE196" s="16">
        <f t="shared" si="859"/>
        <v>2900</v>
      </c>
      <c r="AF196" s="16">
        <f t="shared" si="860"/>
        <v>18</v>
      </c>
      <c r="AG196" s="16">
        <f t="shared" si="861"/>
        <v>7.5</v>
      </c>
      <c r="AH196" s="838" t="s">
        <v>85</v>
      </c>
      <c r="AI196" s="17">
        <f t="shared" si="862"/>
        <v>5</v>
      </c>
      <c r="AJ196" s="17">
        <f t="shared" si="863"/>
        <v>7.5</v>
      </c>
      <c r="AK196" s="891"/>
      <c r="AL196" s="18"/>
      <c r="AM196" s="889"/>
      <c r="AN196" s="891"/>
      <c r="AO196" s="888"/>
      <c r="AP196" s="891"/>
      <c r="AQ196" s="891"/>
      <c r="AR196" s="889"/>
      <c r="AS196" s="888"/>
      <c r="AT196" s="888"/>
      <c r="AU196" s="890"/>
      <c r="AV196" s="888"/>
      <c r="AW196" s="888"/>
      <c r="AX196" s="888"/>
      <c r="AY196" s="887"/>
      <c r="AZ196" s="888"/>
      <c r="BA196" s="17">
        <f t="shared" si="864"/>
        <v>14.399999999999991</v>
      </c>
      <c r="BB196" s="17">
        <f t="shared" si="865"/>
        <v>37.799999999999997</v>
      </c>
      <c r="BC196" s="17">
        <f t="shared" si="866"/>
        <v>32</v>
      </c>
      <c r="BD196" s="17">
        <f t="shared" si="867"/>
        <v>85</v>
      </c>
      <c r="BE196" s="17">
        <f t="shared" si="868"/>
        <v>180.86341983910182</v>
      </c>
      <c r="BF196" s="17">
        <f t="shared" si="869"/>
        <v>24</v>
      </c>
      <c r="BG196" s="17">
        <f t="shared" si="870"/>
        <v>50</v>
      </c>
      <c r="BH196" s="17">
        <f t="shared" si="871"/>
        <v>65.062647806544774</v>
      </c>
      <c r="BI196" s="17">
        <f t="shared" si="872"/>
        <v>115.80077203255705</v>
      </c>
      <c r="BJ196" s="17">
        <f t="shared" si="873"/>
        <v>45</v>
      </c>
      <c r="BK196" s="17">
        <f t="shared" si="874"/>
        <v>85</v>
      </c>
      <c r="BL196" s="17">
        <f t="shared" si="875"/>
        <v>380.54120080897206</v>
      </c>
      <c r="BM196" s="17">
        <f t="shared" si="876"/>
        <v>24</v>
      </c>
      <c r="BN196" s="17">
        <f t="shared" si="877"/>
        <v>50</v>
      </c>
      <c r="BO196" s="17">
        <f t="shared" si="878"/>
        <v>65.062647806544774</v>
      </c>
      <c r="BP196" s="17">
        <f t="shared" si="879"/>
        <v>315.4785530024273</v>
      </c>
      <c r="BQ196" s="17">
        <f t="shared" si="880"/>
        <v>5007.6351359999999</v>
      </c>
      <c r="BR196" s="17">
        <f t="shared" si="881"/>
        <v>1907.670527999999</v>
      </c>
      <c r="BS196" s="17">
        <f t="shared" si="882"/>
        <v>561.98188799999969</v>
      </c>
      <c r="BT196" s="17">
        <f t="shared" si="883"/>
        <v>1475.202456</v>
      </c>
      <c r="BU196" s="17">
        <f t="shared" si="884"/>
        <v>23269.68</v>
      </c>
      <c r="BV196" s="17">
        <f t="shared" si="885"/>
        <v>3412</v>
      </c>
      <c r="BW196" s="17">
        <f t="shared" si="886"/>
        <v>517.83855759999994</v>
      </c>
      <c r="BX196" s="17">
        <f t="shared" si="887"/>
        <v>17495.999999999989</v>
      </c>
      <c r="BY196" s="17">
        <f t="shared" si="888"/>
        <v>5574.1409921433597</v>
      </c>
      <c r="BZ196" s="17"/>
      <c r="CA196" s="17">
        <f t="shared" si="889"/>
        <v>85810.166416660228</v>
      </c>
      <c r="CB196" s="17">
        <f t="shared" si="890"/>
        <v>241341.0930468569</v>
      </c>
      <c r="CC196" s="17">
        <f t="shared" si="891"/>
        <v>29291.468631549415</v>
      </c>
      <c r="CD196" s="17">
        <f t="shared" si="892"/>
        <v>263623.21768394468</v>
      </c>
      <c r="CE196" s="17">
        <f t="shared" si="893"/>
        <v>55277.294685743349</v>
      </c>
      <c r="CF196" s="17">
        <f t="shared" si="894"/>
        <v>620065.94577901112</v>
      </c>
      <c r="CG196" s="17">
        <f t="shared" si="895"/>
        <v>675343.24046475452</v>
      </c>
      <c r="CH196" s="17">
        <f t="shared" si="896"/>
        <v>14.400000000000006</v>
      </c>
      <c r="CI196" s="17">
        <f t="shared" si="897"/>
        <v>-43.2</v>
      </c>
      <c r="CJ196" s="17">
        <f t="shared" si="898"/>
        <v>16</v>
      </c>
      <c r="CK196" s="17">
        <f t="shared" si="899"/>
        <v>90</v>
      </c>
      <c r="CL196" s="17">
        <f t="shared" si="900"/>
        <v>71.46880726181422</v>
      </c>
      <c r="CM196" s="17">
        <f t="shared" si="901"/>
        <v>24</v>
      </c>
      <c r="CN196" s="17">
        <f t="shared" si="902"/>
        <v>50</v>
      </c>
      <c r="CO196" s="17">
        <f t="shared" si="903"/>
        <v>65.062647806544774</v>
      </c>
      <c r="CP196" s="17">
        <f t="shared" si="904"/>
        <v>6.4061594552694459</v>
      </c>
      <c r="CQ196" s="17">
        <f t="shared" si="905"/>
        <v>0</v>
      </c>
      <c r="CR196" s="17">
        <f t="shared" si="906"/>
        <v>100</v>
      </c>
      <c r="CS196" s="17">
        <f t="shared" si="907"/>
        <v>26.404773030064671</v>
      </c>
      <c r="CT196" s="17">
        <f t="shared" si="908"/>
        <v>24</v>
      </c>
      <c r="CU196" s="17">
        <f t="shared" si="909"/>
        <v>50</v>
      </c>
      <c r="CV196" s="17">
        <f t="shared" si="910"/>
        <v>65.062647806544774</v>
      </c>
      <c r="CW196" s="17">
        <f t="shared" si="911"/>
        <v>-38.657874776480099</v>
      </c>
      <c r="CX196" s="17">
        <f t="shared" si="849"/>
        <v>-5723.0115840000008</v>
      </c>
      <c r="CY196" s="17">
        <f t="shared" si="849"/>
        <v>-5723.0115840000008</v>
      </c>
      <c r="CZ196" s="17">
        <f t="shared" si="912"/>
        <v>561.98188800000014</v>
      </c>
      <c r="DA196" s="17">
        <f t="shared" si="913"/>
        <v>-1685.9456640000001</v>
      </c>
      <c r="DB196" s="17">
        <f t="shared" si="914"/>
        <v>-26593.920000000002</v>
      </c>
      <c r="DC196" s="17">
        <f t="shared" si="915"/>
        <v>3412</v>
      </c>
      <c r="DD196" s="17">
        <f t="shared" si="916"/>
        <v>517.83855759999994</v>
      </c>
      <c r="DE196" s="17">
        <f t="shared" si="917"/>
        <v>17496.000000000007</v>
      </c>
      <c r="DF196" s="17">
        <f t="shared" si="918"/>
        <v>-6370.4468481638405</v>
      </c>
      <c r="DG196" s="17"/>
      <c r="DH196" s="17">
        <f t="shared" si="919"/>
        <v>-10514.941939202587</v>
      </c>
      <c r="DI196" s="17">
        <f t="shared" si="920"/>
        <v>-29573.274204007277</v>
      </c>
      <c r="DJ196" s="17">
        <f t="shared" si="921"/>
        <v>-3589.2960570569112</v>
      </c>
      <c r="DK196" s="17">
        <f t="shared" si="922"/>
        <v>5353.1764759348434</v>
      </c>
      <c r="DL196" s="17">
        <f t="shared" si="923"/>
        <v>-18385.503650563835</v>
      </c>
      <c r="DM196" s="17">
        <f t="shared" si="924"/>
        <v>-38324.335724331933</v>
      </c>
      <c r="DN196" s="17">
        <f t="shared" si="925"/>
        <v>-56709.839374895768</v>
      </c>
    </row>
    <row r="197" spans="3:120" ht="18.600000000000001">
      <c r="C197" s="13">
        <f>IF(D197&lt;&gt;"",COUNTA($D$10:D197),"")</f>
        <v>161</v>
      </c>
      <c r="D197" s="14" t="s">
        <v>207</v>
      </c>
      <c r="E197" s="14">
        <v>1.9</v>
      </c>
      <c r="F197" s="14">
        <v>2.4</v>
      </c>
      <c r="G197" s="14">
        <v>2.4</v>
      </c>
      <c r="H197" s="14">
        <v>3</v>
      </c>
      <c r="I197" s="14">
        <v>2</v>
      </c>
      <c r="J197" s="14">
        <v>1.75</v>
      </c>
      <c r="K197" s="14">
        <v>3</v>
      </c>
      <c r="L197" s="15">
        <v>0.1</v>
      </c>
      <c r="M197" s="15">
        <v>0</v>
      </c>
      <c r="N197" s="14">
        <v>24</v>
      </c>
      <c r="O197" s="14">
        <v>50</v>
      </c>
      <c r="P197" s="13">
        <v>45</v>
      </c>
      <c r="Q197" s="13">
        <v>85</v>
      </c>
      <c r="R197" s="13" t="s">
        <v>17</v>
      </c>
      <c r="S197" s="13">
        <v>120</v>
      </c>
      <c r="T197" s="13">
        <v>0</v>
      </c>
      <c r="U197" s="13">
        <v>100</v>
      </c>
      <c r="V197" s="13" t="str">
        <f t="shared" si="850"/>
        <v>ISO 6</v>
      </c>
      <c r="W197" s="13">
        <f t="shared" si="851"/>
        <v>120</v>
      </c>
      <c r="X197" s="16">
        <f t="shared" si="852"/>
        <v>49.065599999999996</v>
      </c>
      <c r="Y197" s="16">
        <f t="shared" si="853"/>
        <v>386.24440319999997</v>
      </c>
      <c r="Z197" s="16">
        <f t="shared" si="854"/>
        <v>772.48880639999993</v>
      </c>
      <c r="AA197" s="16">
        <f t="shared" si="855"/>
        <v>77.248880639999996</v>
      </c>
      <c r="AB197" s="16">
        <f t="shared" si="856"/>
        <v>0</v>
      </c>
      <c r="AC197" s="16">
        <f t="shared" si="857"/>
        <v>7.1062873734080432</v>
      </c>
      <c r="AD197" s="16">
        <f t="shared" si="858"/>
        <v>2500</v>
      </c>
      <c r="AE197" s="16">
        <f t="shared" si="859"/>
        <v>2500</v>
      </c>
      <c r="AF197" s="16">
        <f t="shared" si="860"/>
        <v>16</v>
      </c>
      <c r="AG197" s="16">
        <f t="shared" si="861"/>
        <v>6.5</v>
      </c>
      <c r="AH197" s="838" t="s">
        <v>85</v>
      </c>
      <c r="AI197" s="17">
        <f t="shared" si="862"/>
        <v>6</v>
      </c>
      <c r="AJ197" s="17">
        <f t="shared" si="863"/>
        <v>6.5</v>
      </c>
      <c r="AK197" s="891"/>
      <c r="AL197" s="18"/>
      <c r="AM197" s="889"/>
      <c r="AN197" s="891"/>
      <c r="AO197" s="888"/>
      <c r="AP197" s="891"/>
      <c r="AQ197" s="891"/>
      <c r="AR197" s="889"/>
      <c r="AS197" s="888"/>
      <c r="AT197" s="888"/>
      <c r="AU197" s="890"/>
      <c r="AV197" s="888"/>
      <c r="AW197" s="888"/>
      <c r="AX197" s="888"/>
      <c r="AY197" s="887"/>
      <c r="AZ197" s="888"/>
      <c r="BA197" s="17">
        <f t="shared" si="864"/>
        <v>14.399999999999991</v>
      </c>
      <c r="BB197" s="17">
        <f t="shared" si="865"/>
        <v>37.799999999999997</v>
      </c>
      <c r="BC197" s="17">
        <f t="shared" si="866"/>
        <v>32</v>
      </c>
      <c r="BD197" s="17">
        <f t="shared" si="867"/>
        <v>85</v>
      </c>
      <c r="BE197" s="17">
        <f t="shared" si="868"/>
        <v>180.86341983910182</v>
      </c>
      <c r="BF197" s="17">
        <f t="shared" si="869"/>
        <v>24</v>
      </c>
      <c r="BG197" s="17">
        <f t="shared" si="870"/>
        <v>50</v>
      </c>
      <c r="BH197" s="17">
        <f t="shared" si="871"/>
        <v>65.062647806544774</v>
      </c>
      <c r="BI197" s="17">
        <f t="shared" si="872"/>
        <v>115.80077203255705</v>
      </c>
      <c r="BJ197" s="17">
        <f t="shared" si="873"/>
        <v>45</v>
      </c>
      <c r="BK197" s="17">
        <f t="shared" si="874"/>
        <v>85</v>
      </c>
      <c r="BL197" s="17">
        <f t="shared" si="875"/>
        <v>380.54120080897206</v>
      </c>
      <c r="BM197" s="17">
        <f t="shared" si="876"/>
        <v>24</v>
      </c>
      <c r="BN197" s="17">
        <f t="shared" si="877"/>
        <v>50</v>
      </c>
      <c r="BO197" s="17">
        <f t="shared" si="878"/>
        <v>65.062647806544774</v>
      </c>
      <c r="BP197" s="17">
        <f t="shared" si="879"/>
        <v>315.4785530024273</v>
      </c>
      <c r="BQ197" s="17">
        <f t="shared" si="880"/>
        <v>3777.6896639999995</v>
      </c>
      <c r="BR197" s="17">
        <f t="shared" si="881"/>
        <v>1439.1198719999991</v>
      </c>
      <c r="BS197" s="17">
        <f t="shared" si="882"/>
        <v>317.94508799999977</v>
      </c>
      <c r="BT197" s="17">
        <f t="shared" si="883"/>
        <v>834.6058559999999</v>
      </c>
      <c r="BU197" s="17">
        <f t="shared" si="884"/>
        <v>34904.520000000004</v>
      </c>
      <c r="BV197" s="17">
        <f t="shared" si="885"/>
        <v>6824</v>
      </c>
      <c r="BW197" s="17">
        <f t="shared" si="886"/>
        <v>292.97069759999994</v>
      </c>
      <c r="BX197" s="17">
        <f t="shared" si="887"/>
        <v>17495.999999999989</v>
      </c>
      <c r="BY197" s="17">
        <f t="shared" si="888"/>
        <v>3153.6083032473598</v>
      </c>
      <c r="BZ197" s="17"/>
      <c r="CA197" s="17">
        <f t="shared" si="889"/>
        <v>128715.24962499036</v>
      </c>
      <c r="CB197" s="17">
        <f t="shared" si="890"/>
        <v>241341.0930468569</v>
      </c>
      <c r="CC197" s="17">
        <f t="shared" si="891"/>
        <v>16571.848258047805</v>
      </c>
      <c r="CD197" s="17">
        <f t="shared" si="892"/>
        <v>149146.63432243024</v>
      </c>
      <c r="CE197" s="17">
        <f t="shared" si="893"/>
        <v>66448.78866484735</v>
      </c>
      <c r="CF197" s="17">
        <f t="shared" si="894"/>
        <v>535774.82525232527</v>
      </c>
      <c r="CG197" s="17">
        <f t="shared" si="895"/>
        <v>602223.61391717265</v>
      </c>
      <c r="CH197" s="17">
        <f t="shared" si="896"/>
        <v>14.400000000000006</v>
      </c>
      <c r="CI197" s="17">
        <f t="shared" si="897"/>
        <v>-43.2</v>
      </c>
      <c r="CJ197" s="17">
        <f t="shared" si="898"/>
        <v>16</v>
      </c>
      <c r="CK197" s="17">
        <f t="shared" si="899"/>
        <v>90</v>
      </c>
      <c r="CL197" s="17">
        <f t="shared" si="900"/>
        <v>71.46880726181422</v>
      </c>
      <c r="CM197" s="17">
        <f t="shared" si="901"/>
        <v>24</v>
      </c>
      <c r="CN197" s="17">
        <f t="shared" si="902"/>
        <v>50</v>
      </c>
      <c r="CO197" s="17">
        <f t="shared" si="903"/>
        <v>65.062647806544774</v>
      </c>
      <c r="CP197" s="17">
        <f t="shared" si="904"/>
        <v>6.4061594552694459</v>
      </c>
      <c r="CQ197" s="17">
        <f t="shared" si="905"/>
        <v>0</v>
      </c>
      <c r="CR197" s="17">
        <f t="shared" si="906"/>
        <v>100</v>
      </c>
      <c r="CS197" s="17">
        <f t="shared" si="907"/>
        <v>26.404773030064671</v>
      </c>
      <c r="CT197" s="17">
        <f t="shared" si="908"/>
        <v>24</v>
      </c>
      <c r="CU197" s="17">
        <f t="shared" si="909"/>
        <v>50</v>
      </c>
      <c r="CV197" s="17">
        <f t="shared" si="910"/>
        <v>65.062647806544774</v>
      </c>
      <c r="CW197" s="17">
        <f t="shared" si="911"/>
        <v>-38.657874776480099</v>
      </c>
      <c r="CX197" s="17">
        <f t="shared" si="849"/>
        <v>-4317.3596159999997</v>
      </c>
      <c r="CY197" s="17">
        <f t="shared" si="849"/>
        <v>-4317.3596159999997</v>
      </c>
      <c r="CZ197" s="17">
        <f t="shared" si="912"/>
        <v>317.94508800000011</v>
      </c>
      <c r="DA197" s="17">
        <f t="shared" si="913"/>
        <v>-953.83526399999994</v>
      </c>
      <c r="DB197" s="17">
        <f t="shared" si="914"/>
        <v>-39890.880000000005</v>
      </c>
      <c r="DC197" s="17">
        <f t="shared" si="915"/>
        <v>6824</v>
      </c>
      <c r="DD197" s="17">
        <f t="shared" si="916"/>
        <v>292.97069759999994</v>
      </c>
      <c r="DE197" s="17">
        <f t="shared" si="917"/>
        <v>17496.000000000007</v>
      </c>
      <c r="DF197" s="17">
        <f t="shared" si="918"/>
        <v>-3604.1237751398403</v>
      </c>
      <c r="DG197" s="17"/>
      <c r="DH197" s="17">
        <f t="shared" si="919"/>
        <v>-15772.412908803883</v>
      </c>
      <c r="DI197" s="17">
        <f t="shared" si="920"/>
        <v>-29573.274204007277</v>
      </c>
      <c r="DJ197" s="17">
        <f t="shared" si="921"/>
        <v>-2030.6687369949768</v>
      </c>
      <c r="DK197" s="17">
        <f t="shared" si="922"/>
        <v>3028.5961203800107</v>
      </c>
      <c r="DL197" s="17">
        <f t="shared" si="923"/>
        <v>-23835.282869539838</v>
      </c>
      <c r="DM197" s="17">
        <f t="shared" si="924"/>
        <v>-44347.759729426129</v>
      </c>
      <c r="DN197" s="17">
        <f t="shared" si="925"/>
        <v>-68183.042598965971</v>
      </c>
    </row>
    <row r="198" spans="3:120" ht="18.600000000000001">
      <c r="C198" s="13">
        <f>IF(D198&lt;&gt;"",COUNTA($D$10:D198),"")</f>
        <v>162</v>
      </c>
      <c r="D198" s="14" t="s">
        <v>208</v>
      </c>
      <c r="E198" s="14">
        <v>3</v>
      </c>
      <c r="F198" s="14">
        <v>2.9</v>
      </c>
      <c r="G198" s="14">
        <v>2.4</v>
      </c>
      <c r="H198" s="14">
        <v>2</v>
      </c>
      <c r="I198" s="14">
        <v>1</v>
      </c>
      <c r="J198" s="14">
        <v>1.75</v>
      </c>
      <c r="K198" s="14">
        <v>3</v>
      </c>
      <c r="L198" s="15">
        <v>0.1</v>
      </c>
      <c r="M198" s="15">
        <v>0</v>
      </c>
      <c r="N198" s="14">
        <v>24</v>
      </c>
      <c r="O198" s="14">
        <v>50</v>
      </c>
      <c r="P198" s="13">
        <v>45</v>
      </c>
      <c r="Q198" s="13">
        <v>85</v>
      </c>
      <c r="R198" s="13" t="s">
        <v>17</v>
      </c>
      <c r="S198" s="13">
        <v>120</v>
      </c>
      <c r="T198" s="13">
        <v>0</v>
      </c>
      <c r="U198" s="13">
        <v>100</v>
      </c>
      <c r="V198" s="13" t="str">
        <f t="shared" si="850"/>
        <v>ISO 6</v>
      </c>
      <c r="W198" s="13">
        <f t="shared" si="851"/>
        <v>120</v>
      </c>
      <c r="X198" s="16">
        <f t="shared" si="852"/>
        <v>93.611999999999995</v>
      </c>
      <c r="Y198" s="16">
        <f t="shared" si="853"/>
        <v>736.91366399999993</v>
      </c>
      <c r="Z198" s="16">
        <f t="shared" si="854"/>
        <v>1473.8273279999999</v>
      </c>
      <c r="AA198" s="16">
        <f t="shared" si="855"/>
        <v>147.38273279999999</v>
      </c>
      <c r="AB198" s="16">
        <f t="shared" si="856"/>
        <v>0</v>
      </c>
      <c r="AC198" s="16">
        <f t="shared" si="857"/>
        <v>13.558048278212716</v>
      </c>
      <c r="AD198" s="16">
        <f>IF(ISNUMBER(N198), CEILING(CF198/(0.68*BP198),25), "Ambient")</f>
        <v>3000</v>
      </c>
      <c r="AE198" s="16">
        <f t="shared" si="859"/>
        <v>3000</v>
      </c>
      <c r="AF198" s="16">
        <f t="shared" si="860"/>
        <v>18</v>
      </c>
      <c r="AG198" s="16">
        <f t="shared" si="861"/>
        <v>7.5</v>
      </c>
      <c r="AH198" s="838" t="s">
        <v>85</v>
      </c>
      <c r="AI198" s="17">
        <f t="shared" si="862"/>
        <v>5</v>
      </c>
      <c r="AJ198" s="17">
        <f t="shared" si="863"/>
        <v>7.5</v>
      </c>
      <c r="AK198" s="891"/>
      <c r="AL198" s="18"/>
      <c r="AM198" s="889"/>
      <c r="AN198" s="891"/>
      <c r="AO198" s="888"/>
      <c r="AP198" s="891"/>
      <c r="AQ198" s="891"/>
      <c r="AR198" s="889"/>
      <c r="AS198" s="888"/>
      <c r="AT198" s="888"/>
      <c r="AU198" s="890"/>
      <c r="AV198" s="888"/>
      <c r="AW198" s="888"/>
      <c r="AX198" s="888"/>
      <c r="AY198" s="887"/>
      <c r="AZ198" s="888"/>
      <c r="BA198" s="17">
        <f t="shared" si="864"/>
        <v>14.399999999999991</v>
      </c>
      <c r="BB198" s="17">
        <f t="shared" si="865"/>
        <v>37.799999999999997</v>
      </c>
      <c r="BC198" s="17">
        <f t="shared" si="866"/>
        <v>32</v>
      </c>
      <c r="BD198" s="17">
        <f t="shared" si="867"/>
        <v>85</v>
      </c>
      <c r="BE198" s="17">
        <f t="shared" si="868"/>
        <v>180.86341983910182</v>
      </c>
      <c r="BF198" s="17">
        <f t="shared" si="869"/>
        <v>24</v>
      </c>
      <c r="BG198" s="17">
        <f t="shared" si="870"/>
        <v>50</v>
      </c>
      <c r="BH198" s="17">
        <f t="shared" si="871"/>
        <v>65.062647806544774</v>
      </c>
      <c r="BI198" s="17">
        <f t="shared" si="872"/>
        <v>115.80077203255705</v>
      </c>
      <c r="BJ198" s="17">
        <f t="shared" si="873"/>
        <v>45</v>
      </c>
      <c r="BK198" s="17">
        <f t="shared" si="874"/>
        <v>85</v>
      </c>
      <c r="BL198" s="17">
        <f t="shared" si="875"/>
        <v>380.54120080897206</v>
      </c>
      <c r="BM198" s="17">
        <f t="shared" si="876"/>
        <v>24</v>
      </c>
      <c r="BN198" s="17">
        <f t="shared" si="877"/>
        <v>50</v>
      </c>
      <c r="BO198" s="17">
        <f t="shared" si="878"/>
        <v>65.062647806544774</v>
      </c>
      <c r="BP198" s="17">
        <f t="shared" si="879"/>
        <v>315.4785530024273</v>
      </c>
      <c r="BQ198" s="17">
        <f t="shared" si="880"/>
        <v>5183.3416319999997</v>
      </c>
      <c r="BR198" s="17">
        <f t="shared" si="881"/>
        <v>1974.6063359999991</v>
      </c>
      <c r="BS198" s="17">
        <f t="shared" si="882"/>
        <v>606.60575999999958</v>
      </c>
      <c r="BT198" s="17">
        <f t="shared" si="883"/>
        <v>1592.3401199999998</v>
      </c>
      <c r="BU198" s="17">
        <f t="shared" si="884"/>
        <v>23269.68</v>
      </c>
      <c r="BV198" s="17">
        <f t="shared" si="885"/>
        <v>3412</v>
      </c>
      <c r="BW198" s="17">
        <f t="shared" si="886"/>
        <v>558.95725199999993</v>
      </c>
      <c r="BX198" s="17">
        <f t="shared" si="887"/>
        <v>17495.999999999989</v>
      </c>
      <c r="BY198" s="17">
        <f t="shared" si="888"/>
        <v>6016.7526838271997</v>
      </c>
      <c r="BZ198" s="17"/>
      <c r="CA198" s="17">
        <f t="shared" si="889"/>
        <v>85810.166416660228</v>
      </c>
      <c r="CB198" s="17">
        <f t="shared" si="890"/>
        <v>241341.0930468569</v>
      </c>
      <c r="CC198" s="17">
        <f t="shared" si="891"/>
        <v>31617.34207127542</v>
      </c>
      <c r="CD198" s="17">
        <f t="shared" si="892"/>
        <v>284556.07864147879</v>
      </c>
      <c r="CE198" s="17">
        <f t="shared" si="893"/>
        <v>55936.731567827192</v>
      </c>
      <c r="CF198" s="17">
        <f t="shared" si="894"/>
        <v>643324.68017627136</v>
      </c>
      <c r="CG198" s="17">
        <f t="shared" si="895"/>
        <v>699261.41174409853</v>
      </c>
      <c r="CH198" s="17">
        <f t="shared" si="896"/>
        <v>14.400000000000006</v>
      </c>
      <c r="CI198" s="17">
        <f t="shared" si="897"/>
        <v>-43.2</v>
      </c>
      <c r="CJ198" s="17">
        <f t="shared" si="898"/>
        <v>16</v>
      </c>
      <c r="CK198" s="17">
        <f t="shared" si="899"/>
        <v>90</v>
      </c>
      <c r="CL198" s="17">
        <f t="shared" si="900"/>
        <v>71.46880726181422</v>
      </c>
      <c r="CM198" s="17">
        <f t="shared" si="901"/>
        <v>24</v>
      </c>
      <c r="CN198" s="17">
        <f t="shared" si="902"/>
        <v>50</v>
      </c>
      <c r="CO198" s="17">
        <f t="shared" si="903"/>
        <v>65.062647806544774</v>
      </c>
      <c r="CP198" s="17">
        <f t="shared" si="904"/>
        <v>6.4061594552694459</v>
      </c>
      <c r="CQ198" s="17">
        <f t="shared" si="905"/>
        <v>0</v>
      </c>
      <c r="CR198" s="17">
        <f t="shared" si="906"/>
        <v>100</v>
      </c>
      <c r="CS198" s="17">
        <f t="shared" si="907"/>
        <v>26.404773030064671</v>
      </c>
      <c r="CT198" s="17">
        <f t="shared" si="908"/>
        <v>24</v>
      </c>
      <c r="CU198" s="17">
        <f t="shared" si="909"/>
        <v>50</v>
      </c>
      <c r="CV198" s="17">
        <f t="shared" si="910"/>
        <v>65.062647806544774</v>
      </c>
      <c r="CW198" s="17">
        <f t="shared" si="911"/>
        <v>-38.657874776480099</v>
      </c>
      <c r="CX198" s="17">
        <f t="shared" si="849"/>
        <v>-5923.8190080000013</v>
      </c>
      <c r="CY198" s="17">
        <f t="shared" si="849"/>
        <v>-5923.8190080000013</v>
      </c>
      <c r="CZ198" s="17">
        <f t="shared" si="912"/>
        <v>606.60576000000026</v>
      </c>
      <c r="DA198" s="17">
        <f t="shared" si="913"/>
        <v>-1819.81728</v>
      </c>
      <c r="DB198" s="17">
        <f t="shared" si="914"/>
        <v>-26593.920000000002</v>
      </c>
      <c r="DC198" s="17">
        <f t="shared" si="915"/>
        <v>3412</v>
      </c>
      <c r="DD198" s="17">
        <f t="shared" si="916"/>
        <v>558.95725199999993</v>
      </c>
      <c r="DE198" s="17">
        <f t="shared" si="917"/>
        <v>17496.000000000007</v>
      </c>
      <c r="DF198" s="17">
        <f t="shared" si="918"/>
        <v>-6876.2887815168006</v>
      </c>
      <c r="DG198" s="17"/>
      <c r="DH198" s="17">
        <f t="shared" si="919"/>
        <v>-10514.941939202587</v>
      </c>
      <c r="DI198" s="17">
        <f t="shared" si="920"/>
        <v>-29573.274204007277</v>
      </c>
      <c r="DJ198" s="17">
        <f t="shared" si="921"/>
        <v>-3874.3021955825216</v>
      </c>
      <c r="DK198" s="17">
        <f t="shared" si="922"/>
        <v>5778.2425980934422</v>
      </c>
      <c r="DL198" s="17">
        <f t="shared" si="923"/>
        <v>-19140.282057516793</v>
      </c>
      <c r="DM198" s="17">
        <f t="shared" si="924"/>
        <v>-38184.275740698948</v>
      </c>
      <c r="DN198" s="17">
        <f t="shared" si="925"/>
        <v>-57324.557798215741</v>
      </c>
    </row>
    <row r="199" spans="3:120" ht="18.600000000000001">
      <c r="C199" s="13">
        <f>IF(D199&lt;&gt;"",COUNTA($D$10:D199),"")</f>
        <v>163</v>
      </c>
      <c r="D199" s="14" t="s">
        <v>209</v>
      </c>
      <c r="E199" s="14">
        <v>2.4</v>
      </c>
      <c r="F199" s="14">
        <v>2</v>
      </c>
      <c r="G199" s="14">
        <v>2.4</v>
      </c>
      <c r="H199" s="14">
        <v>2</v>
      </c>
      <c r="I199" s="14">
        <v>1</v>
      </c>
      <c r="J199" s="14">
        <v>1.75</v>
      </c>
      <c r="K199" s="14">
        <v>3</v>
      </c>
      <c r="L199" s="15">
        <v>0.1</v>
      </c>
      <c r="M199" s="15">
        <v>0</v>
      </c>
      <c r="N199" s="14">
        <v>24</v>
      </c>
      <c r="O199" s="14">
        <v>50</v>
      </c>
      <c r="P199" s="13">
        <v>45</v>
      </c>
      <c r="Q199" s="13">
        <v>85</v>
      </c>
      <c r="R199" s="13" t="s">
        <v>17</v>
      </c>
      <c r="S199" s="13">
        <v>120</v>
      </c>
      <c r="T199" s="13">
        <v>0</v>
      </c>
      <c r="U199" s="13">
        <v>100</v>
      </c>
      <c r="V199" s="13" t="str">
        <f t="shared" si="850"/>
        <v>ISO 6</v>
      </c>
      <c r="W199" s="13">
        <f t="shared" si="851"/>
        <v>120</v>
      </c>
      <c r="X199" s="16">
        <f t="shared" si="852"/>
        <v>51.647999999999996</v>
      </c>
      <c r="Y199" s="16">
        <f t="shared" si="853"/>
        <v>406.57305599999995</v>
      </c>
      <c r="Z199" s="16">
        <f t="shared" si="854"/>
        <v>813.1461119999999</v>
      </c>
      <c r="AA199" s="16">
        <f t="shared" si="855"/>
        <v>81.314611200000002</v>
      </c>
      <c r="AB199" s="16">
        <f t="shared" si="856"/>
        <v>0</v>
      </c>
      <c r="AC199" s="16">
        <f t="shared" si="857"/>
        <v>7.4803024983242565</v>
      </c>
      <c r="AD199" s="16">
        <f t="shared" ref="AD199:AD205" si="926">IF(ISNUMBER(N199), CEILING(CF199/(0.68*BP199),25), "Ambient")</f>
        <v>2350</v>
      </c>
      <c r="AE199" s="16">
        <f t="shared" si="859"/>
        <v>2350</v>
      </c>
      <c r="AF199" s="16">
        <f t="shared" si="860"/>
        <v>14</v>
      </c>
      <c r="AG199" s="16">
        <f t="shared" si="861"/>
        <v>6</v>
      </c>
      <c r="AH199" s="838" t="s">
        <v>85</v>
      </c>
      <c r="AI199" s="17">
        <f t="shared" si="862"/>
        <v>4.5</v>
      </c>
      <c r="AJ199" s="17">
        <f t="shared" si="863"/>
        <v>6</v>
      </c>
      <c r="AK199" s="891"/>
      <c r="AL199" s="174">
        <f>IF(AN190&lt;=315,1600,(IF(AN190=355,1650,(IF(AN190=400,1650,(IF(AN190=450,1700,(IF(AN190=500,1700,(IF(AN190=560,1800,(IF(AN190=630,2000,(IF(AN190=710,2200,2500)))))))))))))))+IF(AR190=2,1800,(IF(AR190=3,2300,(IF(AR190=4,3300,0)))))+IF(AP190&lt;=4,600,(IF(AP190&lt;=6,800,(IF(AP190&lt;=8,1000,1200)))))</f>
        <v>5400</v>
      </c>
      <c r="AM199" s="889"/>
      <c r="AN199" s="891"/>
      <c r="AO199" s="888"/>
      <c r="AP199" s="891"/>
      <c r="AQ199" s="891"/>
      <c r="AR199" s="889"/>
      <c r="AS199" s="888"/>
      <c r="AT199" s="888"/>
      <c r="AU199" s="890"/>
      <c r="AV199" s="888"/>
      <c r="AW199" s="888"/>
      <c r="AX199" s="888"/>
      <c r="AY199" s="887"/>
      <c r="AZ199" s="888"/>
      <c r="BA199" s="17">
        <f t="shared" si="864"/>
        <v>14.399999999999991</v>
      </c>
      <c r="BB199" s="17">
        <f t="shared" si="865"/>
        <v>37.799999999999997</v>
      </c>
      <c r="BC199" s="17">
        <f t="shared" si="866"/>
        <v>32</v>
      </c>
      <c r="BD199" s="17">
        <f t="shared" si="867"/>
        <v>85</v>
      </c>
      <c r="BE199" s="17">
        <f t="shared" si="868"/>
        <v>180.86341983910182</v>
      </c>
      <c r="BF199" s="17">
        <f t="shared" si="869"/>
        <v>24</v>
      </c>
      <c r="BG199" s="17">
        <f t="shared" si="870"/>
        <v>50</v>
      </c>
      <c r="BH199" s="17">
        <f t="shared" si="871"/>
        <v>65.062647806544774</v>
      </c>
      <c r="BI199" s="17">
        <f t="shared" si="872"/>
        <v>115.80077203255705</v>
      </c>
      <c r="BJ199" s="17">
        <f t="shared" si="873"/>
        <v>45</v>
      </c>
      <c r="BK199" s="17">
        <f t="shared" si="874"/>
        <v>85</v>
      </c>
      <c r="BL199" s="17">
        <f t="shared" si="875"/>
        <v>380.54120080897206</v>
      </c>
      <c r="BM199" s="17">
        <f t="shared" si="876"/>
        <v>24</v>
      </c>
      <c r="BN199" s="17">
        <f t="shared" si="877"/>
        <v>50</v>
      </c>
      <c r="BO199" s="17">
        <f t="shared" si="878"/>
        <v>65.062647806544774</v>
      </c>
      <c r="BP199" s="17">
        <f t="shared" si="879"/>
        <v>315.4785530024273</v>
      </c>
      <c r="BQ199" s="17">
        <f t="shared" si="880"/>
        <v>3865.5429119999999</v>
      </c>
      <c r="BR199" s="17">
        <f t="shared" si="881"/>
        <v>1472.5877759999992</v>
      </c>
      <c r="BS199" s="17">
        <f t="shared" si="882"/>
        <v>334.67903999999976</v>
      </c>
      <c r="BT199" s="17">
        <f t="shared" si="883"/>
        <v>878.53247999999996</v>
      </c>
      <c r="BU199" s="17">
        <f t="shared" si="884"/>
        <v>23269.68</v>
      </c>
      <c r="BV199" s="17">
        <f t="shared" si="885"/>
        <v>3412</v>
      </c>
      <c r="BW199" s="17">
        <f t="shared" si="886"/>
        <v>308.39020799999997</v>
      </c>
      <c r="BX199" s="17">
        <f t="shared" si="887"/>
        <v>17495.999999999989</v>
      </c>
      <c r="BY199" s="17">
        <f t="shared" si="888"/>
        <v>3319.5876876287998</v>
      </c>
      <c r="BZ199" s="17"/>
      <c r="CA199" s="17">
        <f t="shared" si="889"/>
        <v>85810.166416660228</v>
      </c>
      <c r="CB199" s="17">
        <f t="shared" si="890"/>
        <v>241341.0930468569</v>
      </c>
      <c r="CC199" s="17">
        <f t="shared" si="891"/>
        <v>17444.050797945059</v>
      </c>
      <c r="CD199" s="17">
        <f t="shared" si="892"/>
        <v>156996.45718150554</v>
      </c>
      <c r="CE199" s="17">
        <f t="shared" si="893"/>
        <v>51671.200807628797</v>
      </c>
      <c r="CF199" s="17">
        <f t="shared" si="894"/>
        <v>501591.76744296774</v>
      </c>
      <c r="CG199" s="17">
        <f t="shared" si="895"/>
        <v>553262.96825059655</v>
      </c>
      <c r="CH199" s="17">
        <f t="shared" si="896"/>
        <v>14.400000000000006</v>
      </c>
      <c r="CI199" s="17">
        <f t="shared" si="897"/>
        <v>-43.2</v>
      </c>
      <c r="CJ199" s="17">
        <f t="shared" si="898"/>
        <v>16</v>
      </c>
      <c r="CK199" s="17">
        <f t="shared" si="899"/>
        <v>90</v>
      </c>
      <c r="CL199" s="17">
        <f t="shared" si="900"/>
        <v>71.46880726181422</v>
      </c>
      <c r="CM199" s="17">
        <f t="shared" si="901"/>
        <v>24</v>
      </c>
      <c r="CN199" s="17">
        <f t="shared" si="902"/>
        <v>50</v>
      </c>
      <c r="CO199" s="17">
        <f t="shared" si="903"/>
        <v>65.062647806544774</v>
      </c>
      <c r="CP199" s="17">
        <f t="shared" si="904"/>
        <v>6.4061594552694459</v>
      </c>
      <c r="CQ199" s="17">
        <f t="shared" si="905"/>
        <v>0</v>
      </c>
      <c r="CR199" s="17">
        <f t="shared" si="906"/>
        <v>100</v>
      </c>
      <c r="CS199" s="17">
        <f t="shared" si="907"/>
        <v>26.404773030064671</v>
      </c>
      <c r="CT199" s="17">
        <f t="shared" si="908"/>
        <v>24</v>
      </c>
      <c r="CU199" s="17">
        <f t="shared" si="909"/>
        <v>50</v>
      </c>
      <c r="CV199" s="17">
        <f t="shared" si="910"/>
        <v>65.062647806544774</v>
      </c>
      <c r="CW199" s="17">
        <f t="shared" si="911"/>
        <v>-38.657874776480099</v>
      </c>
      <c r="CX199" s="17">
        <f t="shared" si="849"/>
        <v>-4417.7633280000009</v>
      </c>
      <c r="CY199" s="17">
        <f t="shared" si="849"/>
        <v>-4417.7633280000009</v>
      </c>
      <c r="CZ199" s="17">
        <f t="shared" si="912"/>
        <v>334.67904000000016</v>
      </c>
      <c r="DA199" s="17">
        <f t="shared" si="913"/>
        <v>-1004.0371200000001</v>
      </c>
      <c r="DB199" s="17">
        <f t="shared" si="914"/>
        <v>-26593.920000000002</v>
      </c>
      <c r="DC199" s="17">
        <f t="shared" si="915"/>
        <v>3412</v>
      </c>
      <c r="DD199" s="17">
        <f t="shared" si="916"/>
        <v>308.39020799999997</v>
      </c>
      <c r="DE199" s="17">
        <f t="shared" si="917"/>
        <v>17496.000000000007</v>
      </c>
      <c r="DF199" s="17">
        <f t="shared" si="918"/>
        <v>-3793.8145001472003</v>
      </c>
      <c r="DG199" s="17"/>
      <c r="DH199" s="17">
        <f t="shared" si="919"/>
        <v>-10514.941939202587</v>
      </c>
      <c r="DI199" s="17">
        <f t="shared" si="920"/>
        <v>-29573.274204007277</v>
      </c>
      <c r="DJ199" s="17">
        <f t="shared" si="921"/>
        <v>-2137.5460389420814</v>
      </c>
      <c r="DK199" s="17">
        <f t="shared" si="922"/>
        <v>3187.9959161894853</v>
      </c>
      <c r="DL199" s="17">
        <f t="shared" si="923"/>
        <v>-14258.465700147197</v>
      </c>
      <c r="DM199" s="17">
        <f t="shared" si="924"/>
        <v>-39037.766265962462</v>
      </c>
      <c r="DN199" s="17">
        <f t="shared" si="925"/>
        <v>-53296.231966109655</v>
      </c>
    </row>
    <row r="200" spans="3:120" ht="18.600000000000001">
      <c r="C200" s="13">
        <f>IF(D200&lt;&gt;"",COUNTA($D$10:D200),"")</f>
        <v>164</v>
      </c>
      <c r="D200" s="14" t="s">
        <v>210</v>
      </c>
      <c r="E200" s="14">
        <v>2.1</v>
      </c>
      <c r="F200" s="14">
        <v>1.8</v>
      </c>
      <c r="G200" s="14">
        <v>2.4</v>
      </c>
      <c r="H200" s="14">
        <v>2</v>
      </c>
      <c r="I200" s="14">
        <v>1</v>
      </c>
      <c r="J200" s="14">
        <v>1.75</v>
      </c>
      <c r="K200" s="14">
        <v>3</v>
      </c>
      <c r="L200" s="15">
        <v>0.1</v>
      </c>
      <c r="M200" s="15">
        <v>0</v>
      </c>
      <c r="N200" s="14">
        <v>24</v>
      </c>
      <c r="O200" s="14">
        <v>50</v>
      </c>
      <c r="P200" s="13">
        <v>45</v>
      </c>
      <c r="Q200" s="13">
        <v>85</v>
      </c>
      <c r="R200" s="13" t="s">
        <v>17</v>
      </c>
      <c r="S200" s="13">
        <v>120</v>
      </c>
      <c r="T200" s="13">
        <v>0</v>
      </c>
      <c r="U200" s="13">
        <v>100</v>
      </c>
      <c r="V200" s="13" t="str">
        <f t="shared" si="850"/>
        <v>ISO 6</v>
      </c>
      <c r="W200" s="13">
        <f t="shared" si="851"/>
        <v>120</v>
      </c>
      <c r="X200" s="16">
        <f t="shared" si="852"/>
        <v>40.672800000000002</v>
      </c>
      <c r="Y200" s="16">
        <f t="shared" si="853"/>
        <v>320.17628159999998</v>
      </c>
      <c r="Z200" s="16">
        <f t="shared" si="854"/>
        <v>640.35256319999996</v>
      </c>
      <c r="AA200" s="16">
        <f t="shared" si="855"/>
        <v>64.035256320000002</v>
      </c>
      <c r="AB200" s="16">
        <f t="shared" si="856"/>
        <v>0</v>
      </c>
      <c r="AC200" s="16">
        <f t="shared" si="857"/>
        <v>5.8907382174303526</v>
      </c>
      <c r="AD200" s="16">
        <f t="shared" si="926"/>
        <v>2175</v>
      </c>
      <c r="AE200" s="16">
        <f t="shared" si="859"/>
        <v>2175</v>
      </c>
      <c r="AF200" s="16">
        <f t="shared" si="860"/>
        <v>14</v>
      </c>
      <c r="AG200" s="16">
        <f t="shared" si="861"/>
        <v>5.5</v>
      </c>
      <c r="AH200" s="838" t="s">
        <v>85</v>
      </c>
      <c r="AI200" s="17">
        <f t="shared" si="862"/>
        <v>4.5</v>
      </c>
      <c r="AJ200" s="17">
        <f t="shared" si="863"/>
        <v>5.5</v>
      </c>
      <c r="AK200" s="891"/>
      <c r="AL200" s="18"/>
      <c r="AM200" s="889"/>
      <c r="AN200" s="891"/>
      <c r="AO200" s="888"/>
      <c r="AP200" s="891"/>
      <c r="AQ200" s="891"/>
      <c r="AR200" s="889"/>
      <c r="AS200" s="888"/>
      <c r="AT200" s="888"/>
      <c r="AU200" s="890"/>
      <c r="AV200" s="888"/>
      <c r="AW200" s="888"/>
      <c r="AX200" s="888"/>
      <c r="AY200" s="887"/>
      <c r="AZ200" s="888"/>
      <c r="BA200" s="17">
        <f t="shared" si="864"/>
        <v>14.399999999999991</v>
      </c>
      <c r="BB200" s="17">
        <f t="shared" si="865"/>
        <v>37.799999999999997</v>
      </c>
      <c r="BC200" s="17">
        <f t="shared" si="866"/>
        <v>32</v>
      </c>
      <c r="BD200" s="17">
        <f t="shared" si="867"/>
        <v>85</v>
      </c>
      <c r="BE200" s="17">
        <f t="shared" si="868"/>
        <v>180.86341983910182</v>
      </c>
      <c r="BF200" s="17">
        <f t="shared" si="869"/>
        <v>24</v>
      </c>
      <c r="BG200" s="17">
        <f t="shared" si="870"/>
        <v>50</v>
      </c>
      <c r="BH200" s="17">
        <f t="shared" si="871"/>
        <v>65.062647806544774</v>
      </c>
      <c r="BI200" s="17">
        <f t="shared" si="872"/>
        <v>115.80077203255705</v>
      </c>
      <c r="BJ200" s="17">
        <f t="shared" si="873"/>
        <v>45</v>
      </c>
      <c r="BK200" s="17">
        <f t="shared" si="874"/>
        <v>85</v>
      </c>
      <c r="BL200" s="17">
        <f t="shared" si="875"/>
        <v>380.54120080897206</v>
      </c>
      <c r="BM200" s="17">
        <f t="shared" si="876"/>
        <v>24</v>
      </c>
      <c r="BN200" s="17">
        <f t="shared" si="877"/>
        <v>50</v>
      </c>
      <c r="BO200" s="17">
        <f t="shared" si="878"/>
        <v>65.062647806544774</v>
      </c>
      <c r="BP200" s="17">
        <f t="shared" si="879"/>
        <v>315.4785530024273</v>
      </c>
      <c r="BQ200" s="17">
        <f t="shared" si="880"/>
        <v>3426.2766719999995</v>
      </c>
      <c r="BR200" s="17">
        <f t="shared" si="881"/>
        <v>1305.2482559999992</v>
      </c>
      <c r="BS200" s="17">
        <f t="shared" si="882"/>
        <v>263.55974399999985</v>
      </c>
      <c r="BT200" s="17">
        <f t="shared" si="883"/>
        <v>691.84432800000002</v>
      </c>
      <c r="BU200" s="17">
        <f t="shared" si="884"/>
        <v>23269.68</v>
      </c>
      <c r="BV200" s="17">
        <f t="shared" si="885"/>
        <v>3412</v>
      </c>
      <c r="BW200" s="17">
        <f t="shared" si="886"/>
        <v>242.85728880000002</v>
      </c>
      <c r="BX200" s="17">
        <f t="shared" si="887"/>
        <v>17495.999999999989</v>
      </c>
      <c r="BY200" s="17">
        <f t="shared" si="888"/>
        <v>2614.1753040076801</v>
      </c>
      <c r="BZ200" s="17"/>
      <c r="CA200" s="17">
        <f t="shared" si="889"/>
        <v>85810.166416660228</v>
      </c>
      <c r="CB200" s="17">
        <f t="shared" si="890"/>
        <v>241341.0930468569</v>
      </c>
      <c r="CC200" s="17">
        <f t="shared" si="891"/>
        <v>13737.190003381735</v>
      </c>
      <c r="CD200" s="17">
        <f t="shared" si="892"/>
        <v>123634.7100304356</v>
      </c>
      <c r="CE200" s="17">
        <f t="shared" si="893"/>
        <v>50460.989264807671</v>
      </c>
      <c r="CF200" s="17">
        <f t="shared" si="894"/>
        <v>464523.15949733445</v>
      </c>
      <c r="CG200" s="17">
        <f t="shared" si="895"/>
        <v>514984.14876214211</v>
      </c>
      <c r="CH200" s="17">
        <f t="shared" si="896"/>
        <v>14.400000000000006</v>
      </c>
      <c r="CI200" s="17">
        <f t="shared" si="897"/>
        <v>-43.2</v>
      </c>
      <c r="CJ200" s="17">
        <f t="shared" si="898"/>
        <v>16</v>
      </c>
      <c r="CK200" s="17">
        <f t="shared" si="899"/>
        <v>90</v>
      </c>
      <c r="CL200" s="17">
        <f t="shared" si="900"/>
        <v>71.46880726181422</v>
      </c>
      <c r="CM200" s="17">
        <f t="shared" si="901"/>
        <v>24</v>
      </c>
      <c r="CN200" s="17">
        <f t="shared" si="902"/>
        <v>50</v>
      </c>
      <c r="CO200" s="17">
        <f t="shared" si="903"/>
        <v>65.062647806544774</v>
      </c>
      <c r="CP200" s="17">
        <f t="shared" si="904"/>
        <v>6.4061594552694459</v>
      </c>
      <c r="CQ200" s="17">
        <f t="shared" si="905"/>
        <v>0</v>
      </c>
      <c r="CR200" s="17">
        <f t="shared" si="906"/>
        <v>100</v>
      </c>
      <c r="CS200" s="17">
        <f t="shared" si="907"/>
        <v>26.404773030064671</v>
      </c>
      <c r="CT200" s="17">
        <f t="shared" si="908"/>
        <v>24</v>
      </c>
      <c r="CU200" s="17">
        <f t="shared" si="909"/>
        <v>50</v>
      </c>
      <c r="CV200" s="17">
        <f t="shared" si="910"/>
        <v>65.062647806544774</v>
      </c>
      <c r="CW200" s="17">
        <f t="shared" si="911"/>
        <v>-38.657874776480099</v>
      </c>
      <c r="CX200" s="17">
        <f t="shared" si="849"/>
        <v>-3915.744768</v>
      </c>
      <c r="CY200" s="17">
        <f t="shared" si="849"/>
        <v>-3915.744768</v>
      </c>
      <c r="CZ200" s="17">
        <f t="shared" si="912"/>
        <v>263.55974400000014</v>
      </c>
      <c r="DA200" s="17">
        <f t="shared" si="913"/>
        <v>-790.67923200000007</v>
      </c>
      <c r="DB200" s="17">
        <f t="shared" si="914"/>
        <v>-26593.920000000002</v>
      </c>
      <c r="DC200" s="17">
        <f t="shared" si="915"/>
        <v>3412</v>
      </c>
      <c r="DD200" s="17">
        <f t="shared" si="916"/>
        <v>242.85728880000002</v>
      </c>
      <c r="DE200" s="17">
        <f t="shared" si="917"/>
        <v>17496.000000000007</v>
      </c>
      <c r="DF200" s="17">
        <f t="shared" si="918"/>
        <v>-2987.6289188659202</v>
      </c>
      <c r="DG200" s="17"/>
      <c r="DH200" s="17">
        <f t="shared" si="919"/>
        <v>-10514.941939202587</v>
      </c>
      <c r="DI200" s="17">
        <f t="shared" si="920"/>
        <v>-29573.274204007277</v>
      </c>
      <c r="DJ200" s="17">
        <f t="shared" si="921"/>
        <v>-1683.3175056668888</v>
      </c>
      <c r="DK200" s="17">
        <f t="shared" si="922"/>
        <v>2510.5467839992198</v>
      </c>
      <c r="DL200" s="17">
        <f t="shared" si="923"/>
        <v>-12873.555886065915</v>
      </c>
      <c r="DM200" s="17">
        <f t="shared" si="924"/>
        <v>-39260.986864877537</v>
      </c>
      <c r="DN200" s="17">
        <f t="shared" si="925"/>
        <v>-52134.542750943452</v>
      </c>
    </row>
    <row r="201" spans="3:120" ht="18.600000000000001">
      <c r="C201" s="13">
        <f>IF(D201&lt;&gt;"",COUNTA($D$10:D201),"")</f>
        <v>165</v>
      </c>
      <c r="D201" s="14" t="s">
        <v>211</v>
      </c>
      <c r="E201" s="14">
        <v>1.8</v>
      </c>
      <c r="F201" s="14">
        <v>1.9</v>
      </c>
      <c r="G201" s="14">
        <v>2.4</v>
      </c>
      <c r="H201" s="14">
        <v>2</v>
      </c>
      <c r="I201" s="14">
        <v>1</v>
      </c>
      <c r="J201" s="14">
        <v>1.75</v>
      </c>
      <c r="K201" s="14">
        <v>3</v>
      </c>
      <c r="L201" s="15">
        <v>0.1</v>
      </c>
      <c r="M201" s="15">
        <v>0</v>
      </c>
      <c r="N201" s="14">
        <v>24</v>
      </c>
      <c r="O201" s="14">
        <v>50</v>
      </c>
      <c r="P201" s="13">
        <v>45</v>
      </c>
      <c r="Q201" s="13">
        <v>85</v>
      </c>
      <c r="R201" s="13" t="s">
        <v>17</v>
      </c>
      <c r="S201" s="13">
        <v>120</v>
      </c>
      <c r="T201" s="13">
        <v>0</v>
      </c>
      <c r="U201" s="13">
        <v>100</v>
      </c>
      <c r="V201" s="13" t="str">
        <f t="shared" si="850"/>
        <v>ISO 6</v>
      </c>
      <c r="W201" s="13">
        <f t="shared" si="851"/>
        <v>120</v>
      </c>
      <c r="X201" s="16">
        <f t="shared" si="852"/>
        <v>36.799199999999999</v>
      </c>
      <c r="Y201" s="16">
        <f t="shared" si="853"/>
        <v>289.68330239999995</v>
      </c>
      <c r="Z201" s="16">
        <f t="shared" si="854"/>
        <v>579.36660479999989</v>
      </c>
      <c r="AA201" s="16">
        <f t="shared" si="855"/>
        <v>57.936660479999993</v>
      </c>
      <c r="AB201" s="16">
        <f t="shared" si="856"/>
        <v>0</v>
      </c>
      <c r="AC201" s="16">
        <f t="shared" si="857"/>
        <v>5.3297155300560322</v>
      </c>
      <c r="AD201" s="16">
        <f t="shared" si="926"/>
        <v>2125</v>
      </c>
      <c r="AE201" s="16">
        <f t="shared" si="859"/>
        <v>2125</v>
      </c>
      <c r="AF201" s="16">
        <f t="shared" si="860"/>
        <v>14</v>
      </c>
      <c r="AG201" s="16">
        <f t="shared" si="861"/>
        <v>5.5</v>
      </c>
      <c r="AH201" s="838" t="s">
        <v>85</v>
      </c>
      <c r="AI201" s="17">
        <f t="shared" si="862"/>
        <v>4.5</v>
      </c>
      <c r="AJ201" s="17">
        <f t="shared" si="863"/>
        <v>5.5</v>
      </c>
      <c r="AK201" s="891"/>
      <c r="AL201" s="18"/>
      <c r="AM201" s="889"/>
      <c r="AN201" s="891"/>
      <c r="AO201" s="888"/>
      <c r="AP201" s="891"/>
      <c r="AQ201" s="891"/>
      <c r="AR201" s="889"/>
      <c r="AS201" s="888"/>
      <c r="AT201" s="888"/>
      <c r="AU201" s="890"/>
      <c r="AV201" s="888"/>
      <c r="AW201" s="888"/>
      <c r="AX201" s="888"/>
      <c r="AY201" s="887"/>
      <c r="AZ201" s="888"/>
      <c r="BA201" s="17">
        <f t="shared" si="864"/>
        <v>14.399999999999991</v>
      </c>
      <c r="BB201" s="17">
        <f t="shared" si="865"/>
        <v>37.799999999999997</v>
      </c>
      <c r="BC201" s="17">
        <f t="shared" si="866"/>
        <v>32</v>
      </c>
      <c r="BD201" s="17">
        <f t="shared" si="867"/>
        <v>85</v>
      </c>
      <c r="BE201" s="17">
        <f t="shared" si="868"/>
        <v>180.86341983910182</v>
      </c>
      <c r="BF201" s="17">
        <f t="shared" si="869"/>
        <v>24</v>
      </c>
      <c r="BG201" s="17">
        <f t="shared" si="870"/>
        <v>50</v>
      </c>
      <c r="BH201" s="17">
        <f t="shared" si="871"/>
        <v>65.062647806544774</v>
      </c>
      <c r="BI201" s="17">
        <f t="shared" si="872"/>
        <v>115.80077203255705</v>
      </c>
      <c r="BJ201" s="17">
        <f t="shared" si="873"/>
        <v>45</v>
      </c>
      <c r="BK201" s="17">
        <f t="shared" si="874"/>
        <v>85</v>
      </c>
      <c r="BL201" s="17">
        <f t="shared" si="875"/>
        <v>380.54120080897206</v>
      </c>
      <c r="BM201" s="17">
        <f t="shared" si="876"/>
        <v>24</v>
      </c>
      <c r="BN201" s="17">
        <f t="shared" si="877"/>
        <v>50</v>
      </c>
      <c r="BO201" s="17">
        <f t="shared" si="878"/>
        <v>65.062647806544774</v>
      </c>
      <c r="BP201" s="17">
        <f t="shared" si="879"/>
        <v>315.4785530024273</v>
      </c>
      <c r="BQ201" s="17">
        <f t="shared" si="880"/>
        <v>3250.5701760000002</v>
      </c>
      <c r="BR201" s="17">
        <f t="shared" si="881"/>
        <v>1238.3124479999992</v>
      </c>
      <c r="BS201" s="17">
        <f t="shared" si="882"/>
        <v>238.45881599999987</v>
      </c>
      <c r="BT201" s="17">
        <f t="shared" si="883"/>
        <v>625.95439199999998</v>
      </c>
      <c r="BU201" s="17">
        <f t="shared" si="884"/>
        <v>23269.68</v>
      </c>
      <c r="BV201" s="17">
        <f t="shared" si="885"/>
        <v>3412</v>
      </c>
      <c r="BW201" s="17">
        <f t="shared" si="886"/>
        <v>219.7280232</v>
      </c>
      <c r="BX201" s="17">
        <f t="shared" si="887"/>
        <v>17495.999999999989</v>
      </c>
      <c r="BY201" s="17">
        <f t="shared" si="888"/>
        <v>2365.2062274355198</v>
      </c>
      <c r="BZ201" s="17"/>
      <c r="CA201" s="17">
        <f t="shared" si="889"/>
        <v>85810.166416660228</v>
      </c>
      <c r="CB201" s="17">
        <f t="shared" si="890"/>
        <v>241341.0930468569</v>
      </c>
      <c r="CC201" s="17">
        <f t="shared" si="891"/>
        <v>12428.886193535853</v>
      </c>
      <c r="CD201" s="17">
        <f t="shared" si="892"/>
        <v>111859.97574182268</v>
      </c>
      <c r="CE201" s="17">
        <f t="shared" si="893"/>
        <v>50013.184426635511</v>
      </c>
      <c r="CF201" s="17">
        <f t="shared" si="894"/>
        <v>451440.12139887566</v>
      </c>
      <c r="CG201" s="17">
        <f t="shared" si="895"/>
        <v>501453.30582551117</v>
      </c>
      <c r="CH201" s="17">
        <f t="shared" si="896"/>
        <v>14.400000000000006</v>
      </c>
      <c r="CI201" s="17">
        <f t="shared" si="897"/>
        <v>-43.2</v>
      </c>
      <c r="CJ201" s="17">
        <f t="shared" si="898"/>
        <v>16</v>
      </c>
      <c r="CK201" s="17">
        <f t="shared" si="899"/>
        <v>90</v>
      </c>
      <c r="CL201" s="17">
        <f t="shared" si="900"/>
        <v>71.46880726181422</v>
      </c>
      <c r="CM201" s="17">
        <f t="shared" si="901"/>
        <v>24</v>
      </c>
      <c r="CN201" s="17">
        <f t="shared" si="902"/>
        <v>50</v>
      </c>
      <c r="CO201" s="17">
        <f t="shared" si="903"/>
        <v>65.062647806544774</v>
      </c>
      <c r="CP201" s="17">
        <f t="shared" si="904"/>
        <v>6.4061594552694459</v>
      </c>
      <c r="CQ201" s="17">
        <f t="shared" si="905"/>
        <v>0</v>
      </c>
      <c r="CR201" s="17">
        <f t="shared" si="906"/>
        <v>100</v>
      </c>
      <c r="CS201" s="17">
        <f t="shared" si="907"/>
        <v>26.404773030064671</v>
      </c>
      <c r="CT201" s="17">
        <f t="shared" si="908"/>
        <v>24</v>
      </c>
      <c r="CU201" s="17">
        <f t="shared" si="909"/>
        <v>50</v>
      </c>
      <c r="CV201" s="17">
        <f t="shared" si="910"/>
        <v>65.062647806544774</v>
      </c>
      <c r="CW201" s="17">
        <f t="shared" si="911"/>
        <v>-38.657874776480099</v>
      </c>
      <c r="CX201" s="17">
        <f t="shared" si="849"/>
        <v>-3714.9373440000004</v>
      </c>
      <c r="CY201" s="17">
        <f t="shared" si="849"/>
        <v>-3714.9373440000004</v>
      </c>
      <c r="CZ201" s="17">
        <f t="shared" si="912"/>
        <v>238.45881600000007</v>
      </c>
      <c r="DA201" s="17">
        <f t="shared" si="913"/>
        <v>-715.3764480000001</v>
      </c>
      <c r="DB201" s="17">
        <f t="shared" si="914"/>
        <v>-26593.920000000002</v>
      </c>
      <c r="DC201" s="17">
        <f t="shared" si="915"/>
        <v>3412</v>
      </c>
      <c r="DD201" s="17">
        <f t="shared" si="916"/>
        <v>219.7280232</v>
      </c>
      <c r="DE201" s="17">
        <f t="shared" si="917"/>
        <v>17496.000000000007</v>
      </c>
      <c r="DF201" s="17">
        <f t="shared" si="918"/>
        <v>-2703.0928313548802</v>
      </c>
      <c r="DG201" s="17"/>
      <c r="DH201" s="17">
        <f t="shared" si="919"/>
        <v>-10514.941939202587</v>
      </c>
      <c r="DI201" s="17">
        <f t="shared" si="920"/>
        <v>-29573.274204007277</v>
      </c>
      <c r="DJ201" s="17">
        <f t="shared" si="921"/>
        <v>-1523.0015527462326</v>
      </c>
      <c r="DK201" s="17">
        <f t="shared" si="922"/>
        <v>2271.447090285008</v>
      </c>
      <c r="DL201" s="17">
        <f t="shared" si="923"/>
        <v>-12361.139784154871</v>
      </c>
      <c r="DM201" s="17">
        <f t="shared" si="924"/>
        <v>-39339.770605671089</v>
      </c>
      <c r="DN201" s="17">
        <f t="shared" si="925"/>
        <v>-51700.910389825964</v>
      </c>
    </row>
    <row r="202" spans="3:120" ht="18.600000000000001">
      <c r="C202" s="13">
        <f>IF(D202&lt;&gt;"",COUNTA($D$10:D202),"")</f>
        <v>166</v>
      </c>
      <c r="D202" s="14" t="s">
        <v>212</v>
      </c>
      <c r="E202" s="14">
        <v>1.9</v>
      </c>
      <c r="F202" s="14">
        <v>2</v>
      </c>
      <c r="G202" s="14">
        <v>2.4</v>
      </c>
      <c r="H202" s="14">
        <v>2</v>
      </c>
      <c r="I202" s="14">
        <v>1</v>
      </c>
      <c r="J202" s="14">
        <v>1.75</v>
      </c>
      <c r="K202" s="14">
        <v>3</v>
      </c>
      <c r="L202" s="15">
        <v>0.1</v>
      </c>
      <c r="M202" s="15">
        <v>0</v>
      </c>
      <c r="N202" s="14">
        <v>24</v>
      </c>
      <c r="O202" s="14">
        <v>50</v>
      </c>
      <c r="P202" s="13">
        <v>45</v>
      </c>
      <c r="Q202" s="13">
        <v>85</v>
      </c>
      <c r="R202" s="13" t="s">
        <v>17</v>
      </c>
      <c r="S202" s="13">
        <v>120</v>
      </c>
      <c r="T202" s="13">
        <v>0</v>
      </c>
      <c r="U202" s="13">
        <v>100</v>
      </c>
      <c r="V202" s="13" t="str">
        <f t="shared" si="850"/>
        <v>ISO 6</v>
      </c>
      <c r="W202" s="13">
        <f t="shared" si="851"/>
        <v>120</v>
      </c>
      <c r="X202" s="16">
        <f t="shared" si="852"/>
        <v>40.887999999999998</v>
      </c>
      <c r="Y202" s="16">
        <f t="shared" si="853"/>
        <v>321.87033599999995</v>
      </c>
      <c r="Z202" s="16">
        <f t="shared" si="854"/>
        <v>643.7406719999999</v>
      </c>
      <c r="AA202" s="16">
        <f t="shared" si="855"/>
        <v>64.374067199999999</v>
      </c>
      <c r="AB202" s="16">
        <f t="shared" si="856"/>
        <v>0</v>
      </c>
      <c r="AC202" s="16">
        <f t="shared" si="857"/>
        <v>5.9219061445067043</v>
      </c>
      <c r="AD202" s="16">
        <f t="shared" si="926"/>
        <v>2175</v>
      </c>
      <c r="AE202" s="16">
        <f t="shared" si="859"/>
        <v>2175</v>
      </c>
      <c r="AF202" s="16">
        <f t="shared" si="860"/>
        <v>14</v>
      </c>
      <c r="AG202" s="16">
        <f t="shared" si="861"/>
        <v>5.5</v>
      </c>
      <c r="AH202" s="838" t="s">
        <v>85</v>
      </c>
      <c r="AI202" s="17">
        <f t="shared" si="862"/>
        <v>4.5</v>
      </c>
      <c r="AJ202" s="17">
        <f t="shared" si="863"/>
        <v>5.5</v>
      </c>
      <c r="AK202" s="891"/>
      <c r="AL202" s="18"/>
      <c r="AM202" s="889"/>
      <c r="AN202" s="891"/>
      <c r="AO202" s="888"/>
      <c r="AP202" s="891"/>
      <c r="AQ202" s="891"/>
      <c r="AR202" s="889"/>
      <c r="AS202" s="888"/>
      <c r="AT202" s="888"/>
      <c r="AU202" s="890"/>
      <c r="AV202" s="888"/>
      <c r="AW202" s="888"/>
      <c r="AX202" s="888"/>
      <c r="AY202" s="887"/>
      <c r="AZ202" s="888"/>
      <c r="BA202" s="17">
        <f t="shared" si="864"/>
        <v>14.399999999999991</v>
      </c>
      <c r="BB202" s="17">
        <f t="shared" si="865"/>
        <v>37.799999999999997</v>
      </c>
      <c r="BC202" s="17">
        <f t="shared" si="866"/>
        <v>32</v>
      </c>
      <c r="BD202" s="17">
        <f t="shared" si="867"/>
        <v>85</v>
      </c>
      <c r="BE202" s="17">
        <f t="shared" si="868"/>
        <v>180.86341983910182</v>
      </c>
      <c r="BF202" s="17">
        <f t="shared" si="869"/>
        <v>24</v>
      </c>
      <c r="BG202" s="17">
        <f t="shared" si="870"/>
        <v>50</v>
      </c>
      <c r="BH202" s="17">
        <f t="shared" si="871"/>
        <v>65.062647806544774</v>
      </c>
      <c r="BI202" s="17">
        <f t="shared" si="872"/>
        <v>115.80077203255705</v>
      </c>
      <c r="BJ202" s="17">
        <f t="shared" si="873"/>
        <v>45</v>
      </c>
      <c r="BK202" s="17">
        <f t="shared" si="874"/>
        <v>85</v>
      </c>
      <c r="BL202" s="17">
        <f t="shared" si="875"/>
        <v>380.54120080897206</v>
      </c>
      <c r="BM202" s="17">
        <f t="shared" si="876"/>
        <v>24</v>
      </c>
      <c r="BN202" s="17">
        <f t="shared" si="877"/>
        <v>50</v>
      </c>
      <c r="BO202" s="17">
        <f t="shared" si="878"/>
        <v>65.062647806544774</v>
      </c>
      <c r="BP202" s="17">
        <f t="shared" si="879"/>
        <v>315.4785530024273</v>
      </c>
      <c r="BQ202" s="17">
        <f t="shared" si="880"/>
        <v>3426.2766719999991</v>
      </c>
      <c r="BR202" s="17">
        <f t="shared" si="881"/>
        <v>1305.2482559999989</v>
      </c>
      <c r="BS202" s="17">
        <f t="shared" si="882"/>
        <v>264.95423999999986</v>
      </c>
      <c r="BT202" s="17">
        <f t="shared" si="883"/>
        <v>695.50487999999984</v>
      </c>
      <c r="BU202" s="17">
        <f t="shared" si="884"/>
        <v>23269.68</v>
      </c>
      <c r="BV202" s="17">
        <f t="shared" si="885"/>
        <v>3412</v>
      </c>
      <c r="BW202" s="17">
        <f t="shared" si="886"/>
        <v>244.142248</v>
      </c>
      <c r="BX202" s="17">
        <f t="shared" si="887"/>
        <v>17495.999999999989</v>
      </c>
      <c r="BY202" s="17">
        <f t="shared" si="888"/>
        <v>2628.0069193727995</v>
      </c>
      <c r="BZ202" s="17"/>
      <c r="CA202" s="17">
        <f t="shared" si="889"/>
        <v>85810.166416660228</v>
      </c>
      <c r="CB202" s="17">
        <f t="shared" si="890"/>
        <v>241341.0930468569</v>
      </c>
      <c r="CC202" s="17">
        <f t="shared" si="891"/>
        <v>13809.873548373173</v>
      </c>
      <c r="CD202" s="17">
        <f t="shared" si="892"/>
        <v>124288.86193535852</v>
      </c>
      <c r="CE202" s="17">
        <f t="shared" si="893"/>
        <v>50476.105839372787</v>
      </c>
      <c r="CF202" s="17">
        <f t="shared" si="894"/>
        <v>465249.99494724884</v>
      </c>
      <c r="CG202" s="17">
        <f t="shared" si="895"/>
        <v>515726.10078662162</v>
      </c>
      <c r="CH202" s="17">
        <f t="shared" si="896"/>
        <v>14.400000000000006</v>
      </c>
      <c r="CI202" s="17">
        <f t="shared" si="897"/>
        <v>-43.2</v>
      </c>
      <c r="CJ202" s="17">
        <f t="shared" si="898"/>
        <v>16</v>
      </c>
      <c r="CK202" s="17">
        <f t="shared" si="899"/>
        <v>90</v>
      </c>
      <c r="CL202" s="17">
        <f t="shared" si="900"/>
        <v>71.46880726181422</v>
      </c>
      <c r="CM202" s="17">
        <f t="shared" si="901"/>
        <v>24</v>
      </c>
      <c r="CN202" s="17">
        <f t="shared" si="902"/>
        <v>50</v>
      </c>
      <c r="CO202" s="17">
        <f t="shared" si="903"/>
        <v>65.062647806544774</v>
      </c>
      <c r="CP202" s="17">
        <f t="shared" si="904"/>
        <v>6.4061594552694459</v>
      </c>
      <c r="CQ202" s="17">
        <f t="shared" si="905"/>
        <v>0</v>
      </c>
      <c r="CR202" s="17">
        <f t="shared" si="906"/>
        <v>100</v>
      </c>
      <c r="CS202" s="17">
        <f t="shared" si="907"/>
        <v>26.404773030064671</v>
      </c>
      <c r="CT202" s="17">
        <f t="shared" si="908"/>
        <v>24</v>
      </c>
      <c r="CU202" s="17">
        <f t="shared" si="909"/>
        <v>50</v>
      </c>
      <c r="CV202" s="17">
        <f t="shared" si="910"/>
        <v>65.062647806544774</v>
      </c>
      <c r="CW202" s="17">
        <f t="shared" si="911"/>
        <v>-38.657874776480099</v>
      </c>
      <c r="CX202" s="17">
        <f t="shared" si="849"/>
        <v>-3915.744768</v>
      </c>
      <c r="CY202" s="17">
        <f t="shared" si="849"/>
        <v>-3915.744768</v>
      </c>
      <c r="CZ202" s="17">
        <f t="shared" si="912"/>
        <v>264.95424000000008</v>
      </c>
      <c r="DA202" s="17">
        <f t="shared" si="913"/>
        <v>-794.86271999999997</v>
      </c>
      <c r="DB202" s="17">
        <f t="shared" si="914"/>
        <v>-26593.920000000002</v>
      </c>
      <c r="DC202" s="17">
        <f t="shared" si="915"/>
        <v>3412</v>
      </c>
      <c r="DD202" s="17">
        <f t="shared" si="916"/>
        <v>244.142248</v>
      </c>
      <c r="DE202" s="17">
        <f t="shared" si="917"/>
        <v>17496.000000000007</v>
      </c>
      <c r="DF202" s="17">
        <f t="shared" si="918"/>
        <v>-3003.4364792832002</v>
      </c>
      <c r="DG202" s="17"/>
      <c r="DH202" s="17">
        <f t="shared" si="919"/>
        <v>-10514.941939202587</v>
      </c>
      <c r="DI202" s="17">
        <f t="shared" si="920"/>
        <v>-29573.274204007277</v>
      </c>
      <c r="DJ202" s="17">
        <f t="shared" si="921"/>
        <v>-1692.2239474958142</v>
      </c>
      <c r="DK202" s="17">
        <f t="shared" si="922"/>
        <v>2523.8301003166753</v>
      </c>
      <c r="DL202" s="17">
        <f t="shared" si="923"/>
        <v>-12890.867479283193</v>
      </c>
      <c r="DM202" s="17">
        <f t="shared" si="924"/>
        <v>-39256.609990388999</v>
      </c>
      <c r="DN202" s="17">
        <f t="shared" si="925"/>
        <v>-52147.477469672194</v>
      </c>
    </row>
    <row r="203" spans="3:120" ht="18.600000000000001">
      <c r="C203" s="13">
        <f>IF(D203&lt;&gt;"",COUNTA($D$10:D203),"")</f>
        <v>167</v>
      </c>
      <c r="D203" s="14" t="s">
        <v>213</v>
      </c>
      <c r="E203" s="14">
        <v>2.2999999999999998</v>
      </c>
      <c r="F203" s="14">
        <v>2.2000000000000002</v>
      </c>
      <c r="G203" s="14">
        <v>2.4</v>
      </c>
      <c r="H203" s="14">
        <v>2</v>
      </c>
      <c r="I203" s="14">
        <v>1</v>
      </c>
      <c r="J203" s="14">
        <v>1.75</v>
      </c>
      <c r="K203" s="14">
        <v>3</v>
      </c>
      <c r="L203" s="15">
        <v>0.1</v>
      </c>
      <c r="M203" s="15">
        <v>0</v>
      </c>
      <c r="N203" s="14">
        <v>24</v>
      </c>
      <c r="O203" s="14">
        <v>50</v>
      </c>
      <c r="P203" s="13">
        <v>45</v>
      </c>
      <c r="Q203" s="13">
        <v>85</v>
      </c>
      <c r="R203" s="13" t="s">
        <v>17</v>
      </c>
      <c r="S203" s="13">
        <v>120</v>
      </c>
      <c r="T203" s="13">
        <v>0</v>
      </c>
      <c r="U203" s="13">
        <v>100</v>
      </c>
      <c r="V203" s="13" t="str">
        <f t="shared" si="850"/>
        <v>ISO 6</v>
      </c>
      <c r="W203" s="13">
        <f t="shared" si="851"/>
        <v>120</v>
      </c>
      <c r="X203" s="16">
        <f t="shared" si="852"/>
        <v>54.445599999999992</v>
      </c>
      <c r="Y203" s="16">
        <f t="shared" si="853"/>
        <v>428.59576319999991</v>
      </c>
      <c r="Z203" s="16">
        <f t="shared" si="854"/>
        <v>857.19152639999982</v>
      </c>
      <c r="AA203" s="16">
        <f t="shared" si="855"/>
        <v>85.71915263999999</v>
      </c>
      <c r="AB203" s="16">
        <f t="shared" si="856"/>
        <v>0</v>
      </c>
      <c r="AC203" s="16">
        <f t="shared" si="857"/>
        <v>7.8854855503168197</v>
      </c>
      <c r="AD203" s="16">
        <f t="shared" si="926"/>
        <v>2400</v>
      </c>
      <c r="AE203" s="16">
        <f t="shared" si="859"/>
        <v>2400</v>
      </c>
      <c r="AF203" s="16">
        <f t="shared" si="860"/>
        <v>14</v>
      </c>
      <c r="AG203" s="16">
        <f t="shared" si="861"/>
        <v>6</v>
      </c>
      <c r="AH203" s="838" t="s">
        <v>85</v>
      </c>
      <c r="AI203" s="17">
        <f t="shared" si="862"/>
        <v>4.5</v>
      </c>
      <c r="AJ203" s="17">
        <f t="shared" si="863"/>
        <v>6</v>
      </c>
      <c r="AK203" s="891"/>
      <c r="AL203" s="18"/>
      <c r="AM203" s="889"/>
      <c r="AN203" s="891"/>
      <c r="AO203" s="888"/>
      <c r="AP203" s="891"/>
      <c r="AQ203" s="891"/>
      <c r="AR203" s="889"/>
      <c r="AS203" s="888"/>
      <c r="AT203" s="888"/>
      <c r="AU203" s="890"/>
      <c r="AV203" s="888"/>
      <c r="AW203" s="888"/>
      <c r="AX203" s="888"/>
      <c r="AY203" s="887"/>
      <c r="AZ203" s="888"/>
      <c r="BA203" s="17">
        <f t="shared" si="864"/>
        <v>14.399999999999991</v>
      </c>
      <c r="BB203" s="17">
        <f t="shared" si="865"/>
        <v>37.799999999999997</v>
      </c>
      <c r="BC203" s="17">
        <f t="shared" si="866"/>
        <v>32</v>
      </c>
      <c r="BD203" s="17">
        <f t="shared" si="867"/>
        <v>85</v>
      </c>
      <c r="BE203" s="17">
        <f t="shared" si="868"/>
        <v>180.86341983910182</v>
      </c>
      <c r="BF203" s="17">
        <f t="shared" si="869"/>
        <v>24</v>
      </c>
      <c r="BG203" s="17">
        <f t="shared" si="870"/>
        <v>50</v>
      </c>
      <c r="BH203" s="17">
        <f t="shared" si="871"/>
        <v>65.062647806544774</v>
      </c>
      <c r="BI203" s="17">
        <f t="shared" si="872"/>
        <v>115.80077203255705</v>
      </c>
      <c r="BJ203" s="17">
        <f t="shared" si="873"/>
        <v>45</v>
      </c>
      <c r="BK203" s="17">
        <f t="shared" si="874"/>
        <v>85</v>
      </c>
      <c r="BL203" s="17">
        <f t="shared" si="875"/>
        <v>380.54120080897206</v>
      </c>
      <c r="BM203" s="17">
        <f t="shared" si="876"/>
        <v>24</v>
      </c>
      <c r="BN203" s="17">
        <f t="shared" si="877"/>
        <v>50</v>
      </c>
      <c r="BO203" s="17">
        <f t="shared" si="878"/>
        <v>65.062647806544774</v>
      </c>
      <c r="BP203" s="17">
        <f t="shared" si="879"/>
        <v>315.4785530024273</v>
      </c>
      <c r="BQ203" s="17">
        <f t="shared" si="880"/>
        <v>3953.3961599999993</v>
      </c>
      <c r="BR203" s="17">
        <f t="shared" si="881"/>
        <v>1506.0556799999993</v>
      </c>
      <c r="BS203" s="17">
        <f t="shared" si="882"/>
        <v>352.80748799999975</v>
      </c>
      <c r="BT203" s="17">
        <f t="shared" si="883"/>
        <v>926.11965599999974</v>
      </c>
      <c r="BU203" s="17">
        <f t="shared" si="884"/>
        <v>23269.68</v>
      </c>
      <c r="BV203" s="17">
        <f t="shared" si="885"/>
        <v>3412</v>
      </c>
      <c r="BW203" s="17">
        <f t="shared" si="886"/>
        <v>325.0946775999999</v>
      </c>
      <c r="BX203" s="17">
        <f t="shared" si="887"/>
        <v>17495.999999999989</v>
      </c>
      <c r="BY203" s="17">
        <f t="shared" si="888"/>
        <v>3499.3986873753597</v>
      </c>
      <c r="BZ203" s="17"/>
      <c r="CA203" s="17">
        <f t="shared" si="889"/>
        <v>85810.166416660228</v>
      </c>
      <c r="CB203" s="17">
        <f t="shared" si="890"/>
        <v>241341.0930468569</v>
      </c>
      <c r="CC203" s="17">
        <f t="shared" si="891"/>
        <v>18388.936882833746</v>
      </c>
      <c r="CD203" s="17">
        <f t="shared" si="892"/>
        <v>165500.43194550375</v>
      </c>
      <c r="CE203" s="17">
        <f t="shared" si="893"/>
        <v>51955.569524975348</v>
      </c>
      <c r="CF203" s="17">
        <f t="shared" si="894"/>
        <v>511040.62829185458</v>
      </c>
      <c r="CG203" s="17">
        <f t="shared" si="895"/>
        <v>562996.1978168299</v>
      </c>
      <c r="CH203" s="17">
        <f t="shared" si="896"/>
        <v>14.400000000000006</v>
      </c>
      <c r="CI203" s="17">
        <f t="shared" si="897"/>
        <v>-43.2</v>
      </c>
      <c r="CJ203" s="17">
        <f t="shared" si="898"/>
        <v>16</v>
      </c>
      <c r="CK203" s="17">
        <f t="shared" si="899"/>
        <v>90</v>
      </c>
      <c r="CL203" s="17">
        <f t="shared" si="900"/>
        <v>71.46880726181422</v>
      </c>
      <c r="CM203" s="17">
        <f t="shared" si="901"/>
        <v>24</v>
      </c>
      <c r="CN203" s="17">
        <f t="shared" si="902"/>
        <v>50</v>
      </c>
      <c r="CO203" s="17">
        <f t="shared" si="903"/>
        <v>65.062647806544774</v>
      </c>
      <c r="CP203" s="17">
        <f t="shared" si="904"/>
        <v>6.4061594552694459</v>
      </c>
      <c r="CQ203" s="17">
        <f t="shared" si="905"/>
        <v>0</v>
      </c>
      <c r="CR203" s="17">
        <f t="shared" si="906"/>
        <v>100</v>
      </c>
      <c r="CS203" s="17">
        <f t="shared" si="907"/>
        <v>26.404773030064671</v>
      </c>
      <c r="CT203" s="17">
        <f t="shared" si="908"/>
        <v>24</v>
      </c>
      <c r="CU203" s="17">
        <f t="shared" si="909"/>
        <v>50</v>
      </c>
      <c r="CV203" s="17">
        <f t="shared" si="910"/>
        <v>65.062647806544774</v>
      </c>
      <c r="CW203" s="17">
        <f t="shared" si="911"/>
        <v>-38.657874776480099</v>
      </c>
      <c r="CX203" s="17">
        <f t="shared" si="849"/>
        <v>-4518.1670400000012</v>
      </c>
      <c r="CY203" s="17">
        <f t="shared" si="849"/>
        <v>-4518.1670400000012</v>
      </c>
      <c r="CZ203" s="17">
        <f t="shared" si="912"/>
        <v>352.80748800000009</v>
      </c>
      <c r="DA203" s="17">
        <f t="shared" si="913"/>
        <v>-1058.422464</v>
      </c>
      <c r="DB203" s="17">
        <f t="shared" si="914"/>
        <v>-26593.920000000002</v>
      </c>
      <c r="DC203" s="17">
        <f t="shared" si="915"/>
        <v>3412</v>
      </c>
      <c r="DD203" s="17">
        <f t="shared" si="916"/>
        <v>325.0946775999999</v>
      </c>
      <c r="DE203" s="17">
        <f t="shared" si="917"/>
        <v>17496.000000000007</v>
      </c>
      <c r="DF203" s="17">
        <f t="shared" si="918"/>
        <v>-3999.3127855718403</v>
      </c>
      <c r="DG203" s="17"/>
      <c r="DH203" s="17">
        <f t="shared" si="919"/>
        <v>-10514.941939202587</v>
      </c>
      <c r="DI203" s="17">
        <f t="shared" si="920"/>
        <v>-29573.274204007277</v>
      </c>
      <c r="DJ203" s="17">
        <f t="shared" si="921"/>
        <v>-2253.32978271811</v>
      </c>
      <c r="DK203" s="17">
        <f t="shared" si="922"/>
        <v>3360.6790283164155</v>
      </c>
      <c r="DL203" s="17">
        <f t="shared" si="923"/>
        <v>-14583.920123971839</v>
      </c>
      <c r="DM203" s="17">
        <f t="shared" si="924"/>
        <v>-38980.866897611559</v>
      </c>
      <c r="DN203" s="17">
        <f t="shared" si="925"/>
        <v>-53564.787021583397</v>
      </c>
    </row>
    <row r="204" spans="3:120" ht="18.600000000000001">
      <c r="C204" s="13">
        <f>IF(D204&lt;&gt;"",COUNTA($D$10:D204),"")</f>
        <v>168</v>
      </c>
      <c r="D204" s="14" t="s">
        <v>214</v>
      </c>
      <c r="E204" s="14">
        <v>2.2000000000000002</v>
      </c>
      <c r="F204" s="14">
        <v>2.8</v>
      </c>
      <c r="G204" s="14">
        <v>2.4</v>
      </c>
      <c r="H204" s="14">
        <v>2</v>
      </c>
      <c r="I204" s="14">
        <v>1</v>
      </c>
      <c r="J204" s="14">
        <v>1.75</v>
      </c>
      <c r="K204" s="14">
        <v>3</v>
      </c>
      <c r="L204" s="15">
        <v>0.1</v>
      </c>
      <c r="M204" s="15">
        <v>0</v>
      </c>
      <c r="N204" s="14">
        <v>24</v>
      </c>
      <c r="O204" s="14">
        <v>50</v>
      </c>
      <c r="P204" s="13">
        <v>45</v>
      </c>
      <c r="Q204" s="13">
        <v>85</v>
      </c>
      <c r="R204" s="13" t="s">
        <v>17</v>
      </c>
      <c r="S204" s="13">
        <v>120</v>
      </c>
      <c r="T204" s="13">
        <v>0</v>
      </c>
      <c r="U204" s="13">
        <v>100</v>
      </c>
      <c r="V204" s="13" t="str">
        <f t="shared" si="850"/>
        <v>ISO 6</v>
      </c>
      <c r="W204" s="13">
        <f t="shared" si="851"/>
        <v>120</v>
      </c>
      <c r="X204" s="16">
        <f t="shared" si="852"/>
        <v>66.281599999999997</v>
      </c>
      <c r="Y204" s="16">
        <f t="shared" si="853"/>
        <v>521.76875519999999</v>
      </c>
      <c r="Z204" s="16">
        <f t="shared" si="854"/>
        <v>1043.5375104</v>
      </c>
      <c r="AA204" s="16">
        <f t="shared" si="855"/>
        <v>104.35375104000001</v>
      </c>
      <c r="AB204" s="16">
        <f t="shared" si="856"/>
        <v>0</v>
      </c>
      <c r="AC204" s="16">
        <f t="shared" si="857"/>
        <v>9.5997215395161284</v>
      </c>
      <c r="AD204" s="16">
        <f t="shared" si="926"/>
        <v>2575</v>
      </c>
      <c r="AE204" s="16">
        <f t="shared" si="859"/>
        <v>2575</v>
      </c>
      <c r="AF204" s="16">
        <f t="shared" si="860"/>
        <v>16</v>
      </c>
      <c r="AG204" s="16">
        <f t="shared" si="861"/>
        <v>6.5</v>
      </c>
      <c r="AH204" s="838" t="s">
        <v>85</v>
      </c>
      <c r="AI204" s="17">
        <f t="shared" si="862"/>
        <v>4.5</v>
      </c>
      <c r="AJ204" s="17">
        <f t="shared" si="863"/>
        <v>6.5</v>
      </c>
      <c r="AK204" s="891"/>
      <c r="AL204" s="18"/>
      <c r="AM204" s="889"/>
      <c r="AN204" s="891"/>
      <c r="AO204" s="888"/>
      <c r="AP204" s="891"/>
      <c r="AQ204" s="891"/>
      <c r="AR204" s="889"/>
      <c r="AS204" s="888"/>
      <c r="AT204" s="888"/>
      <c r="AU204" s="890"/>
      <c r="AV204" s="888"/>
      <c r="AW204" s="888"/>
      <c r="AX204" s="888"/>
      <c r="AY204" s="887"/>
      <c r="AZ204" s="888"/>
      <c r="BA204" s="17">
        <f t="shared" si="864"/>
        <v>14.399999999999991</v>
      </c>
      <c r="BB204" s="17">
        <f t="shared" si="865"/>
        <v>37.799999999999997</v>
      </c>
      <c r="BC204" s="17">
        <f t="shared" si="866"/>
        <v>32</v>
      </c>
      <c r="BD204" s="17">
        <f t="shared" si="867"/>
        <v>85</v>
      </c>
      <c r="BE204" s="17">
        <f t="shared" si="868"/>
        <v>180.86341983910182</v>
      </c>
      <c r="BF204" s="17">
        <f t="shared" si="869"/>
        <v>24</v>
      </c>
      <c r="BG204" s="17">
        <f t="shared" si="870"/>
        <v>50</v>
      </c>
      <c r="BH204" s="17">
        <f t="shared" si="871"/>
        <v>65.062647806544774</v>
      </c>
      <c r="BI204" s="17">
        <f t="shared" si="872"/>
        <v>115.80077203255705</v>
      </c>
      <c r="BJ204" s="17">
        <f t="shared" si="873"/>
        <v>45</v>
      </c>
      <c r="BK204" s="17">
        <f t="shared" si="874"/>
        <v>85</v>
      </c>
      <c r="BL204" s="17">
        <f t="shared" si="875"/>
        <v>380.54120080897206</v>
      </c>
      <c r="BM204" s="17">
        <f t="shared" si="876"/>
        <v>24</v>
      </c>
      <c r="BN204" s="17">
        <f t="shared" si="877"/>
        <v>50</v>
      </c>
      <c r="BO204" s="17">
        <f t="shared" si="878"/>
        <v>65.062647806544774</v>
      </c>
      <c r="BP204" s="17">
        <f t="shared" si="879"/>
        <v>315.4785530024273</v>
      </c>
      <c r="BQ204" s="17">
        <f t="shared" si="880"/>
        <v>4392.6624000000002</v>
      </c>
      <c r="BR204" s="17">
        <f t="shared" si="881"/>
        <v>1673.3951999999992</v>
      </c>
      <c r="BS204" s="17">
        <f t="shared" si="882"/>
        <v>429.50476799999973</v>
      </c>
      <c r="BT204" s="17">
        <f t="shared" si="883"/>
        <v>1127.4500159999998</v>
      </c>
      <c r="BU204" s="17">
        <f t="shared" si="884"/>
        <v>23269.68</v>
      </c>
      <c r="BV204" s="17">
        <f t="shared" si="885"/>
        <v>3412</v>
      </c>
      <c r="BW204" s="17">
        <f t="shared" si="886"/>
        <v>395.76743359999995</v>
      </c>
      <c r="BX204" s="17">
        <f t="shared" si="887"/>
        <v>17495.999999999989</v>
      </c>
      <c r="BY204" s="17">
        <f t="shared" si="888"/>
        <v>4260.1375324569599</v>
      </c>
      <c r="BZ204" s="17"/>
      <c r="CA204" s="17">
        <f t="shared" si="889"/>
        <v>85810.166416660228</v>
      </c>
      <c r="CB204" s="17">
        <f t="shared" si="890"/>
        <v>241341.0930468569</v>
      </c>
      <c r="CC204" s="17">
        <f t="shared" si="891"/>
        <v>22386.531857362828</v>
      </c>
      <c r="CD204" s="17">
        <f t="shared" si="892"/>
        <v>201478.78671626543</v>
      </c>
      <c r="CE204" s="17">
        <f t="shared" si="893"/>
        <v>53226.247366056945</v>
      </c>
      <c r="CF204" s="17">
        <f t="shared" si="894"/>
        <v>551016.57803714531</v>
      </c>
      <c r="CG204" s="17">
        <f t="shared" si="895"/>
        <v>604242.82540320221</v>
      </c>
      <c r="CH204" s="17">
        <f t="shared" si="896"/>
        <v>14.400000000000006</v>
      </c>
      <c r="CI204" s="17">
        <f t="shared" si="897"/>
        <v>-43.2</v>
      </c>
      <c r="CJ204" s="17">
        <f t="shared" si="898"/>
        <v>16</v>
      </c>
      <c r="CK204" s="17">
        <f t="shared" si="899"/>
        <v>90</v>
      </c>
      <c r="CL204" s="17">
        <f t="shared" si="900"/>
        <v>71.46880726181422</v>
      </c>
      <c r="CM204" s="17">
        <f t="shared" si="901"/>
        <v>24</v>
      </c>
      <c r="CN204" s="17">
        <f t="shared" si="902"/>
        <v>50</v>
      </c>
      <c r="CO204" s="17">
        <f t="shared" si="903"/>
        <v>65.062647806544774</v>
      </c>
      <c r="CP204" s="17">
        <f t="shared" si="904"/>
        <v>6.4061594552694459</v>
      </c>
      <c r="CQ204" s="17">
        <f t="shared" si="905"/>
        <v>0</v>
      </c>
      <c r="CR204" s="17">
        <f t="shared" si="906"/>
        <v>100</v>
      </c>
      <c r="CS204" s="17">
        <f t="shared" si="907"/>
        <v>26.404773030064671</v>
      </c>
      <c r="CT204" s="17">
        <f t="shared" si="908"/>
        <v>24</v>
      </c>
      <c r="CU204" s="17">
        <f t="shared" si="909"/>
        <v>50</v>
      </c>
      <c r="CV204" s="17">
        <f t="shared" si="910"/>
        <v>65.062647806544774</v>
      </c>
      <c r="CW204" s="17">
        <f t="shared" si="911"/>
        <v>-38.657874776480099</v>
      </c>
      <c r="CX204" s="17">
        <f t="shared" si="849"/>
        <v>-5020.1856000000007</v>
      </c>
      <c r="CY204" s="17">
        <f t="shared" si="849"/>
        <v>-5020.1856000000007</v>
      </c>
      <c r="CZ204" s="17">
        <f t="shared" si="912"/>
        <v>429.50476800000018</v>
      </c>
      <c r="DA204" s="17">
        <f t="shared" si="913"/>
        <v>-1288.514304</v>
      </c>
      <c r="DB204" s="17">
        <f t="shared" si="914"/>
        <v>-26593.920000000002</v>
      </c>
      <c r="DC204" s="17">
        <f t="shared" si="915"/>
        <v>3412</v>
      </c>
      <c r="DD204" s="17">
        <f t="shared" si="916"/>
        <v>395.76743359999995</v>
      </c>
      <c r="DE204" s="17">
        <f t="shared" si="917"/>
        <v>17496.000000000007</v>
      </c>
      <c r="DF204" s="17">
        <f t="shared" si="918"/>
        <v>-4868.7286085222404</v>
      </c>
      <c r="DG204" s="17"/>
      <c r="DH204" s="17">
        <f t="shared" si="919"/>
        <v>-10514.941939202587</v>
      </c>
      <c r="DI204" s="17">
        <f t="shared" si="920"/>
        <v>-29573.274204007277</v>
      </c>
      <c r="DJ204" s="17">
        <f t="shared" si="921"/>
        <v>-2743.1840833090046</v>
      </c>
      <c r="DK204" s="17">
        <f t="shared" si="922"/>
        <v>4091.2614257765063</v>
      </c>
      <c r="DL204" s="17">
        <f t="shared" si="923"/>
        <v>-16038.076310922239</v>
      </c>
      <c r="DM204" s="17">
        <f t="shared" si="924"/>
        <v>-38740.138800742359</v>
      </c>
      <c r="DN204" s="17">
        <f t="shared" si="925"/>
        <v>-54778.215111664598</v>
      </c>
    </row>
    <row r="205" spans="3:120" ht="18.600000000000001">
      <c r="C205" s="13">
        <f>IF(D205&lt;&gt;"",COUNTA($D$10:D205),"")</f>
        <v>169</v>
      </c>
      <c r="D205" s="14" t="s">
        <v>215</v>
      </c>
      <c r="E205" s="14">
        <v>2.8</v>
      </c>
      <c r="F205" s="14">
        <v>2.4</v>
      </c>
      <c r="G205" s="14">
        <v>2.4</v>
      </c>
      <c r="H205" s="14">
        <v>2</v>
      </c>
      <c r="I205" s="14">
        <v>1</v>
      </c>
      <c r="J205" s="14">
        <v>1.75</v>
      </c>
      <c r="K205" s="14">
        <v>3</v>
      </c>
      <c r="L205" s="15">
        <v>0.1</v>
      </c>
      <c r="M205" s="15">
        <v>0</v>
      </c>
      <c r="N205" s="14">
        <v>24</v>
      </c>
      <c r="O205" s="14">
        <v>50</v>
      </c>
      <c r="P205" s="13">
        <v>45</v>
      </c>
      <c r="Q205" s="13">
        <v>85</v>
      </c>
      <c r="R205" s="13" t="s">
        <v>17</v>
      </c>
      <c r="S205" s="13">
        <v>120</v>
      </c>
      <c r="T205" s="13">
        <v>0</v>
      </c>
      <c r="U205" s="13">
        <v>100</v>
      </c>
      <c r="V205" s="13" t="str">
        <f t="shared" si="850"/>
        <v>ISO 6</v>
      </c>
      <c r="W205" s="13">
        <f t="shared" si="851"/>
        <v>120</v>
      </c>
      <c r="X205" s="16">
        <f t="shared" si="852"/>
        <v>72.307199999999995</v>
      </c>
      <c r="Y205" s="16">
        <f t="shared" si="853"/>
        <v>569.20227839999995</v>
      </c>
      <c r="Z205" s="16">
        <f t="shared" si="854"/>
        <v>1138.4045567999999</v>
      </c>
      <c r="AA205" s="16">
        <f t="shared" si="855"/>
        <v>113.84045567999999</v>
      </c>
      <c r="AB205" s="16">
        <f t="shared" si="856"/>
        <v>0</v>
      </c>
      <c r="AC205" s="16">
        <f t="shared" si="857"/>
        <v>10.472423497653956</v>
      </c>
      <c r="AD205" s="16">
        <f t="shared" si="926"/>
        <v>2675</v>
      </c>
      <c r="AE205" s="16">
        <f t="shared" si="859"/>
        <v>2675</v>
      </c>
      <c r="AF205" s="16">
        <f t="shared" si="860"/>
        <v>16</v>
      </c>
      <c r="AG205" s="16">
        <f t="shared" si="861"/>
        <v>7</v>
      </c>
      <c r="AH205" s="838" t="s">
        <v>85</v>
      </c>
      <c r="AI205" s="17">
        <f t="shared" si="862"/>
        <v>4.5</v>
      </c>
      <c r="AJ205" s="17">
        <f t="shared" si="863"/>
        <v>7</v>
      </c>
      <c r="AK205" s="891"/>
      <c r="AL205" s="18"/>
      <c r="AM205" s="889"/>
      <c r="AN205" s="891"/>
      <c r="AO205" s="888"/>
      <c r="AP205" s="891"/>
      <c r="AQ205" s="891"/>
      <c r="AR205" s="889"/>
      <c r="AS205" s="888"/>
      <c r="AT205" s="888"/>
      <c r="AU205" s="890"/>
      <c r="AV205" s="888"/>
      <c r="AW205" s="888"/>
      <c r="AX205" s="888"/>
      <c r="AY205" s="887"/>
      <c r="AZ205" s="888"/>
      <c r="BA205" s="17">
        <f t="shared" si="864"/>
        <v>14.399999999999991</v>
      </c>
      <c r="BB205" s="17">
        <f t="shared" si="865"/>
        <v>37.799999999999997</v>
      </c>
      <c r="BC205" s="17">
        <f t="shared" si="866"/>
        <v>32</v>
      </c>
      <c r="BD205" s="17">
        <f t="shared" si="867"/>
        <v>85</v>
      </c>
      <c r="BE205" s="17">
        <f t="shared" si="868"/>
        <v>180.86341983910182</v>
      </c>
      <c r="BF205" s="17">
        <f t="shared" si="869"/>
        <v>24</v>
      </c>
      <c r="BG205" s="17">
        <f t="shared" si="870"/>
        <v>50</v>
      </c>
      <c r="BH205" s="17">
        <f t="shared" si="871"/>
        <v>65.062647806544774</v>
      </c>
      <c r="BI205" s="17">
        <f t="shared" si="872"/>
        <v>115.80077203255705</v>
      </c>
      <c r="BJ205" s="17">
        <f t="shared" si="873"/>
        <v>45</v>
      </c>
      <c r="BK205" s="17">
        <f t="shared" si="874"/>
        <v>85</v>
      </c>
      <c r="BL205" s="17">
        <f t="shared" si="875"/>
        <v>380.54120080897206</v>
      </c>
      <c r="BM205" s="17">
        <f t="shared" si="876"/>
        <v>24</v>
      </c>
      <c r="BN205" s="17">
        <f t="shared" si="877"/>
        <v>50</v>
      </c>
      <c r="BO205" s="17">
        <f t="shared" si="878"/>
        <v>65.062647806544774</v>
      </c>
      <c r="BP205" s="17">
        <f t="shared" si="879"/>
        <v>315.4785530024273</v>
      </c>
      <c r="BQ205" s="17">
        <f t="shared" si="880"/>
        <v>4568.368895999999</v>
      </c>
      <c r="BR205" s="17">
        <f t="shared" si="881"/>
        <v>1740.331007999999</v>
      </c>
      <c r="BS205" s="17">
        <f t="shared" si="882"/>
        <v>468.55065599999972</v>
      </c>
      <c r="BT205" s="17">
        <f t="shared" si="883"/>
        <v>1229.9454719999999</v>
      </c>
      <c r="BU205" s="17">
        <f t="shared" si="884"/>
        <v>23269.68</v>
      </c>
      <c r="BV205" s="17">
        <f t="shared" si="885"/>
        <v>3412</v>
      </c>
      <c r="BW205" s="17">
        <f t="shared" si="886"/>
        <v>431.74629119999997</v>
      </c>
      <c r="BX205" s="17">
        <f t="shared" si="887"/>
        <v>17495.999999999989</v>
      </c>
      <c r="BY205" s="17">
        <f t="shared" si="888"/>
        <v>4647.4227626803195</v>
      </c>
      <c r="BZ205" s="17"/>
      <c r="CA205" s="17">
        <f t="shared" si="889"/>
        <v>85810.166416660228</v>
      </c>
      <c r="CB205" s="17">
        <f t="shared" si="890"/>
        <v>241341.0930468569</v>
      </c>
      <c r="CC205" s="17">
        <f t="shared" si="891"/>
        <v>24421.671117123082</v>
      </c>
      <c r="CD205" s="17">
        <f t="shared" si="892"/>
        <v>219795.04005410775</v>
      </c>
      <c r="CE205" s="17">
        <f t="shared" si="893"/>
        <v>53825.217949880309</v>
      </c>
      <c r="CF205" s="17">
        <f t="shared" si="894"/>
        <v>571367.970634748</v>
      </c>
      <c r="CG205" s="17">
        <f t="shared" si="895"/>
        <v>625193.18858462828</v>
      </c>
      <c r="CH205" s="17">
        <f t="shared" si="896"/>
        <v>14.400000000000006</v>
      </c>
      <c r="CI205" s="17">
        <f t="shared" si="897"/>
        <v>-43.2</v>
      </c>
      <c r="CJ205" s="17">
        <f t="shared" si="898"/>
        <v>16</v>
      </c>
      <c r="CK205" s="17">
        <f t="shared" si="899"/>
        <v>90</v>
      </c>
      <c r="CL205" s="17">
        <f t="shared" si="900"/>
        <v>71.46880726181422</v>
      </c>
      <c r="CM205" s="17">
        <f t="shared" si="901"/>
        <v>24</v>
      </c>
      <c r="CN205" s="17">
        <f t="shared" si="902"/>
        <v>50</v>
      </c>
      <c r="CO205" s="17">
        <f t="shared" si="903"/>
        <v>65.062647806544774</v>
      </c>
      <c r="CP205" s="17">
        <f t="shared" si="904"/>
        <v>6.4061594552694459</v>
      </c>
      <c r="CQ205" s="17">
        <f t="shared" si="905"/>
        <v>0</v>
      </c>
      <c r="CR205" s="17">
        <f t="shared" si="906"/>
        <v>100</v>
      </c>
      <c r="CS205" s="17">
        <f t="shared" si="907"/>
        <v>26.404773030064671</v>
      </c>
      <c r="CT205" s="17">
        <f t="shared" si="908"/>
        <v>24</v>
      </c>
      <c r="CU205" s="17">
        <f t="shared" si="909"/>
        <v>50</v>
      </c>
      <c r="CV205" s="17">
        <f t="shared" si="910"/>
        <v>65.062647806544774</v>
      </c>
      <c r="CW205" s="17">
        <f t="shared" si="911"/>
        <v>-38.657874776480099</v>
      </c>
      <c r="CX205" s="17">
        <f t="shared" si="849"/>
        <v>-5220.9930240000003</v>
      </c>
      <c r="CY205" s="17">
        <f t="shared" si="849"/>
        <v>-5220.9930240000003</v>
      </c>
      <c r="CZ205" s="17">
        <f t="shared" si="912"/>
        <v>468.55065600000012</v>
      </c>
      <c r="DA205" s="17">
        <f t="shared" si="913"/>
        <v>-1405.6519680000001</v>
      </c>
      <c r="DB205" s="17">
        <f t="shared" si="914"/>
        <v>-26593.920000000002</v>
      </c>
      <c r="DC205" s="17">
        <f t="shared" si="915"/>
        <v>3412</v>
      </c>
      <c r="DD205" s="17">
        <f t="shared" si="916"/>
        <v>431.74629119999997</v>
      </c>
      <c r="DE205" s="17">
        <f t="shared" si="917"/>
        <v>17496.000000000007</v>
      </c>
      <c r="DF205" s="17">
        <f t="shared" si="918"/>
        <v>-5311.3403002060804</v>
      </c>
      <c r="DG205" s="17"/>
      <c r="DH205" s="17">
        <f t="shared" si="919"/>
        <v>-10514.941939202587</v>
      </c>
      <c r="DI205" s="17">
        <f t="shared" si="920"/>
        <v>-29573.274204007277</v>
      </c>
      <c r="DJ205" s="17">
        <f t="shared" si="921"/>
        <v>-2992.5644545189134</v>
      </c>
      <c r="DK205" s="17">
        <f t="shared" si="922"/>
        <v>4463.1942826652794</v>
      </c>
      <c r="DL205" s="17">
        <f t="shared" si="923"/>
        <v>-16723.608345006072</v>
      </c>
      <c r="DM205" s="17">
        <f t="shared" si="924"/>
        <v>-38617.586315063498</v>
      </c>
      <c r="DN205" s="17">
        <f t="shared" si="925"/>
        <v>-55341.194660069566</v>
      </c>
    </row>
    <row r="206" spans="3:120">
      <c r="C206" s="13" t="str">
        <f>IF(D206&lt;&gt;"",COUNTA($D$10:D206),"")</f>
        <v/>
      </c>
      <c r="D206" s="19"/>
      <c r="E206" s="19"/>
      <c r="F206" s="19"/>
      <c r="G206" s="19"/>
      <c r="H206" s="19"/>
      <c r="I206" s="19"/>
      <c r="J206" s="19"/>
      <c r="K206" s="19"/>
      <c r="L206" s="19"/>
      <c r="M206" s="19"/>
      <c r="N206" s="19"/>
      <c r="O206" s="19"/>
      <c r="P206" s="19"/>
      <c r="Q206" s="19"/>
      <c r="R206" s="19"/>
      <c r="S206" s="19"/>
      <c r="T206" s="19"/>
      <c r="U206" s="19"/>
      <c r="V206" s="19"/>
      <c r="W206" s="19"/>
      <c r="X206" s="20">
        <f>SUM(X190:X205)</f>
        <v>1144.1108000000002</v>
      </c>
      <c r="Y206" s="20">
        <f t="shared" ref="Y206" si="927">SUM(Y190:Y205)</f>
        <v>9006.4402175999985</v>
      </c>
      <c r="Z206" s="20">
        <f t="shared" ref="Z206" si="928">SUM(Z190:Z205)</f>
        <v>18012.880435199997</v>
      </c>
      <c r="AA206" s="20">
        <f t="shared" ref="AA206" si="929">SUM(AA190:AA205)</f>
        <v>1801.2880435199995</v>
      </c>
      <c r="AB206" s="20">
        <f t="shared" ref="AB206" si="930">SUM(AB190:AB205)</f>
        <v>0</v>
      </c>
      <c r="AC206" s="20">
        <f t="shared" ref="AC206" si="931">SUM(AC190:AC205)</f>
        <v>165.70428430142042</v>
      </c>
      <c r="AD206" s="20">
        <f t="shared" ref="AD206" si="932">SUM(AD190:AD205)</f>
        <v>42375</v>
      </c>
      <c r="AE206" s="20">
        <f t="shared" ref="AE206" si="933">SUM(AE190:AE205)</f>
        <v>42375</v>
      </c>
      <c r="AF206" s="20">
        <f t="shared" ref="AF206" si="934">SUM(AF190:AF205)</f>
        <v>260</v>
      </c>
      <c r="AG206" s="20">
        <f t="shared" ref="AG206" si="935">SUM(AG190:AG205)</f>
        <v>108.5</v>
      </c>
      <c r="AH206" s="841"/>
      <c r="AI206" s="20">
        <f t="shared" ref="AI206" si="936">SUM(AI190:AI205)</f>
        <v>76.5</v>
      </c>
      <c r="AJ206" s="20">
        <f t="shared" ref="AJ206" si="937">SUM(AJ190:AJ205)</f>
        <v>108.5</v>
      </c>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2"/>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row>
    <row r="207" spans="3:120">
      <c r="C207" s="13" t="str">
        <f>IF(D207&lt;&gt;"",COUNTA($D$10:D207),"")</f>
        <v/>
      </c>
    </row>
    <row r="208" spans="3:120" ht="29.1">
      <c r="C208" s="8" t="str">
        <f>"Zoning Area  AHU - " &amp; INT((ROW()-8)/20)+1 &amp; "  " &amp;IF(AQ210&gt;0,"Air-Conditioning System " &amp; IF(AH210="D","(DX)",IF(AH210="C","(Chilled Water)","")),IF(AND(N210="Amb",AQ210=0),"Ventilation System","Refer"))</f>
        <v>Zoning Area  AHU - 11  Air-Conditioning System (Chilled Water)</v>
      </c>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39"/>
      <c r="AI208" s="8"/>
      <c r="AJ208" s="8"/>
      <c r="AK208" s="8"/>
      <c r="AL208" s="8"/>
      <c r="AM208" s="8"/>
      <c r="AN208" s="8"/>
      <c r="AO208" s="8"/>
      <c r="AP208" s="8"/>
      <c r="AQ208" s="8"/>
      <c r="AR208" s="8"/>
      <c r="AS208" s="9" t="s">
        <v>221</v>
      </c>
      <c r="AT208" s="10"/>
      <c r="AU208" s="10"/>
      <c r="AV208" s="11"/>
      <c r="AW208" s="9" t="s">
        <v>222</v>
      </c>
      <c r="AX208" s="10"/>
      <c r="AY208" s="10"/>
      <c r="AZ208" s="11"/>
      <c r="BA208" s="12" t="s">
        <v>483</v>
      </c>
      <c r="BB208" s="12"/>
      <c r="BC208" s="12"/>
      <c r="BD208" s="12"/>
      <c r="BE208" s="12"/>
      <c r="BF208" s="12"/>
      <c r="BG208" s="12"/>
      <c r="BH208" s="12"/>
      <c r="BI208" s="12"/>
      <c r="BJ208" s="12"/>
      <c r="BK208" s="12"/>
      <c r="BL208" s="12"/>
      <c r="BM208" s="12"/>
      <c r="BN208" s="12"/>
      <c r="BO208" s="12"/>
      <c r="BP208" s="12"/>
      <c r="BQ208" s="9" t="s">
        <v>484</v>
      </c>
      <c r="BR208" s="10"/>
      <c r="BS208" s="10"/>
      <c r="BT208" s="10"/>
      <c r="BU208" s="10"/>
      <c r="BV208" s="10"/>
      <c r="BW208" s="10"/>
      <c r="BX208" s="10"/>
      <c r="BY208" s="10"/>
      <c r="BZ208" s="11"/>
      <c r="CA208" s="9" t="s">
        <v>485</v>
      </c>
      <c r="CB208" s="10"/>
      <c r="CC208" s="10"/>
      <c r="CD208" s="10"/>
      <c r="CE208" s="9" t="s">
        <v>486</v>
      </c>
      <c r="CF208" s="10"/>
      <c r="CG208" s="11"/>
      <c r="CH208" s="12" t="s">
        <v>487</v>
      </c>
      <c r="CI208" s="12"/>
      <c r="CJ208" s="12"/>
      <c r="CK208" s="12"/>
      <c r="CL208" s="12"/>
      <c r="CM208" s="12"/>
      <c r="CN208" s="12"/>
      <c r="CO208" s="12"/>
      <c r="CP208" s="12"/>
      <c r="CQ208" s="12"/>
      <c r="CR208" s="12"/>
      <c r="CS208" s="12"/>
      <c r="CT208" s="12"/>
      <c r="CU208" s="12"/>
      <c r="CV208" s="12"/>
      <c r="CW208" s="12"/>
      <c r="CX208" s="9" t="s">
        <v>488</v>
      </c>
      <c r="CY208" s="10"/>
      <c r="CZ208" s="10"/>
      <c r="DA208" s="10"/>
      <c r="DB208" s="10"/>
      <c r="DC208" s="10"/>
      <c r="DD208" s="10"/>
      <c r="DE208" s="10"/>
      <c r="DF208" s="10"/>
      <c r="DG208" s="11"/>
      <c r="DH208" s="9" t="s">
        <v>489</v>
      </c>
      <c r="DI208" s="10"/>
      <c r="DJ208" s="10"/>
      <c r="DK208" s="10"/>
      <c r="DL208" s="9"/>
      <c r="DM208" s="10"/>
      <c r="DN208" s="11"/>
      <c r="DO208" s="1"/>
      <c r="DP208" s="1"/>
    </row>
    <row r="209" spans="3:120" ht="120" customHeight="1">
      <c r="C209" s="13">
        <f>IF(D209&lt;&gt;"",COUNTA($D$10:D209),"")</f>
        <v>170</v>
      </c>
      <c r="D209" s="5" t="s">
        <v>165</v>
      </c>
      <c r="E209" s="5" t="s">
        <v>166</v>
      </c>
      <c r="F209" s="5" t="s">
        <v>167</v>
      </c>
      <c r="G209" s="5" t="s">
        <v>168</v>
      </c>
      <c r="H209" s="5" t="s">
        <v>169</v>
      </c>
      <c r="I209" s="5" t="s">
        <v>170</v>
      </c>
      <c r="J209" s="5" t="s">
        <v>171</v>
      </c>
      <c r="K209" s="5" t="s">
        <v>172</v>
      </c>
      <c r="L209" s="5" t="s">
        <v>173</v>
      </c>
      <c r="M209" s="5" t="s">
        <v>174</v>
      </c>
      <c r="N209" s="5" t="s">
        <v>175</v>
      </c>
      <c r="O209" s="5" t="s">
        <v>176</v>
      </c>
      <c r="P209" s="5" t="s">
        <v>177</v>
      </c>
      <c r="Q209" s="5" t="s">
        <v>178</v>
      </c>
      <c r="R209" s="5" t="s">
        <v>199</v>
      </c>
      <c r="S209" s="5" t="s">
        <v>180</v>
      </c>
      <c r="T209" s="5" t="s">
        <v>223</v>
      </c>
      <c r="U209" s="5" t="s">
        <v>224</v>
      </c>
      <c r="V209" s="5" t="s">
        <v>199</v>
      </c>
      <c r="W209" s="5" t="s">
        <v>180</v>
      </c>
      <c r="X209" s="5" t="s">
        <v>225</v>
      </c>
      <c r="Y209" s="5" t="s">
        <v>226</v>
      </c>
      <c r="Z209" s="5" t="s">
        <v>227</v>
      </c>
      <c r="AA209" s="5" t="s">
        <v>228</v>
      </c>
      <c r="AB209" s="5" t="s">
        <v>229</v>
      </c>
      <c r="AC209" s="5" t="s">
        <v>230</v>
      </c>
      <c r="AD209" s="5" t="s">
        <v>231</v>
      </c>
      <c r="AE209" s="5" t="s">
        <v>232</v>
      </c>
      <c r="AF209" s="6" t="s">
        <v>233</v>
      </c>
      <c r="AG209" s="6" t="s">
        <v>234</v>
      </c>
      <c r="AH209" s="6" t="s">
        <v>235</v>
      </c>
      <c r="AI209" s="5" t="s">
        <v>236</v>
      </c>
      <c r="AJ209" s="5" t="s">
        <v>237</v>
      </c>
      <c r="AK209" s="5" t="s">
        <v>238</v>
      </c>
      <c r="AL209" s="5" t="s">
        <v>239</v>
      </c>
      <c r="AM209" s="5" t="s">
        <v>240</v>
      </c>
      <c r="AN209" s="5" t="s">
        <v>241</v>
      </c>
      <c r="AO209" s="5" t="s">
        <v>242</v>
      </c>
      <c r="AP209" s="5" t="s">
        <v>243</v>
      </c>
      <c r="AQ209" s="5" t="s">
        <v>244</v>
      </c>
      <c r="AR209" s="5" t="s">
        <v>245</v>
      </c>
      <c r="AS209" s="5" t="s">
        <v>246</v>
      </c>
      <c r="AT209" s="5" t="s">
        <v>247</v>
      </c>
      <c r="AU209" s="5" t="s">
        <v>248</v>
      </c>
      <c r="AV209" s="5" t="s">
        <v>249</v>
      </c>
      <c r="AW209" s="5" t="s">
        <v>250</v>
      </c>
      <c r="AX209" s="5" t="s">
        <v>251</v>
      </c>
      <c r="AY209" s="5" t="s">
        <v>252</v>
      </c>
      <c r="AZ209" s="5" t="s">
        <v>253</v>
      </c>
      <c r="BA209" s="5" t="s">
        <v>490</v>
      </c>
      <c r="BB209" s="5" t="s">
        <v>491</v>
      </c>
      <c r="BC209" s="5" t="s">
        <v>492</v>
      </c>
      <c r="BD209" s="5" t="s">
        <v>493</v>
      </c>
      <c r="BE209" s="5" t="s">
        <v>494</v>
      </c>
      <c r="BF209" s="5" t="s">
        <v>492</v>
      </c>
      <c r="BG209" s="5" t="s">
        <v>493</v>
      </c>
      <c r="BH209" s="5" t="s">
        <v>495</v>
      </c>
      <c r="BI209" s="5" t="s">
        <v>496</v>
      </c>
      <c r="BJ209" s="5" t="s">
        <v>492</v>
      </c>
      <c r="BK209" s="5" t="s">
        <v>493</v>
      </c>
      <c r="BL209" s="5" t="s">
        <v>497</v>
      </c>
      <c r="BM209" s="5" t="s">
        <v>492</v>
      </c>
      <c r="BN209" s="5" t="s">
        <v>493</v>
      </c>
      <c r="BO209" s="5" t="s">
        <v>495</v>
      </c>
      <c r="BP209" s="5" t="s">
        <v>498</v>
      </c>
      <c r="BQ209" s="5" t="s">
        <v>499</v>
      </c>
      <c r="BR209" s="5" t="s">
        <v>500</v>
      </c>
      <c r="BS209" s="5" t="s">
        <v>501</v>
      </c>
      <c r="BT209" s="5" t="s">
        <v>502</v>
      </c>
      <c r="BU209" s="5" t="s">
        <v>503</v>
      </c>
      <c r="BV209" s="5" t="s">
        <v>504</v>
      </c>
      <c r="BW209" s="5" t="s">
        <v>505</v>
      </c>
      <c r="BX209" s="5" t="s">
        <v>506</v>
      </c>
      <c r="BY209" s="5" t="s">
        <v>173</v>
      </c>
      <c r="BZ209" s="5" t="s">
        <v>174</v>
      </c>
      <c r="CA209" s="5" t="s">
        <v>503</v>
      </c>
      <c r="CB209" s="5" t="s">
        <v>507</v>
      </c>
      <c r="CC209" s="5" t="s">
        <v>173</v>
      </c>
      <c r="CD209" s="5" t="s">
        <v>508</v>
      </c>
      <c r="CE209" s="7" t="s">
        <v>509</v>
      </c>
      <c r="CF209" s="7" t="s">
        <v>510</v>
      </c>
      <c r="CG209" s="7" t="s">
        <v>511</v>
      </c>
      <c r="CH209" s="5" t="s">
        <v>512</v>
      </c>
      <c r="CI209" s="5" t="s">
        <v>513</v>
      </c>
      <c r="CJ209" s="5" t="s">
        <v>492</v>
      </c>
      <c r="CK209" s="5" t="s">
        <v>493</v>
      </c>
      <c r="CL209" s="5" t="s">
        <v>494</v>
      </c>
      <c r="CM209" s="5" t="s">
        <v>492</v>
      </c>
      <c r="CN209" s="5" t="s">
        <v>493</v>
      </c>
      <c r="CO209" s="5" t="s">
        <v>495</v>
      </c>
      <c r="CP209" s="5" t="s">
        <v>496</v>
      </c>
      <c r="CQ209" s="5" t="s">
        <v>492</v>
      </c>
      <c r="CR209" s="5" t="s">
        <v>493</v>
      </c>
      <c r="CS209" s="5" t="s">
        <v>497</v>
      </c>
      <c r="CT209" s="5" t="s">
        <v>492</v>
      </c>
      <c r="CU209" s="5" t="s">
        <v>493</v>
      </c>
      <c r="CV209" s="5" t="s">
        <v>495</v>
      </c>
      <c r="CW209" s="5" t="s">
        <v>498</v>
      </c>
      <c r="CX209" s="5" t="s">
        <v>499</v>
      </c>
      <c r="CY209" s="5" t="s">
        <v>500</v>
      </c>
      <c r="CZ209" s="5" t="s">
        <v>501</v>
      </c>
      <c r="DA209" s="5" t="s">
        <v>502</v>
      </c>
      <c r="DB209" s="5" t="s">
        <v>503</v>
      </c>
      <c r="DC209" s="5" t="s">
        <v>504</v>
      </c>
      <c r="DD209" s="5" t="s">
        <v>505</v>
      </c>
      <c r="DE209" s="5" t="s">
        <v>506</v>
      </c>
      <c r="DF209" s="5" t="s">
        <v>173</v>
      </c>
      <c r="DG209" s="5" t="s">
        <v>174</v>
      </c>
      <c r="DH209" s="5" t="s">
        <v>503</v>
      </c>
      <c r="DI209" s="5" t="s">
        <v>507</v>
      </c>
      <c r="DJ209" s="5" t="s">
        <v>173</v>
      </c>
      <c r="DK209" s="5" t="s">
        <v>508</v>
      </c>
      <c r="DL209" s="7" t="s">
        <v>509</v>
      </c>
      <c r="DM209" s="7" t="s">
        <v>510</v>
      </c>
      <c r="DN209" s="7" t="s">
        <v>511</v>
      </c>
      <c r="DO209" s="2"/>
      <c r="DP209" s="2"/>
    </row>
    <row r="210" spans="3:120" ht="18.600000000000001" customHeight="1">
      <c r="C210" s="13">
        <f>IF(D210&lt;&gt;"",COUNTA($D$10:D210),"")</f>
        <v>171</v>
      </c>
      <c r="D210" s="14" t="s">
        <v>200</v>
      </c>
      <c r="E210" s="14">
        <v>3</v>
      </c>
      <c r="F210" s="14">
        <v>3</v>
      </c>
      <c r="G210" s="14">
        <v>2.4</v>
      </c>
      <c r="H210" s="14">
        <v>1</v>
      </c>
      <c r="I210" s="14">
        <v>2</v>
      </c>
      <c r="J210" s="14">
        <v>1.75</v>
      </c>
      <c r="K210" s="14">
        <v>3</v>
      </c>
      <c r="L210" s="15">
        <v>0.1</v>
      </c>
      <c r="M210" s="15">
        <v>0</v>
      </c>
      <c r="N210" s="14">
        <v>24</v>
      </c>
      <c r="O210" s="14">
        <v>50</v>
      </c>
      <c r="P210" s="13">
        <v>45</v>
      </c>
      <c r="Q210" s="13">
        <v>85</v>
      </c>
      <c r="R210" s="13" t="s">
        <v>17</v>
      </c>
      <c r="S210" s="13">
        <v>120</v>
      </c>
      <c r="T210" s="13">
        <v>0</v>
      </c>
      <c r="U210" s="13">
        <v>100</v>
      </c>
      <c r="V210" s="13" t="str">
        <f>R210</f>
        <v>ISO 6</v>
      </c>
      <c r="W210" s="13">
        <f>S210</f>
        <v>120</v>
      </c>
      <c r="X210" s="16">
        <f>E210*F210*10.76</f>
        <v>96.84</v>
      </c>
      <c r="Y210" s="16">
        <f>X210*G210*3.28</f>
        <v>762.32447999999999</v>
      </c>
      <c r="Z210" s="16">
        <f>Y210*S210/60</f>
        <v>1524.64896</v>
      </c>
      <c r="AA210" s="16">
        <f>Z210*L210</f>
        <v>152.46489600000001</v>
      </c>
      <c r="AB210" s="16">
        <f>IF(N210="Amb",Z210,Z210*M210)</f>
        <v>0</v>
      </c>
      <c r="AC210" s="16">
        <f>IF(ISNUMBER(N210), (AA210*0.075*60/2.20462)*BP210/7000, "Ambient")</f>
        <v>14.025567184357984</v>
      </c>
      <c r="AD210" s="16">
        <f>IF(ISNUMBER(N210), CEILING(CF210/(0.68*BP210),25), "Ambient")</f>
        <v>2850</v>
      </c>
      <c r="AE210" s="16">
        <f>CEILING(MAX((Z210+AA210),AD210),25)</f>
        <v>2850</v>
      </c>
      <c r="AF210" s="16">
        <f>CEILING(IF(OR($R210="ISO 6",$R210="GRADE B",$R210="1K",$R210=1000),AE210*1/175,IF(OR($R210="ISO 5",$R210="GRADE A",$R210=100),AE210*1/100,IF(OR($R210="ISO 7",$R210="GRADE C",$R210="10K",$R210=10000),$AE210*1/250,IF(OR($R210="ISO 8",$R210="GRADE D",$R210="100K",$R210=100000),$AE210*1/250,IF(OR($R210="NC",$R210="20 Micron",$R210="5 Micron",$R210="N C"),$AE210*1/350,0))))),2)</f>
        <v>18</v>
      </c>
      <c r="AG210" s="16">
        <f>IF(ISNUMBER(N210), CEILING(MAX(AI210,AJ210),0.5), "Ambient")</f>
        <v>7.5</v>
      </c>
      <c r="AH210" s="838" t="s">
        <v>85</v>
      </c>
      <c r="AI210" s="17">
        <f>IF(ISNUMBER(N210), CEILING(CE210/12000,0.5), "Ambient")</f>
        <v>4.5</v>
      </c>
      <c r="AJ210" s="17">
        <f>IF(ISNUMBER(N210),CEILING(AE210/(IF(AH210="C",400,300)),0.5), "Ambient")</f>
        <v>7.5</v>
      </c>
      <c r="AK210" s="891">
        <f>CEILING(SUM(AE210:AE225),250)</f>
        <v>42500</v>
      </c>
      <c r="AL210" s="18" t="s">
        <v>254</v>
      </c>
      <c r="AM210" s="889">
        <v>150</v>
      </c>
      <c r="AN210" s="891">
        <f>IF(AK210&lt;=1300,200,IF(AK210&lt;=1600,225,IF(AK210&lt;=2100,250,IF(AK210&lt;=2700,280,IF(AK210&lt;=3450,315,IF(AK210&lt;=4250,355,IF(AK210&lt;=5250,400,IF(AK210&lt;=6750,450,IF(AK210&lt;=8500,500,IF(AK210&lt;=10750,560,IF(AK210&lt;=13500,630,IF(AK210&lt;=17000,710,IF(AK210&lt;=21500,800,IF(AK210&lt;=27000,900,IF(AK210&lt;=34000,1000,IF(AK210&lt;=43000,1120,IF(AK210&lt;=49000,1200,IF(AK210&lt;=68000,1450,"Refer"))))))))))))))))))</f>
        <v>1120</v>
      </c>
      <c r="AO210" s="888">
        <f>IF(AK210*AM210/(6356*0.7*0.9*1.1*25.4)&lt;=1,1,IF(AK210*AM210/(6356*0.7*0.9*1.1*25.4)&lt;=1.5,1.5,IF(AK210*AM210/(6356*0.7*0.9*1.1*25.4)&lt;=2,2,IF(AK210*AM210/(6356*0.7*0.9*1.1*25.4)&lt;=3,3,IF(AK210*AM210/(6356*0.7*0.9*1.1*25.4)&lt;=5,5,IF(AK210*AM210/(6356*0.7*0.9*1.1*25.4)&lt;=7.5,7.5,IF(AK210*AM210/(6356*0.7*0.9*1.1*25.4)&lt;=10,10,IF(AK210*AM210/(6356*0.7*0.9*1.1*25.4)&lt;=12.5,12.5,IF(AK210*AM210/(6356*0.7*0.9*1.1*25.4)&lt;=15,15,IF(AK210*AM210/(6356*0.7*0.9*1.1*25.4)&lt;=20,20,IF(AK210*AM210/(6356*0.7*0.9*1.1*25.4)&lt;=25,25,IF(AK210*AM210/(6356*0.7*0.9*1.1*25.4)&lt;=30,30,IF(AK210*AM210/(6356*0.7*0.9*1.1*25.4)&lt;=40,40,IF(AK210*AM210/(6356*0.7*0.9*1.1*25.4)&lt;=50,50,IF(AK210*AM210/(6356*0.7*0.9*1.1*25.4)&lt;=60,60,IF(AK210*AM210/(6356*0.7*0.9*1.1*25.4)&lt;=75,75,"Refer"))))))))))))))))</f>
        <v>60</v>
      </c>
      <c r="AP210" s="891">
        <f>IF(AND(AQ210=0, N210="Amb"), "Amb",IF((AL211-250)*(AL213-150)*10.76/(1000*1000) &gt;= MAX(AI226,AJ226), 4,IF((AL211-250)*(AL213-150)*10.76*1.5/(1000*1000) &gt;= MAX(AI226,AJ226), 6,IF((AL211-250)*(AL213-150)*10.76*2/(1000*1000) &gt;= MAX(AI226,AJ226), 8, 0))
 )
)</f>
        <v>4</v>
      </c>
      <c r="AQ210" s="891">
        <f>AG226</f>
        <v>108.5</v>
      </c>
      <c r="AR210" s="889">
        <f>_xlfn.SWITCH(TRIM(UPPER(R210)),"ISO 9", 3,"ISO 8", 4,"Grade D", 4,"Class 100,000", 4,"Class 100K", 4,"ISO 7", 3,"Grade C", 3,"Class 10,000", 3,"Class 10K", 3,"ISO 6", 3,"Class 1,000", 3,"Class 1K", 3,"ISO 5", 4,"Grade A", 4,"Grade B", 4,"Class 100", 4,"ISO 4", 3,"ISO 3", 4,"ISO 2", 4,"ISO 1", 4,"NCV20",1,"NCV-10",2,"NCV-5",3,"NCAC-10",1,"NCAC-5",2,"NCAC-1",3,3)</f>
        <v>3</v>
      </c>
      <c r="AS210" s="888">
        <f>MAX(AI226,AJ226)*24/6</f>
        <v>434</v>
      </c>
      <c r="AT210" s="888">
        <f>AS210*0.06309</f>
        <v>27.381059999999998</v>
      </c>
      <c r="AU210" s="890">
        <v>2</v>
      </c>
      <c r="AV210" s="888">
        <f>SQRT((4*AS210*0.00006309)/(3.14*AU210))*1000</f>
        <v>132.06121915647887</v>
      </c>
      <c r="AW210" s="888"/>
      <c r="AX210" s="888"/>
      <c r="AY210" s="887"/>
      <c r="AZ210" s="888"/>
      <c r="BA210" s="17">
        <f>-CONVERT(N210,"C","F")+CONVERT((N210+8),"C","F")</f>
        <v>14.399999999999991</v>
      </c>
      <c r="BB210" s="17">
        <f>CONVERT(P210,"C","F")-CONVERT(N210,"C","F")</f>
        <v>37.799999999999997</v>
      </c>
      <c r="BC210" s="17">
        <f>N210+8</f>
        <v>32</v>
      </c>
      <c r="BD210" s="17">
        <f>BG210+35</f>
        <v>85</v>
      </c>
      <c r="BE210" s="17">
        <f>0.622*7000*(BD210/100)*(6.1078*10^((7.5*BC210)/(237.3+BC210)))/(1013.25-(6.1078*10^((7.5*BC210)/(237.3+BC210)))*BD210/100)</f>
        <v>180.86341983910182</v>
      </c>
      <c r="BF210" s="17">
        <f>N210</f>
        <v>24</v>
      </c>
      <c r="BG210" s="17">
        <f>O210</f>
        <v>50</v>
      </c>
      <c r="BH210" s="17">
        <f>0.622*7000*(BG210/100)*(6.1078*10^((7.5*BF210)/(237.3+BF210)))/(1013.25-(6.1078*10^((7.5*BF210)/(237.3+BF210)))*BG210/100)</f>
        <v>65.062647806544774</v>
      </c>
      <c r="BI210" s="17">
        <f>BE210-BH210</f>
        <v>115.80077203255705</v>
      </c>
      <c r="BJ210" s="17">
        <f>P210</f>
        <v>45</v>
      </c>
      <c r="BK210" s="17">
        <f>Q210</f>
        <v>85</v>
      </c>
      <c r="BL210" s="17">
        <f>0.622*7000*(BK210/100)*(6.1078*10^((7.5*BJ210)/(237.3+BJ210)))/(1013.25-(6.1078*10^((7.5*BJ210)/(237.3+BJ210)))*BK210/100)</f>
        <v>380.54120080897206</v>
      </c>
      <c r="BM210" s="17">
        <f>N210</f>
        <v>24</v>
      </c>
      <c r="BN210" s="17">
        <f>BG210</f>
        <v>50</v>
      </c>
      <c r="BO210" s="17">
        <f>0.622*7000*(BN210/100)*(6.1078*10^((7.5*BM210)/(237.3+BM210)))/(1013.25-(6.1078*10^((7.5*BM210)/(237.3+BM210)))*BN210/100)</f>
        <v>65.062647806544774</v>
      </c>
      <c r="BP210" s="17">
        <f>BL210-BO210</f>
        <v>315.4785530024273</v>
      </c>
      <c r="BQ210" s="17">
        <f>($E210*$G210*10.76*2+$F210*$G210*2*10.76)*$BB210*0.45</f>
        <v>5271.1948799999991</v>
      </c>
      <c r="BR210" s="17">
        <f>($E210*$G210*10.76*2+$F210*$G210*2*10.76)*$BA210*0.45</f>
        <v>2008.0742399999988</v>
      </c>
      <c r="BS210" s="17">
        <f>($E210*$F210*10.76)*$BA210*0.45</f>
        <v>627.52319999999963</v>
      </c>
      <c r="BT210" s="17">
        <f>($E210*$F210*10.76)*$BB210*0.45</f>
        <v>1647.2483999999999</v>
      </c>
      <c r="BU210" s="17">
        <f>$H210*285*1.08*$BB210</f>
        <v>11634.84</v>
      </c>
      <c r="BV210" s="17">
        <f>$I210*1000*3.412</f>
        <v>6824</v>
      </c>
      <c r="BW210" s="17">
        <f>$J210*$X210*3.412</f>
        <v>578.23163999999997</v>
      </c>
      <c r="BX210" s="17">
        <f>$K210*1.08*375*$BA210</f>
        <v>17495.999999999989</v>
      </c>
      <c r="BY210" s="17">
        <f>($AA210+$AB210)*1.08*$BB210</f>
        <v>6224.2269143040003</v>
      </c>
      <c r="BZ210" s="17"/>
      <c r="CA210" s="17">
        <f>$H210*200*0.68*$BP210</f>
        <v>42905.083208330114</v>
      </c>
      <c r="CB210" s="17">
        <f>$K210*375*0.68*$BP210</f>
        <v>241341.0930468569</v>
      </c>
      <c r="CC210" s="17">
        <f>($AA210+$AB210)*0.68*$BP210</f>
        <v>32707.59524614699</v>
      </c>
      <c r="CD210" s="17">
        <f>($Z210-$AA210)*0.68*$BP210</f>
        <v>294368.3572153229</v>
      </c>
      <c r="CE210" s="17">
        <f>$BQ210+$BU210+$BV210+$BW210+$BX210+$BY210</f>
        <v>48028.493434303993</v>
      </c>
      <c r="CF210" s="17">
        <f>$CA210+$CB210+$CC210+$CD210</f>
        <v>611322.12871665694</v>
      </c>
      <c r="CG210" s="17">
        <f>$CE210+$CF210</f>
        <v>659350.62215096096</v>
      </c>
      <c r="CH210" s="17">
        <f>CONVERT(N210,"C","F")-CONVERT((N210-8),"C","F")</f>
        <v>14.400000000000006</v>
      </c>
      <c r="CI210" s="17">
        <f>CONVERT(T210,"C","F")-CONVERT(N210,"C","F")</f>
        <v>-43.2</v>
      </c>
      <c r="CJ210" s="17">
        <f>CM210-8</f>
        <v>16</v>
      </c>
      <c r="CK210" s="17">
        <f>O210+40</f>
        <v>90</v>
      </c>
      <c r="CL210" s="17">
        <f>0.622*7000*(CK210/100)*(6.1078*10^((7.5*CJ210)/(237.3+CJ210)))/(1013.25-(6.1078*10^((7.5*CJ210)/(237.3+CJ210)))*CK210/100)</f>
        <v>71.46880726181422</v>
      </c>
      <c r="CM210" s="17">
        <f>N210</f>
        <v>24</v>
      </c>
      <c r="CN210" s="17">
        <f>O210</f>
        <v>50</v>
      </c>
      <c r="CO210" s="17">
        <f>0.622*7000*(CN210/100)*(6.1078*10^((7.5*CM210)/(237.3+CM210)))/(1013.25-(6.1078*10^((7.5*CM210)/(237.3+CM210)))*CN210/100)</f>
        <v>65.062647806544774</v>
      </c>
      <c r="CP210" s="17">
        <f>CL210-CO210</f>
        <v>6.4061594552694459</v>
      </c>
      <c r="CQ210" s="17">
        <f>T210</f>
        <v>0</v>
      </c>
      <c r="CR210" s="17">
        <f>U210</f>
        <v>100</v>
      </c>
      <c r="CS210" s="17">
        <f>0.622*7000*(CR210/100)*(6.1078*10^((7.5*CQ210)/(237.3+CQ210)))/(1013.25-(6.1078*10^((7.5*CQ210)/(237.3+CQ210)))*CR210/100)</f>
        <v>26.404773030064671</v>
      </c>
      <c r="CT210" s="17">
        <f>CM210</f>
        <v>24</v>
      </c>
      <c r="CU210" s="17">
        <f>O210</f>
        <v>50</v>
      </c>
      <c r="CV210" s="17">
        <f>0.622*7000*(CU210/100)*(6.1078*10^((7.5*CT210)/(237.3+CT210)))/(1013.25-(6.1078*10^((7.5*CT210)/(237.3+CT210)))*CU210/100)</f>
        <v>65.062647806544774</v>
      </c>
      <c r="CW210" s="17">
        <f>CS210-CV210</f>
        <v>-38.657874776480099</v>
      </c>
      <c r="CX210" s="17">
        <f t="shared" ref="CX210:CY225" si="938">($E210*$G210*10.76*2+$F210*$G210*2*10.76)*$CI210*0.45</f>
        <v>-6024.2227199999998</v>
      </c>
      <c r="CY210" s="17">
        <f t="shared" si="938"/>
        <v>-6024.2227199999998</v>
      </c>
      <c r="CZ210" s="17">
        <f>($E210*$F210*10.76)*$CH210*0.45</f>
        <v>627.52320000000032</v>
      </c>
      <c r="DA210" s="17">
        <f>($E210*$F210*10.76)*$CI210*0.45</f>
        <v>-1882.5696000000003</v>
      </c>
      <c r="DB210" s="17">
        <f>$H210*285*1.08*$CI210</f>
        <v>-13296.960000000001</v>
      </c>
      <c r="DC210" s="17">
        <f>$I210*1000*3.412</f>
        <v>6824</v>
      </c>
      <c r="DD210" s="17">
        <f>$J210*$X210*3.412</f>
        <v>578.23163999999997</v>
      </c>
      <c r="DE210" s="17">
        <f>$K210*1.08*375*$CH210</f>
        <v>17496.000000000007</v>
      </c>
      <c r="DF210" s="17">
        <f>($AA210+$AB210)*1.08*$CI210</f>
        <v>-7113.4021877760015</v>
      </c>
      <c r="DG210" s="17"/>
      <c r="DH210" s="17">
        <f>$H210*200*0.68*CW210</f>
        <v>-5257.4709696012933</v>
      </c>
      <c r="DI210" s="17">
        <f>$K210*375*0.68*CW210</f>
        <v>-29573.274204007277</v>
      </c>
      <c r="DJ210" s="17">
        <f>(AA210+AB210)*0.68*CW210</f>
        <v>-4007.8988230164023</v>
      </c>
      <c r="DK210" s="17">
        <f>(Z210-AA210)*0.68*CP210</f>
        <v>5977.4923428552856</v>
      </c>
      <c r="DL210" s="17">
        <f>CX210+DA210+CZ210+DB210+DC210+DD210+DE210+DF210</f>
        <v>-2791.3996677759942</v>
      </c>
      <c r="DM210" s="17">
        <f>DH210+DI210+DJ210+DK210</f>
        <v>-32861.151653769688</v>
      </c>
      <c r="DN210" s="17">
        <f>DL210+DM210</f>
        <v>-35652.551321545681</v>
      </c>
    </row>
    <row r="211" spans="3:120" ht="18.600000000000001">
      <c r="C211" s="13">
        <f>IF(D211&lt;&gt;"",COUNTA($D$10:D211),"")</f>
        <v>172</v>
      </c>
      <c r="D211" s="14" t="s">
        <v>201</v>
      </c>
      <c r="E211" s="14">
        <v>1.8</v>
      </c>
      <c r="F211" s="14">
        <v>2.2000000000000002</v>
      </c>
      <c r="G211" s="14">
        <v>2.4</v>
      </c>
      <c r="H211" s="14">
        <v>2</v>
      </c>
      <c r="I211" s="14">
        <v>1</v>
      </c>
      <c r="J211" s="14">
        <v>1.75</v>
      </c>
      <c r="K211" s="14">
        <v>3</v>
      </c>
      <c r="L211" s="15">
        <v>0.1</v>
      </c>
      <c r="M211" s="15">
        <v>0</v>
      </c>
      <c r="N211" s="14">
        <v>24</v>
      </c>
      <c r="O211" s="14">
        <v>50</v>
      </c>
      <c r="P211" s="13">
        <v>45</v>
      </c>
      <c r="Q211" s="13">
        <v>85</v>
      </c>
      <c r="R211" s="13" t="s">
        <v>17</v>
      </c>
      <c r="S211" s="13">
        <v>120</v>
      </c>
      <c r="T211" s="13">
        <v>0</v>
      </c>
      <c r="U211" s="13">
        <v>100</v>
      </c>
      <c r="V211" s="13" t="str">
        <f t="shared" ref="V211:V225" si="939">R211</f>
        <v>ISO 6</v>
      </c>
      <c r="W211" s="13">
        <f t="shared" ref="W211:W225" si="940">S211</f>
        <v>120</v>
      </c>
      <c r="X211" s="16">
        <f t="shared" ref="X211:X225" si="941">E211*F211*10.76</f>
        <v>42.6096</v>
      </c>
      <c r="Y211" s="16">
        <f t="shared" ref="Y211:Y225" si="942">X211*G211*3.28</f>
        <v>335.4227712</v>
      </c>
      <c r="Z211" s="16">
        <f t="shared" ref="Z211:Z225" si="943">Y211*S211/60</f>
        <v>670.8455424</v>
      </c>
      <c r="AA211" s="16">
        <f t="shared" ref="AA211:AA225" si="944">Z211*L211</f>
        <v>67.084554240000003</v>
      </c>
      <c r="AB211" s="16">
        <f t="shared" ref="AB211:AB225" si="945">IF(N211="Amb",Z211,Z211*M211)</f>
        <v>0</v>
      </c>
      <c r="AC211" s="16">
        <f t="shared" ref="AC211:AC225" si="946">IF(ISNUMBER(N211), (AA211*0.075*60/2.20462)*BP211/7000, "Ambient")</f>
        <v>6.1712495611175129</v>
      </c>
      <c r="AD211" s="16">
        <f t="shared" ref="AD211:AD217" si="947">IF(ISNUMBER(N211), CEILING(CF211/(0.68*BP211),25), "Ambient")</f>
        <v>2200</v>
      </c>
      <c r="AE211" s="16">
        <f t="shared" ref="AE211:AE225" si="948">CEILING(MAX((Z211+AA211),AD211),25)</f>
        <v>2200</v>
      </c>
      <c r="AF211" s="16">
        <f t="shared" ref="AF211:AF225" si="949">CEILING(IF(OR($R211="ISO 6",$R211="GRADE B",$R211="1K",$R211=1000),AE211*1/175,IF(OR($R211="ISO 5",$R211="GRADE A",$R211=100),AE211*1/100,IF(OR($R211="ISO 7",$R211="GRADE C",$R211="10K",$R211=10000),$AE211*1/250,IF(OR($R211="ISO 8",$R211="GRADE D",$R211="100K",$R211=100000),$AE211*1/250,IF(OR($R211="NC",$R211="20 Micron",$R211="5 Micron",$R211="N C"),$AE211*1/350,0))))),2)</f>
        <v>14</v>
      </c>
      <c r="AG211" s="16">
        <f t="shared" ref="AG211:AG225" si="950">IF(ISNUMBER(N211), CEILING(MAX(AI211,AJ211),0.5), "Ambient")</f>
        <v>5.5</v>
      </c>
      <c r="AH211" s="838" t="s">
        <v>85</v>
      </c>
      <c r="AI211" s="17">
        <f t="shared" ref="AI211:AI225" si="951">IF(ISNUMBER(N211), CEILING(CE211/12000,0.5), "Ambient")</f>
        <v>4.5</v>
      </c>
      <c r="AJ211" s="17">
        <f t="shared" ref="AJ211:AJ225" si="952">IF(ISNUMBER(N211),CEILING(AE211/(IF(AH211="C",400,300)),0.5), "Ambient")</f>
        <v>5.5</v>
      </c>
      <c r="AK211" s="891"/>
      <c r="AL211" s="18">
        <f>IF(AK210&lt;=2000,950,(IF(AK210&lt;=3000,1150,(IF(AK210&lt;=8000,1550,(IF(AK210&lt;=10000,1750,(IF(AK210&lt;=18000,2050,(IF(AK210&lt;=32000,2900,(IF(AK210&lt;=40000,3600,4000)))))))))))))</f>
        <v>4000</v>
      </c>
      <c r="AM211" s="889"/>
      <c r="AN211" s="891"/>
      <c r="AO211" s="888"/>
      <c r="AP211" s="891"/>
      <c r="AQ211" s="891"/>
      <c r="AR211" s="889"/>
      <c r="AS211" s="888"/>
      <c r="AT211" s="888"/>
      <c r="AU211" s="890"/>
      <c r="AV211" s="888"/>
      <c r="AW211" s="888"/>
      <c r="AX211" s="888"/>
      <c r="AY211" s="887"/>
      <c r="AZ211" s="888"/>
      <c r="BA211" s="17">
        <f t="shared" ref="BA211:BA225" si="953">-CONVERT(N211,"C","F")+CONVERT((N211+8),"C","F")</f>
        <v>14.399999999999991</v>
      </c>
      <c r="BB211" s="17">
        <f t="shared" ref="BB211:BB225" si="954">CONVERT(P211,"C","F")-CONVERT(N211,"C","F")</f>
        <v>37.799999999999997</v>
      </c>
      <c r="BC211" s="17">
        <f t="shared" ref="BC211:BC225" si="955">BF211+8</f>
        <v>32</v>
      </c>
      <c r="BD211" s="17">
        <f t="shared" ref="BD211:BD225" si="956">BG211+35</f>
        <v>85</v>
      </c>
      <c r="BE211" s="17">
        <f t="shared" ref="BE211:BE225" si="957">0.622*7000*(BD211/100)*(6.1078*10^((7.5*BC211)/(237.3+BC211)))/(1013.25-(6.1078*10^((7.5*BC211)/(237.3+BC211)))*BD211/100)</f>
        <v>180.86341983910182</v>
      </c>
      <c r="BF211" s="17">
        <f t="shared" ref="BF211:BF225" si="958">N211</f>
        <v>24</v>
      </c>
      <c r="BG211" s="17">
        <f t="shared" ref="BG211:BG225" si="959">O211</f>
        <v>50</v>
      </c>
      <c r="BH211" s="17">
        <f t="shared" ref="BH211:BH225" si="960">0.622*7000*(BG211/100)*(6.1078*10^((7.5*BF211)/(237.3+BF211)))/(1013.25-(6.1078*10^((7.5*BF211)/(237.3+BF211)))*BG211/100)</f>
        <v>65.062647806544774</v>
      </c>
      <c r="BI211" s="17">
        <f t="shared" ref="BI211:BI225" si="961">BE211-BH211</f>
        <v>115.80077203255705</v>
      </c>
      <c r="BJ211" s="17">
        <f t="shared" ref="BJ211:BJ225" si="962">P211</f>
        <v>45</v>
      </c>
      <c r="BK211" s="17">
        <f t="shared" ref="BK211:BK225" si="963">Q211</f>
        <v>85</v>
      </c>
      <c r="BL211" s="17">
        <f t="shared" ref="BL211:BL225" si="964">0.622*7000*(BK211/100)*(6.1078*10^((7.5*BJ211)/(237.3+BJ211)))/(1013.25-(6.1078*10^((7.5*BJ211)/(237.3+BJ211)))*BK211/100)</f>
        <v>380.54120080897206</v>
      </c>
      <c r="BM211" s="17">
        <f t="shared" ref="BM211:BM225" si="965">BF211</f>
        <v>24</v>
      </c>
      <c r="BN211" s="17">
        <f t="shared" ref="BN211:BN225" si="966">BG211</f>
        <v>50</v>
      </c>
      <c r="BO211" s="17">
        <f t="shared" ref="BO211:BO225" si="967">0.622*7000*(BN211/100)*(6.1078*10^((7.5*BM211)/(237.3+BM211)))/(1013.25-(6.1078*10^((7.5*BM211)/(237.3+BM211)))*BN211/100)</f>
        <v>65.062647806544774</v>
      </c>
      <c r="BP211" s="17">
        <f t="shared" ref="BP211:BP225" si="968">BL211-BO211</f>
        <v>315.4785530024273</v>
      </c>
      <c r="BQ211" s="17">
        <f t="shared" ref="BQ211:BQ225" si="969">(E211*G211*10.76*2+F211*G211*2*10.76)*BB211*0.45</f>
        <v>3514.1299199999999</v>
      </c>
      <c r="BR211" s="17">
        <f t="shared" ref="BR211:BR225" si="970">(E211*G211*10.76*2+F211*G211*2*10.76)*BA211*0.45</f>
        <v>1338.7161599999993</v>
      </c>
      <c r="BS211" s="17">
        <f t="shared" ref="BS211:BS225" si="971">(E211*F211*10.76)*BA211*0.45</f>
        <v>276.11020799999983</v>
      </c>
      <c r="BT211" s="17">
        <f t="shared" ref="BT211:BT225" si="972">(E211*F211*10.76)*BB211*0.45</f>
        <v>724.78929599999992</v>
      </c>
      <c r="BU211" s="17">
        <f t="shared" ref="BU211:BU225" si="973">H211*285*1.08*BB211</f>
        <v>23269.68</v>
      </c>
      <c r="BV211" s="17">
        <f t="shared" ref="BV211:BV225" si="974">I211*1000*3.412</f>
        <v>3412</v>
      </c>
      <c r="BW211" s="17">
        <f t="shared" ref="BW211:BW225" si="975">J211*X211*3.412</f>
        <v>254.42192159999999</v>
      </c>
      <c r="BX211" s="17">
        <f t="shared" ref="BX211:BX225" si="976">K211*1.08*375*BA211</f>
        <v>17495.999999999989</v>
      </c>
      <c r="BY211" s="17">
        <f t="shared" ref="BY211:BY225" si="977">(AA211+AB211)*1.08*BB211</f>
        <v>2738.65984229376</v>
      </c>
      <c r="BZ211" s="17"/>
      <c r="CA211" s="17">
        <f t="shared" ref="CA211:CA225" si="978">H211*200*0.68*BP211</f>
        <v>85810.166416660228</v>
      </c>
      <c r="CB211" s="17">
        <f t="shared" ref="CB211:CB225" si="979">K211*375*0.68*BP211</f>
        <v>241341.0930468569</v>
      </c>
      <c r="CC211" s="17">
        <f t="shared" ref="CC211:CC225" si="980">(AA211+AB211)*0.68*BP211</f>
        <v>14391.341908304676</v>
      </c>
      <c r="CD211" s="17">
        <f t="shared" ref="CD211:CD225" si="981">($Z211-$AA211)*0.68*$BP211</f>
        <v>129522.07717474207</v>
      </c>
      <c r="CE211" s="17">
        <f t="shared" ref="CE211:CE225" si="982">$BQ211+$BU211+$BV211+$BW211+$BX211+$BY211</f>
        <v>50684.891683893751</v>
      </c>
      <c r="CF211" s="17">
        <f t="shared" ref="CF211:CF225" si="983">$CA211+$CB211+$CC211+$CD211</f>
        <v>471064.67854656384</v>
      </c>
      <c r="CG211" s="17">
        <f t="shared" ref="CG211:CG225" si="984">$CE211+$CF211</f>
        <v>521749.57023045758</v>
      </c>
      <c r="CH211" s="17">
        <f t="shared" ref="CH211:CH225" si="985">CONVERT(N211,"C","F")-CONVERT((N211-8),"C","F")</f>
        <v>14.400000000000006</v>
      </c>
      <c r="CI211" s="17">
        <f t="shared" ref="CI211:CI225" si="986">CONVERT(T211,"C","F")-CONVERT(N211,"C","F")</f>
        <v>-43.2</v>
      </c>
      <c r="CJ211" s="17">
        <f t="shared" ref="CJ211:CJ225" si="987">CM211-8</f>
        <v>16</v>
      </c>
      <c r="CK211" s="17">
        <f t="shared" ref="CK211:CK225" si="988">O211+40</f>
        <v>90</v>
      </c>
      <c r="CL211" s="17">
        <f t="shared" ref="CL211:CL225" si="989">0.622*7000*(CK211/100)*(6.1078*10^((7.5*CJ211)/(237.3+CJ211)))/(1013.25-(6.1078*10^((7.5*CJ211)/(237.3+CJ211)))*CK211/100)</f>
        <v>71.46880726181422</v>
      </c>
      <c r="CM211" s="17">
        <f t="shared" ref="CM211:CM225" si="990">N211</f>
        <v>24</v>
      </c>
      <c r="CN211" s="17">
        <f t="shared" ref="CN211:CN225" si="991">O211</f>
        <v>50</v>
      </c>
      <c r="CO211" s="17">
        <f t="shared" ref="CO211:CO225" si="992">0.622*7000*(CN211/100)*(6.1078*10^((7.5*CM211)/(237.3+CM211)))/(1013.25-(6.1078*10^((7.5*CM211)/(237.3+CM211)))*CN211/100)</f>
        <v>65.062647806544774</v>
      </c>
      <c r="CP211" s="17">
        <f t="shared" ref="CP211:CP225" si="993">CL211-CO211</f>
        <v>6.4061594552694459</v>
      </c>
      <c r="CQ211" s="17">
        <f t="shared" ref="CQ211:CQ225" si="994">T211</f>
        <v>0</v>
      </c>
      <c r="CR211" s="17">
        <f t="shared" ref="CR211:CR225" si="995">U211</f>
        <v>100</v>
      </c>
      <c r="CS211" s="17">
        <f t="shared" ref="CS211:CS225" si="996">0.622*7000*(CR211/100)*(6.1078*10^((7.5*CQ211)/(237.3+CQ211)))/(1013.25-(6.1078*10^((7.5*CQ211)/(237.3+CQ211)))*CR211/100)</f>
        <v>26.404773030064671</v>
      </c>
      <c r="CT211" s="17">
        <f t="shared" ref="CT211:CT225" si="997">CM211</f>
        <v>24</v>
      </c>
      <c r="CU211" s="17">
        <f t="shared" ref="CU211:CU225" si="998">O211</f>
        <v>50</v>
      </c>
      <c r="CV211" s="17">
        <f t="shared" ref="CV211:CV225" si="999">0.622*7000*(CU211/100)*(6.1078*10^((7.5*CT211)/(237.3+CT211)))/(1013.25-(6.1078*10^((7.5*CT211)/(237.3+CT211)))*CU211/100)</f>
        <v>65.062647806544774</v>
      </c>
      <c r="CW211" s="17">
        <f t="shared" ref="CW211:CW225" si="1000">CS211-CV211</f>
        <v>-38.657874776480099</v>
      </c>
      <c r="CX211" s="17">
        <f t="shared" si="938"/>
        <v>-4016.1484800000003</v>
      </c>
      <c r="CY211" s="17">
        <f t="shared" si="938"/>
        <v>-4016.1484800000003</v>
      </c>
      <c r="CZ211" s="17">
        <f t="shared" ref="CZ211:CZ225" si="1001">($E211*$F211*10.76)*$CH211*0.45</f>
        <v>276.11020800000011</v>
      </c>
      <c r="DA211" s="17">
        <f t="shared" ref="DA211:DA225" si="1002">($E211*$F211*10.76)*$CI211*0.45</f>
        <v>-828.33062400000006</v>
      </c>
      <c r="DB211" s="17">
        <f t="shared" ref="DB211:DB225" si="1003">$H211*285*1.08*$CI211</f>
        <v>-26593.920000000002</v>
      </c>
      <c r="DC211" s="17">
        <f t="shared" ref="DC211:DC225" si="1004">$I211*1000*3.412</f>
        <v>3412</v>
      </c>
      <c r="DD211" s="17">
        <f t="shared" ref="DD211:DD225" si="1005">$J211*$X211*3.412</f>
        <v>254.42192159999999</v>
      </c>
      <c r="DE211" s="17">
        <f t="shared" ref="DE211:DE225" si="1006">$K211*1.08*375*$CH211</f>
        <v>17496.000000000007</v>
      </c>
      <c r="DF211" s="17">
        <f t="shared" ref="DF211:DF225" si="1007">($AA211+$AB211)*1.08*$CI211</f>
        <v>-3129.8969626214403</v>
      </c>
      <c r="DG211" s="17"/>
      <c r="DH211" s="17">
        <f t="shared" ref="DH211:DH225" si="1008">$H211*200*0.68*CW211</f>
        <v>-10514.941939202587</v>
      </c>
      <c r="DI211" s="17">
        <f t="shared" ref="DI211:DI225" si="1009">$K211*375*0.68*CW211</f>
        <v>-29573.274204007277</v>
      </c>
      <c r="DJ211" s="17">
        <f t="shared" ref="DJ211:DJ225" si="1010">(AA211+AB211)*0.68*CW211</f>
        <v>-1763.475482127217</v>
      </c>
      <c r="DK211" s="17">
        <f t="shared" ref="DK211:DK225" si="1011">(Z211-AA211)*0.68*CP211</f>
        <v>2630.0966308563256</v>
      </c>
      <c r="DL211" s="17">
        <f t="shared" ref="DL211:DL225" si="1012">CX211+DA211+CZ211+DB211+DC211+DD211+DE211+DF211</f>
        <v>-13129.763937021437</v>
      </c>
      <c r="DM211" s="17">
        <f t="shared" ref="DM211:DM225" si="1013">DH211+DI211+DJ211+DK211</f>
        <v>-39221.594994480751</v>
      </c>
      <c r="DN211" s="17">
        <f t="shared" ref="DN211:DN225" si="1014">DL211+DM211</f>
        <v>-52351.358931502189</v>
      </c>
    </row>
    <row r="212" spans="3:120" ht="18.600000000000001">
      <c r="C212" s="13">
        <f>IF(D212&lt;&gt;"",COUNTA($D$10:D212),"")</f>
        <v>173</v>
      </c>
      <c r="D212" s="14" t="s">
        <v>202</v>
      </c>
      <c r="E212" s="14">
        <v>1.5</v>
      </c>
      <c r="F212" s="14">
        <v>2.8</v>
      </c>
      <c r="G212" s="14">
        <v>2.4</v>
      </c>
      <c r="H212" s="14">
        <v>2</v>
      </c>
      <c r="I212" s="14">
        <v>3</v>
      </c>
      <c r="J212" s="14">
        <v>1.75</v>
      </c>
      <c r="K212" s="14">
        <v>3</v>
      </c>
      <c r="L212" s="15">
        <v>0.1</v>
      </c>
      <c r="M212" s="15">
        <v>0</v>
      </c>
      <c r="N212" s="14">
        <v>24</v>
      </c>
      <c r="O212" s="14">
        <v>50</v>
      </c>
      <c r="P212" s="13">
        <v>45</v>
      </c>
      <c r="Q212" s="13">
        <v>85</v>
      </c>
      <c r="R212" s="13" t="s">
        <v>17</v>
      </c>
      <c r="S212" s="13">
        <v>120</v>
      </c>
      <c r="T212" s="13">
        <v>0</v>
      </c>
      <c r="U212" s="13">
        <v>100</v>
      </c>
      <c r="V212" s="13" t="str">
        <f t="shared" si="939"/>
        <v>ISO 6</v>
      </c>
      <c r="W212" s="13">
        <f t="shared" si="940"/>
        <v>120</v>
      </c>
      <c r="X212" s="16">
        <f t="shared" si="941"/>
        <v>45.191999999999993</v>
      </c>
      <c r="Y212" s="16">
        <f t="shared" si="942"/>
        <v>355.75142399999993</v>
      </c>
      <c r="Z212" s="16">
        <f t="shared" si="943"/>
        <v>711.50284799999986</v>
      </c>
      <c r="AA212" s="16">
        <f t="shared" si="944"/>
        <v>71.150284799999994</v>
      </c>
      <c r="AB212" s="16">
        <f t="shared" si="945"/>
        <v>0</v>
      </c>
      <c r="AC212" s="16">
        <f t="shared" si="946"/>
        <v>6.5452646860337245</v>
      </c>
      <c r="AD212" s="16">
        <f t="shared" si="947"/>
        <v>2250</v>
      </c>
      <c r="AE212" s="16">
        <f t="shared" si="948"/>
        <v>2250</v>
      </c>
      <c r="AF212" s="16">
        <f t="shared" si="949"/>
        <v>14</v>
      </c>
      <c r="AG212" s="16">
        <f t="shared" si="950"/>
        <v>6</v>
      </c>
      <c r="AH212" s="838" t="s">
        <v>85</v>
      </c>
      <c r="AI212" s="17">
        <f t="shared" si="951"/>
        <v>5</v>
      </c>
      <c r="AJ212" s="17">
        <f t="shared" si="952"/>
        <v>6</v>
      </c>
      <c r="AK212" s="891"/>
      <c r="AL212" s="18" t="s">
        <v>255</v>
      </c>
      <c r="AM212" s="889"/>
      <c r="AN212" s="891"/>
      <c r="AO212" s="888"/>
      <c r="AP212" s="891"/>
      <c r="AQ212" s="891"/>
      <c r="AR212" s="889"/>
      <c r="AS212" s="888"/>
      <c r="AT212" s="888"/>
      <c r="AU212" s="890"/>
      <c r="AV212" s="888"/>
      <c r="AW212" s="888"/>
      <c r="AX212" s="888"/>
      <c r="AY212" s="887"/>
      <c r="AZ212" s="888"/>
      <c r="BA212" s="17">
        <f t="shared" si="953"/>
        <v>14.399999999999991</v>
      </c>
      <c r="BB212" s="17">
        <f t="shared" si="954"/>
        <v>37.799999999999997</v>
      </c>
      <c r="BC212" s="17">
        <f t="shared" si="955"/>
        <v>32</v>
      </c>
      <c r="BD212" s="17">
        <f t="shared" si="956"/>
        <v>85</v>
      </c>
      <c r="BE212" s="17">
        <f t="shared" si="957"/>
        <v>180.86341983910182</v>
      </c>
      <c r="BF212" s="17">
        <f t="shared" si="958"/>
        <v>24</v>
      </c>
      <c r="BG212" s="17">
        <f t="shared" si="959"/>
        <v>50</v>
      </c>
      <c r="BH212" s="17">
        <f t="shared" si="960"/>
        <v>65.062647806544774</v>
      </c>
      <c r="BI212" s="17">
        <f t="shared" si="961"/>
        <v>115.80077203255705</v>
      </c>
      <c r="BJ212" s="17">
        <f t="shared" si="962"/>
        <v>45</v>
      </c>
      <c r="BK212" s="17">
        <f t="shared" si="963"/>
        <v>85</v>
      </c>
      <c r="BL212" s="17">
        <f t="shared" si="964"/>
        <v>380.54120080897206</v>
      </c>
      <c r="BM212" s="17">
        <f t="shared" si="965"/>
        <v>24</v>
      </c>
      <c r="BN212" s="17">
        <f t="shared" si="966"/>
        <v>50</v>
      </c>
      <c r="BO212" s="17">
        <f t="shared" si="967"/>
        <v>65.062647806544774</v>
      </c>
      <c r="BP212" s="17">
        <f t="shared" si="968"/>
        <v>315.4785530024273</v>
      </c>
      <c r="BQ212" s="17">
        <f t="shared" si="969"/>
        <v>3777.6896639999995</v>
      </c>
      <c r="BR212" s="17">
        <f t="shared" si="970"/>
        <v>1439.1198719999991</v>
      </c>
      <c r="BS212" s="17">
        <f t="shared" si="971"/>
        <v>292.84415999999976</v>
      </c>
      <c r="BT212" s="17">
        <f t="shared" si="972"/>
        <v>768.71591999999987</v>
      </c>
      <c r="BU212" s="17">
        <f t="shared" si="973"/>
        <v>23269.68</v>
      </c>
      <c r="BV212" s="17">
        <f t="shared" si="974"/>
        <v>10236</v>
      </c>
      <c r="BW212" s="17">
        <f t="shared" si="975"/>
        <v>269.84143199999994</v>
      </c>
      <c r="BX212" s="17">
        <f t="shared" si="976"/>
        <v>17495.999999999989</v>
      </c>
      <c r="BY212" s="17">
        <f t="shared" si="977"/>
        <v>2904.6392266751996</v>
      </c>
      <c r="BZ212" s="17"/>
      <c r="CA212" s="17">
        <f t="shared" si="978"/>
        <v>85810.166416660228</v>
      </c>
      <c r="CB212" s="17">
        <f t="shared" si="979"/>
        <v>241341.0930468569</v>
      </c>
      <c r="CC212" s="17">
        <f t="shared" si="980"/>
        <v>15263.544448201927</v>
      </c>
      <c r="CD212" s="17">
        <f t="shared" si="981"/>
        <v>137371.90003381731</v>
      </c>
      <c r="CE212" s="17">
        <f t="shared" si="982"/>
        <v>57953.850322675185</v>
      </c>
      <c r="CF212" s="17">
        <f t="shared" si="983"/>
        <v>479786.7039455364</v>
      </c>
      <c r="CG212" s="17">
        <f t="shared" si="984"/>
        <v>537740.55426821159</v>
      </c>
      <c r="CH212" s="17">
        <f t="shared" si="985"/>
        <v>14.400000000000006</v>
      </c>
      <c r="CI212" s="17">
        <f t="shared" si="986"/>
        <v>-43.2</v>
      </c>
      <c r="CJ212" s="17">
        <f t="shared" si="987"/>
        <v>16</v>
      </c>
      <c r="CK212" s="17">
        <f t="shared" si="988"/>
        <v>90</v>
      </c>
      <c r="CL212" s="17">
        <f t="shared" si="989"/>
        <v>71.46880726181422</v>
      </c>
      <c r="CM212" s="17">
        <f t="shared" si="990"/>
        <v>24</v>
      </c>
      <c r="CN212" s="17">
        <f t="shared" si="991"/>
        <v>50</v>
      </c>
      <c r="CO212" s="17">
        <f t="shared" si="992"/>
        <v>65.062647806544774</v>
      </c>
      <c r="CP212" s="17">
        <f t="shared" si="993"/>
        <v>6.4061594552694459</v>
      </c>
      <c r="CQ212" s="17">
        <f t="shared" si="994"/>
        <v>0</v>
      </c>
      <c r="CR212" s="17">
        <f t="shared" si="995"/>
        <v>100</v>
      </c>
      <c r="CS212" s="17">
        <f t="shared" si="996"/>
        <v>26.404773030064671</v>
      </c>
      <c r="CT212" s="17">
        <f t="shared" si="997"/>
        <v>24</v>
      </c>
      <c r="CU212" s="17">
        <f t="shared" si="998"/>
        <v>50</v>
      </c>
      <c r="CV212" s="17">
        <f t="shared" si="999"/>
        <v>65.062647806544774</v>
      </c>
      <c r="CW212" s="17">
        <f t="shared" si="1000"/>
        <v>-38.657874776480099</v>
      </c>
      <c r="CX212" s="17">
        <f t="shared" si="938"/>
        <v>-4317.3596159999997</v>
      </c>
      <c r="CY212" s="17">
        <f t="shared" si="938"/>
        <v>-4317.3596159999997</v>
      </c>
      <c r="CZ212" s="17">
        <f t="shared" si="1001"/>
        <v>292.8441600000001</v>
      </c>
      <c r="DA212" s="17">
        <f t="shared" si="1002"/>
        <v>-878.53247999999996</v>
      </c>
      <c r="DB212" s="17">
        <f t="shared" si="1003"/>
        <v>-26593.920000000002</v>
      </c>
      <c r="DC212" s="17">
        <f t="shared" si="1004"/>
        <v>10236</v>
      </c>
      <c r="DD212" s="17">
        <f t="shared" si="1005"/>
        <v>269.84143199999994</v>
      </c>
      <c r="DE212" s="17">
        <f t="shared" si="1006"/>
        <v>17496.000000000007</v>
      </c>
      <c r="DF212" s="17">
        <f t="shared" si="1007"/>
        <v>-3319.5876876288003</v>
      </c>
      <c r="DG212" s="17"/>
      <c r="DH212" s="17">
        <f t="shared" si="1008"/>
        <v>-10514.941939202587</v>
      </c>
      <c r="DI212" s="17">
        <f t="shared" si="1009"/>
        <v>-29573.274204007277</v>
      </c>
      <c r="DJ212" s="17">
        <f t="shared" si="1010"/>
        <v>-1870.3527840743209</v>
      </c>
      <c r="DK212" s="17">
        <f t="shared" si="1011"/>
        <v>2789.4964266657994</v>
      </c>
      <c r="DL212" s="17">
        <f t="shared" si="1012"/>
        <v>-6814.7141916287928</v>
      </c>
      <c r="DM212" s="17">
        <f t="shared" si="1013"/>
        <v>-39169.072500618386</v>
      </c>
      <c r="DN212" s="17">
        <f t="shared" si="1014"/>
        <v>-45983.78669224718</v>
      </c>
    </row>
    <row r="213" spans="3:120" ht="18.600000000000001">
      <c r="C213" s="13">
        <f>IF(D213&lt;&gt;"",COUNTA($D$10:D213),"")</f>
        <v>174</v>
      </c>
      <c r="D213" s="14" t="s">
        <v>203</v>
      </c>
      <c r="E213" s="14">
        <v>2.1</v>
      </c>
      <c r="F213" s="14">
        <v>3.5</v>
      </c>
      <c r="G213" s="14">
        <v>2.4</v>
      </c>
      <c r="H213" s="14">
        <v>0</v>
      </c>
      <c r="I213" s="14">
        <v>1</v>
      </c>
      <c r="J213" s="14">
        <v>1.75</v>
      </c>
      <c r="K213" s="14">
        <v>3</v>
      </c>
      <c r="L213" s="15">
        <v>0.1</v>
      </c>
      <c r="M213" s="15">
        <v>0</v>
      </c>
      <c r="N213" s="14">
        <v>24</v>
      </c>
      <c r="O213" s="14">
        <v>50</v>
      </c>
      <c r="P213" s="13">
        <v>45</v>
      </c>
      <c r="Q213" s="13">
        <v>85</v>
      </c>
      <c r="R213" s="13" t="s">
        <v>17</v>
      </c>
      <c r="S213" s="13">
        <v>120</v>
      </c>
      <c r="T213" s="13">
        <v>0</v>
      </c>
      <c r="U213" s="13">
        <v>100</v>
      </c>
      <c r="V213" s="13" t="str">
        <f t="shared" si="939"/>
        <v>ISO 6</v>
      </c>
      <c r="W213" s="13">
        <f t="shared" si="940"/>
        <v>120</v>
      </c>
      <c r="X213" s="16">
        <f t="shared" si="941"/>
        <v>79.085999999999999</v>
      </c>
      <c r="Y213" s="16">
        <f t="shared" si="942"/>
        <v>622.56499199999996</v>
      </c>
      <c r="Z213" s="16">
        <f t="shared" si="943"/>
        <v>1245.1299839999999</v>
      </c>
      <c r="AA213" s="16">
        <f t="shared" si="944"/>
        <v>124.5129984</v>
      </c>
      <c r="AB213" s="16">
        <f t="shared" si="945"/>
        <v>0</v>
      </c>
      <c r="AC213" s="16">
        <f t="shared" si="946"/>
        <v>11.454213200559018</v>
      </c>
      <c r="AD213" s="16">
        <f t="shared" si="947"/>
        <v>2375</v>
      </c>
      <c r="AE213" s="16">
        <f t="shared" si="948"/>
        <v>2375</v>
      </c>
      <c r="AF213" s="16">
        <f t="shared" si="949"/>
        <v>14</v>
      </c>
      <c r="AG213" s="16">
        <f t="shared" si="950"/>
        <v>6</v>
      </c>
      <c r="AH213" s="838" t="s">
        <v>85</v>
      </c>
      <c r="AI213" s="17">
        <f t="shared" si="951"/>
        <v>3</v>
      </c>
      <c r="AJ213" s="17">
        <f t="shared" si="952"/>
        <v>6</v>
      </c>
      <c r="AK213" s="891"/>
      <c r="AL213" s="18">
        <f>IF(AK210&lt;=2000,950,(IF(AK210&lt;=4000,1100,(IF(AK210&lt;=6000,1250,(IF(AK210&lt;=10000,1550,(IF(AK210&lt;=15000,1750,(IF(AK210&lt;=24000,2050,(IF(AK210&lt;=40000,2900,3600)))))))))))))</f>
        <v>3600</v>
      </c>
      <c r="AM213" s="889"/>
      <c r="AN213" s="891"/>
      <c r="AO213" s="888"/>
      <c r="AP213" s="891"/>
      <c r="AQ213" s="891"/>
      <c r="AR213" s="889"/>
      <c r="AS213" s="888"/>
      <c r="AT213" s="888"/>
      <c r="AU213" s="890"/>
      <c r="AV213" s="888"/>
      <c r="AW213" s="888"/>
      <c r="AX213" s="888"/>
      <c r="AY213" s="887"/>
      <c r="AZ213" s="888"/>
      <c r="BA213" s="17">
        <f t="shared" si="953"/>
        <v>14.399999999999991</v>
      </c>
      <c r="BB213" s="17">
        <f t="shared" si="954"/>
        <v>37.799999999999997</v>
      </c>
      <c r="BC213" s="17">
        <f t="shared" si="955"/>
        <v>32</v>
      </c>
      <c r="BD213" s="17">
        <f t="shared" si="956"/>
        <v>85</v>
      </c>
      <c r="BE213" s="17">
        <f t="shared" si="957"/>
        <v>180.86341983910182</v>
      </c>
      <c r="BF213" s="17">
        <f t="shared" si="958"/>
        <v>24</v>
      </c>
      <c r="BG213" s="17">
        <f t="shared" si="959"/>
        <v>50</v>
      </c>
      <c r="BH213" s="17">
        <f t="shared" si="960"/>
        <v>65.062647806544774</v>
      </c>
      <c r="BI213" s="17">
        <f t="shared" si="961"/>
        <v>115.80077203255705</v>
      </c>
      <c r="BJ213" s="17">
        <f t="shared" si="962"/>
        <v>45</v>
      </c>
      <c r="BK213" s="17">
        <f t="shared" si="963"/>
        <v>85</v>
      </c>
      <c r="BL213" s="17">
        <f t="shared" si="964"/>
        <v>380.54120080897206</v>
      </c>
      <c r="BM213" s="17">
        <f t="shared" si="965"/>
        <v>24</v>
      </c>
      <c r="BN213" s="17">
        <f t="shared" si="966"/>
        <v>50</v>
      </c>
      <c r="BO213" s="17">
        <f t="shared" si="967"/>
        <v>65.062647806544774</v>
      </c>
      <c r="BP213" s="17">
        <f t="shared" si="968"/>
        <v>315.4785530024273</v>
      </c>
      <c r="BQ213" s="17">
        <f t="shared" si="969"/>
        <v>4919.7818879999995</v>
      </c>
      <c r="BR213" s="17">
        <f t="shared" si="970"/>
        <v>1874.2026239999989</v>
      </c>
      <c r="BS213" s="17">
        <f t="shared" si="971"/>
        <v>512.47727999999972</v>
      </c>
      <c r="BT213" s="17">
        <f t="shared" si="972"/>
        <v>1345.2528599999998</v>
      </c>
      <c r="BU213" s="17">
        <f t="shared" si="973"/>
        <v>0</v>
      </c>
      <c r="BV213" s="17">
        <f t="shared" si="974"/>
        <v>3412</v>
      </c>
      <c r="BW213" s="17">
        <f t="shared" si="975"/>
        <v>472.22250599999995</v>
      </c>
      <c r="BX213" s="17">
        <f t="shared" si="976"/>
        <v>17495.999999999989</v>
      </c>
      <c r="BY213" s="17">
        <f t="shared" si="977"/>
        <v>5083.1186466815998</v>
      </c>
      <c r="BZ213" s="17"/>
      <c r="CA213" s="17">
        <f t="shared" si="978"/>
        <v>0</v>
      </c>
      <c r="CB213" s="17">
        <f t="shared" si="979"/>
        <v>241341.0930468569</v>
      </c>
      <c r="CC213" s="17">
        <f t="shared" si="980"/>
        <v>26711.202784353376</v>
      </c>
      <c r="CD213" s="17">
        <f t="shared" si="981"/>
        <v>240400.82505918032</v>
      </c>
      <c r="CE213" s="17">
        <f t="shared" si="982"/>
        <v>31383.123040681588</v>
      </c>
      <c r="CF213" s="17">
        <f t="shared" si="983"/>
        <v>508453.12089039059</v>
      </c>
      <c r="CG213" s="17">
        <f t="shared" si="984"/>
        <v>539836.24393107218</v>
      </c>
      <c r="CH213" s="17">
        <f t="shared" si="985"/>
        <v>14.400000000000006</v>
      </c>
      <c r="CI213" s="17">
        <f t="shared" si="986"/>
        <v>-43.2</v>
      </c>
      <c r="CJ213" s="17">
        <f t="shared" si="987"/>
        <v>16</v>
      </c>
      <c r="CK213" s="17">
        <f t="shared" si="988"/>
        <v>90</v>
      </c>
      <c r="CL213" s="17">
        <f t="shared" si="989"/>
        <v>71.46880726181422</v>
      </c>
      <c r="CM213" s="17">
        <f t="shared" si="990"/>
        <v>24</v>
      </c>
      <c r="CN213" s="17">
        <f t="shared" si="991"/>
        <v>50</v>
      </c>
      <c r="CO213" s="17">
        <f t="shared" si="992"/>
        <v>65.062647806544774</v>
      </c>
      <c r="CP213" s="17">
        <f t="shared" si="993"/>
        <v>6.4061594552694459</v>
      </c>
      <c r="CQ213" s="17">
        <f t="shared" si="994"/>
        <v>0</v>
      </c>
      <c r="CR213" s="17">
        <f t="shared" si="995"/>
        <v>100</v>
      </c>
      <c r="CS213" s="17">
        <f t="shared" si="996"/>
        <v>26.404773030064671</v>
      </c>
      <c r="CT213" s="17">
        <f t="shared" si="997"/>
        <v>24</v>
      </c>
      <c r="CU213" s="17">
        <f t="shared" si="998"/>
        <v>50</v>
      </c>
      <c r="CV213" s="17">
        <f t="shared" si="999"/>
        <v>65.062647806544774</v>
      </c>
      <c r="CW213" s="17">
        <f t="shared" si="1000"/>
        <v>-38.657874776480099</v>
      </c>
      <c r="CX213" s="17">
        <f t="shared" si="938"/>
        <v>-5622.6078720000005</v>
      </c>
      <c r="CY213" s="17">
        <f t="shared" si="938"/>
        <v>-5622.6078720000005</v>
      </c>
      <c r="CZ213" s="17">
        <f t="shared" si="1001"/>
        <v>512.47728000000018</v>
      </c>
      <c r="DA213" s="17">
        <f t="shared" si="1002"/>
        <v>-1537.4318400000002</v>
      </c>
      <c r="DB213" s="17">
        <f t="shared" si="1003"/>
        <v>0</v>
      </c>
      <c r="DC213" s="17">
        <f t="shared" si="1004"/>
        <v>3412</v>
      </c>
      <c r="DD213" s="17">
        <f t="shared" si="1005"/>
        <v>472.22250599999995</v>
      </c>
      <c r="DE213" s="17">
        <f t="shared" si="1006"/>
        <v>17496.000000000007</v>
      </c>
      <c r="DF213" s="17">
        <f t="shared" si="1007"/>
        <v>-5809.2784533504</v>
      </c>
      <c r="DG213" s="17"/>
      <c r="DH213" s="17">
        <f t="shared" si="1008"/>
        <v>0</v>
      </c>
      <c r="DI213" s="17">
        <f t="shared" si="1009"/>
        <v>-29573.274204007277</v>
      </c>
      <c r="DJ213" s="17">
        <f t="shared" si="1010"/>
        <v>-3273.117372130062</v>
      </c>
      <c r="DK213" s="17">
        <f t="shared" si="1011"/>
        <v>4881.618746665149</v>
      </c>
      <c r="DL213" s="17">
        <f t="shared" si="1012"/>
        <v>8923.3816206496067</v>
      </c>
      <c r="DM213" s="17">
        <f t="shared" si="1013"/>
        <v>-27964.772829472186</v>
      </c>
      <c r="DN213" s="17">
        <f t="shared" si="1014"/>
        <v>-19041.391208822577</v>
      </c>
    </row>
    <row r="214" spans="3:120" ht="18.600000000000001">
      <c r="C214" s="13">
        <f>IF(D214&lt;&gt;"",COUNTA($D$10:D214),"")</f>
        <v>175</v>
      </c>
      <c r="D214" s="14" t="s">
        <v>204</v>
      </c>
      <c r="E214" s="14">
        <v>2.7</v>
      </c>
      <c r="F214" s="14">
        <v>4</v>
      </c>
      <c r="G214" s="14">
        <v>2.4</v>
      </c>
      <c r="H214" s="14">
        <v>2</v>
      </c>
      <c r="I214" s="14">
        <v>1</v>
      </c>
      <c r="J214" s="14">
        <v>1.75</v>
      </c>
      <c r="K214" s="14">
        <v>3</v>
      </c>
      <c r="L214" s="15">
        <v>0.1</v>
      </c>
      <c r="M214" s="15">
        <v>0</v>
      </c>
      <c r="N214" s="14">
        <v>24</v>
      </c>
      <c r="O214" s="14">
        <v>50</v>
      </c>
      <c r="P214" s="13">
        <v>45</v>
      </c>
      <c r="Q214" s="13">
        <v>85</v>
      </c>
      <c r="R214" s="13" t="s">
        <v>17</v>
      </c>
      <c r="S214" s="13">
        <v>120</v>
      </c>
      <c r="T214" s="13">
        <v>0</v>
      </c>
      <c r="U214" s="13">
        <v>100</v>
      </c>
      <c r="V214" s="13" t="str">
        <f t="shared" si="939"/>
        <v>ISO 6</v>
      </c>
      <c r="W214" s="13">
        <f t="shared" si="940"/>
        <v>120</v>
      </c>
      <c r="X214" s="16">
        <f t="shared" si="941"/>
        <v>116.208</v>
      </c>
      <c r="Y214" s="16">
        <f t="shared" si="942"/>
        <v>914.78937599999995</v>
      </c>
      <c r="Z214" s="16">
        <f t="shared" si="943"/>
        <v>1829.5787519999999</v>
      </c>
      <c r="AA214" s="16">
        <f t="shared" si="944"/>
        <v>182.95787519999999</v>
      </c>
      <c r="AB214" s="16">
        <f t="shared" si="945"/>
        <v>0</v>
      </c>
      <c r="AC214" s="16">
        <f t="shared" si="946"/>
        <v>16.830680621229575</v>
      </c>
      <c r="AD214" s="16">
        <f t="shared" si="947"/>
        <v>3375</v>
      </c>
      <c r="AE214" s="16">
        <f t="shared" si="948"/>
        <v>3375</v>
      </c>
      <c r="AF214" s="16">
        <f t="shared" si="949"/>
        <v>20</v>
      </c>
      <c r="AG214" s="16">
        <f t="shared" si="950"/>
        <v>8.5</v>
      </c>
      <c r="AH214" s="838" t="s">
        <v>85</v>
      </c>
      <c r="AI214" s="17">
        <f t="shared" si="951"/>
        <v>5</v>
      </c>
      <c r="AJ214" s="17">
        <f t="shared" si="952"/>
        <v>8.5</v>
      </c>
      <c r="AK214" s="891"/>
      <c r="AL214" s="18" t="s">
        <v>256</v>
      </c>
      <c r="AM214" s="889"/>
      <c r="AN214" s="891"/>
      <c r="AO214" s="888"/>
      <c r="AP214" s="891"/>
      <c r="AQ214" s="891"/>
      <c r="AR214" s="889"/>
      <c r="AS214" s="888"/>
      <c r="AT214" s="888"/>
      <c r="AU214" s="890"/>
      <c r="AV214" s="888"/>
      <c r="AW214" s="888"/>
      <c r="AX214" s="888"/>
      <c r="AY214" s="887"/>
      <c r="AZ214" s="888"/>
      <c r="BA214" s="17">
        <f t="shared" si="953"/>
        <v>14.399999999999991</v>
      </c>
      <c r="BB214" s="17">
        <f t="shared" si="954"/>
        <v>37.799999999999997</v>
      </c>
      <c r="BC214" s="17">
        <f t="shared" si="955"/>
        <v>32</v>
      </c>
      <c r="BD214" s="17">
        <f t="shared" si="956"/>
        <v>85</v>
      </c>
      <c r="BE214" s="17">
        <f t="shared" si="957"/>
        <v>180.86341983910182</v>
      </c>
      <c r="BF214" s="17">
        <f t="shared" si="958"/>
        <v>24</v>
      </c>
      <c r="BG214" s="17">
        <f t="shared" si="959"/>
        <v>50</v>
      </c>
      <c r="BH214" s="17">
        <f t="shared" si="960"/>
        <v>65.062647806544774</v>
      </c>
      <c r="BI214" s="17">
        <f t="shared" si="961"/>
        <v>115.80077203255705</v>
      </c>
      <c r="BJ214" s="17">
        <f t="shared" si="962"/>
        <v>45</v>
      </c>
      <c r="BK214" s="17">
        <f t="shared" si="963"/>
        <v>85</v>
      </c>
      <c r="BL214" s="17">
        <f t="shared" si="964"/>
        <v>380.54120080897206</v>
      </c>
      <c r="BM214" s="17">
        <f t="shared" si="965"/>
        <v>24</v>
      </c>
      <c r="BN214" s="17">
        <f t="shared" si="966"/>
        <v>50</v>
      </c>
      <c r="BO214" s="17">
        <f t="shared" si="967"/>
        <v>65.062647806544774</v>
      </c>
      <c r="BP214" s="17">
        <f t="shared" si="968"/>
        <v>315.4785530024273</v>
      </c>
      <c r="BQ214" s="17">
        <f t="shared" si="969"/>
        <v>5886.1676159999997</v>
      </c>
      <c r="BR214" s="17">
        <f t="shared" si="970"/>
        <v>2242.3495679999987</v>
      </c>
      <c r="BS214" s="17">
        <f t="shared" si="971"/>
        <v>753.02783999999963</v>
      </c>
      <c r="BT214" s="17">
        <f t="shared" si="972"/>
        <v>1976.6980799999997</v>
      </c>
      <c r="BU214" s="17">
        <f t="shared" si="973"/>
        <v>23269.68</v>
      </c>
      <c r="BV214" s="17">
        <f t="shared" si="974"/>
        <v>3412</v>
      </c>
      <c r="BW214" s="17">
        <f t="shared" si="975"/>
        <v>693.87796800000001</v>
      </c>
      <c r="BX214" s="17">
        <f t="shared" si="976"/>
        <v>17495.999999999989</v>
      </c>
      <c r="BY214" s="17">
        <f t="shared" si="977"/>
        <v>7469.0722971647992</v>
      </c>
      <c r="BZ214" s="17"/>
      <c r="CA214" s="17">
        <f t="shared" si="978"/>
        <v>85810.166416660228</v>
      </c>
      <c r="CB214" s="17">
        <f t="shared" si="979"/>
        <v>241341.0930468569</v>
      </c>
      <c r="CC214" s="17">
        <f t="shared" si="980"/>
        <v>39249.114295376385</v>
      </c>
      <c r="CD214" s="17">
        <f t="shared" si="981"/>
        <v>353242.02865838748</v>
      </c>
      <c r="CE214" s="17">
        <f t="shared" si="982"/>
        <v>58226.797881164784</v>
      </c>
      <c r="CF214" s="17">
        <f t="shared" si="983"/>
        <v>719642.40241728094</v>
      </c>
      <c r="CG214" s="17">
        <f t="shared" si="984"/>
        <v>777869.20029844576</v>
      </c>
      <c r="CH214" s="17">
        <f t="shared" si="985"/>
        <v>14.400000000000006</v>
      </c>
      <c r="CI214" s="17">
        <f t="shared" si="986"/>
        <v>-43.2</v>
      </c>
      <c r="CJ214" s="17">
        <f t="shared" si="987"/>
        <v>16</v>
      </c>
      <c r="CK214" s="17">
        <f t="shared" si="988"/>
        <v>90</v>
      </c>
      <c r="CL214" s="17">
        <f t="shared" si="989"/>
        <v>71.46880726181422</v>
      </c>
      <c r="CM214" s="17">
        <f t="shared" si="990"/>
        <v>24</v>
      </c>
      <c r="CN214" s="17">
        <f t="shared" si="991"/>
        <v>50</v>
      </c>
      <c r="CO214" s="17">
        <f t="shared" si="992"/>
        <v>65.062647806544774</v>
      </c>
      <c r="CP214" s="17">
        <f t="shared" si="993"/>
        <v>6.4061594552694459</v>
      </c>
      <c r="CQ214" s="17">
        <f t="shared" si="994"/>
        <v>0</v>
      </c>
      <c r="CR214" s="17">
        <f t="shared" si="995"/>
        <v>100</v>
      </c>
      <c r="CS214" s="17">
        <f t="shared" si="996"/>
        <v>26.404773030064671</v>
      </c>
      <c r="CT214" s="17">
        <f t="shared" si="997"/>
        <v>24</v>
      </c>
      <c r="CU214" s="17">
        <f t="shared" si="998"/>
        <v>50</v>
      </c>
      <c r="CV214" s="17">
        <f t="shared" si="999"/>
        <v>65.062647806544774</v>
      </c>
      <c r="CW214" s="17">
        <f t="shared" si="1000"/>
        <v>-38.657874776480099</v>
      </c>
      <c r="CX214" s="17">
        <f t="shared" si="938"/>
        <v>-6727.0487040000007</v>
      </c>
      <c r="CY214" s="17">
        <f t="shared" si="938"/>
        <v>-6727.0487040000007</v>
      </c>
      <c r="CZ214" s="17">
        <f t="shared" si="1001"/>
        <v>753.02784000000031</v>
      </c>
      <c r="DA214" s="17">
        <f t="shared" si="1002"/>
        <v>-2259.0835200000006</v>
      </c>
      <c r="DB214" s="17">
        <f t="shared" si="1003"/>
        <v>-26593.920000000002</v>
      </c>
      <c r="DC214" s="17">
        <f t="shared" si="1004"/>
        <v>3412</v>
      </c>
      <c r="DD214" s="17">
        <f t="shared" si="1005"/>
        <v>693.87796800000001</v>
      </c>
      <c r="DE214" s="17">
        <f t="shared" si="1006"/>
        <v>17496.000000000007</v>
      </c>
      <c r="DF214" s="17">
        <f t="shared" si="1007"/>
        <v>-8536.0826253312007</v>
      </c>
      <c r="DG214" s="17"/>
      <c r="DH214" s="17">
        <f t="shared" si="1008"/>
        <v>-10514.941939202587</v>
      </c>
      <c r="DI214" s="17">
        <f t="shared" si="1009"/>
        <v>-29573.274204007277</v>
      </c>
      <c r="DJ214" s="17">
        <f t="shared" si="1010"/>
        <v>-4809.478587619682</v>
      </c>
      <c r="DK214" s="17">
        <f t="shared" si="1011"/>
        <v>7172.9908114263426</v>
      </c>
      <c r="DL214" s="17">
        <f t="shared" si="1012"/>
        <v>-21761.229041331197</v>
      </c>
      <c r="DM214" s="17">
        <f t="shared" si="1013"/>
        <v>-37724.703919403204</v>
      </c>
      <c r="DN214" s="17">
        <f t="shared" si="1014"/>
        <v>-59485.932960734397</v>
      </c>
    </row>
    <row r="215" spans="3:120" ht="18.600000000000001">
      <c r="C215" s="13">
        <f>IF(D215&lt;&gt;"",COUNTA($D$10:D215),"")</f>
        <v>176</v>
      </c>
      <c r="D215" s="14" t="s">
        <v>205</v>
      </c>
      <c r="E215" s="14">
        <v>3.8</v>
      </c>
      <c r="F215" s="14">
        <v>4.2</v>
      </c>
      <c r="G215" s="14">
        <v>2.4</v>
      </c>
      <c r="H215" s="14">
        <v>3</v>
      </c>
      <c r="I215" s="14">
        <v>3</v>
      </c>
      <c r="J215" s="14">
        <v>1.75</v>
      </c>
      <c r="K215" s="14">
        <v>3</v>
      </c>
      <c r="L215" s="15">
        <v>0.1</v>
      </c>
      <c r="M215" s="15">
        <v>0</v>
      </c>
      <c r="N215" s="14">
        <v>24</v>
      </c>
      <c r="O215" s="14">
        <v>50</v>
      </c>
      <c r="P215" s="13">
        <v>45</v>
      </c>
      <c r="Q215" s="13">
        <v>85</v>
      </c>
      <c r="R215" s="13" t="s">
        <v>17</v>
      </c>
      <c r="S215" s="13">
        <v>120</v>
      </c>
      <c r="T215" s="13">
        <v>0</v>
      </c>
      <c r="U215" s="13">
        <v>100</v>
      </c>
      <c r="V215" s="13" t="str">
        <f t="shared" si="939"/>
        <v>ISO 6</v>
      </c>
      <c r="W215" s="13">
        <f t="shared" si="940"/>
        <v>120</v>
      </c>
      <c r="X215" s="16">
        <f t="shared" si="941"/>
        <v>171.72959999999998</v>
      </c>
      <c r="Y215" s="16">
        <f t="shared" si="942"/>
        <v>1351.8554111999997</v>
      </c>
      <c r="Z215" s="16">
        <f t="shared" si="943"/>
        <v>2703.7108223999994</v>
      </c>
      <c r="AA215" s="16">
        <f t="shared" si="944"/>
        <v>270.37108223999996</v>
      </c>
      <c r="AB215" s="16">
        <f t="shared" si="945"/>
        <v>0</v>
      </c>
      <c r="AC215" s="16">
        <f t="shared" si="946"/>
        <v>24.872005806928151</v>
      </c>
      <c r="AD215" s="16">
        <f t="shared" si="947"/>
        <v>4450</v>
      </c>
      <c r="AE215" s="16">
        <f t="shared" si="948"/>
        <v>4450</v>
      </c>
      <c r="AF215" s="16">
        <f t="shared" si="949"/>
        <v>26</v>
      </c>
      <c r="AG215" s="16">
        <f t="shared" si="950"/>
        <v>11.5</v>
      </c>
      <c r="AH215" s="838" t="s">
        <v>85</v>
      </c>
      <c r="AI215" s="17">
        <f t="shared" si="951"/>
        <v>7</v>
      </c>
      <c r="AJ215" s="17">
        <f t="shared" si="952"/>
        <v>11.5</v>
      </c>
      <c r="AK215" s="891"/>
      <c r="AL215" s="18">
        <f>IF(AL219&lt;4000,AL219,AL219+400)</f>
        <v>5800</v>
      </c>
      <c r="AM215" s="889"/>
      <c r="AN215" s="891"/>
      <c r="AO215" s="888"/>
      <c r="AP215" s="891"/>
      <c r="AQ215" s="891"/>
      <c r="AR215" s="889"/>
      <c r="AS215" s="888"/>
      <c r="AT215" s="888"/>
      <c r="AU215" s="890"/>
      <c r="AV215" s="888"/>
      <c r="AW215" s="888"/>
      <c r="AX215" s="888"/>
      <c r="AY215" s="887"/>
      <c r="AZ215" s="888"/>
      <c r="BA215" s="17">
        <f t="shared" si="953"/>
        <v>14.399999999999991</v>
      </c>
      <c r="BB215" s="17">
        <f t="shared" si="954"/>
        <v>37.799999999999997</v>
      </c>
      <c r="BC215" s="17">
        <f t="shared" si="955"/>
        <v>32</v>
      </c>
      <c r="BD215" s="17">
        <f t="shared" si="956"/>
        <v>85</v>
      </c>
      <c r="BE215" s="17">
        <f t="shared" si="957"/>
        <v>180.86341983910182</v>
      </c>
      <c r="BF215" s="17">
        <f t="shared" si="958"/>
        <v>24</v>
      </c>
      <c r="BG215" s="17">
        <f t="shared" si="959"/>
        <v>50</v>
      </c>
      <c r="BH215" s="17">
        <f t="shared" si="960"/>
        <v>65.062647806544774</v>
      </c>
      <c r="BI215" s="17">
        <f t="shared" si="961"/>
        <v>115.80077203255705</v>
      </c>
      <c r="BJ215" s="17">
        <f t="shared" si="962"/>
        <v>45</v>
      </c>
      <c r="BK215" s="17">
        <f t="shared" si="963"/>
        <v>85</v>
      </c>
      <c r="BL215" s="17">
        <f t="shared" si="964"/>
        <v>380.54120080897206</v>
      </c>
      <c r="BM215" s="17">
        <f t="shared" si="965"/>
        <v>24</v>
      </c>
      <c r="BN215" s="17">
        <f t="shared" si="966"/>
        <v>50</v>
      </c>
      <c r="BO215" s="17">
        <f t="shared" si="967"/>
        <v>65.062647806544774</v>
      </c>
      <c r="BP215" s="17">
        <f t="shared" si="968"/>
        <v>315.4785530024273</v>
      </c>
      <c r="BQ215" s="17">
        <f t="shared" si="969"/>
        <v>7028.2598399999997</v>
      </c>
      <c r="BR215" s="17">
        <f t="shared" si="970"/>
        <v>2677.4323199999981</v>
      </c>
      <c r="BS215" s="17">
        <f t="shared" si="971"/>
        <v>1112.8078079999991</v>
      </c>
      <c r="BT215" s="17">
        <f t="shared" si="972"/>
        <v>2921.1204959999995</v>
      </c>
      <c r="BU215" s="17">
        <f t="shared" si="973"/>
        <v>34904.520000000004</v>
      </c>
      <c r="BV215" s="17">
        <f t="shared" si="974"/>
        <v>10236</v>
      </c>
      <c r="BW215" s="17">
        <f t="shared" si="975"/>
        <v>1025.3974415999999</v>
      </c>
      <c r="BX215" s="17">
        <f t="shared" si="976"/>
        <v>17495.999999999989</v>
      </c>
      <c r="BY215" s="17">
        <f t="shared" si="977"/>
        <v>11037.62906136576</v>
      </c>
      <c r="BZ215" s="17"/>
      <c r="CA215" s="17">
        <f t="shared" si="978"/>
        <v>128715.24962499036</v>
      </c>
      <c r="CB215" s="17">
        <f t="shared" si="979"/>
        <v>241341.0930468569</v>
      </c>
      <c r="CC215" s="17">
        <f t="shared" si="980"/>
        <v>58001.468903167319</v>
      </c>
      <c r="CD215" s="17">
        <f t="shared" si="981"/>
        <v>522013.22012850584</v>
      </c>
      <c r="CE215" s="17">
        <f t="shared" si="982"/>
        <v>81727.806342965749</v>
      </c>
      <c r="CF215" s="17">
        <f t="shared" si="983"/>
        <v>950071.03170352045</v>
      </c>
      <c r="CG215" s="17">
        <f t="shared" si="984"/>
        <v>1031798.8380464863</v>
      </c>
      <c r="CH215" s="17">
        <f t="shared" si="985"/>
        <v>14.400000000000006</v>
      </c>
      <c r="CI215" s="17">
        <f t="shared" si="986"/>
        <v>-43.2</v>
      </c>
      <c r="CJ215" s="17">
        <f t="shared" si="987"/>
        <v>16</v>
      </c>
      <c r="CK215" s="17">
        <f t="shared" si="988"/>
        <v>90</v>
      </c>
      <c r="CL215" s="17">
        <f t="shared" si="989"/>
        <v>71.46880726181422</v>
      </c>
      <c r="CM215" s="17">
        <f t="shared" si="990"/>
        <v>24</v>
      </c>
      <c r="CN215" s="17">
        <f t="shared" si="991"/>
        <v>50</v>
      </c>
      <c r="CO215" s="17">
        <f t="shared" si="992"/>
        <v>65.062647806544774</v>
      </c>
      <c r="CP215" s="17">
        <f t="shared" si="993"/>
        <v>6.4061594552694459</v>
      </c>
      <c r="CQ215" s="17">
        <f t="shared" si="994"/>
        <v>0</v>
      </c>
      <c r="CR215" s="17">
        <f t="shared" si="995"/>
        <v>100</v>
      </c>
      <c r="CS215" s="17">
        <f t="shared" si="996"/>
        <v>26.404773030064671</v>
      </c>
      <c r="CT215" s="17">
        <f t="shared" si="997"/>
        <v>24</v>
      </c>
      <c r="CU215" s="17">
        <f t="shared" si="998"/>
        <v>50</v>
      </c>
      <c r="CV215" s="17">
        <f t="shared" si="999"/>
        <v>65.062647806544774</v>
      </c>
      <c r="CW215" s="17">
        <f t="shared" si="1000"/>
        <v>-38.657874776480099</v>
      </c>
      <c r="CX215" s="17">
        <f t="shared" si="938"/>
        <v>-8032.2969600000006</v>
      </c>
      <c r="CY215" s="17">
        <f t="shared" si="938"/>
        <v>-8032.2969600000006</v>
      </c>
      <c r="CZ215" s="17">
        <f t="shared" si="1001"/>
        <v>1112.8078080000003</v>
      </c>
      <c r="DA215" s="17">
        <f t="shared" si="1002"/>
        <v>-3338.4234240000001</v>
      </c>
      <c r="DB215" s="17">
        <f t="shared" si="1003"/>
        <v>-39890.880000000005</v>
      </c>
      <c r="DC215" s="17">
        <f t="shared" si="1004"/>
        <v>10236</v>
      </c>
      <c r="DD215" s="17">
        <f t="shared" si="1005"/>
        <v>1025.3974415999999</v>
      </c>
      <c r="DE215" s="17">
        <f t="shared" si="1006"/>
        <v>17496.000000000007</v>
      </c>
      <c r="DF215" s="17">
        <f t="shared" si="1007"/>
        <v>-12614.433212989441</v>
      </c>
      <c r="DG215" s="17"/>
      <c r="DH215" s="17">
        <f t="shared" si="1008"/>
        <v>-15772.412908803883</v>
      </c>
      <c r="DI215" s="17">
        <f t="shared" si="1009"/>
        <v>-29573.274204007277</v>
      </c>
      <c r="DJ215" s="17">
        <f t="shared" si="1010"/>
        <v>-7107.3405794824193</v>
      </c>
      <c r="DK215" s="17">
        <f t="shared" si="1011"/>
        <v>10600.086421330037</v>
      </c>
      <c r="DL215" s="17">
        <f t="shared" si="1012"/>
        <v>-34005.828347389441</v>
      </c>
      <c r="DM215" s="17">
        <f t="shared" si="1013"/>
        <v>-41852.941270963544</v>
      </c>
      <c r="DN215" s="17">
        <f t="shared" si="1014"/>
        <v>-75858.769618352992</v>
      </c>
    </row>
    <row r="216" spans="3:120" ht="18.600000000000001">
      <c r="C216" s="13">
        <f>IF(D216&lt;&gt;"",COUNTA($D$10:D216),"")</f>
        <v>177</v>
      </c>
      <c r="D216" s="14" t="s">
        <v>206</v>
      </c>
      <c r="E216" s="14">
        <v>3.1</v>
      </c>
      <c r="F216" s="14">
        <v>2.6</v>
      </c>
      <c r="G216" s="14">
        <v>2.4</v>
      </c>
      <c r="H216" s="14">
        <v>2</v>
      </c>
      <c r="I216" s="14">
        <v>1</v>
      </c>
      <c r="J216" s="14">
        <v>1.75</v>
      </c>
      <c r="K216" s="14">
        <v>3</v>
      </c>
      <c r="L216" s="15">
        <v>0.1</v>
      </c>
      <c r="M216" s="15">
        <v>0</v>
      </c>
      <c r="N216" s="14">
        <v>24</v>
      </c>
      <c r="O216" s="14">
        <v>50</v>
      </c>
      <c r="P216" s="13">
        <v>45</v>
      </c>
      <c r="Q216" s="13">
        <v>85</v>
      </c>
      <c r="R216" s="13" t="s">
        <v>17</v>
      </c>
      <c r="S216" s="13">
        <v>120</v>
      </c>
      <c r="T216" s="13">
        <v>0</v>
      </c>
      <c r="U216" s="13">
        <v>100</v>
      </c>
      <c r="V216" s="13" t="str">
        <f t="shared" si="939"/>
        <v>ISO 6</v>
      </c>
      <c r="W216" s="13">
        <f t="shared" si="940"/>
        <v>120</v>
      </c>
      <c r="X216" s="16">
        <f t="shared" si="941"/>
        <v>86.7256</v>
      </c>
      <c r="Y216" s="16">
        <f t="shared" si="942"/>
        <v>682.70392319999996</v>
      </c>
      <c r="Z216" s="16">
        <f t="shared" si="943"/>
        <v>1365.4078463999999</v>
      </c>
      <c r="AA216" s="16">
        <f t="shared" si="944"/>
        <v>136.54078464</v>
      </c>
      <c r="AB216" s="16">
        <f t="shared" si="945"/>
        <v>0</v>
      </c>
      <c r="AC216" s="16">
        <f t="shared" si="946"/>
        <v>12.560674611769482</v>
      </c>
      <c r="AD216" s="16">
        <f t="shared" si="947"/>
        <v>2900</v>
      </c>
      <c r="AE216" s="16">
        <f t="shared" si="948"/>
        <v>2900</v>
      </c>
      <c r="AF216" s="16">
        <f t="shared" si="949"/>
        <v>18</v>
      </c>
      <c r="AG216" s="16">
        <f t="shared" si="950"/>
        <v>7.5</v>
      </c>
      <c r="AH216" s="838" t="s">
        <v>85</v>
      </c>
      <c r="AI216" s="17">
        <f t="shared" si="951"/>
        <v>5</v>
      </c>
      <c r="AJ216" s="17">
        <f t="shared" si="952"/>
        <v>7.5</v>
      </c>
      <c r="AK216" s="891"/>
      <c r="AL216" s="18"/>
      <c r="AM216" s="889"/>
      <c r="AN216" s="891"/>
      <c r="AO216" s="888"/>
      <c r="AP216" s="891"/>
      <c r="AQ216" s="891"/>
      <c r="AR216" s="889"/>
      <c r="AS216" s="888"/>
      <c r="AT216" s="888"/>
      <c r="AU216" s="890"/>
      <c r="AV216" s="888"/>
      <c r="AW216" s="888"/>
      <c r="AX216" s="888"/>
      <c r="AY216" s="887"/>
      <c r="AZ216" s="888"/>
      <c r="BA216" s="17">
        <f t="shared" si="953"/>
        <v>14.399999999999991</v>
      </c>
      <c r="BB216" s="17">
        <f t="shared" si="954"/>
        <v>37.799999999999997</v>
      </c>
      <c r="BC216" s="17">
        <f t="shared" si="955"/>
        <v>32</v>
      </c>
      <c r="BD216" s="17">
        <f t="shared" si="956"/>
        <v>85</v>
      </c>
      <c r="BE216" s="17">
        <f t="shared" si="957"/>
        <v>180.86341983910182</v>
      </c>
      <c r="BF216" s="17">
        <f t="shared" si="958"/>
        <v>24</v>
      </c>
      <c r="BG216" s="17">
        <f t="shared" si="959"/>
        <v>50</v>
      </c>
      <c r="BH216" s="17">
        <f t="shared" si="960"/>
        <v>65.062647806544774</v>
      </c>
      <c r="BI216" s="17">
        <f t="shared" si="961"/>
        <v>115.80077203255705</v>
      </c>
      <c r="BJ216" s="17">
        <f t="shared" si="962"/>
        <v>45</v>
      </c>
      <c r="BK216" s="17">
        <f t="shared" si="963"/>
        <v>85</v>
      </c>
      <c r="BL216" s="17">
        <f t="shared" si="964"/>
        <v>380.54120080897206</v>
      </c>
      <c r="BM216" s="17">
        <f t="shared" si="965"/>
        <v>24</v>
      </c>
      <c r="BN216" s="17">
        <f t="shared" si="966"/>
        <v>50</v>
      </c>
      <c r="BO216" s="17">
        <f t="shared" si="967"/>
        <v>65.062647806544774</v>
      </c>
      <c r="BP216" s="17">
        <f t="shared" si="968"/>
        <v>315.4785530024273</v>
      </c>
      <c r="BQ216" s="17">
        <f t="shared" si="969"/>
        <v>5007.6351359999999</v>
      </c>
      <c r="BR216" s="17">
        <f t="shared" si="970"/>
        <v>1907.670527999999</v>
      </c>
      <c r="BS216" s="17">
        <f t="shared" si="971"/>
        <v>561.98188799999969</v>
      </c>
      <c r="BT216" s="17">
        <f t="shared" si="972"/>
        <v>1475.202456</v>
      </c>
      <c r="BU216" s="17">
        <f t="shared" si="973"/>
        <v>23269.68</v>
      </c>
      <c r="BV216" s="17">
        <f t="shared" si="974"/>
        <v>3412</v>
      </c>
      <c r="BW216" s="17">
        <f t="shared" si="975"/>
        <v>517.83855759999994</v>
      </c>
      <c r="BX216" s="17">
        <f t="shared" si="976"/>
        <v>17495.999999999989</v>
      </c>
      <c r="BY216" s="17">
        <f t="shared" si="977"/>
        <v>5574.1409921433597</v>
      </c>
      <c r="BZ216" s="17"/>
      <c r="CA216" s="17">
        <f t="shared" si="978"/>
        <v>85810.166416660228</v>
      </c>
      <c r="CB216" s="17">
        <f t="shared" si="979"/>
        <v>241341.0930468569</v>
      </c>
      <c r="CC216" s="17">
        <f t="shared" si="980"/>
        <v>29291.468631549415</v>
      </c>
      <c r="CD216" s="17">
        <f t="shared" si="981"/>
        <v>263623.21768394468</v>
      </c>
      <c r="CE216" s="17">
        <f t="shared" si="982"/>
        <v>55277.294685743349</v>
      </c>
      <c r="CF216" s="17">
        <f t="shared" si="983"/>
        <v>620065.94577901112</v>
      </c>
      <c r="CG216" s="17">
        <f t="shared" si="984"/>
        <v>675343.24046475452</v>
      </c>
      <c r="CH216" s="17">
        <f t="shared" si="985"/>
        <v>14.400000000000006</v>
      </c>
      <c r="CI216" s="17">
        <f t="shared" si="986"/>
        <v>-43.2</v>
      </c>
      <c r="CJ216" s="17">
        <f t="shared" si="987"/>
        <v>16</v>
      </c>
      <c r="CK216" s="17">
        <f t="shared" si="988"/>
        <v>90</v>
      </c>
      <c r="CL216" s="17">
        <f t="shared" si="989"/>
        <v>71.46880726181422</v>
      </c>
      <c r="CM216" s="17">
        <f t="shared" si="990"/>
        <v>24</v>
      </c>
      <c r="CN216" s="17">
        <f t="shared" si="991"/>
        <v>50</v>
      </c>
      <c r="CO216" s="17">
        <f t="shared" si="992"/>
        <v>65.062647806544774</v>
      </c>
      <c r="CP216" s="17">
        <f t="shared" si="993"/>
        <v>6.4061594552694459</v>
      </c>
      <c r="CQ216" s="17">
        <f t="shared" si="994"/>
        <v>0</v>
      </c>
      <c r="CR216" s="17">
        <f t="shared" si="995"/>
        <v>100</v>
      </c>
      <c r="CS216" s="17">
        <f t="shared" si="996"/>
        <v>26.404773030064671</v>
      </c>
      <c r="CT216" s="17">
        <f t="shared" si="997"/>
        <v>24</v>
      </c>
      <c r="CU216" s="17">
        <f t="shared" si="998"/>
        <v>50</v>
      </c>
      <c r="CV216" s="17">
        <f t="shared" si="999"/>
        <v>65.062647806544774</v>
      </c>
      <c r="CW216" s="17">
        <f t="shared" si="1000"/>
        <v>-38.657874776480099</v>
      </c>
      <c r="CX216" s="17">
        <f t="shared" si="938"/>
        <v>-5723.0115840000008</v>
      </c>
      <c r="CY216" s="17">
        <f t="shared" si="938"/>
        <v>-5723.0115840000008</v>
      </c>
      <c r="CZ216" s="17">
        <f t="shared" si="1001"/>
        <v>561.98188800000014</v>
      </c>
      <c r="DA216" s="17">
        <f t="shared" si="1002"/>
        <v>-1685.9456640000001</v>
      </c>
      <c r="DB216" s="17">
        <f t="shared" si="1003"/>
        <v>-26593.920000000002</v>
      </c>
      <c r="DC216" s="17">
        <f t="shared" si="1004"/>
        <v>3412</v>
      </c>
      <c r="DD216" s="17">
        <f t="shared" si="1005"/>
        <v>517.83855759999994</v>
      </c>
      <c r="DE216" s="17">
        <f t="shared" si="1006"/>
        <v>17496.000000000007</v>
      </c>
      <c r="DF216" s="17">
        <f t="shared" si="1007"/>
        <v>-6370.4468481638405</v>
      </c>
      <c r="DG216" s="17"/>
      <c r="DH216" s="17">
        <f t="shared" si="1008"/>
        <v>-10514.941939202587</v>
      </c>
      <c r="DI216" s="17">
        <f t="shared" si="1009"/>
        <v>-29573.274204007277</v>
      </c>
      <c r="DJ216" s="17">
        <f t="shared" si="1010"/>
        <v>-3589.2960570569112</v>
      </c>
      <c r="DK216" s="17">
        <f t="shared" si="1011"/>
        <v>5353.1764759348434</v>
      </c>
      <c r="DL216" s="17">
        <f t="shared" si="1012"/>
        <v>-18385.503650563835</v>
      </c>
      <c r="DM216" s="17">
        <f t="shared" si="1013"/>
        <v>-38324.335724331933</v>
      </c>
      <c r="DN216" s="17">
        <f t="shared" si="1014"/>
        <v>-56709.839374895768</v>
      </c>
    </row>
    <row r="217" spans="3:120" ht="18.600000000000001">
      <c r="C217" s="13">
        <f>IF(D217&lt;&gt;"",COUNTA($D$10:D217),"")</f>
        <v>178</v>
      </c>
      <c r="D217" s="14" t="s">
        <v>207</v>
      </c>
      <c r="E217" s="14">
        <v>1.9</v>
      </c>
      <c r="F217" s="14">
        <v>2.4</v>
      </c>
      <c r="G217" s="14">
        <v>2.4</v>
      </c>
      <c r="H217" s="14">
        <v>3</v>
      </c>
      <c r="I217" s="14">
        <v>2</v>
      </c>
      <c r="J217" s="14">
        <v>1.75</v>
      </c>
      <c r="K217" s="14">
        <v>3</v>
      </c>
      <c r="L217" s="15">
        <v>0.1</v>
      </c>
      <c r="M217" s="15">
        <v>0</v>
      </c>
      <c r="N217" s="14">
        <v>24</v>
      </c>
      <c r="O217" s="14">
        <v>50</v>
      </c>
      <c r="P217" s="13">
        <v>45</v>
      </c>
      <c r="Q217" s="13">
        <v>85</v>
      </c>
      <c r="R217" s="13" t="s">
        <v>17</v>
      </c>
      <c r="S217" s="13">
        <v>120</v>
      </c>
      <c r="T217" s="13">
        <v>0</v>
      </c>
      <c r="U217" s="13">
        <v>100</v>
      </c>
      <c r="V217" s="13" t="str">
        <f t="shared" si="939"/>
        <v>ISO 6</v>
      </c>
      <c r="W217" s="13">
        <f t="shared" si="940"/>
        <v>120</v>
      </c>
      <c r="X217" s="16">
        <f t="shared" si="941"/>
        <v>49.065599999999996</v>
      </c>
      <c r="Y217" s="16">
        <f t="shared" si="942"/>
        <v>386.24440319999997</v>
      </c>
      <c r="Z217" s="16">
        <f t="shared" si="943"/>
        <v>772.48880639999993</v>
      </c>
      <c r="AA217" s="16">
        <f t="shared" si="944"/>
        <v>77.248880639999996</v>
      </c>
      <c r="AB217" s="16">
        <f t="shared" si="945"/>
        <v>0</v>
      </c>
      <c r="AC217" s="16">
        <f t="shared" si="946"/>
        <v>7.1062873734080432</v>
      </c>
      <c r="AD217" s="16">
        <f t="shared" si="947"/>
        <v>2500</v>
      </c>
      <c r="AE217" s="16">
        <f t="shared" si="948"/>
        <v>2500</v>
      </c>
      <c r="AF217" s="16">
        <f t="shared" si="949"/>
        <v>16</v>
      </c>
      <c r="AG217" s="16">
        <f t="shared" si="950"/>
        <v>6.5</v>
      </c>
      <c r="AH217" s="838" t="s">
        <v>85</v>
      </c>
      <c r="AI217" s="17">
        <f t="shared" si="951"/>
        <v>6</v>
      </c>
      <c r="AJ217" s="17">
        <f t="shared" si="952"/>
        <v>6.5</v>
      </c>
      <c r="AK217" s="891"/>
      <c r="AL217" s="18"/>
      <c r="AM217" s="889"/>
      <c r="AN217" s="891"/>
      <c r="AO217" s="888"/>
      <c r="AP217" s="891"/>
      <c r="AQ217" s="891"/>
      <c r="AR217" s="889"/>
      <c r="AS217" s="888"/>
      <c r="AT217" s="888"/>
      <c r="AU217" s="890"/>
      <c r="AV217" s="888"/>
      <c r="AW217" s="888"/>
      <c r="AX217" s="888"/>
      <c r="AY217" s="887"/>
      <c r="AZ217" s="888"/>
      <c r="BA217" s="17">
        <f t="shared" si="953"/>
        <v>14.399999999999991</v>
      </c>
      <c r="BB217" s="17">
        <f t="shared" si="954"/>
        <v>37.799999999999997</v>
      </c>
      <c r="BC217" s="17">
        <f t="shared" si="955"/>
        <v>32</v>
      </c>
      <c r="BD217" s="17">
        <f t="shared" si="956"/>
        <v>85</v>
      </c>
      <c r="BE217" s="17">
        <f t="shared" si="957"/>
        <v>180.86341983910182</v>
      </c>
      <c r="BF217" s="17">
        <f t="shared" si="958"/>
        <v>24</v>
      </c>
      <c r="BG217" s="17">
        <f t="shared" si="959"/>
        <v>50</v>
      </c>
      <c r="BH217" s="17">
        <f t="shared" si="960"/>
        <v>65.062647806544774</v>
      </c>
      <c r="BI217" s="17">
        <f t="shared" si="961"/>
        <v>115.80077203255705</v>
      </c>
      <c r="BJ217" s="17">
        <f t="shared" si="962"/>
        <v>45</v>
      </c>
      <c r="BK217" s="17">
        <f t="shared" si="963"/>
        <v>85</v>
      </c>
      <c r="BL217" s="17">
        <f t="shared" si="964"/>
        <v>380.54120080897206</v>
      </c>
      <c r="BM217" s="17">
        <f t="shared" si="965"/>
        <v>24</v>
      </c>
      <c r="BN217" s="17">
        <f t="shared" si="966"/>
        <v>50</v>
      </c>
      <c r="BO217" s="17">
        <f t="shared" si="967"/>
        <v>65.062647806544774</v>
      </c>
      <c r="BP217" s="17">
        <f t="shared" si="968"/>
        <v>315.4785530024273</v>
      </c>
      <c r="BQ217" s="17">
        <f t="shared" si="969"/>
        <v>3777.6896639999995</v>
      </c>
      <c r="BR217" s="17">
        <f t="shared" si="970"/>
        <v>1439.1198719999991</v>
      </c>
      <c r="BS217" s="17">
        <f t="shared" si="971"/>
        <v>317.94508799999977</v>
      </c>
      <c r="BT217" s="17">
        <f t="shared" si="972"/>
        <v>834.6058559999999</v>
      </c>
      <c r="BU217" s="17">
        <f t="shared" si="973"/>
        <v>34904.520000000004</v>
      </c>
      <c r="BV217" s="17">
        <f t="shared" si="974"/>
        <v>6824</v>
      </c>
      <c r="BW217" s="17">
        <f t="shared" si="975"/>
        <v>292.97069759999994</v>
      </c>
      <c r="BX217" s="17">
        <f t="shared" si="976"/>
        <v>17495.999999999989</v>
      </c>
      <c r="BY217" s="17">
        <f t="shared" si="977"/>
        <v>3153.6083032473598</v>
      </c>
      <c r="BZ217" s="17"/>
      <c r="CA217" s="17">
        <f t="shared" si="978"/>
        <v>128715.24962499036</v>
      </c>
      <c r="CB217" s="17">
        <f t="shared" si="979"/>
        <v>241341.0930468569</v>
      </c>
      <c r="CC217" s="17">
        <f t="shared" si="980"/>
        <v>16571.848258047805</v>
      </c>
      <c r="CD217" s="17">
        <f t="shared" si="981"/>
        <v>149146.63432243024</v>
      </c>
      <c r="CE217" s="17">
        <f t="shared" si="982"/>
        <v>66448.78866484735</v>
      </c>
      <c r="CF217" s="17">
        <f t="shared" si="983"/>
        <v>535774.82525232527</v>
      </c>
      <c r="CG217" s="17">
        <f t="shared" si="984"/>
        <v>602223.61391717265</v>
      </c>
      <c r="CH217" s="17">
        <f t="shared" si="985"/>
        <v>14.400000000000006</v>
      </c>
      <c r="CI217" s="17">
        <f t="shared" si="986"/>
        <v>-43.2</v>
      </c>
      <c r="CJ217" s="17">
        <f t="shared" si="987"/>
        <v>16</v>
      </c>
      <c r="CK217" s="17">
        <f t="shared" si="988"/>
        <v>90</v>
      </c>
      <c r="CL217" s="17">
        <f t="shared" si="989"/>
        <v>71.46880726181422</v>
      </c>
      <c r="CM217" s="17">
        <f t="shared" si="990"/>
        <v>24</v>
      </c>
      <c r="CN217" s="17">
        <f t="shared" si="991"/>
        <v>50</v>
      </c>
      <c r="CO217" s="17">
        <f t="shared" si="992"/>
        <v>65.062647806544774</v>
      </c>
      <c r="CP217" s="17">
        <f t="shared" si="993"/>
        <v>6.4061594552694459</v>
      </c>
      <c r="CQ217" s="17">
        <f t="shared" si="994"/>
        <v>0</v>
      </c>
      <c r="CR217" s="17">
        <f t="shared" si="995"/>
        <v>100</v>
      </c>
      <c r="CS217" s="17">
        <f t="shared" si="996"/>
        <v>26.404773030064671</v>
      </c>
      <c r="CT217" s="17">
        <f t="shared" si="997"/>
        <v>24</v>
      </c>
      <c r="CU217" s="17">
        <f t="shared" si="998"/>
        <v>50</v>
      </c>
      <c r="CV217" s="17">
        <f t="shared" si="999"/>
        <v>65.062647806544774</v>
      </c>
      <c r="CW217" s="17">
        <f t="shared" si="1000"/>
        <v>-38.657874776480099</v>
      </c>
      <c r="CX217" s="17">
        <f t="shared" si="938"/>
        <v>-4317.3596159999997</v>
      </c>
      <c r="CY217" s="17">
        <f t="shared" si="938"/>
        <v>-4317.3596159999997</v>
      </c>
      <c r="CZ217" s="17">
        <f t="shared" si="1001"/>
        <v>317.94508800000011</v>
      </c>
      <c r="DA217" s="17">
        <f t="shared" si="1002"/>
        <v>-953.83526399999994</v>
      </c>
      <c r="DB217" s="17">
        <f t="shared" si="1003"/>
        <v>-39890.880000000005</v>
      </c>
      <c r="DC217" s="17">
        <f t="shared" si="1004"/>
        <v>6824</v>
      </c>
      <c r="DD217" s="17">
        <f t="shared" si="1005"/>
        <v>292.97069759999994</v>
      </c>
      <c r="DE217" s="17">
        <f t="shared" si="1006"/>
        <v>17496.000000000007</v>
      </c>
      <c r="DF217" s="17">
        <f t="shared" si="1007"/>
        <v>-3604.1237751398403</v>
      </c>
      <c r="DG217" s="17"/>
      <c r="DH217" s="17">
        <f t="shared" si="1008"/>
        <v>-15772.412908803883</v>
      </c>
      <c r="DI217" s="17">
        <f t="shared" si="1009"/>
        <v>-29573.274204007277</v>
      </c>
      <c r="DJ217" s="17">
        <f t="shared" si="1010"/>
        <v>-2030.6687369949768</v>
      </c>
      <c r="DK217" s="17">
        <f t="shared" si="1011"/>
        <v>3028.5961203800107</v>
      </c>
      <c r="DL217" s="17">
        <f t="shared" si="1012"/>
        <v>-23835.282869539838</v>
      </c>
      <c r="DM217" s="17">
        <f t="shared" si="1013"/>
        <v>-44347.759729426129</v>
      </c>
      <c r="DN217" s="17">
        <f t="shared" si="1014"/>
        <v>-68183.042598965971</v>
      </c>
    </row>
    <row r="218" spans="3:120" ht="18.600000000000001">
      <c r="C218" s="13">
        <f>IF(D218&lt;&gt;"",COUNTA($D$10:D218),"")</f>
        <v>179</v>
      </c>
      <c r="D218" s="14" t="s">
        <v>208</v>
      </c>
      <c r="E218" s="14">
        <v>3</v>
      </c>
      <c r="F218" s="14">
        <v>2.9</v>
      </c>
      <c r="G218" s="14">
        <v>2.4</v>
      </c>
      <c r="H218" s="14">
        <v>2</v>
      </c>
      <c r="I218" s="14">
        <v>1</v>
      </c>
      <c r="J218" s="14">
        <v>1.75</v>
      </c>
      <c r="K218" s="14">
        <v>3</v>
      </c>
      <c r="L218" s="15">
        <v>0.1</v>
      </c>
      <c r="M218" s="15">
        <v>0</v>
      </c>
      <c r="N218" s="14">
        <v>24</v>
      </c>
      <c r="O218" s="14">
        <v>50</v>
      </c>
      <c r="P218" s="13">
        <v>45</v>
      </c>
      <c r="Q218" s="13">
        <v>85</v>
      </c>
      <c r="R218" s="13" t="s">
        <v>17</v>
      </c>
      <c r="S218" s="13">
        <v>120</v>
      </c>
      <c r="T218" s="13">
        <v>0</v>
      </c>
      <c r="U218" s="13">
        <v>100</v>
      </c>
      <c r="V218" s="13" t="str">
        <f t="shared" si="939"/>
        <v>ISO 6</v>
      </c>
      <c r="W218" s="13">
        <f t="shared" si="940"/>
        <v>120</v>
      </c>
      <c r="X218" s="16">
        <f t="shared" si="941"/>
        <v>93.611999999999995</v>
      </c>
      <c r="Y218" s="16">
        <f t="shared" si="942"/>
        <v>736.91366399999993</v>
      </c>
      <c r="Z218" s="16">
        <f t="shared" si="943"/>
        <v>1473.8273279999999</v>
      </c>
      <c r="AA218" s="16">
        <f t="shared" si="944"/>
        <v>147.38273279999999</v>
      </c>
      <c r="AB218" s="16">
        <f t="shared" si="945"/>
        <v>0</v>
      </c>
      <c r="AC218" s="16">
        <f t="shared" si="946"/>
        <v>13.558048278212716</v>
      </c>
      <c r="AD218" s="16">
        <f>IF(ISNUMBER(N218), CEILING(CF218/(0.68*BP218),25), "Ambient")</f>
        <v>3000</v>
      </c>
      <c r="AE218" s="16">
        <f t="shared" si="948"/>
        <v>3000</v>
      </c>
      <c r="AF218" s="16">
        <f t="shared" si="949"/>
        <v>18</v>
      </c>
      <c r="AG218" s="16">
        <f t="shared" si="950"/>
        <v>7.5</v>
      </c>
      <c r="AH218" s="838" t="s">
        <v>85</v>
      </c>
      <c r="AI218" s="17">
        <f t="shared" si="951"/>
        <v>5</v>
      </c>
      <c r="AJ218" s="17">
        <f t="shared" si="952"/>
        <v>7.5</v>
      </c>
      <c r="AK218" s="891"/>
      <c r="AL218" s="18"/>
      <c r="AM218" s="889"/>
      <c r="AN218" s="891"/>
      <c r="AO218" s="888"/>
      <c r="AP218" s="891"/>
      <c r="AQ218" s="891"/>
      <c r="AR218" s="889"/>
      <c r="AS218" s="888"/>
      <c r="AT218" s="888"/>
      <c r="AU218" s="890"/>
      <c r="AV218" s="888"/>
      <c r="AW218" s="888"/>
      <c r="AX218" s="888"/>
      <c r="AY218" s="887"/>
      <c r="AZ218" s="888"/>
      <c r="BA218" s="17">
        <f t="shared" si="953"/>
        <v>14.399999999999991</v>
      </c>
      <c r="BB218" s="17">
        <f t="shared" si="954"/>
        <v>37.799999999999997</v>
      </c>
      <c r="BC218" s="17">
        <f t="shared" si="955"/>
        <v>32</v>
      </c>
      <c r="BD218" s="17">
        <f t="shared" si="956"/>
        <v>85</v>
      </c>
      <c r="BE218" s="17">
        <f t="shared" si="957"/>
        <v>180.86341983910182</v>
      </c>
      <c r="BF218" s="17">
        <f t="shared" si="958"/>
        <v>24</v>
      </c>
      <c r="BG218" s="17">
        <f t="shared" si="959"/>
        <v>50</v>
      </c>
      <c r="BH218" s="17">
        <f t="shared" si="960"/>
        <v>65.062647806544774</v>
      </c>
      <c r="BI218" s="17">
        <f t="shared" si="961"/>
        <v>115.80077203255705</v>
      </c>
      <c r="BJ218" s="17">
        <f t="shared" si="962"/>
        <v>45</v>
      </c>
      <c r="BK218" s="17">
        <f t="shared" si="963"/>
        <v>85</v>
      </c>
      <c r="BL218" s="17">
        <f t="shared" si="964"/>
        <v>380.54120080897206</v>
      </c>
      <c r="BM218" s="17">
        <f t="shared" si="965"/>
        <v>24</v>
      </c>
      <c r="BN218" s="17">
        <f t="shared" si="966"/>
        <v>50</v>
      </c>
      <c r="BO218" s="17">
        <f t="shared" si="967"/>
        <v>65.062647806544774</v>
      </c>
      <c r="BP218" s="17">
        <f t="shared" si="968"/>
        <v>315.4785530024273</v>
      </c>
      <c r="BQ218" s="17">
        <f t="shared" si="969"/>
        <v>5183.3416319999997</v>
      </c>
      <c r="BR218" s="17">
        <f t="shared" si="970"/>
        <v>1974.6063359999991</v>
      </c>
      <c r="BS218" s="17">
        <f t="shared" si="971"/>
        <v>606.60575999999958</v>
      </c>
      <c r="BT218" s="17">
        <f t="shared" si="972"/>
        <v>1592.3401199999998</v>
      </c>
      <c r="BU218" s="17">
        <f t="shared" si="973"/>
        <v>23269.68</v>
      </c>
      <c r="BV218" s="17">
        <f t="shared" si="974"/>
        <v>3412</v>
      </c>
      <c r="BW218" s="17">
        <f t="shared" si="975"/>
        <v>558.95725199999993</v>
      </c>
      <c r="BX218" s="17">
        <f t="shared" si="976"/>
        <v>17495.999999999989</v>
      </c>
      <c r="BY218" s="17">
        <f t="shared" si="977"/>
        <v>6016.7526838271997</v>
      </c>
      <c r="BZ218" s="17"/>
      <c r="CA218" s="17">
        <f t="shared" si="978"/>
        <v>85810.166416660228</v>
      </c>
      <c r="CB218" s="17">
        <f t="shared" si="979"/>
        <v>241341.0930468569</v>
      </c>
      <c r="CC218" s="17">
        <f t="shared" si="980"/>
        <v>31617.34207127542</v>
      </c>
      <c r="CD218" s="17">
        <f t="shared" si="981"/>
        <v>284556.07864147879</v>
      </c>
      <c r="CE218" s="17">
        <f t="shared" si="982"/>
        <v>55936.731567827192</v>
      </c>
      <c r="CF218" s="17">
        <f t="shared" si="983"/>
        <v>643324.68017627136</v>
      </c>
      <c r="CG218" s="17">
        <f t="shared" si="984"/>
        <v>699261.41174409853</v>
      </c>
      <c r="CH218" s="17">
        <f t="shared" si="985"/>
        <v>14.400000000000006</v>
      </c>
      <c r="CI218" s="17">
        <f t="shared" si="986"/>
        <v>-43.2</v>
      </c>
      <c r="CJ218" s="17">
        <f t="shared" si="987"/>
        <v>16</v>
      </c>
      <c r="CK218" s="17">
        <f t="shared" si="988"/>
        <v>90</v>
      </c>
      <c r="CL218" s="17">
        <f t="shared" si="989"/>
        <v>71.46880726181422</v>
      </c>
      <c r="CM218" s="17">
        <f t="shared" si="990"/>
        <v>24</v>
      </c>
      <c r="CN218" s="17">
        <f t="shared" si="991"/>
        <v>50</v>
      </c>
      <c r="CO218" s="17">
        <f t="shared" si="992"/>
        <v>65.062647806544774</v>
      </c>
      <c r="CP218" s="17">
        <f t="shared" si="993"/>
        <v>6.4061594552694459</v>
      </c>
      <c r="CQ218" s="17">
        <f t="shared" si="994"/>
        <v>0</v>
      </c>
      <c r="CR218" s="17">
        <f t="shared" si="995"/>
        <v>100</v>
      </c>
      <c r="CS218" s="17">
        <f t="shared" si="996"/>
        <v>26.404773030064671</v>
      </c>
      <c r="CT218" s="17">
        <f t="shared" si="997"/>
        <v>24</v>
      </c>
      <c r="CU218" s="17">
        <f t="shared" si="998"/>
        <v>50</v>
      </c>
      <c r="CV218" s="17">
        <f t="shared" si="999"/>
        <v>65.062647806544774</v>
      </c>
      <c r="CW218" s="17">
        <f t="shared" si="1000"/>
        <v>-38.657874776480099</v>
      </c>
      <c r="CX218" s="17">
        <f t="shared" si="938"/>
        <v>-5923.8190080000013</v>
      </c>
      <c r="CY218" s="17">
        <f t="shared" si="938"/>
        <v>-5923.8190080000013</v>
      </c>
      <c r="CZ218" s="17">
        <f t="shared" si="1001"/>
        <v>606.60576000000026</v>
      </c>
      <c r="DA218" s="17">
        <f t="shared" si="1002"/>
        <v>-1819.81728</v>
      </c>
      <c r="DB218" s="17">
        <f t="shared" si="1003"/>
        <v>-26593.920000000002</v>
      </c>
      <c r="DC218" s="17">
        <f t="shared" si="1004"/>
        <v>3412</v>
      </c>
      <c r="DD218" s="17">
        <f t="shared" si="1005"/>
        <v>558.95725199999993</v>
      </c>
      <c r="DE218" s="17">
        <f t="shared" si="1006"/>
        <v>17496.000000000007</v>
      </c>
      <c r="DF218" s="17">
        <f t="shared" si="1007"/>
        <v>-6876.2887815168006</v>
      </c>
      <c r="DG218" s="17"/>
      <c r="DH218" s="17">
        <f t="shared" si="1008"/>
        <v>-10514.941939202587</v>
      </c>
      <c r="DI218" s="17">
        <f t="shared" si="1009"/>
        <v>-29573.274204007277</v>
      </c>
      <c r="DJ218" s="17">
        <f t="shared" si="1010"/>
        <v>-3874.3021955825216</v>
      </c>
      <c r="DK218" s="17">
        <f t="shared" si="1011"/>
        <v>5778.2425980934422</v>
      </c>
      <c r="DL218" s="17">
        <f t="shared" si="1012"/>
        <v>-19140.282057516793</v>
      </c>
      <c r="DM218" s="17">
        <f t="shared" si="1013"/>
        <v>-38184.275740698948</v>
      </c>
      <c r="DN218" s="17">
        <f t="shared" si="1014"/>
        <v>-57324.557798215741</v>
      </c>
    </row>
    <row r="219" spans="3:120" ht="18.600000000000001">
      <c r="C219" s="13">
        <f>IF(D219&lt;&gt;"",COUNTA($D$10:D219),"")</f>
        <v>180</v>
      </c>
      <c r="D219" s="14" t="s">
        <v>209</v>
      </c>
      <c r="E219" s="14">
        <v>2.4</v>
      </c>
      <c r="F219" s="14">
        <v>2</v>
      </c>
      <c r="G219" s="14">
        <v>2.4</v>
      </c>
      <c r="H219" s="14">
        <v>2</v>
      </c>
      <c r="I219" s="14">
        <v>1</v>
      </c>
      <c r="J219" s="14">
        <v>1.75</v>
      </c>
      <c r="K219" s="14">
        <v>3</v>
      </c>
      <c r="L219" s="15">
        <v>0.1</v>
      </c>
      <c r="M219" s="15">
        <v>0</v>
      </c>
      <c r="N219" s="14">
        <v>24</v>
      </c>
      <c r="O219" s="14">
        <v>50</v>
      </c>
      <c r="P219" s="13">
        <v>45</v>
      </c>
      <c r="Q219" s="13">
        <v>85</v>
      </c>
      <c r="R219" s="13" t="s">
        <v>17</v>
      </c>
      <c r="S219" s="13">
        <v>120</v>
      </c>
      <c r="T219" s="13">
        <v>0</v>
      </c>
      <c r="U219" s="13">
        <v>100</v>
      </c>
      <c r="V219" s="13" t="str">
        <f t="shared" si="939"/>
        <v>ISO 6</v>
      </c>
      <c r="W219" s="13">
        <f t="shared" si="940"/>
        <v>120</v>
      </c>
      <c r="X219" s="16">
        <f t="shared" si="941"/>
        <v>51.647999999999996</v>
      </c>
      <c r="Y219" s="16">
        <f t="shared" si="942"/>
        <v>406.57305599999995</v>
      </c>
      <c r="Z219" s="16">
        <f t="shared" si="943"/>
        <v>813.1461119999999</v>
      </c>
      <c r="AA219" s="16">
        <f t="shared" si="944"/>
        <v>81.314611200000002</v>
      </c>
      <c r="AB219" s="16">
        <f t="shared" si="945"/>
        <v>0</v>
      </c>
      <c r="AC219" s="16">
        <f t="shared" si="946"/>
        <v>7.4803024983242565</v>
      </c>
      <c r="AD219" s="16">
        <f t="shared" ref="AD219:AD225" si="1015">IF(ISNUMBER(N219), CEILING(CF219/(0.68*BP219),25), "Ambient")</f>
        <v>2350</v>
      </c>
      <c r="AE219" s="16">
        <f t="shared" si="948"/>
        <v>2350</v>
      </c>
      <c r="AF219" s="16">
        <f t="shared" si="949"/>
        <v>14</v>
      </c>
      <c r="AG219" s="16">
        <f t="shared" si="950"/>
        <v>6</v>
      </c>
      <c r="AH219" s="838" t="s">
        <v>85</v>
      </c>
      <c r="AI219" s="17">
        <f t="shared" si="951"/>
        <v>4.5</v>
      </c>
      <c r="AJ219" s="17">
        <f t="shared" si="952"/>
        <v>6</v>
      </c>
      <c r="AK219" s="891"/>
      <c r="AL219" s="174">
        <f>IF(AN210&lt;=315,1600,(IF(AN210=355,1650,(IF(AN210=400,1650,(IF(AN210=450,1700,(IF(AN210=500,1700,(IF(AN210=560,1800,(IF(AN210=630,2000,(IF(AN210=710,2200,2500)))))))))))))))+IF(AR210=2,1800,(IF(AR210=3,2300,(IF(AR210=4,3300,0)))))+IF(AP210&lt;=4,600,(IF(AP210&lt;=6,800,(IF(AP210&lt;=8,1000,1200)))))</f>
        <v>5400</v>
      </c>
      <c r="AM219" s="889"/>
      <c r="AN219" s="891"/>
      <c r="AO219" s="888"/>
      <c r="AP219" s="891"/>
      <c r="AQ219" s="891"/>
      <c r="AR219" s="889"/>
      <c r="AS219" s="888"/>
      <c r="AT219" s="888"/>
      <c r="AU219" s="890"/>
      <c r="AV219" s="888"/>
      <c r="AW219" s="888"/>
      <c r="AX219" s="888"/>
      <c r="AY219" s="887"/>
      <c r="AZ219" s="888"/>
      <c r="BA219" s="17">
        <f t="shared" si="953"/>
        <v>14.399999999999991</v>
      </c>
      <c r="BB219" s="17">
        <f t="shared" si="954"/>
        <v>37.799999999999997</v>
      </c>
      <c r="BC219" s="17">
        <f t="shared" si="955"/>
        <v>32</v>
      </c>
      <c r="BD219" s="17">
        <f t="shared" si="956"/>
        <v>85</v>
      </c>
      <c r="BE219" s="17">
        <f t="shared" si="957"/>
        <v>180.86341983910182</v>
      </c>
      <c r="BF219" s="17">
        <f t="shared" si="958"/>
        <v>24</v>
      </c>
      <c r="BG219" s="17">
        <f t="shared" si="959"/>
        <v>50</v>
      </c>
      <c r="BH219" s="17">
        <f t="shared" si="960"/>
        <v>65.062647806544774</v>
      </c>
      <c r="BI219" s="17">
        <f t="shared" si="961"/>
        <v>115.80077203255705</v>
      </c>
      <c r="BJ219" s="17">
        <f t="shared" si="962"/>
        <v>45</v>
      </c>
      <c r="BK219" s="17">
        <f t="shared" si="963"/>
        <v>85</v>
      </c>
      <c r="BL219" s="17">
        <f t="shared" si="964"/>
        <v>380.54120080897206</v>
      </c>
      <c r="BM219" s="17">
        <f t="shared" si="965"/>
        <v>24</v>
      </c>
      <c r="BN219" s="17">
        <f t="shared" si="966"/>
        <v>50</v>
      </c>
      <c r="BO219" s="17">
        <f t="shared" si="967"/>
        <v>65.062647806544774</v>
      </c>
      <c r="BP219" s="17">
        <f t="shared" si="968"/>
        <v>315.4785530024273</v>
      </c>
      <c r="BQ219" s="17">
        <f t="shared" si="969"/>
        <v>3865.5429119999999</v>
      </c>
      <c r="BR219" s="17">
        <f t="shared" si="970"/>
        <v>1472.5877759999992</v>
      </c>
      <c r="BS219" s="17">
        <f t="shared" si="971"/>
        <v>334.67903999999976</v>
      </c>
      <c r="BT219" s="17">
        <f t="shared" si="972"/>
        <v>878.53247999999996</v>
      </c>
      <c r="BU219" s="17">
        <f t="shared" si="973"/>
        <v>23269.68</v>
      </c>
      <c r="BV219" s="17">
        <f t="shared" si="974"/>
        <v>3412</v>
      </c>
      <c r="BW219" s="17">
        <f t="shared" si="975"/>
        <v>308.39020799999997</v>
      </c>
      <c r="BX219" s="17">
        <f t="shared" si="976"/>
        <v>17495.999999999989</v>
      </c>
      <c r="BY219" s="17">
        <f t="shared" si="977"/>
        <v>3319.5876876287998</v>
      </c>
      <c r="BZ219" s="17"/>
      <c r="CA219" s="17">
        <f t="shared" si="978"/>
        <v>85810.166416660228</v>
      </c>
      <c r="CB219" s="17">
        <f t="shared" si="979"/>
        <v>241341.0930468569</v>
      </c>
      <c r="CC219" s="17">
        <f t="shared" si="980"/>
        <v>17444.050797945059</v>
      </c>
      <c r="CD219" s="17">
        <f t="shared" si="981"/>
        <v>156996.45718150554</v>
      </c>
      <c r="CE219" s="17">
        <f t="shared" si="982"/>
        <v>51671.200807628797</v>
      </c>
      <c r="CF219" s="17">
        <f t="shared" si="983"/>
        <v>501591.76744296774</v>
      </c>
      <c r="CG219" s="17">
        <f t="shared" si="984"/>
        <v>553262.96825059655</v>
      </c>
      <c r="CH219" s="17">
        <f t="shared" si="985"/>
        <v>14.400000000000006</v>
      </c>
      <c r="CI219" s="17">
        <f t="shared" si="986"/>
        <v>-43.2</v>
      </c>
      <c r="CJ219" s="17">
        <f t="shared" si="987"/>
        <v>16</v>
      </c>
      <c r="CK219" s="17">
        <f t="shared" si="988"/>
        <v>90</v>
      </c>
      <c r="CL219" s="17">
        <f t="shared" si="989"/>
        <v>71.46880726181422</v>
      </c>
      <c r="CM219" s="17">
        <f t="shared" si="990"/>
        <v>24</v>
      </c>
      <c r="CN219" s="17">
        <f t="shared" si="991"/>
        <v>50</v>
      </c>
      <c r="CO219" s="17">
        <f t="shared" si="992"/>
        <v>65.062647806544774</v>
      </c>
      <c r="CP219" s="17">
        <f t="shared" si="993"/>
        <v>6.4061594552694459</v>
      </c>
      <c r="CQ219" s="17">
        <f t="shared" si="994"/>
        <v>0</v>
      </c>
      <c r="CR219" s="17">
        <f t="shared" si="995"/>
        <v>100</v>
      </c>
      <c r="CS219" s="17">
        <f t="shared" si="996"/>
        <v>26.404773030064671</v>
      </c>
      <c r="CT219" s="17">
        <f t="shared" si="997"/>
        <v>24</v>
      </c>
      <c r="CU219" s="17">
        <f t="shared" si="998"/>
        <v>50</v>
      </c>
      <c r="CV219" s="17">
        <f t="shared" si="999"/>
        <v>65.062647806544774</v>
      </c>
      <c r="CW219" s="17">
        <f t="shared" si="1000"/>
        <v>-38.657874776480099</v>
      </c>
      <c r="CX219" s="17">
        <f t="shared" si="938"/>
        <v>-4417.7633280000009</v>
      </c>
      <c r="CY219" s="17">
        <f t="shared" si="938"/>
        <v>-4417.7633280000009</v>
      </c>
      <c r="CZ219" s="17">
        <f t="shared" si="1001"/>
        <v>334.67904000000016</v>
      </c>
      <c r="DA219" s="17">
        <f t="shared" si="1002"/>
        <v>-1004.0371200000001</v>
      </c>
      <c r="DB219" s="17">
        <f t="shared" si="1003"/>
        <v>-26593.920000000002</v>
      </c>
      <c r="DC219" s="17">
        <f t="shared" si="1004"/>
        <v>3412</v>
      </c>
      <c r="DD219" s="17">
        <f t="shared" si="1005"/>
        <v>308.39020799999997</v>
      </c>
      <c r="DE219" s="17">
        <f t="shared" si="1006"/>
        <v>17496.000000000007</v>
      </c>
      <c r="DF219" s="17">
        <f t="shared" si="1007"/>
        <v>-3793.8145001472003</v>
      </c>
      <c r="DG219" s="17"/>
      <c r="DH219" s="17">
        <f t="shared" si="1008"/>
        <v>-10514.941939202587</v>
      </c>
      <c r="DI219" s="17">
        <f t="shared" si="1009"/>
        <v>-29573.274204007277</v>
      </c>
      <c r="DJ219" s="17">
        <f t="shared" si="1010"/>
        <v>-2137.5460389420814</v>
      </c>
      <c r="DK219" s="17">
        <f t="shared" si="1011"/>
        <v>3187.9959161894853</v>
      </c>
      <c r="DL219" s="17">
        <f t="shared" si="1012"/>
        <v>-14258.465700147197</v>
      </c>
      <c r="DM219" s="17">
        <f t="shared" si="1013"/>
        <v>-39037.766265962462</v>
      </c>
      <c r="DN219" s="17">
        <f t="shared" si="1014"/>
        <v>-53296.231966109655</v>
      </c>
    </row>
    <row r="220" spans="3:120" ht="18.600000000000001">
      <c r="C220" s="13">
        <f>IF(D220&lt;&gt;"",COUNTA($D$10:D220),"")</f>
        <v>181</v>
      </c>
      <c r="D220" s="14" t="s">
        <v>210</v>
      </c>
      <c r="E220" s="14">
        <v>2.1</v>
      </c>
      <c r="F220" s="14">
        <v>1.8</v>
      </c>
      <c r="G220" s="14">
        <v>2.4</v>
      </c>
      <c r="H220" s="14">
        <v>2</v>
      </c>
      <c r="I220" s="14">
        <v>1</v>
      </c>
      <c r="J220" s="14">
        <v>1.75</v>
      </c>
      <c r="K220" s="14">
        <v>3</v>
      </c>
      <c r="L220" s="15">
        <v>0.1</v>
      </c>
      <c r="M220" s="15">
        <v>0</v>
      </c>
      <c r="N220" s="14">
        <v>24</v>
      </c>
      <c r="O220" s="14">
        <v>50</v>
      </c>
      <c r="P220" s="13">
        <v>45</v>
      </c>
      <c r="Q220" s="13">
        <v>85</v>
      </c>
      <c r="R220" s="13" t="s">
        <v>17</v>
      </c>
      <c r="S220" s="13">
        <v>120</v>
      </c>
      <c r="T220" s="13">
        <v>0</v>
      </c>
      <c r="U220" s="13">
        <v>100</v>
      </c>
      <c r="V220" s="13" t="str">
        <f t="shared" si="939"/>
        <v>ISO 6</v>
      </c>
      <c r="W220" s="13">
        <f t="shared" si="940"/>
        <v>120</v>
      </c>
      <c r="X220" s="16">
        <f t="shared" si="941"/>
        <v>40.672800000000002</v>
      </c>
      <c r="Y220" s="16">
        <f t="shared" si="942"/>
        <v>320.17628159999998</v>
      </c>
      <c r="Z220" s="16">
        <f t="shared" si="943"/>
        <v>640.35256319999996</v>
      </c>
      <c r="AA220" s="16">
        <f t="shared" si="944"/>
        <v>64.035256320000002</v>
      </c>
      <c r="AB220" s="16">
        <f t="shared" si="945"/>
        <v>0</v>
      </c>
      <c r="AC220" s="16">
        <f t="shared" si="946"/>
        <v>5.8907382174303526</v>
      </c>
      <c r="AD220" s="16">
        <f t="shared" si="1015"/>
        <v>2175</v>
      </c>
      <c r="AE220" s="16">
        <f t="shared" si="948"/>
        <v>2175</v>
      </c>
      <c r="AF220" s="16">
        <f t="shared" si="949"/>
        <v>14</v>
      </c>
      <c r="AG220" s="16">
        <f t="shared" si="950"/>
        <v>5.5</v>
      </c>
      <c r="AH220" s="838" t="s">
        <v>85</v>
      </c>
      <c r="AI220" s="17">
        <f t="shared" si="951"/>
        <v>4.5</v>
      </c>
      <c r="AJ220" s="17">
        <f t="shared" si="952"/>
        <v>5.5</v>
      </c>
      <c r="AK220" s="891"/>
      <c r="AL220" s="18"/>
      <c r="AM220" s="889"/>
      <c r="AN220" s="891"/>
      <c r="AO220" s="888"/>
      <c r="AP220" s="891"/>
      <c r="AQ220" s="891"/>
      <c r="AR220" s="889"/>
      <c r="AS220" s="888"/>
      <c r="AT220" s="888"/>
      <c r="AU220" s="890"/>
      <c r="AV220" s="888"/>
      <c r="AW220" s="888"/>
      <c r="AX220" s="888"/>
      <c r="AY220" s="887"/>
      <c r="AZ220" s="888"/>
      <c r="BA220" s="17">
        <f t="shared" si="953"/>
        <v>14.399999999999991</v>
      </c>
      <c r="BB220" s="17">
        <f t="shared" si="954"/>
        <v>37.799999999999997</v>
      </c>
      <c r="BC220" s="17">
        <f t="shared" si="955"/>
        <v>32</v>
      </c>
      <c r="BD220" s="17">
        <f t="shared" si="956"/>
        <v>85</v>
      </c>
      <c r="BE220" s="17">
        <f t="shared" si="957"/>
        <v>180.86341983910182</v>
      </c>
      <c r="BF220" s="17">
        <f t="shared" si="958"/>
        <v>24</v>
      </c>
      <c r="BG220" s="17">
        <f t="shared" si="959"/>
        <v>50</v>
      </c>
      <c r="BH220" s="17">
        <f t="shared" si="960"/>
        <v>65.062647806544774</v>
      </c>
      <c r="BI220" s="17">
        <f t="shared" si="961"/>
        <v>115.80077203255705</v>
      </c>
      <c r="BJ220" s="17">
        <f t="shared" si="962"/>
        <v>45</v>
      </c>
      <c r="BK220" s="17">
        <f t="shared" si="963"/>
        <v>85</v>
      </c>
      <c r="BL220" s="17">
        <f t="shared" si="964"/>
        <v>380.54120080897206</v>
      </c>
      <c r="BM220" s="17">
        <f t="shared" si="965"/>
        <v>24</v>
      </c>
      <c r="BN220" s="17">
        <f t="shared" si="966"/>
        <v>50</v>
      </c>
      <c r="BO220" s="17">
        <f t="shared" si="967"/>
        <v>65.062647806544774</v>
      </c>
      <c r="BP220" s="17">
        <f t="shared" si="968"/>
        <v>315.4785530024273</v>
      </c>
      <c r="BQ220" s="17">
        <f t="shared" si="969"/>
        <v>3426.2766719999995</v>
      </c>
      <c r="BR220" s="17">
        <f t="shared" si="970"/>
        <v>1305.2482559999992</v>
      </c>
      <c r="BS220" s="17">
        <f t="shared" si="971"/>
        <v>263.55974399999985</v>
      </c>
      <c r="BT220" s="17">
        <f t="shared" si="972"/>
        <v>691.84432800000002</v>
      </c>
      <c r="BU220" s="17">
        <f t="shared" si="973"/>
        <v>23269.68</v>
      </c>
      <c r="BV220" s="17">
        <f t="shared" si="974"/>
        <v>3412</v>
      </c>
      <c r="BW220" s="17">
        <f t="shared" si="975"/>
        <v>242.85728880000002</v>
      </c>
      <c r="BX220" s="17">
        <f t="shared" si="976"/>
        <v>17495.999999999989</v>
      </c>
      <c r="BY220" s="17">
        <f t="shared" si="977"/>
        <v>2614.1753040076801</v>
      </c>
      <c r="BZ220" s="17"/>
      <c r="CA220" s="17">
        <f t="shared" si="978"/>
        <v>85810.166416660228</v>
      </c>
      <c r="CB220" s="17">
        <f t="shared" si="979"/>
        <v>241341.0930468569</v>
      </c>
      <c r="CC220" s="17">
        <f t="shared" si="980"/>
        <v>13737.190003381735</v>
      </c>
      <c r="CD220" s="17">
        <f t="shared" si="981"/>
        <v>123634.7100304356</v>
      </c>
      <c r="CE220" s="17">
        <f t="shared" si="982"/>
        <v>50460.989264807671</v>
      </c>
      <c r="CF220" s="17">
        <f t="shared" si="983"/>
        <v>464523.15949733445</v>
      </c>
      <c r="CG220" s="17">
        <f t="shared" si="984"/>
        <v>514984.14876214211</v>
      </c>
      <c r="CH220" s="17">
        <f t="shared" si="985"/>
        <v>14.400000000000006</v>
      </c>
      <c r="CI220" s="17">
        <f t="shared" si="986"/>
        <v>-43.2</v>
      </c>
      <c r="CJ220" s="17">
        <f t="shared" si="987"/>
        <v>16</v>
      </c>
      <c r="CK220" s="17">
        <f t="shared" si="988"/>
        <v>90</v>
      </c>
      <c r="CL220" s="17">
        <f t="shared" si="989"/>
        <v>71.46880726181422</v>
      </c>
      <c r="CM220" s="17">
        <f t="shared" si="990"/>
        <v>24</v>
      </c>
      <c r="CN220" s="17">
        <f t="shared" si="991"/>
        <v>50</v>
      </c>
      <c r="CO220" s="17">
        <f t="shared" si="992"/>
        <v>65.062647806544774</v>
      </c>
      <c r="CP220" s="17">
        <f t="shared" si="993"/>
        <v>6.4061594552694459</v>
      </c>
      <c r="CQ220" s="17">
        <f t="shared" si="994"/>
        <v>0</v>
      </c>
      <c r="CR220" s="17">
        <f t="shared" si="995"/>
        <v>100</v>
      </c>
      <c r="CS220" s="17">
        <f t="shared" si="996"/>
        <v>26.404773030064671</v>
      </c>
      <c r="CT220" s="17">
        <f t="shared" si="997"/>
        <v>24</v>
      </c>
      <c r="CU220" s="17">
        <f t="shared" si="998"/>
        <v>50</v>
      </c>
      <c r="CV220" s="17">
        <f t="shared" si="999"/>
        <v>65.062647806544774</v>
      </c>
      <c r="CW220" s="17">
        <f t="shared" si="1000"/>
        <v>-38.657874776480099</v>
      </c>
      <c r="CX220" s="17">
        <f t="shared" si="938"/>
        <v>-3915.744768</v>
      </c>
      <c r="CY220" s="17">
        <f t="shared" si="938"/>
        <v>-3915.744768</v>
      </c>
      <c r="CZ220" s="17">
        <f t="shared" si="1001"/>
        <v>263.55974400000014</v>
      </c>
      <c r="DA220" s="17">
        <f t="shared" si="1002"/>
        <v>-790.67923200000007</v>
      </c>
      <c r="DB220" s="17">
        <f t="shared" si="1003"/>
        <v>-26593.920000000002</v>
      </c>
      <c r="DC220" s="17">
        <f t="shared" si="1004"/>
        <v>3412</v>
      </c>
      <c r="DD220" s="17">
        <f t="shared" si="1005"/>
        <v>242.85728880000002</v>
      </c>
      <c r="DE220" s="17">
        <f t="shared" si="1006"/>
        <v>17496.000000000007</v>
      </c>
      <c r="DF220" s="17">
        <f t="shared" si="1007"/>
        <v>-2987.6289188659202</v>
      </c>
      <c r="DG220" s="17"/>
      <c r="DH220" s="17">
        <f t="shared" si="1008"/>
        <v>-10514.941939202587</v>
      </c>
      <c r="DI220" s="17">
        <f t="shared" si="1009"/>
        <v>-29573.274204007277</v>
      </c>
      <c r="DJ220" s="17">
        <f t="shared" si="1010"/>
        <v>-1683.3175056668888</v>
      </c>
      <c r="DK220" s="17">
        <f t="shared" si="1011"/>
        <v>2510.5467839992198</v>
      </c>
      <c r="DL220" s="17">
        <f t="shared" si="1012"/>
        <v>-12873.555886065915</v>
      </c>
      <c r="DM220" s="17">
        <f t="shared" si="1013"/>
        <v>-39260.986864877537</v>
      </c>
      <c r="DN220" s="17">
        <f t="shared" si="1014"/>
        <v>-52134.542750943452</v>
      </c>
    </row>
    <row r="221" spans="3:120" ht="18.600000000000001">
      <c r="C221" s="13">
        <f>IF(D221&lt;&gt;"",COUNTA($D$10:D221),"")</f>
        <v>182</v>
      </c>
      <c r="D221" s="14" t="s">
        <v>211</v>
      </c>
      <c r="E221" s="14">
        <v>1.8</v>
      </c>
      <c r="F221" s="14">
        <v>1.9</v>
      </c>
      <c r="G221" s="14">
        <v>2.4</v>
      </c>
      <c r="H221" s="14">
        <v>2</v>
      </c>
      <c r="I221" s="14">
        <v>1</v>
      </c>
      <c r="J221" s="14">
        <v>1.75</v>
      </c>
      <c r="K221" s="14">
        <v>3</v>
      </c>
      <c r="L221" s="15">
        <v>0.1</v>
      </c>
      <c r="M221" s="15">
        <v>0</v>
      </c>
      <c r="N221" s="14">
        <v>24</v>
      </c>
      <c r="O221" s="14">
        <v>50</v>
      </c>
      <c r="P221" s="13">
        <v>45</v>
      </c>
      <c r="Q221" s="13">
        <v>85</v>
      </c>
      <c r="R221" s="13" t="s">
        <v>17</v>
      </c>
      <c r="S221" s="13">
        <v>120</v>
      </c>
      <c r="T221" s="13">
        <v>0</v>
      </c>
      <c r="U221" s="13">
        <v>100</v>
      </c>
      <c r="V221" s="13" t="str">
        <f t="shared" si="939"/>
        <v>ISO 6</v>
      </c>
      <c r="W221" s="13">
        <f t="shared" si="940"/>
        <v>120</v>
      </c>
      <c r="X221" s="16">
        <f t="shared" si="941"/>
        <v>36.799199999999999</v>
      </c>
      <c r="Y221" s="16">
        <f t="shared" si="942"/>
        <v>289.68330239999995</v>
      </c>
      <c r="Z221" s="16">
        <f t="shared" si="943"/>
        <v>579.36660479999989</v>
      </c>
      <c r="AA221" s="16">
        <f t="shared" si="944"/>
        <v>57.936660479999993</v>
      </c>
      <c r="AB221" s="16">
        <f t="shared" si="945"/>
        <v>0</v>
      </c>
      <c r="AC221" s="16">
        <f t="shared" si="946"/>
        <v>5.3297155300560322</v>
      </c>
      <c r="AD221" s="16">
        <f t="shared" si="1015"/>
        <v>2125</v>
      </c>
      <c r="AE221" s="16">
        <f t="shared" si="948"/>
        <v>2125</v>
      </c>
      <c r="AF221" s="16">
        <f t="shared" si="949"/>
        <v>14</v>
      </c>
      <c r="AG221" s="16">
        <f t="shared" si="950"/>
        <v>5.5</v>
      </c>
      <c r="AH221" s="838" t="s">
        <v>85</v>
      </c>
      <c r="AI221" s="17">
        <f t="shared" si="951"/>
        <v>4.5</v>
      </c>
      <c r="AJ221" s="17">
        <f t="shared" si="952"/>
        <v>5.5</v>
      </c>
      <c r="AK221" s="891"/>
      <c r="AL221" s="18"/>
      <c r="AM221" s="889"/>
      <c r="AN221" s="891"/>
      <c r="AO221" s="888"/>
      <c r="AP221" s="891"/>
      <c r="AQ221" s="891"/>
      <c r="AR221" s="889"/>
      <c r="AS221" s="888"/>
      <c r="AT221" s="888"/>
      <c r="AU221" s="890"/>
      <c r="AV221" s="888"/>
      <c r="AW221" s="888"/>
      <c r="AX221" s="888"/>
      <c r="AY221" s="887"/>
      <c r="AZ221" s="888"/>
      <c r="BA221" s="17">
        <f t="shared" si="953"/>
        <v>14.399999999999991</v>
      </c>
      <c r="BB221" s="17">
        <f t="shared" si="954"/>
        <v>37.799999999999997</v>
      </c>
      <c r="BC221" s="17">
        <f t="shared" si="955"/>
        <v>32</v>
      </c>
      <c r="BD221" s="17">
        <f t="shared" si="956"/>
        <v>85</v>
      </c>
      <c r="BE221" s="17">
        <f t="shared" si="957"/>
        <v>180.86341983910182</v>
      </c>
      <c r="BF221" s="17">
        <f t="shared" si="958"/>
        <v>24</v>
      </c>
      <c r="BG221" s="17">
        <f t="shared" si="959"/>
        <v>50</v>
      </c>
      <c r="BH221" s="17">
        <f t="shared" si="960"/>
        <v>65.062647806544774</v>
      </c>
      <c r="BI221" s="17">
        <f t="shared" si="961"/>
        <v>115.80077203255705</v>
      </c>
      <c r="BJ221" s="17">
        <f t="shared" si="962"/>
        <v>45</v>
      </c>
      <c r="BK221" s="17">
        <f t="shared" si="963"/>
        <v>85</v>
      </c>
      <c r="BL221" s="17">
        <f t="shared" si="964"/>
        <v>380.54120080897206</v>
      </c>
      <c r="BM221" s="17">
        <f t="shared" si="965"/>
        <v>24</v>
      </c>
      <c r="BN221" s="17">
        <f t="shared" si="966"/>
        <v>50</v>
      </c>
      <c r="BO221" s="17">
        <f t="shared" si="967"/>
        <v>65.062647806544774</v>
      </c>
      <c r="BP221" s="17">
        <f t="shared" si="968"/>
        <v>315.4785530024273</v>
      </c>
      <c r="BQ221" s="17">
        <f t="shared" si="969"/>
        <v>3250.5701760000002</v>
      </c>
      <c r="BR221" s="17">
        <f t="shared" si="970"/>
        <v>1238.3124479999992</v>
      </c>
      <c r="BS221" s="17">
        <f t="shared" si="971"/>
        <v>238.45881599999987</v>
      </c>
      <c r="BT221" s="17">
        <f t="shared" si="972"/>
        <v>625.95439199999998</v>
      </c>
      <c r="BU221" s="17">
        <f t="shared" si="973"/>
        <v>23269.68</v>
      </c>
      <c r="BV221" s="17">
        <f t="shared" si="974"/>
        <v>3412</v>
      </c>
      <c r="BW221" s="17">
        <f t="shared" si="975"/>
        <v>219.7280232</v>
      </c>
      <c r="BX221" s="17">
        <f t="shared" si="976"/>
        <v>17495.999999999989</v>
      </c>
      <c r="BY221" s="17">
        <f t="shared" si="977"/>
        <v>2365.2062274355198</v>
      </c>
      <c r="BZ221" s="17"/>
      <c r="CA221" s="17">
        <f t="shared" si="978"/>
        <v>85810.166416660228</v>
      </c>
      <c r="CB221" s="17">
        <f t="shared" si="979"/>
        <v>241341.0930468569</v>
      </c>
      <c r="CC221" s="17">
        <f t="shared" si="980"/>
        <v>12428.886193535853</v>
      </c>
      <c r="CD221" s="17">
        <f t="shared" si="981"/>
        <v>111859.97574182268</v>
      </c>
      <c r="CE221" s="17">
        <f t="shared" si="982"/>
        <v>50013.184426635511</v>
      </c>
      <c r="CF221" s="17">
        <f t="shared" si="983"/>
        <v>451440.12139887566</v>
      </c>
      <c r="CG221" s="17">
        <f t="shared" si="984"/>
        <v>501453.30582551117</v>
      </c>
      <c r="CH221" s="17">
        <f t="shared" si="985"/>
        <v>14.400000000000006</v>
      </c>
      <c r="CI221" s="17">
        <f t="shared" si="986"/>
        <v>-43.2</v>
      </c>
      <c r="CJ221" s="17">
        <f t="shared" si="987"/>
        <v>16</v>
      </c>
      <c r="CK221" s="17">
        <f t="shared" si="988"/>
        <v>90</v>
      </c>
      <c r="CL221" s="17">
        <f t="shared" si="989"/>
        <v>71.46880726181422</v>
      </c>
      <c r="CM221" s="17">
        <f t="shared" si="990"/>
        <v>24</v>
      </c>
      <c r="CN221" s="17">
        <f t="shared" si="991"/>
        <v>50</v>
      </c>
      <c r="CO221" s="17">
        <f t="shared" si="992"/>
        <v>65.062647806544774</v>
      </c>
      <c r="CP221" s="17">
        <f t="shared" si="993"/>
        <v>6.4061594552694459</v>
      </c>
      <c r="CQ221" s="17">
        <f t="shared" si="994"/>
        <v>0</v>
      </c>
      <c r="CR221" s="17">
        <f t="shared" si="995"/>
        <v>100</v>
      </c>
      <c r="CS221" s="17">
        <f t="shared" si="996"/>
        <v>26.404773030064671</v>
      </c>
      <c r="CT221" s="17">
        <f t="shared" si="997"/>
        <v>24</v>
      </c>
      <c r="CU221" s="17">
        <f t="shared" si="998"/>
        <v>50</v>
      </c>
      <c r="CV221" s="17">
        <f t="shared" si="999"/>
        <v>65.062647806544774</v>
      </c>
      <c r="CW221" s="17">
        <f t="shared" si="1000"/>
        <v>-38.657874776480099</v>
      </c>
      <c r="CX221" s="17">
        <f t="shared" si="938"/>
        <v>-3714.9373440000004</v>
      </c>
      <c r="CY221" s="17">
        <f t="shared" si="938"/>
        <v>-3714.9373440000004</v>
      </c>
      <c r="CZ221" s="17">
        <f t="shared" si="1001"/>
        <v>238.45881600000007</v>
      </c>
      <c r="DA221" s="17">
        <f t="shared" si="1002"/>
        <v>-715.3764480000001</v>
      </c>
      <c r="DB221" s="17">
        <f t="shared" si="1003"/>
        <v>-26593.920000000002</v>
      </c>
      <c r="DC221" s="17">
        <f t="shared" si="1004"/>
        <v>3412</v>
      </c>
      <c r="DD221" s="17">
        <f t="shared" si="1005"/>
        <v>219.7280232</v>
      </c>
      <c r="DE221" s="17">
        <f t="shared" si="1006"/>
        <v>17496.000000000007</v>
      </c>
      <c r="DF221" s="17">
        <f t="shared" si="1007"/>
        <v>-2703.0928313548802</v>
      </c>
      <c r="DG221" s="17"/>
      <c r="DH221" s="17">
        <f t="shared" si="1008"/>
        <v>-10514.941939202587</v>
      </c>
      <c r="DI221" s="17">
        <f t="shared" si="1009"/>
        <v>-29573.274204007277</v>
      </c>
      <c r="DJ221" s="17">
        <f t="shared" si="1010"/>
        <v>-1523.0015527462326</v>
      </c>
      <c r="DK221" s="17">
        <f t="shared" si="1011"/>
        <v>2271.447090285008</v>
      </c>
      <c r="DL221" s="17">
        <f t="shared" si="1012"/>
        <v>-12361.139784154871</v>
      </c>
      <c r="DM221" s="17">
        <f t="shared" si="1013"/>
        <v>-39339.770605671089</v>
      </c>
      <c r="DN221" s="17">
        <f t="shared" si="1014"/>
        <v>-51700.910389825964</v>
      </c>
    </row>
    <row r="222" spans="3:120" ht="18.600000000000001">
      <c r="C222" s="13">
        <f>IF(D222&lt;&gt;"",COUNTA($D$10:D222),"")</f>
        <v>183</v>
      </c>
      <c r="D222" s="14" t="s">
        <v>212</v>
      </c>
      <c r="E222" s="14">
        <v>1.9</v>
      </c>
      <c r="F222" s="14">
        <v>2</v>
      </c>
      <c r="G222" s="14">
        <v>2.4</v>
      </c>
      <c r="H222" s="14">
        <v>2</v>
      </c>
      <c r="I222" s="14">
        <v>1</v>
      </c>
      <c r="J222" s="14">
        <v>1.75</v>
      </c>
      <c r="K222" s="14">
        <v>3</v>
      </c>
      <c r="L222" s="15">
        <v>0.1</v>
      </c>
      <c r="M222" s="15">
        <v>0</v>
      </c>
      <c r="N222" s="14">
        <v>24</v>
      </c>
      <c r="O222" s="14">
        <v>50</v>
      </c>
      <c r="P222" s="13">
        <v>45</v>
      </c>
      <c r="Q222" s="13">
        <v>85</v>
      </c>
      <c r="R222" s="13" t="s">
        <v>17</v>
      </c>
      <c r="S222" s="13">
        <v>120</v>
      </c>
      <c r="T222" s="13">
        <v>0</v>
      </c>
      <c r="U222" s="13">
        <v>100</v>
      </c>
      <c r="V222" s="13" t="str">
        <f t="shared" si="939"/>
        <v>ISO 6</v>
      </c>
      <c r="W222" s="13">
        <f t="shared" si="940"/>
        <v>120</v>
      </c>
      <c r="X222" s="16">
        <f t="shared" si="941"/>
        <v>40.887999999999998</v>
      </c>
      <c r="Y222" s="16">
        <f t="shared" si="942"/>
        <v>321.87033599999995</v>
      </c>
      <c r="Z222" s="16">
        <f t="shared" si="943"/>
        <v>643.7406719999999</v>
      </c>
      <c r="AA222" s="16">
        <f t="shared" si="944"/>
        <v>64.374067199999999</v>
      </c>
      <c r="AB222" s="16">
        <f t="shared" si="945"/>
        <v>0</v>
      </c>
      <c r="AC222" s="16">
        <f t="shared" si="946"/>
        <v>5.9219061445067043</v>
      </c>
      <c r="AD222" s="16">
        <f t="shared" si="1015"/>
        <v>2175</v>
      </c>
      <c r="AE222" s="16">
        <f t="shared" si="948"/>
        <v>2175</v>
      </c>
      <c r="AF222" s="16">
        <f t="shared" si="949"/>
        <v>14</v>
      </c>
      <c r="AG222" s="16">
        <f t="shared" si="950"/>
        <v>5.5</v>
      </c>
      <c r="AH222" s="838" t="s">
        <v>85</v>
      </c>
      <c r="AI222" s="17">
        <f t="shared" si="951"/>
        <v>4.5</v>
      </c>
      <c r="AJ222" s="17">
        <f t="shared" si="952"/>
        <v>5.5</v>
      </c>
      <c r="AK222" s="891"/>
      <c r="AL222" s="18"/>
      <c r="AM222" s="889"/>
      <c r="AN222" s="891"/>
      <c r="AO222" s="888"/>
      <c r="AP222" s="891"/>
      <c r="AQ222" s="891"/>
      <c r="AR222" s="889"/>
      <c r="AS222" s="888"/>
      <c r="AT222" s="888"/>
      <c r="AU222" s="890"/>
      <c r="AV222" s="888"/>
      <c r="AW222" s="888"/>
      <c r="AX222" s="888"/>
      <c r="AY222" s="887"/>
      <c r="AZ222" s="888"/>
      <c r="BA222" s="17">
        <f t="shared" si="953"/>
        <v>14.399999999999991</v>
      </c>
      <c r="BB222" s="17">
        <f t="shared" si="954"/>
        <v>37.799999999999997</v>
      </c>
      <c r="BC222" s="17">
        <f t="shared" si="955"/>
        <v>32</v>
      </c>
      <c r="BD222" s="17">
        <f t="shared" si="956"/>
        <v>85</v>
      </c>
      <c r="BE222" s="17">
        <f t="shared" si="957"/>
        <v>180.86341983910182</v>
      </c>
      <c r="BF222" s="17">
        <f t="shared" si="958"/>
        <v>24</v>
      </c>
      <c r="BG222" s="17">
        <f t="shared" si="959"/>
        <v>50</v>
      </c>
      <c r="BH222" s="17">
        <f t="shared" si="960"/>
        <v>65.062647806544774</v>
      </c>
      <c r="BI222" s="17">
        <f t="shared" si="961"/>
        <v>115.80077203255705</v>
      </c>
      <c r="BJ222" s="17">
        <f t="shared" si="962"/>
        <v>45</v>
      </c>
      <c r="BK222" s="17">
        <f t="shared" si="963"/>
        <v>85</v>
      </c>
      <c r="BL222" s="17">
        <f t="shared" si="964"/>
        <v>380.54120080897206</v>
      </c>
      <c r="BM222" s="17">
        <f t="shared" si="965"/>
        <v>24</v>
      </c>
      <c r="BN222" s="17">
        <f t="shared" si="966"/>
        <v>50</v>
      </c>
      <c r="BO222" s="17">
        <f t="shared" si="967"/>
        <v>65.062647806544774</v>
      </c>
      <c r="BP222" s="17">
        <f t="shared" si="968"/>
        <v>315.4785530024273</v>
      </c>
      <c r="BQ222" s="17">
        <f t="shared" si="969"/>
        <v>3426.2766719999991</v>
      </c>
      <c r="BR222" s="17">
        <f t="shared" si="970"/>
        <v>1305.2482559999989</v>
      </c>
      <c r="BS222" s="17">
        <f t="shared" si="971"/>
        <v>264.95423999999986</v>
      </c>
      <c r="BT222" s="17">
        <f t="shared" si="972"/>
        <v>695.50487999999984</v>
      </c>
      <c r="BU222" s="17">
        <f t="shared" si="973"/>
        <v>23269.68</v>
      </c>
      <c r="BV222" s="17">
        <f t="shared" si="974"/>
        <v>3412</v>
      </c>
      <c r="BW222" s="17">
        <f t="shared" si="975"/>
        <v>244.142248</v>
      </c>
      <c r="BX222" s="17">
        <f t="shared" si="976"/>
        <v>17495.999999999989</v>
      </c>
      <c r="BY222" s="17">
        <f t="shared" si="977"/>
        <v>2628.0069193727995</v>
      </c>
      <c r="BZ222" s="17"/>
      <c r="CA222" s="17">
        <f t="shared" si="978"/>
        <v>85810.166416660228</v>
      </c>
      <c r="CB222" s="17">
        <f t="shared" si="979"/>
        <v>241341.0930468569</v>
      </c>
      <c r="CC222" s="17">
        <f t="shared" si="980"/>
        <v>13809.873548373173</v>
      </c>
      <c r="CD222" s="17">
        <f t="shared" si="981"/>
        <v>124288.86193535852</v>
      </c>
      <c r="CE222" s="17">
        <f t="shared" si="982"/>
        <v>50476.105839372787</v>
      </c>
      <c r="CF222" s="17">
        <f t="shared" si="983"/>
        <v>465249.99494724884</v>
      </c>
      <c r="CG222" s="17">
        <f t="shared" si="984"/>
        <v>515726.10078662162</v>
      </c>
      <c r="CH222" s="17">
        <f t="shared" si="985"/>
        <v>14.400000000000006</v>
      </c>
      <c r="CI222" s="17">
        <f t="shared" si="986"/>
        <v>-43.2</v>
      </c>
      <c r="CJ222" s="17">
        <f t="shared" si="987"/>
        <v>16</v>
      </c>
      <c r="CK222" s="17">
        <f t="shared" si="988"/>
        <v>90</v>
      </c>
      <c r="CL222" s="17">
        <f t="shared" si="989"/>
        <v>71.46880726181422</v>
      </c>
      <c r="CM222" s="17">
        <f t="shared" si="990"/>
        <v>24</v>
      </c>
      <c r="CN222" s="17">
        <f t="shared" si="991"/>
        <v>50</v>
      </c>
      <c r="CO222" s="17">
        <f t="shared" si="992"/>
        <v>65.062647806544774</v>
      </c>
      <c r="CP222" s="17">
        <f t="shared" si="993"/>
        <v>6.4061594552694459</v>
      </c>
      <c r="CQ222" s="17">
        <f t="shared" si="994"/>
        <v>0</v>
      </c>
      <c r="CR222" s="17">
        <f t="shared" si="995"/>
        <v>100</v>
      </c>
      <c r="CS222" s="17">
        <f t="shared" si="996"/>
        <v>26.404773030064671</v>
      </c>
      <c r="CT222" s="17">
        <f t="shared" si="997"/>
        <v>24</v>
      </c>
      <c r="CU222" s="17">
        <f t="shared" si="998"/>
        <v>50</v>
      </c>
      <c r="CV222" s="17">
        <f t="shared" si="999"/>
        <v>65.062647806544774</v>
      </c>
      <c r="CW222" s="17">
        <f t="shared" si="1000"/>
        <v>-38.657874776480099</v>
      </c>
      <c r="CX222" s="17">
        <f t="shared" si="938"/>
        <v>-3915.744768</v>
      </c>
      <c r="CY222" s="17">
        <f t="shared" si="938"/>
        <v>-3915.744768</v>
      </c>
      <c r="CZ222" s="17">
        <f t="shared" si="1001"/>
        <v>264.95424000000008</v>
      </c>
      <c r="DA222" s="17">
        <f t="shared" si="1002"/>
        <v>-794.86271999999997</v>
      </c>
      <c r="DB222" s="17">
        <f t="shared" si="1003"/>
        <v>-26593.920000000002</v>
      </c>
      <c r="DC222" s="17">
        <f t="shared" si="1004"/>
        <v>3412</v>
      </c>
      <c r="DD222" s="17">
        <f t="shared" si="1005"/>
        <v>244.142248</v>
      </c>
      <c r="DE222" s="17">
        <f t="shared" si="1006"/>
        <v>17496.000000000007</v>
      </c>
      <c r="DF222" s="17">
        <f t="shared" si="1007"/>
        <v>-3003.4364792832002</v>
      </c>
      <c r="DG222" s="17"/>
      <c r="DH222" s="17">
        <f t="shared" si="1008"/>
        <v>-10514.941939202587</v>
      </c>
      <c r="DI222" s="17">
        <f t="shared" si="1009"/>
        <v>-29573.274204007277</v>
      </c>
      <c r="DJ222" s="17">
        <f t="shared" si="1010"/>
        <v>-1692.2239474958142</v>
      </c>
      <c r="DK222" s="17">
        <f t="shared" si="1011"/>
        <v>2523.8301003166753</v>
      </c>
      <c r="DL222" s="17">
        <f t="shared" si="1012"/>
        <v>-12890.867479283193</v>
      </c>
      <c r="DM222" s="17">
        <f t="shared" si="1013"/>
        <v>-39256.609990388999</v>
      </c>
      <c r="DN222" s="17">
        <f t="shared" si="1014"/>
        <v>-52147.477469672194</v>
      </c>
    </row>
    <row r="223" spans="3:120" ht="18.600000000000001">
      <c r="C223" s="13">
        <f>IF(D223&lt;&gt;"",COUNTA($D$10:D223),"")</f>
        <v>184</v>
      </c>
      <c r="D223" s="14" t="s">
        <v>213</v>
      </c>
      <c r="E223" s="14">
        <v>2.2999999999999998</v>
      </c>
      <c r="F223" s="14">
        <v>2.2000000000000002</v>
      </c>
      <c r="G223" s="14">
        <v>2.4</v>
      </c>
      <c r="H223" s="14">
        <v>2</v>
      </c>
      <c r="I223" s="14">
        <v>1</v>
      </c>
      <c r="J223" s="14">
        <v>1.75</v>
      </c>
      <c r="K223" s="14">
        <v>3</v>
      </c>
      <c r="L223" s="15">
        <v>0.1</v>
      </c>
      <c r="M223" s="15">
        <v>0</v>
      </c>
      <c r="N223" s="14">
        <v>24</v>
      </c>
      <c r="O223" s="14">
        <v>50</v>
      </c>
      <c r="P223" s="13">
        <v>45</v>
      </c>
      <c r="Q223" s="13">
        <v>85</v>
      </c>
      <c r="R223" s="13" t="s">
        <v>17</v>
      </c>
      <c r="S223" s="13">
        <v>120</v>
      </c>
      <c r="T223" s="13">
        <v>0</v>
      </c>
      <c r="U223" s="13">
        <v>100</v>
      </c>
      <c r="V223" s="13" t="str">
        <f t="shared" si="939"/>
        <v>ISO 6</v>
      </c>
      <c r="W223" s="13">
        <f t="shared" si="940"/>
        <v>120</v>
      </c>
      <c r="X223" s="16">
        <f t="shared" si="941"/>
        <v>54.445599999999992</v>
      </c>
      <c r="Y223" s="16">
        <f t="shared" si="942"/>
        <v>428.59576319999991</v>
      </c>
      <c r="Z223" s="16">
        <f t="shared" si="943"/>
        <v>857.19152639999982</v>
      </c>
      <c r="AA223" s="16">
        <f t="shared" si="944"/>
        <v>85.71915263999999</v>
      </c>
      <c r="AB223" s="16">
        <f t="shared" si="945"/>
        <v>0</v>
      </c>
      <c r="AC223" s="16">
        <f t="shared" si="946"/>
        <v>7.8854855503168197</v>
      </c>
      <c r="AD223" s="16">
        <f t="shared" si="1015"/>
        <v>2400</v>
      </c>
      <c r="AE223" s="16">
        <f t="shared" si="948"/>
        <v>2400</v>
      </c>
      <c r="AF223" s="16">
        <f t="shared" si="949"/>
        <v>14</v>
      </c>
      <c r="AG223" s="16">
        <f t="shared" si="950"/>
        <v>6</v>
      </c>
      <c r="AH223" s="838" t="s">
        <v>85</v>
      </c>
      <c r="AI223" s="17">
        <f t="shared" si="951"/>
        <v>4.5</v>
      </c>
      <c r="AJ223" s="17">
        <f t="shared" si="952"/>
        <v>6</v>
      </c>
      <c r="AK223" s="891"/>
      <c r="AL223" s="18"/>
      <c r="AM223" s="889"/>
      <c r="AN223" s="891"/>
      <c r="AO223" s="888"/>
      <c r="AP223" s="891"/>
      <c r="AQ223" s="891"/>
      <c r="AR223" s="889"/>
      <c r="AS223" s="888"/>
      <c r="AT223" s="888"/>
      <c r="AU223" s="890"/>
      <c r="AV223" s="888"/>
      <c r="AW223" s="888"/>
      <c r="AX223" s="888"/>
      <c r="AY223" s="887"/>
      <c r="AZ223" s="888"/>
      <c r="BA223" s="17">
        <f t="shared" si="953"/>
        <v>14.399999999999991</v>
      </c>
      <c r="BB223" s="17">
        <f t="shared" si="954"/>
        <v>37.799999999999997</v>
      </c>
      <c r="BC223" s="17">
        <f t="shared" si="955"/>
        <v>32</v>
      </c>
      <c r="BD223" s="17">
        <f t="shared" si="956"/>
        <v>85</v>
      </c>
      <c r="BE223" s="17">
        <f t="shared" si="957"/>
        <v>180.86341983910182</v>
      </c>
      <c r="BF223" s="17">
        <f t="shared" si="958"/>
        <v>24</v>
      </c>
      <c r="BG223" s="17">
        <f t="shared" si="959"/>
        <v>50</v>
      </c>
      <c r="BH223" s="17">
        <f t="shared" si="960"/>
        <v>65.062647806544774</v>
      </c>
      <c r="BI223" s="17">
        <f t="shared" si="961"/>
        <v>115.80077203255705</v>
      </c>
      <c r="BJ223" s="17">
        <f t="shared" si="962"/>
        <v>45</v>
      </c>
      <c r="BK223" s="17">
        <f t="shared" si="963"/>
        <v>85</v>
      </c>
      <c r="BL223" s="17">
        <f t="shared" si="964"/>
        <v>380.54120080897206</v>
      </c>
      <c r="BM223" s="17">
        <f t="shared" si="965"/>
        <v>24</v>
      </c>
      <c r="BN223" s="17">
        <f t="shared" si="966"/>
        <v>50</v>
      </c>
      <c r="BO223" s="17">
        <f t="shared" si="967"/>
        <v>65.062647806544774</v>
      </c>
      <c r="BP223" s="17">
        <f t="shared" si="968"/>
        <v>315.4785530024273</v>
      </c>
      <c r="BQ223" s="17">
        <f t="shared" si="969"/>
        <v>3953.3961599999993</v>
      </c>
      <c r="BR223" s="17">
        <f t="shared" si="970"/>
        <v>1506.0556799999993</v>
      </c>
      <c r="BS223" s="17">
        <f t="shared" si="971"/>
        <v>352.80748799999975</v>
      </c>
      <c r="BT223" s="17">
        <f t="shared" si="972"/>
        <v>926.11965599999974</v>
      </c>
      <c r="BU223" s="17">
        <f t="shared" si="973"/>
        <v>23269.68</v>
      </c>
      <c r="BV223" s="17">
        <f t="shared" si="974"/>
        <v>3412</v>
      </c>
      <c r="BW223" s="17">
        <f t="shared" si="975"/>
        <v>325.0946775999999</v>
      </c>
      <c r="BX223" s="17">
        <f t="shared" si="976"/>
        <v>17495.999999999989</v>
      </c>
      <c r="BY223" s="17">
        <f t="shared" si="977"/>
        <v>3499.3986873753597</v>
      </c>
      <c r="BZ223" s="17"/>
      <c r="CA223" s="17">
        <f t="shared" si="978"/>
        <v>85810.166416660228</v>
      </c>
      <c r="CB223" s="17">
        <f t="shared" si="979"/>
        <v>241341.0930468569</v>
      </c>
      <c r="CC223" s="17">
        <f t="shared" si="980"/>
        <v>18388.936882833746</v>
      </c>
      <c r="CD223" s="17">
        <f t="shared" si="981"/>
        <v>165500.43194550375</v>
      </c>
      <c r="CE223" s="17">
        <f t="shared" si="982"/>
        <v>51955.569524975348</v>
      </c>
      <c r="CF223" s="17">
        <f t="shared" si="983"/>
        <v>511040.62829185458</v>
      </c>
      <c r="CG223" s="17">
        <f t="shared" si="984"/>
        <v>562996.1978168299</v>
      </c>
      <c r="CH223" s="17">
        <f t="shared" si="985"/>
        <v>14.400000000000006</v>
      </c>
      <c r="CI223" s="17">
        <f t="shared" si="986"/>
        <v>-43.2</v>
      </c>
      <c r="CJ223" s="17">
        <f t="shared" si="987"/>
        <v>16</v>
      </c>
      <c r="CK223" s="17">
        <f t="shared" si="988"/>
        <v>90</v>
      </c>
      <c r="CL223" s="17">
        <f t="shared" si="989"/>
        <v>71.46880726181422</v>
      </c>
      <c r="CM223" s="17">
        <f t="shared" si="990"/>
        <v>24</v>
      </c>
      <c r="CN223" s="17">
        <f t="shared" si="991"/>
        <v>50</v>
      </c>
      <c r="CO223" s="17">
        <f t="shared" si="992"/>
        <v>65.062647806544774</v>
      </c>
      <c r="CP223" s="17">
        <f t="shared" si="993"/>
        <v>6.4061594552694459</v>
      </c>
      <c r="CQ223" s="17">
        <f t="shared" si="994"/>
        <v>0</v>
      </c>
      <c r="CR223" s="17">
        <f t="shared" si="995"/>
        <v>100</v>
      </c>
      <c r="CS223" s="17">
        <f t="shared" si="996"/>
        <v>26.404773030064671</v>
      </c>
      <c r="CT223" s="17">
        <f t="shared" si="997"/>
        <v>24</v>
      </c>
      <c r="CU223" s="17">
        <f t="shared" si="998"/>
        <v>50</v>
      </c>
      <c r="CV223" s="17">
        <f t="shared" si="999"/>
        <v>65.062647806544774</v>
      </c>
      <c r="CW223" s="17">
        <f t="shared" si="1000"/>
        <v>-38.657874776480099</v>
      </c>
      <c r="CX223" s="17">
        <f t="shared" si="938"/>
        <v>-4518.1670400000012</v>
      </c>
      <c r="CY223" s="17">
        <f t="shared" si="938"/>
        <v>-4518.1670400000012</v>
      </c>
      <c r="CZ223" s="17">
        <f t="shared" si="1001"/>
        <v>352.80748800000009</v>
      </c>
      <c r="DA223" s="17">
        <f t="shared" si="1002"/>
        <v>-1058.422464</v>
      </c>
      <c r="DB223" s="17">
        <f t="shared" si="1003"/>
        <v>-26593.920000000002</v>
      </c>
      <c r="DC223" s="17">
        <f t="shared" si="1004"/>
        <v>3412</v>
      </c>
      <c r="DD223" s="17">
        <f t="shared" si="1005"/>
        <v>325.0946775999999</v>
      </c>
      <c r="DE223" s="17">
        <f t="shared" si="1006"/>
        <v>17496.000000000007</v>
      </c>
      <c r="DF223" s="17">
        <f t="shared" si="1007"/>
        <v>-3999.3127855718403</v>
      </c>
      <c r="DG223" s="17"/>
      <c r="DH223" s="17">
        <f t="shared" si="1008"/>
        <v>-10514.941939202587</v>
      </c>
      <c r="DI223" s="17">
        <f t="shared" si="1009"/>
        <v>-29573.274204007277</v>
      </c>
      <c r="DJ223" s="17">
        <f t="shared" si="1010"/>
        <v>-2253.32978271811</v>
      </c>
      <c r="DK223" s="17">
        <f t="shared" si="1011"/>
        <v>3360.6790283164155</v>
      </c>
      <c r="DL223" s="17">
        <f t="shared" si="1012"/>
        <v>-14583.920123971839</v>
      </c>
      <c r="DM223" s="17">
        <f t="shared" si="1013"/>
        <v>-38980.866897611559</v>
      </c>
      <c r="DN223" s="17">
        <f t="shared" si="1014"/>
        <v>-53564.787021583397</v>
      </c>
    </row>
    <row r="224" spans="3:120" ht="18.600000000000001">
      <c r="C224" s="13">
        <f>IF(D224&lt;&gt;"",COUNTA($D$10:D224),"")</f>
        <v>185</v>
      </c>
      <c r="D224" s="14" t="s">
        <v>214</v>
      </c>
      <c r="E224" s="14">
        <v>2.2000000000000002</v>
      </c>
      <c r="F224" s="14">
        <v>2.8</v>
      </c>
      <c r="G224" s="14">
        <v>2.4</v>
      </c>
      <c r="H224" s="14">
        <v>2</v>
      </c>
      <c r="I224" s="14">
        <v>1</v>
      </c>
      <c r="J224" s="14">
        <v>1.75</v>
      </c>
      <c r="K224" s="14">
        <v>3</v>
      </c>
      <c r="L224" s="15">
        <v>0.1</v>
      </c>
      <c r="M224" s="15">
        <v>0</v>
      </c>
      <c r="N224" s="14">
        <v>24</v>
      </c>
      <c r="O224" s="14">
        <v>50</v>
      </c>
      <c r="P224" s="13">
        <v>45</v>
      </c>
      <c r="Q224" s="13">
        <v>85</v>
      </c>
      <c r="R224" s="13" t="s">
        <v>17</v>
      </c>
      <c r="S224" s="13">
        <v>120</v>
      </c>
      <c r="T224" s="13">
        <v>0</v>
      </c>
      <c r="U224" s="13">
        <v>100</v>
      </c>
      <c r="V224" s="13" t="str">
        <f t="shared" si="939"/>
        <v>ISO 6</v>
      </c>
      <c r="W224" s="13">
        <f t="shared" si="940"/>
        <v>120</v>
      </c>
      <c r="X224" s="16">
        <f t="shared" si="941"/>
        <v>66.281599999999997</v>
      </c>
      <c r="Y224" s="16">
        <f t="shared" si="942"/>
        <v>521.76875519999999</v>
      </c>
      <c r="Z224" s="16">
        <f t="shared" si="943"/>
        <v>1043.5375104</v>
      </c>
      <c r="AA224" s="16">
        <f t="shared" si="944"/>
        <v>104.35375104000001</v>
      </c>
      <c r="AB224" s="16">
        <f t="shared" si="945"/>
        <v>0</v>
      </c>
      <c r="AC224" s="16">
        <f t="shared" si="946"/>
        <v>9.5997215395161284</v>
      </c>
      <c r="AD224" s="16">
        <f t="shared" si="1015"/>
        <v>2575</v>
      </c>
      <c r="AE224" s="16">
        <f t="shared" si="948"/>
        <v>2575</v>
      </c>
      <c r="AF224" s="16">
        <f t="shared" si="949"/>
        <v>16</v>
      </c>
      <c r="AG224" s="16">
        <f t="shared" si="950"/>
        <v>6.5</v>
      </c>
      <c r="AH224" s="838" t="s">
        <v>85</v>
      </c>
      <c r="AI224" s="17">
        <f t="shared" si="951"/>
        <v>4.5</v>
      </c>
      <c r="AJ224" s="17">
        <f t="shared" si="952"/>
        <v>6.5</v>
      </c>
      <c r="AK224" s="891"/>
      <c r="AL224" s="18"/>
      <c r="AM224" s="889"/>
      <c r="AN224" s="891"/>
      <c r="AO224" s="888"/>
      <c r="AP224" s="891"/>
      <c r="AQ224" s="891"/>
      <c r="AR224" s="889"/>
      <c r="AS224" s="888"/>
      <c r="AT224" s="888"/>
      <c r="AU224" s="890"/>
      <c r="AV224" s="888"/>
      <c r="AW224" s="888"/>
      <c r="AX224" s="888"/>
      <c r="AY224" s="887"/>
      <c r="AZ224" s="888"/>
      <c r="BA224" s="17">
        <f t="shared" si="953"/>
        <v>14.399999999999991</v>
      </c>
      <c r="BB224" s="17">
        <f t="shared" si="954"/>
        <v>37.799999999999997</v>
      </c>
      <c r="BC224" s="17">
        <f t="shared" si="955"/>
        <v>32</v>
      </c>
      <c r="BD224" s="17">
        <f t="shared" si="956"/>
        <v>85</v>
      </c>
      <c r="BE224" s="17">
        <f t="shared" si="957"/>
        <v>180.86341983910182</v>
      </c>
      <c r="BF224" s="17">
        <f t="shared" si="958"/>
        <v>24</v>
      </c>
      <c r="BG224" s="17">
        <f t="shared" si="959"/>
        <v>50</v>
      </c>
      <c r="BH224" s="17">
        <f t="shared" si="960"/>
        <v>65.062647806544774</v>
      </c>
      <c r="BI224" s="17">
        <f t="shared" si="961"/>
        <v>115.80077203255705</v>
      </c>
      <c r="BJ224" s="17">
        <f t="shared" si="962"/>
        <v>45</v>
      </c>
      <c r="BK224" s="17">
        <f t="shared" si="963"/>
        <v>85</v>
      </c>
      <c r="BL224" s="17">
        <f t="shared" si="964"/>
        <v>380.54120080897206</v>
      </c>
      <c r="BM224" s="17">
        <f t="shared" si="965"/>
        <v>24</v>
      </c>
      <c r="BN224" s="17">
        <f t="shared" si="966"/>
        <v>50</v>
      </c>
      <c r="BO224" s="17">
        <f t="shared" si="967"/>
        <v>65.062647806544774</v>
      </c>
      <c r="BP224" s="17">
        <f t="shared" si="968"/>
        <v>315.4785530024273</v>
      </c>
      <c r="BQ224" s="17">
        <f t="shared" si="969"/>
        <v>4392.6624000000002</v>
      </c>
      <c r="BR224" s="17">
        <f t="shared" si="970"/>
        <v>1673.3951999999992</v>
      </c>
      <c r="BS224" s="17">
        <f t="shared" si="971"/>
        <v>429.50476799999973</v>
      </c>
      <c r="BT224" s="17">
        <f t="shared" si="972"/>
        <v>1127.4500159999998</v>
      </c>
      <c r="BU224" s="17">
        <f t="shared" si="973"/>
        <v>23269.68</v>
      </c>
      <c r="BV224" s="17">
        <f t="shared" si="974"/>
        <v>3412</v>
      </c>
      <c r="BW224" s="17">
        <f t="shared" si="975"/>
        <v>395.76743359999995</v>
      </c>
      <c r="BX224" s="17">
        <f t="shared" si="976"/>
        <v>17495.999999999989</v>
      </c>
      <c r="BY224" s="17">
        <f t="shared" si="977"/>
        <v>4260.1375324569599</v>
      </c>
      <c r="BZ224" s="17"/>
      <c r="CA224" s="17">
        <f t="shared" si="978"/>
        <v>85810.166416660228</v>
      </c>
      <c r="CB224" s="17">
        <f t="shared" si="979"/>
        <v>241341.0930468569</v>
      </c>
      <c r="CC224" s="17">
        <f t="shared" si="980"/>
        <v>22386.531857362828</v>
      </c>
      <c r="CD224" s="17">
        <f t="shared" si="981"/>
        <v>201478.78671626543</v>
      </c>
      <c r="CE224" s="17">
        <f t="shared" si="982"/>
        <v>53226.247366056945</v>
      </c>
      <c r="CF224" s="17">
        <f t="shared" si="983"/>
        <v>551016.57803714531</v>
      </c>
      <c r="CG224" s="17">
        <f t="shared" si="984"/>
        <v>604242.82540320221</v>
      </c>
      <c r="CH224" s="17">
        <f t="shared" si="985"/>
        <v>14.400000000000006</v>
      </c>
      <c r="CI224" s="17">
        <f t="shared" si="986"/>
        <v>-43.2</v>
      </c>
      <c r="CJ224" s="17">
        <f t="shared" si="987"/>
        <v>16</v>
      </c>
      <c r="CK224" s="17">
        <f t="shared" si="988"/>
        <v>90</v>
      </c>
      <c r="CL224" s="17">
        <f t="shared" si="989"/>
        <v>71.46880726181422</v>
      </c>
      <c r="CM224" s="17">
        <f t="shared" si="990"/>
        <v>24</v>
      </c>
      <c r="CN224" s="17">
        <f t="shared" si="991"/>
        <v>50</v>
      </c>
      <c r="CO224" s="17">
        <f t="shared" si="992"/>
        <v>65.062647806544774</v>
      </c>
      <c r="CP224" s="17">
        <f t="shared" si="993"/>
        <v>6.4061594552694459</v>
      </c>
      <c r="CQ224" s="17">
        <f t="shared" si="994"/>
        <v>0</v>
      </c>
      <c r="CR224" s="17">
        <f t="shared" si="995"/>
        <v>100</v>
      </c>
      <c r="CS224" s="17">
        <f t="shared" si="996"/>
        <v>26.404773030064671</v>
      </c>
      <c r="CT224" s="17">
        <f t="shared" si="997"/>
        <v>24</v>
      </c>
      <c r="CU224" s="17">
        <f t="shared" si="998"/>
        <v>50</v>
      </c>
      <c r="CV224" s="17">
        <f t="shared" si="999"/>
        <v>65.062647806544774</v>
      </c>
      <c r="CW224" s="17">
        <f t="shared" si="1000"/>
        <v>-38.657874776480099</v>
      </c>
      <c r="CX224" s="17">
        <f t="shared" si="938"/>
        <v>-5020.1856000000007</v>
      </c>
      <c r="CY224" s="17">
        <f t="shared" si="938"/>
        <v>-5020.1856000000007</v>
      </c>
      <c r="CZ224" s="17">
        <f t="shared" si="1001"/>
        <v>429.50476800000018</v>
      </c>
      <c r="DA224" s="17">
        <f t="shared" si="1002"/>
        <v>-1288.514304</v>
      </c>
      <c r="DB224" s="17">
        <f t="shared" si="1003"/>
        <v>-26593.920000000002</v>
      </c>
      <c r="DC224" s="17">
        <f t="shared" si="1004"/>
        <v>3412</v>
      </c>
      <c r="DD224" s="17">
        <f t="shared" si="1005"/>
        <v>395.76743359999995</v>
      </c>
      <c r="DE224" s="17">
        <f t="shared" si="1006"/>
        <v>17496.000000000007</v>
      </c>
      <c r="DF224" s="17">
        <f t="shared" si="1007"/>
        <v>-4868.7286085222404</v>
      </c>
      <c r="DG224" s="17"/>
      <c r="DH224" s="17">
        <f t="shared" si="1008"/>
        <v>-10514.941939202587</v>
      </c>
      <c r="DI224" s="17">
        <f t="shared" si="1009"/>
        <v>-29573.274204007277</v>
      </c>
      <c r="DJ224" s="17">
        <f t="shared" si="1010"/>
        <v>-2743.1840833090046</v>
      </c>
      <c r="DK224" s="17">
        <f t="shared" si="1011"/>
        <v>4091.2614257765063</v>
      </c>
      <c r="DL224" s="17">
        <f t="shared" si="1012"/>
        <v>-16038.076310922239</v>
      </c>
      <c r="DM224" s="17">
        <f t="shared" si="1013"/>
        <v>-38740.138800742359</v>
      </c>
      <c r="DN224" s="17">
        <f t="shared" si="1014"/>
        <v>-54778.215111664598</v>
      </c>
    </row>
    <row r="225" spans="3:120" ht="18.600000000000001">
      <c r="C225" s="13">
        <f>IF(D225&lt;&gt;"",COUNTA($D$10:D225),"")</f>
        <v>186</v>
      </c>
      <c r="D225" s="14" t="s">
        <v>215</v>
      </c>
      <c r="E225" s="14">
        <v>2.8</v>
      </c>
      <c r="F225" s="14">
        <v>2.4</v>
      </c>
      <c r="G225" s="14">
        <v>2.4</v>
      </c>
      <c r="H225" s="14">
        <v>2</v>
      </c>
      <c r="I225" s="14">
        <v>1</v>
      </c>
      <c r="J225" s="14">
        <v>1.75</v>
      </c>
      <c r="K225" s="14">
        <v>3</v>
      </c>
      <c r="L225" s="15">
        <v>0.1</v>
      </c>
      <c r="M225" s="15">
        <v>0</v>
      </c>
      <c r="N225" s="14">
        <v>24</v>
      </c>
      <c r="O225" s="14">
        <v>50</v>
      </c>
      <c r="P225" s="13">
        <v>45</v>
      </c>
      <c r="Q225" s="13">
        <v>85</v>
      </c>
      <c r="R225" s="13" t="s">
        <v>17</v>
      </c>
      <c r="S225" s="13">
        <v>120</v>
      </c>
      <c r="T225" s="13">
        <v>0</v>
      </c>
      <c r="U225" s="13">
        <v>100</v>
      </c>
      <c r="V225" s="13" t="str">
        <f t="shared" si="939"/>
        <v>ISO 6</v>
      </c>
      <c r="W225" s="13">
        <f t="shared" si="940"/>
        <v>120</v>
      </c>
      <c r="X225" s="16">
        <f t="shared" si="941"/>
        <v>72.307199999999995</v>
      </c>
      <c r="Y225" s="16">
        <f t="shared" si="942"/>
        <v>569.20227839999995</v>
      </c>
      <c r="Z225" s="16">
        <f t="shared" si="943"/>
        <v>1138.4045567999999</v>
      </c>
      <c r="AA225" s="16">
        <f t="shared" si="944"/>
        <v>113.84045567999999</v>
      </c>
      <c r="AB225" s="16">
        <f t="shared" si="945"/>
        <v>0</v>
      </c>
      <c r="AC225" s="16">
        <f t="shared" si="946"/>
        <v>10.472423497653956</v>
      </c>
      <c r="AD225" s="16">
        <f t="shared" si="1015"/>
        <v>2675</v>
      </c>
      <c r="AE225" s="16">
        <f t="shared" si="948"/>
        <v>2675</v>
      </c>
      <c r="AF225" s="16">
        <f t="shared" si="949"/>
        <v>16</v>
      </c>
      <c r="AG225" s="16">
        <f t="shared" si="950"/>
        <v>7</v>
      </c>
      <c r="AH225" s="838" t="s">
        <v>85</v>
      </c>
      <c r="AI225" s="17">
        <f t="shared" si="951"/>
        <v>4.5</v>
      </c>
      <c r="AJ225" s="17">
        <f t="shared" si="952"/>
        <v>7</v>
      </c>
      <c r="AK225" s="891"/>
      <c r="AL225" s="18"/>
      <c r="AM225" s="889"/>
      <c r="AN225" s="891"/>
      <c r="AO225" s="888"/>
      <c r="AP225" s="891"/>
      <c r="AQ225" s="891"/>
      <c r="AR225" s="889"/>
      <c r="AS225" s="888"/>
      <c r="AT225" s="888"/>
      <c r="AU225" s="890"/>
      <c r="AV225" s="888"/>
      <c r="AW225" s="888"/>
      <c r="AX225" s="888"/>
      <c r="AY225" s="887"/>
      <c r="AZ225" s="888"/>
      <c r="BA225" s="17">
        <f t="shared" si="953"/>
        <v>14.399999999999991</v>
      </c>
      <c r="BB225" s="17">
        <f t="shared" si="954"/>
        <v>37.799999999999997</v>
      </c>
      <c r="BC225" s="17">
        <f t="shared" si="955"/>
        <v>32</v>
      </c>
      <c r="BD225" s="17">
        <f t="shared" si="956"/>
        <v>85</v>
      </c>
      <c r="BE225" s="17">
        <f t="shared" si="957"/>
        <v>180.86341983910182</v>
      </c>
      <c r="BF225" s="17">
        <f t="shared" si="958"/>
        <v>24</v>
      </c>
      <c r="BG225" s="17">
        <f t="shared" si="959"/>
        <v>50</v>
      </c>
      <c r="BH225" s="17">
        <f t="shared" si="960"/>
        <v>65.062647806544774</v>
      </c>
      <c r="BI225" s="17">
        <f t="shared" si="961"/>
        <v>115.80077203255705</v>
      </c>
      <c r="BJ225" s="17">
        <f t="shared" si="962"/>
        <v>45</v>
      </c>
      <c r="BK225" s="17">
        <f t="shared" si="963"/>
        <v>85</v>
      </c>
      <c r="BL225" s="17">
        <f t="shared" si="964"/>
        <v>380.54120080897206</v>
      </c>
      <c r="BM225" s="17">
        <f t="shared" si="965"/>
        <v>24</v>
      </c>
      <c r="BN225" s="17">
        <f t="shared" si="966"/>
        <v>50</v>
      </c>
      <c r="BO225" s="17">
        <f t="shared" si="967"/>
        <v>65.062647806544774</v>
      </c>
      <c r="BP225" s="17">
        <f t="shared" si="968"/>
        <v>315.4785530024273</v>
      </c>
      <c r="BQ225" s="17">
        <f t="shared" si="969"/>
        <v>4568.368895999999</v>
      </c>
      <c r="BR225" s="17">
        <f t="shared" si="970"/>
        <v>1740.331007999999</v>
      </c>
      <c r="BS225" s="17">
        <f t="shared" si="971"/>
        <v>468.55065599999972</v>
      </c>
      <c r="BT225" s="17">
        <f t="shared" si="972"/>
        <v>1229.9454719999999</v>
      </c>
      <c r="BU225" s="17">
        <f t="shared" si="973"/>
        <v>23269.68</v>
      </c>
      <c r="BV225" s="17">
        <f t="shared" si="974"/>
        <v>3412</v>
      </c>
      <c r="BW225" s="17">
        <f t="shared" si="975"/>
        <v>431.74629119999997</v>
      </c>
      <c r="BX225" s="17">
        <f t="shared" si="976"/>
        <v>17495.999999999989</v>
      </c>
      <c r="BY225" s="17">
        <f t="shared" si="977"/>
        <v>4647.4227626803195</v>
      </c>
      <c r="BZ225" s="17"/>
      <c r="CA225" s="17">
        <f t="shared" si="978"/>
        <v>85810.166416660228</v>
      </c>
      <c r="CB225" s="17">
        <f t="shared" si="979"/>
        <v>241341.0930468569</v>
      </c>
      <c r="CC225" s="17">
        <f t="shared" si="980"/>
        <v>24421.671117123082</v>
      </c>
      <c r="CD225" s="17">
        <f t="shared" si="981"/>
        <v>219795.04005410775</v>
      </c>
      <c r="CE225" s="17">
        <f t="shared" si="982"/>
        <v>53825.217949880309</v>
      </c>
      <c r="CF225" s="17">
        <f t="shared" si="983"/>
        <v>571367.970634748</v>
      </c>
      <c r="CG225" s="17">
        <f t="shared" si="984"/>
        <v>625193.18858462828</v>
      </c>
      <c r="CH225" s="17">
        <f t="shared" si="985"/>
        <v>14.400000000000006</v>
      </c>
      <c r="CI225" s="17">
        <f t="shared" si="986"/>
        <v>-43.2</v>
      </c>
      <c r="CJ225" s="17">
        <f t="shared" si="987"/>
        <v>16</v>
      </c>
      <c r="CK225" s="17">
        <f t="shared" si="988"/>
        <v>90</v>
      </c>
      <c r="CL225" s="17">
        <f t="shared" si="989"/>
        <v>71.46880726181422</v>
      </c>
      <c r="CM225" s="17">
        <f t="shared" si="990"/>
        <v>24</v>
      </c>
      <c r="CN225" s="17">
        <f t="shared" si="991"/>
        <v>50</v>
      </c>
      <c r="CO225" s="17">
        <f t="shared" si="992"/>
        <v>65.062647806544774</v>
      </c>
      <c r="CP225" s="17">
        <f t="shared" si="993"/>
        <v>6.4061594552694459</v>
      </c>
      <c r="CQ225" s="17">
        <f t="shared" si="994"/>
        <v>0</v>
      </c>
      <c r="CR225" s="17">
        <f t="shared" si="995"/>
        <v>100</v>
      </c>
      <c r="CS225" s="17">
        <f t="shared" si="996"/>
        <v>26.404773030064671</v>
      </c>
      <c r="CT225" s="17">
        <f t="shared" si="997"/>
        <v>24</v>
      </c>
      <c r="CU225" s="17">
        <f t="shared" si="998"/>
        <v>50</v>
      </c>
      <c r="CV225" s="17">
        <f t="shared" si="999"/>
        <v>65.062647806544774</v>
      </c>
      <c r="CW225" s="17">
        <f t="shared" si="1000"/>
        <v>-38.657874776480099</v>
      </c>
      <c r="CX225" s="17">
        <f t="shared" si="938"/>
        <v>-5220.9930240000003</v>
      </c>
      <c r="CY225" s="17">
        <f t="shared" si="938"/>
        <v>-5220.9930240000003</v>
      </c>
      <c r="CZ225" s="17">
        <f t="shared" si="1001"/>
        <v>468.55065600000012</v>
      </c>
      <c r="DA225" s="17">
        <f t="shared" si="1002"/>
        <v>-1405.6519680000001</v>
      </c>
      <c r="DB225" s="17">
        <f t="shared" si="1003"/>
        <v>-26593.920000000002</v>
      </c>
      <c r="DC225" s="17">
        <f t="shared" si="1004"/>
        <v>3412</v>
      </c>
      <c r="DD225" s="17">
        <f t="shared" si="1005"/>
        <v>431.74629119999997</v>
      </c>
      <c r="DE225" s="17">
        <f t="shared" si="1006"/>
        <v>17496.000000000007</v>
      </c>
      <c r="DF225" s="17">
        <f t="shared" si="1007"/>
        <v>-5311.3403002060804</v>
      </c>
      <c r="DG225" s="17"/>
      <c r="DH225" s="17">
        <f t="shared" si="1008"/>
        <v>-10514.941939202587</v>
      </c>
      <c r="DI225" s="17">
        <f t="shared" si="1009"/>
        <v>-29573.274204007277</v>
      </c>
      <c r="DJ225" s="17">
        <f t="shared" si="1010"/>
        <v>-2992.5644545189134</v>
      </c>
      <c r="DK225" s="17">
        <f t="shared" si="1011"/>
        <v>4463.1942826652794</v>
      </c>
      <c r="DL225" s="17">
        <f t="shared" si="1012"/>
        <v>-16723.608345006072</v>
      </c>
      <c r="DM225" s="17">
        <f t="shared" si="1013"/>
        <v>-38617.586315063498</v>
      </c>
      <c r="DN225" s="17">
        <f t="shared" si="1014"/>
        <v>-55341.194660069566</v>
      </c>
    </row>
    <row r="226" spans="3:120">
      <c r="C226" s="19"/>
      <c r="D226" s="19"/>
      <c r="E226" s="19"/>
      <c r="F226" s="19"/>
      <c r="G226" s="19"/>
      <c r="H226" s="19"/>
      <c r="I226" s="19"/>
      <c r="J226" s="19"/>
      <c r="K226" s="19"/>
      <c r="L226" s="19"/>
      <c r="M226" s="19"/>
      <c r="N226" s="19"/>
      <c r="O226" s="19"/>
      <c r="P226" s="19"/>
      <c r="Q226" s="19"/>
      <c r="R226" s="19"/>
      <c r="S226" s="19"/>
      <c r="T226" s="19"/>
      <c r="U226" s="19"/>
      <c r="V226" s="19"/>
      <c r="W226" s="19"/>
      <c r="X226" s="20">
        <f>SUM(X210:X225)</f>
        <v>1144.1108000000002</v>
      </c>
      <c r="Y226" s="20">
        <f t="shared" ref="Y226" si="1016">SUM(Y210:Y225)</f>
        <v>9006.4402175999985</v>
      </c>
      <c r="Z226" s="20">
        <f t="shared" ref="Z226" si="1017">SUM(Z210:Z225)</f>
        <v>18012.880435199997</v>
      </c>
      <c r="AA226" s="20">
        <f t="shared" ref="AA226" si="1018">SUM(AA210:AA225)</f>
        <v>1801.2880435199995</v>
      </c>
      <c r="AB226" s="20">
        <f t="shared" ref="AB226" si="1019">SUM(AB210:AB225)</f>
        <v>0</v>
      </c>
      <c r="AC226" s="20">
        <f t="shared" ref="AC226" si="1020">SUM(AC210:AC225)</f>
        <v>165.70428430142042</v>
      </c>
      <c r="AD226" s="20">
        <f t="shared" ref="AD226" si="1021">SUM(AD210:AD225)</f>
        <v>42375</v>
      </c>
      <c r="AE226" s="20">
        <f t="shared" ref="AE226" si="1022">SUM(AE210:AE225)</f>
        <v>42375</v>
      </c>
      <c r="AF226" s="20">
        <f t="shared" ref="AF226" si="1023">SUM(AF210:AF225)</f>
        <v>260</v>
      </c>
      <c r="AG226" s="20">
        <f t="shared" ref="AG226" si="1024">SUM(AG210:AG225)</f>
        <v>108.5</v>
      </c>
      <c r="AH226" s="841"/>
      <c r="AI226" s="20">
        <f t="shared" ref="AI226" si="1025">SUM(AI210:AI225)</f>
        <v>76.5</v>
      </c>
      <c r="AJ226" s="20">
        <f t="shared" ref="AJ226" si="1026">SUM(AJ210:AJ225)</f>
        <v>108.5</v>
      </c>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2"/>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row>
    <row r="228" spans="3:120" ht="29.1">
      <c r="C228" s="8" t="str">
        <f>"Zoning Area  AHU - " &amp; INT((ROW()-8)/20)+1 &amp; "  " &amp;IF(AQ230&gt;0,"Air-Conditioning System " &amp; IF(AH230="D","(DX)",IF(AH230="C","(Chilled Water)","")),IF(AND(N230="Amb",AQ230=0),"Ventilation System","Refer"))</f>
        <v>Zoning Area  AHU - 12  Air-Conditioning System (Chilled Water)</v>
      </c>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39"/>
      <c r="AI228" s="8"/>
      <c r="AJ228" s="8"/>
      <c r="AK228" s="8"/>
      <c r="AL228" s="8"/>
      <c r="AM228" s="8"/>
      <c r="AN228" s="8"/>
      <c r="AO228" s="8"/>
      <c r="AP228" s="8"/>
      <c r="AQ228" s="8"/>
      <c r="AR228" s="8"/>
      <c r="AS228" s="9" t="s">
        <v>221</v>
      </c>
      <c r="AT228" s="10"/>
      <c r="AU228" s="10"/>
      <c r="AV228" s="11"/>
      <c r="AW228" s="9" t="s">
        <v>222</v>
      </c>
      <c r="AX228" s="10"/>
      <c r="AY228" s="10"/>
      <c r="AZ228" s="11"/>
      <c r="BA228" s="12" t="s">
        <v>483</v>
      </c>
      <c r="BB228" s="12"/>
      <c r="BC228" s="12"/>
      <c r="BD228" s="12"/>
      <c r="BE228" s="12"/>
      <c r="BF228" s="12"/>
      <c r="BG228" s="12"/>
      <c r="BH228" s="12"/>
      <c r="BI228" s="12"/>
      <c r="BJ228" s="12"/>
      <c r="BK228" s="12"/>
      <c r="BL228" s="12"/>
      <c r="BM228" s="12"/>
      <c r="BN228" s="12"/>
      <c r="BO228" s="12"/>
      <c r="BP228" s="12"/>
      <c r="BQ228" s="9" t="s">
        <v>484</v>
      </c>
      <c r="BR228" s="10"/>
      <c r="BS228" s="10"/>
      <c r="BT228" s="10"/>
      <c r="BU228" s="10"/>
      <c r="BV228" s="10"/>
      <c r="BW228" s="10"/>
      <c r="BX228" s="10"/>
      <c r="BY228" s="10"/>
      <c r="BZ228" s="11"/>
      <c r="CA228" s="9" t="s">
        <v>485</v>
      </c>
      <c r="CB228" s="10"/>
      <c r="CC228" s="10"/>
      <c r="CD228" s="10"/>
      <c r="CE228" s="9" t="s">
        <v>486</v>
      </c>
      <c r="CF228" s="10"/>
      <c r="CG228" s="11"/>
      <c r="CH228" s="12" t="s">
        <v>487</v>
      </c>
      <c r="CI228" s="12"/>
      <c r="CJ228" s="12"/>
      <c r="CK228" s="12"/>
      <c r="CL228" s="12"/>
      <c r="CM228" s="12"/>
      <c r="CN228" s="12"/>
      <c r="CO228" s="12"/>
      <c r="CP228" s="12"/>
      <c r="CQ228" s="12"/>
      <c r="CR228" s="12"/>
      <c r="CS228" s="12"/>
      <c r="CT228" s="12"/>
      <c r="CU228" s="12"/>
      <c r="CV228" s="12"/>
      <c r="CW228" s="12"/>
      <c r="CX228" s="9" t="s">
        <v>488</v>
      </c>
      <c r="CY228" s="10"/>
      <c r="CZ228" s="10"/>
      <c r="DA228" s="10"/>
      <c r="DB228" s="10"/>
      <c r="DC228" s="10"/>
      <c r="DD228" s="10"/>
      <c r="DE228" s="10"/>
      <c r="DF228" s="10"/>
      <c r="DG228" s="11"/>
      <c r="DH228" s="9" t="s">
        <v>489</v>
      </c>
      <c r="DI228" s="10"/>
      <c r="DJ228" s="10"/>
      <c r="DK228" s="10"/>
      <c r="DL228" s="9"/>
      <c r="DM228" s="10"/>
      <c r="DN228" s="11"/>
      <c r="DO228" s="1"/>
      <c r="DP228" s="1"/>
    </row>
    <row r="229" spans="3:120" ht="120" customHeight="1">
      <c r="C229" s="13">
        <f>IF(D229&lt;&gt;"",COUNTA($D$10:D229),"")</f>
        <v>187</v>
      </c>
      <c r="D229" s="5" t="s">
        <v>165</v>
      </c>
      <c r="E229" s="5" t="s">
        <v>166</v>
      </c>
      <c r="F229" s="5" t="s">
        <v>167</v>
      </c>
      <c r="G229" s="5" t="s">
        <v>168</v>
      </c>
      <c r="H229" s="5" t="s">
        <v>169</v>
      </c>
      <c r="I229" s="5" t="s">
        <v>170</v>
      </c>
      <c r="J229" s="5" t="s">
        <v>171</v>
      </c>
      <c r="K229" s="5" t="s">
        <v>172</v>
      </c>
      <c r="L229" s="5" t="s">
        <v>173</v>
      </c>
      <c r="M229" s="5" t="s">
        <v>174</v>
      </c>
      <c r="N229" s="5" t="s">
        <v>175</v>
      </c>
      <c r="O229" s="5" t="s">
        <v>176</v>
      </c>
      <c r="P229" s="5" t="s">
        <v>177</v>
      </c>
      <c r="Q229" s="5" t="s">
        <v>178</v>
      </c>
      <c r="R229" s="5" t="s">
        <v>199</v>
      </c>
      <c r="S229" s="5" t="s">
        <v>180</v>
      </c>
      <c r="T229" s="5" t="s">
        <v>223</v>
      </c>
      <c r="U229" s="5" t="s">
        <v>224</v>
      </c>
      <c r="V229" s="5" t="s">
        <v>199</v>
      </c>
      <c r="W229" s="5" t="s">
        <v>180</v>
      </c>
      <c r="X229" s="5" t="s">
        <v>225</v>
      </c>
      <c r="Y229" s="5" t="s">
        <v>226</v>
      </c>
      <c r="Z229" s="5" t="s">
        <v>227</v>
      </c>
      <c r="AA229" s="5" t="s">
        <v>228</v>
      </c>
      <c r="AB229" s="5" t="s">
        <v>229</v>
      </c>
      <c r="AC229" s="5" t="s">
        <v>230</v>
      </c>
      <c r="AD229" s="5" t="s">
        <v>231</v>
      </c>
      <c r="AE229" s="5" t="s">
        <v>232</v>
      </c>
      <c r="AF229" s="6" t="s">
        <v>233</v>
      </c>
      <c r="AG229" s="6" t="s">
        <v>234</v>
      </c>
      <c r="AH229" s="6" t="s">
        <v>235</v>
      </c>
      <c r="AI229" s="5" t="s">
        <v>236</v>
      </c>
      <c r="AJ229" s="5" t="s">
        <v>237</v>
      </c>
      <c r="AK229" s="5" t="s">
        <v>238</v>
      </c>
      <c r="AL229" s="5" t="s">
        <v>239</v>
      </c>
      <c r="AM229" s="5" t="s">
        <v>240</v>
      </c>
      <c r="AN229" s="5" t="s">
        <v>241</v>
      </c>
      <c r="AO229" s="5" t="s">
        <v>242</v>
      </c>
      <c r="AP229" s="5" t="s">
        <v>243</v>
      </c>
      <c r="AQ229" s="5" t="s">
        <v>244</v>
      </c>
      <c r="AR229" s="5" t="s">
        <v>245</v>
      </c>
      <c r="AS229" s="5" t="s">
        <v>246</v>
      </c>
      <c r="AT229" s="5" t="s">
        <v>247</v>
      </c>
      <c r="AU229" s="5" t="s">
        <v>248</v>
      </c>
      <c r="AV229" s="5" t="s">
        <v>249</v>
      </c>
      <c r="AW229" s="5" t="s">
        <v>250</v>
      </c>
      <c r="AX229" s="5" t="s">
        <v>251</v>
      </c>
      <c r="AY229" s="5" t="s">
        <v>252</v>
      </c>
      <c r="AZ229" s="5" t="s">
        <v>253</v>
      </c>
      <c r="BA229" s="5" t="s">
        <v>490</v>
      </c>
      <c r="BB229" s="5" t="s">
        <v>491</v>
      </c>
      <c r="BC229" s="5" t="s">
        <v>492</v>
      </c>
      <c r="BD229" s="5" t="s">
        <v>493</v>
      </c>
      <c r="BE229" s="5" t="s">
        <v>494</v>
      </c>
      <c r="BF229" s="5" t="s">
        <v>492</v>
      </c>
      <c r="BG229" s="5" t="s">
        <v>493</v>
      </c>
      <c r="BH229" s="5" t="s">
        <v>495</v>
      </c>
      <c r="BI229" s="5" t="s">
        <v>496</v>
      </c>
      <c r="BJ229" s="5" t="s">
        <v>492</v>
      </c>
      <c r="BK229" s="5" t="s">
        <v>493</v>
      </c>
      <c r="BL229" s="5" t="s">
        <v>497</v>
      </c>
      <c r="BM229" s="5" t="s">
        <v>492</v>
      </c>
      <c r="BN229" s="5" t="s">
        <v>493</v>
      </c>
      <c r="BO229" s="5" t="s">
        <v>495</v>
      </c>
      <c r="BP229" s="5" t="s">
        <v>498</v>
      </c>
      <c r="BQ229" s="5" t="s">
        <v>499</v>
      </c>
      <c r="BR229" s="5" t="s">
        <v>500</v>
      </c>
      <c r="BS229" s="5" t="s">
        <v>501</v>
      </c>
      <c r="BT229" s="5" t="s">
        <v>502</v>
      </c>
      <c r="BU229" s="5" t="s">
        <v>503</v>
      </c>
      <c r="BV229" s="5" t="s">
        <v>504</v>
      </c>
      <c r="BW229" s="5" t="s">
        <v>505</v>
      </c>
      <c r="BX229" s="5" t="s">
        <v>506</v>
      </c>
      <c r="BY229" s="5" t="s">
        <v>173</v>
      </c>
      <c r="BZ229" s="5" t="s">
        <v>174</v>
      </c>
      <c r="CA229" s="5" t="s">
        <v>503</v>
      </c>
      <c r="CB229" s="5" t="s">
        <v>507</v>
      </c>
      <c r="CC229" s="5" t="s">
        <v>173</v>
      </c>
      <c r="CD229" s="5" t="s">
        <v>508</v>
      </c>
      <c r="CE229" s="7" t="s">
        <v>509</v>
      </c>
      <c r="CF229" s="7" t="s">
        <v>510</v>
      </c>
      <c r="CG229" s="7" t="s">
        <v>511</v>
      </c>
      <c r="CH229" s="5" t="s">
        <v>512</v>
      </c>
      <c r="CI229" s="5" t="s">
        <v>513</v>
      </c>
      <c r="CJ229" s="5" t="s">
        <v>492</v>
      </c>
      <c r="CK229" s="5" t="s">
        <v>493</v>
      </c>
      <c r="CL229" s="5" t="s">
        <v>494</v>
      </c>
      <c r="CM229" s="5" t="s">
        <v>492</v>
      </c>
      <c r="CN229" s="5" t="s">
        <v>493</v>
      </c>
      <c r="CO229" s="5" t="s">
        <v>495</v>
      </c>
      <c r="CP229" s="5" t="s">
        <v>496</v>
      </c>
      <c r="CQ229" s="5" t="s">
        <v>492</v>
      </c>
      <c r="CR229" s="5" t="s">
        <v>493</v>
      </c>
      <c r="CS229" s="5" t="s">
        <v>497</v>
      </c>
      <c r="CT229" s="5" t="s">
        <v>492</v>
      </c>
      <c r="CU229" s="5" t="s">
        <v>493</v>
      </c>
      <c r="CV229" s="5" t="s">
        <v>495</v>
      </c>
      <c r="CW229" s="5" t="s">
        <v>498</v>
      </c>
      <c r="CX229" s="5" t="s">
        <v>499</v>
      </c>
      <c r="CY229" s="5" t="s">
        <v>500</v>
      </c>
      <c r="CZ229" s="5" t="s">
        <v>501</v>
      </c>
      <c r="DA229" s="5" t="s">
        <v>502</v>
      </c>
      <c r="DB229" s="5" t="s">
        <v>503</v>
      </c>
      <c r="DC229" s="5" t="s">
        <v>504</v>
      </c>
      <c r="DD229" s="5" t="s">
        <v>505</v>
      </c>
      <c r="DE229" s="5" t="s">
        <v>506</v>
      </c>
      <c r="DF229" s="5" t="s">
        <v>173</v>
      </c>
      <c r="DG229" s="5" t="s">
        <v>174</v>
      </c>
      <c r="DH229" s="5" t="s">
        <v>503</v>
      </c>
      <c r="DI229" s="5" t="s">
        <v>507</v>
      </c>
      <c r="DJ229" s="5" t="s">
        <v>173</v>
      </c>
      <c r="DK229" s="5" t="s">
        <v>508</v>
      </c>
      <c r="DL229" s="7" t="s">
        <v>509</v>
      </c>
      <c r="DM229" s="7" t="s">
        <v>510</v>
      </c>
      <c r="DN229" s="7" t="s">
        <v>511</v>
      </c>
      <c r="DO229" s="2"/>
      <c r="DP229" s="2"/>
    </row>
    <row r="230" spans="3:120" ht="18.600000000000001" customHeight="1">
      <c r="C230" s="13">
        <f>IF(D230&lt;&gt;"",COUNTA($D$10:D230),"")</f>
        <v>188</v>
      </c>
      <c r="D230" s="14" t="s">
        <v>200</v>
      </c>
      <c r="E230" s="14">
        <v>3</v>
      </c>
      <c r="F230" s="14">
        <v>3</v>
      </c>
      <c r="G230" s="14">
        <v>2.4</v>
      </c>
      <c r="H230" s="14">
        <v>1</v>
      </c>
      <c r="I230" s="14">
        <v>2</v>
      </c>
      <c r="J230" s="14">
        <v>1.75</v>
      </c>
      <c r="K230" s="14">
        <v>3</v>
      </c>
      <c r="L230" s="15">
        <v>0.1</v>
      </c>
      <c r="M230" s="15">
        <v>0</v>
      </c>
      <c r="N230" s="14">
        <v>24</v>
      </c>
      <c r="O230" s="14">
        <v>50</v>
      </c>
      <c r="P230" s="13">
        <v>45</v>
      </c>
      <c r="Q230" s="13">
        <v>85</v>
      </c>
      <c r="R230" s="13" t="s">
        <v>17</v>
      </c>
      <c r="S230" s="13">
        <v>120</v>
      </c>
      <c r="T230" s="13">
        <v>0</v>
      </c>
      <c r="U230" s="13">
        <v>100</v>
      </c>
      <c r="V230" s="13" t="str">
        <f>R230</f>
        <v>ISO 6</v>
      </c>
      <c r="W230" s="13">
        <f>S230</f>
        <v>120</v>
      </c>
      <c r="X230" s="16">
        <f>E230*F230*10.76</f>
        <v>96.84</v>
      </c>
      <c r="Y230" s="16">
        <f>X230*G230*3.28</f>
        <v>762.32447999999999</v>
      </c>
      <c r="Z230" s="16">
        <f>Y230*S230/60</f>
        <v>1524.64896</v>
      </c>
      <c r="AA230" s="16">
        <f>Z230*L230</f>
        <v>152.46489600000001</v>
      </c>
      <c r="AB230" s="16">
        <f>IF(N230="Amb",Z230,Z230*M230)</f>
        <v>0</v>
      </c>
      <c r="AC230" s="16">
        <f>IF(ISNUMBER(N230), (AA230*0.075*60/2.20462)*BP230/7000, "Ambient")</f>
        <v>14.025567184357984</v>
      </c>
      <c r="AD230" s="16">
        <f>IF(ISNUMBER(N230), CEILING(CF230/(0.68*BP230),25), "Ambient")</f>
        <v>2850</v>
      </c>
      <c r="AE230" s="16">
        <f>CEILING(MAX((Z230+AA230),AD230),25)</f>
        <v>2850</v>
      </c>
      <c r="AF230" s="16">
        <f>CEILING(IF(OR($R230="ISO 6",$R230="GRADE B",$R230="1K",$R230=1000),AE230*1/175,IF(OR($R230="ISO 5",$R230="GRADE A",$R230=100),AE230*1/100,IF(OR($R230="ISO 7",$R230="GRADE C",$R230="10K",$R230=10000),$AE230*1/250,IF(OR($R230="ISO 8",$R230="GRADE D",$R230="100K",$R230=100000),$AE230*1/250,IF(OR($R230="NC",$R230="20 Micron",$R230="5 Micron",$R230="N C"),$AE230*1/350,0))))),2)</f>
        <v>18</v>
      </c>
      <c r="AG230" s="16">
        <f>IF(ISNUMBER(N230), CEILING(MAX(AI230,AJ230),0.5), "Ambient")</f>
        <v>7.5</v>
      </c>
      <c r="AH230" s="838" t="s">
        <v>85</v>
      </c>
      <c r="AI230" s="17">
        <f>IF(ISNUMBER(N230), CEILING(CE230/12000,0.5), "Ambient")</f>
        <v>4.5</v>
      </c>
      <c r="AJ230" s="17">
        <f>IF(ISNUMBER(N230),CEILING(AE230/(IF(AH230="C",400,300)),0.5), "Ambient")</f>
        <v>7.5</v>
      </c>
      <c r="AK230" s="891">
        <f>CEILING(SUM(AE230:AE245),250)</f>
        <v>42500</v>
      </c>
      <c r="AL230" s="18" t="s">
        <v>254</v>
      </c>
      <c r="AM230" s="889">
        <v>150</v>
      </c>
      <c r="AN230" s="891">
        <f>IF(AK230&lt;=1300,200,IF(AK230&lt;=1600,225,IF(AK230&lt;=2100,250,IF(AK230&lt;=2700,280,IF(AK230&lt;=3450,315,IF(AK230&lt;=4250,355,IF(AK230&lt;=5250,400,IF(AK230&lt;=6750,450,IF(AK230&lt;=8500,500,IF(AK230&lt;=10750,560,IF(AK230&lt;=13500,630,IF(AK230&lt;=17000,710,IF(AK230&lt;=21500,800,IF(AK230&lt;=27000,900,IF(AK230&lt;=34000,1000,IF(AK230&lt;=43000,1120,IF(AK230&lt;=49000,1200,IF(AK230&lt;=68000,1450,"Refer"))))))))))))))))))</f>
        <v>1120</v>
      </c>
      <c r="AO230" s="888">
        <f>IF(AK230*AM230/(6356*0.7*0.9*1.1*25.4)&lt;=1,1,IF(AK230*AM230/(6356*0.7*0.9*1.1*25.4)&lt;=1.5,1.5,IF(AK230*AM230/(6356*0.7*0.9*1.1*25.4)&lt;=2,2,IF(AK230*AM230/(6356*0.7*0.9*1.1*25.4)&lt;=3,3,IF(AK230*AM230/(6356*0.7*0.9*1.1*25.4)&lt;=5,5,IF(AK230*AM230/(6356*0.7*0.9*1.1*25.4)&lt;=7.5,7.5,IF(AK230*AM230/(6356*0.7*0.9*1.1*25.4)&lt;=10,10,IF(AK230*AM230/(6356*0.7*0.9*1.1*25.4)&lt;=12.5,12.5,IF(AK230*AM230/(6356*0.7*0.9*1.1*25.4)&lt;=15,15,IF(AK230*AM230/(6356*0.7*0.9*1.1*25.4)&lt;=20,20,IF(AK230*AM230/(6356*0.7*0.9*1.1*25.4)&lt;=25,25,IF(AK230*AM230/(6356*0.7*0.9*1.1*25.4)&lt;=30,30,IF(AK230*AM230/(6356*0.7*0.9*1.1*25.4)&lt;=40,40,IF(AK230*AM230/(6356*0.7*0.9*1.1*25.4)&lt;=50,50,IF(AK230*AM230/(6356*0.7*0.9*1.1*25.4)&lt;=60,60,IF(AK230*AM230/(6356*0.7*0.9*1.1*25.4)&lt;=75,75,"Refer"))))))))))))))))</f>
        <v>60</v>
      </c>
      <c r="AP230" s="891">
        <f>IF(AND(AQ230=0, N230="Amb"), "Amb",IF((AL231-250)*(AL233-150)*10.76/(1000*1000) &gt;= MAX(AI246,AJ246), 4,IF((AL231-250)*(AL233-150)*10.76*1.5/(1000*1000) &gt;= MAX(AI246,AJ246), 6,IF((AL231-250)*(AL233-150)*10.76*2/(1000*1000) &gt;= MAX(AI246,AJ246), 8, 0))
 )
)</f>
        <v>4</v>
      </c>
      <c r="AQ230" s="891">
        <f>AG246</f>
        <v>108.5</v>
      </c>
      <c r="AR230" s="889">
        <f>_xlfn.SWITCH(TRIM(UPPER(R230)),"ISO 9", 3,"ISO 8", 4,"Grade D", 4,"Class 100,000", 4,"Class 100K", 4,"ISO 7", 3,"Grade C", 3,"Class 10,000", 3,"Class 10K", 3,"ISO 6", 3,"Class 1,000", 3,"Class 1K", 3,"ISO 5", 4,"Grade A", 4,"Grade B", 4,"Class 100", 4,"ISO 4", 3,"ISO 3", 4,"ISO 2", 4,"ISO 1", 4,"NCV20",1,"NCV-10",2,"NCV-5",3,"NCAC-10",1,"NCAC-5",2,"NCAC-1",3,3)</f>
        <v>3</v>
      </c>
      <c r="AS230" s="888">
        <f>MAX(AI246,AJ246)*24/6</f>
        <v>434</v>
      </c>
      <c r="AT230" s="888">
        <f>AS230*0.06309</f>
        <v>27.381059999999998</v>
      </c>
      <c r="AU230" s="890">
        <v>2</v>
      </c>
      <c r="AV230" s="888">
        <f>SQRT((4*AS230*0.00006309)/(3.14*AU230))*1000</f>
        <v>132.06121915647887</v>
      </c>
      <c r="AW230" s="888"/>
      <c r="AX230" s="888"/>
      <c r="AY230" s="887"/>
      <c r="AZ230" s="888"/>
      <c r="BA230" s="17">
        <f>-CONVERT(N230,"C","F")+CONVERT((N230+8),"C","F")</f>
        <v>14.399999999999991</v>
      </c>
      <c r="BB230" s="17">
        <f>CONVERT(P230,"C","F")-CONVERT(N230,"C","F")</f>
        <v>37.799999999999997</v>
      </c>
      <c r="BC230" s="17">
        <f>N230+8</f>
        <v>32</v>
      </c>
      <c r="BD230" s="17">
        <f>BG230+35</f>
        <v>85</v>
      </c>
      <c r="BE230" s="17">
        <f>0.622*7000*(BD230/100)*(6.1078*10^((7.5*BC230)/(237.3+BC230)))/(1013.25-(6.1078*10^((7.5*BC230)/(237.3+BC230)))*BD230/100)</f>
        <v>180.86341983910182</v>
      </c>
      <c r="BF230" s="17">
        <f>N230</f>
        <v>24</v>
      </c>
      <c r="BG230" s="17">
        <f>O230</f>
        <v>50</v>
      </c>
      <c r="BH230" s="17">
        <f>0.622*7000*(BG230/100)*(6.1078*10^((7.5*BF230)/(237.3+BF230)))/(1013.25-(6.1078*10^((7.5*BF230)/(237.3+BF230)))*BG230/100)</f>
        <v>65.062647806544774</v>
      </c>
      <c r="BI230" s="17">
        <f>BE230-BH230</f>
        <v>115.80077203255705</v>
      </c>
      <c r="BJ230" s="17">
        <f>P230</f>
        <v>45</v>
      </c>
      <c r="BK230" s="17">
        <f>Q230</f>
        <v>85</v>
      </c>
      <c r="BL230" s="17">
        <f>0.622*7000*(BK230/100)*(6.1078*10^((7.5*BJ230)/(237.3+BJ230)))/(1013.25-(6.1078*10^((7.5*BJ230)/(237.3+BJ230)))*BK230/100)</f>
        <v>380.54120080897206</v>
      </c>
      <c r="BM230" s="17">
        <f>N230</f>
        <v>24</v>
      </c>
      <c r="BN230" s="17">
        <f>BG230</f>
        <v>50</v>
      </c>
      <c r="BO230" s="17">
        <f>0.622*7000*(BN230/100)*(6.1078*10^((7.5*BM230)/(237.3+BM230)))/(1013.25-(6.1078*10^((7.5*BM230)/(237.3+BM230)))*BN230/100)</f>
        <v>65.062647806544774</v>
      </c>
      <c r="BP230" s="17">
        <f>BL230-BO230</f>
        <v>315.4785530024273</v>
      </c>
      <c r="BQ230" s="17">
        <f>($E230*$G230*10.76*2+$F230*$G230*2*10.76)*$BB230*0.45</f>
        <v>5271.1948799999991</v>
      </c>
      <c r="BR230" s="17">
        <f>($E230*$G230*10.76*2+$F230*$G230*2*10.76)*$BA230*0.45</f>
        <v>2008.0742399999988</v>
      </c>
      <c r="BS230" s="17">
        <f>($E230*$F230*10.76)*$BA230*0.45</f>
        <v>627.52319999999963</v>
      </c>
      <c r="BT230" s="17">
        <f>($E230*$F230*10.76)*$BB230*0.45</f>
        <v>1647.2483999999999</v>
      </c>
      <c r="BU230" s="17">
        <f>$H230*285*1.08*$BB230</f>
        <v>11634.84</v>
      </c>
      <c r="BV230" s="17">
        <f>$I230*1000*3.412</f>
        <v>6824</v>
      </c>
      <c r="BW230" s="17">
        <f>$J230*$X230*3.412</f>
        <v>578.23163999999997</v>
      </c>
      <c r="BX230" s="17">
        <f>$K230*1.08*375*$BA230</f>
        <v>17495.999999999989</v>
      </c>
      <c r="BY230" s="17">
        <f>($AA230+$AB230)*1.08*$BB230</f>
        <v>6224.2269143040003</v>
      </c>
      <c r="BZ230" s="17"/>
      <c r="CA230" s="17">
        <f>$H230*200*0.68*$BP230</f>
        <v>42905.083208330114</v>
      </c>
      <c r="CB230" s="17">
        <f>$K230*375*0.68*$BP230</f>
        <v>241341.0930468569</v>
      </c>
      <c r="CC230" s="17">
        <f>($AA230+$AB230)*0.68*$BP230</f>
        <v>32707.59524614699</v>
      </c>
      <c r="CD230" s="17">
        <f>($Z230-$AA230)*0.68*$BP230</f>
        <v>294368.3572153229</v>
      </c>
      <c r="CE230" s="17">
        <f>$BQ230+$BU230+$BV230+$BW230+$BX230+$BY230</f>
        <v>48028.493434303993</v>
      </c>
      <c r="CF230" s="17">
        <f>$CA230+$CB230+$CC230+$CD230</f>
        <v>611322.12871665694</v>
      </c>
      <c r="CG230" s="17">
        <f>$CE230+$CF230</f>
        <v>659350.62215096096</v>
      </c>
      <c r="CH230" s="17">
        <f>CONVERT(N230,"C","F")-CONVERT((N230-8),"C","F")</f>
        <v>14.400000000000006</v>
      </c>
      <c r="CI230" s="17">
        <f>CONVERT(T230,"C","F")-CONVERT(N230,"C","F")</f>
        <v>-43.2</v>
      </c>
      <c r="CJ230" s="17">
        <f>CM230-8</f>
        <v>16</v>
      </c>
      <c r="CK230" s="17">
        <f>O230+40</f>
        <v>90</v>
      </c>
      <c r="CL230" s="17">
        <f>0.622*7000*(CK230/100)*(6.1078*10^((7.5*CJ230)/(237.3+CJ230)))/(1013.25-(6.1078*10^((7.5*CJ230)/(237.3+CJ230)))*CK230/100)</f>
        <v>71.46880726181422</v>
      </c>
      <c r="CM230" s="17">
        <f>N230</f>
        <v>24</v>
      </c>
      <c r="CN230" s="17">
        <f>O230</f>
        <v>50</v>
      </c>
      <c r="CO230" s="17">
        <f>0.622*7000*(CN230/100)*(6.1078*10^((7.5*CM230)/(237.3+CM230)))/(1013.25-(6.1078*10^((7.5*CM230)/(237.3+CM230)))*CN230/100)</f>
        <v>65.062647806544774</v>
      </c>
      <c r="CP230" s="17">
        <f>CL230-CO230</f>
        <v>6.4061594552694459</v>
      </c>
      <c r="CQ230" s="17">
        <f>T230</f>
        <v>0</v>
      </c>
      <c r="CR230" s="17">
        <f>U230</f>
        <v>100</v>
      </c>
      <c r="CS230" s="17">
        <f>0.622*7000*(CR230/100)*(6.1078*10^((7.5*CQ230)/(237.3+CQ230)))/(1013.25-(6.1078*10^((7.5*CQ230)/(237.3+CQ230)))*CR230/100)</f>
        <v>26.404773030064671</v>
      </c>
      <c r="CT230" s="17">
        <f>CM230</f>
        <v>24</v>
      </c>
      <c r="CU230" s="17">
        <f>O230</f>
        <v>50</v>
      </c>
      <c r="CV230" s="17">
        <f>0.622*7000*(CU230/100)*(6.1078*10^((7.5*CT230)/(237.3+CT230)))/(1013.25-(6.1078*10^((7.5*CT230)/(237.3+CT230)))*CU230/100)</f>
        <v>65.062647806544774</v>
      </c>
      <c r="CW230" s="17">
        <f>CS230-CV230</f>
        <v>-38.657874776480099</v>
      </c>
      <c r="CX230" s="17">
        <f t="shared" ref="CX230:CY245" si="1027">($E230*$G230*10.76*2+$F230*$G230*2*10.76)*$CI230*0.45</f>
        <v>-6024.2227199999998</v>
      </c>
      <c r="CY230" s="17">
        <f t="shared" si="1027"/>
        <v>-6024.2227199999998</v>
      </c>
      <c r="CZ230" s="17">
        <f>($E230*$F230*10.76)*$CH230*0.45</f>
        <v>627.52320000000032</v>
      </c>
      <c r="DA230" s="17">
        <f>($E230*$F230*10.76)*$CI230*0.45</f>
        <v>-1882.5696000000003</v>
      </c>
      <c r="DB230" s="17">
        <f>$H230*285*1.08*$CI230</f>
        <v>-13296.960000000001</v>
      </c>
      <c r="DC230" s="17">
        <f>$I230*1000*3.412</f>
        <v>6824</v>
      </c>
      <c r="DD230" s="17">
        <f>$J230*$X230*3.412</f>
        <v>578.23163999999997</v>
      </c>
      <c r="DE230" s="17">
        <f>$K230*1.08*375*$CH230</f>
        <v>17496.000000000007</v>
      </c>
      <c r="DF230" s="17">
        <f>($AA230+$AB230)*1.08*$CI230</f>
        <v>-7113.4021877760015</v>
      </c>
      <c r="DG230" s="17"/>
      <c r="DH230" s="17">
        <f>$H230*200*0.68*CW230</f>
        <v>-5257.4709696012933</v>
      </c>
      <c r="DI230" s="17">
        <f>$K230*375*0.68*CW230</f>
        <v>-29573.274204007277</v>
      </c>
      <c r="DJ230" s="17">
        <f>(AA230+AB230)*0.68*CW230</f>
        <v>-4007.8988230164023</v>
      </c>
      <c r="DK230" s="17">
        <f>(Z230-AA230)*0.68*CP230</f>
        <v>5977.4923428552856</v>
      </c>
      <c r="DL230" s="17">
        <f>CX230+DA230+CZ230+DB230+DC230+DD230+DE230+DF230</f>
        <v>-2791.3996677759942</v>
      </c>
      <c r="DM230" s="17">
        <f>DH230+DI230+DJ230+DK230</f>
        <v>-32861.151653769688</v>
      </c>
      <c r="DN230" s="17">
        <f>DL230+DM230</f>
        <v>-35652.551321545681</v>
      </c>
    </row>
    <row r="231" spans="3:120" ht="18.600000000000001">
      <c r="C231" s="13">
        <f>IF(D231&lt;&gt;"",COUNTA($D$10:D231),"")</f>
        <v>189</v>
      </c>
      <c r="D231" s="14" t="s">
        <v>201</v>
      </c>
      <c r="E231" s="14">
        <v>1.8</v>
      </c>
      <c r="F231" s="14">
        <v>2.2000000000000002</v>
      </c>
      <c r="G231" s="14">
        <v>2.4</v>
      </c>
      <c r="H231" s="14">
        <v>2</v>
      </c>
      <c r="I231" s="14">
        <v>1</v>
      </c>
      <c r="J231" s="14">
        <v>1.75</v>
      </c>
      <c r="K231" s="14">
        <v>3</v>
      </c>
      <c r="L231" s="15">
        <v>0.1</v>
      </c>
      <c r="M231" s="15">
        <v>0</v>
      </c>
      <c r="N231" s="14">
        <v>24</v>
      </c>
      <c r="O231" s="14">
        <v>50</v>
      </c>
      <c r="P231" s="13">
        <v>45</v>
      </c>
      <c r="Q231" s="13">
        <v>85</v>
      </c>
      <c r="R231" s="13" t="s">
        <v>17</v>
      </c>
      <c r="S231" s="13">
        <v>120</v>
      </c>
      <c r="T231" s="13">
        <v>0</v>
      </c>
      <c r="U231" s="13">
        <v>100</v>
      </c>
      <c r="V231" s="13" t="str">
        <f t="shared" ref="V231:V245" si="1028">R231</f>
        <v>ISO 6</v>
      </c>
      <c r="W231" s="13">
        <f t="shared" ref="W231:W245" si="1029">S231</f>
        <v>120</v>
      </c>
      <c r="X231" s="16">
        <f t="shared" ref="X231:X245" si="1030">E231*F231*10.76</f>
        <v>42.6096</v>
      </c>
      <c r="Y231" s="16">
        <f t="shared" ref="Y231:Y245" si="1031">X231*G231*3.28</f>
        <v>335.4227712</v>
      </c>
      <c r="Z231" s="16">
        <f t="shared" ref="Z231:Z245" si="1032">Y231*S231/60</f>
        <v>670.8455424</v>
      </c>
      <c r="AA231" s="16">
        <f t="shared" ref="AA231:AA245" si="1033">Z231*L231</f>
        <v>67.084554240000003</v>
      </c>
      <c r="AB231" s="16">
        <f t="shared" ref="AB231:AB245" si="1034">IF(N231="Amb",Z231,Z231*M231)</f>
        <v>0</v>
      </c>
      <c r="AC231" s="16">
        <f t="shared" ref="AC231:AC245" si="1035">IF(ISNUMBER(N231), (AA231*0.075*60/2.20462)*BP231/7000, "Ambient")</f>
        <v>6.1712495611175129</v>
      </c>
      <c r="AD231" s="16">
        <f t="shared" ref="AD231:AD237" si="1036">IF(ISNUMBER(N231), CEILING(CF231/(0.68*BP231),25), "Ambient")</f>
        <v>2200</v>
      </c>
      <c r="AE231" s="16">
        <f t="shared" ref="AE231:AE245" si="1037">CEILING(MAX((Z231+AA231),AD231),25)</f>
        <v>2200</v>
      </c>
      <c r="AF231" s="16">
        <f t="shared" ref="AF231:AF245" si="1038">CEILING(IF(OR($R231="ISO 6",$R231="GRADE B",$R231="1K",$R231=1000),AE231*1/175,IF(OR($R231="ISO 5",$R231="GRADE A",$R231=100),AE231*1/100,IF(OR($R231="ISO 7",$R231="GRADE C",$R231="10K",$R231=10000),$AE231*1/250,IF(OR($R231="ISO 8",$R231="GRADE D",$R231="100K",$R231=100000),$AE231*1/250,IF(OR($R231="NC",$R231="20 Micron",$R231="5 Micron",$R231="N C"),$AE231*1/350,0))))),2)</f>
        <v>14</v>
      </c>
      <c r="AG231" s="16">
        <f t="shared" ref="AG231:AG245" si="1039">IF(ISNUMBER(N231), CEILING(MAX(AI231,AJ231),0.5), "Ambient")</f>
        <v>5.5</v>
      </c>
      <c r="AH231" s="838" t="s">
        <v>85</v>
      </c>
      <c r="AI231" s="17">
        <f t="shared" ref="AI231:AI245" si="1040">IF(ISNUMBER(N231), CEILING(CE231/12000,0.5), "Ambient")</f>
        <v>4.5</v>
      </c>
      <c r="AJ231" s="17">
        <f t="shared" ref="AJ231:AJ245" si="1041">IF(ISNUMBER(N231),CEILING(AE231/(IF(AH231="C",400,300)),0.5), "Ambient")</f>
        <v>5.5</v>
      </c>
      <c r="AK231" s="891"/>
      <c r="AL231" s="18">
        <f>IF(AK230&lt;=2000,950,(IF(AK230&lt;=3000,1150,(IF(AK230&lt;=8000,1550,(IF(AK230&lt;=10000,1750,(IF(AK230&lt;=18000,2050,(IF(AK230&lt;=32000,2900,(IF(AK230&lt;=40000,3600,4000)))))))))))))</f>
        <v>4000</v>
      </c>
      <c r="AM231" s="889"/>
      <c r="AN231" s="891"/>
      <c r="AO231" s="888"/>
      <c r="AP231" s="891"/>
      <c r="AQ231" s="891"/>
      <c r="AR231" s="889"/>
      <c r="AS231" s="888"/>
      <c r="AT231" s="888"/>
      <c r="AU231" s="890"/>
      <c r="AV231" s="888"/>
      <c r="AW231" s="888"/>
      <c r="AX231" s="888"/>
      <c r="AY231" s="887"/>
      <c r="AZ231" s="888"/>
      <c r="BA231" s="17">
        <f t="shared" ref="BA231:BA245" si="1042">-CONVERT(N231,"C","F")+CONVERT((N231+8),"C","F")</f>
        <v>14.399999999999991</v>
      </c>
      <c r="BB231" s="17">
        <f t="shared" ref="BB231:BB245" si="1043">CONVERT(P231,"C","F")-CONVERT(N231,"C","F")</f>
        <v>37.799999999999997</v>
      </c>
      <c r="BC231" s="17">
        <f t="shared" ref="BC231:BC245" si="1044">BF231+8</f>
        <v>32</v>
      </c>
      <c r="BD231" s="17">
        <f t="shared" ref="BD231:BD245" si="1045">BG231+35</f>
        <v>85</v>
      </c>
      <c r="BE231" s="17">
        <f t="shared" ref="BE231:BE245" si="1046">0.622*7000*(BD231/100)*(6.1078*10^((7.5*BC231)/(237.3+BC231)))/(1013.25-(6.1078*10^((7.5*BC231)/(237.3+BC231)))*BD231/100)</f>
        <v>180.86341983910182</v>
      </c>
      <c r="BF231" s="17">
        <f t="shared" ref="BF231:BF245" si="1047">N231</f>
        <v>24</v>
      </c>
      <c r="BG231" s="17">
        <f t="shared" ref="BG231:BG245" si="1048">O231</f>
        <v>50</v>
      </c>
      <c r="BH231" s="17">
        <f t="shared" ref="BH231:BH245" si="1049">0.622*7000*(BG231/100)*(6.1078*10^((7.5*BF231)/(237.3+BF231)))/(1013.25-(6.1078*10^((7.5*BF231)/(237.3+BF231)))*BG231/100)</f>
        <v>65.062647806544774</v>
      </c>
      <c r="BI231" s="17">
        <f t="shared" ref="BI231:BI245" si="1050">BE231-BH231</f>
        <v>115.80077203255705</v>
      </c>
      <c r="BJ231" s="17">
        <f t="shared" ref="BJ231:BJ245" si="1051">P231</f>
        <v>45</v>
      </c>
      <c r="BK231" s="17">
        <f t="shared" ref="BK231:BK245" si="1052">Q231</f>
        <v>85</v>
      </c>
      <c r="BL231" s="17">
        <f t="shared" ref="BL231:BL245" si="1053">0.622*7000*(BK231/100)*(6.1078*10^((7.5*BJ231)/(237.3+BJ231)))/(1013.25-(6.1078*10^((7.5*BJ231)/(237.3+BJ231)))*BK231/100)</f>
        <v>380.54120080897206</v>
      </c>
      <c r="BM231" s="17">
        <f t="shared" ref="BM231:BM245" si="1054">BF231</f>
        <v>24</v>
      </c>
      <c r="BN231" s="17">
        <f t="shared" ref="BN231:BN245" si="1055">BG231</f>
        <v>50</v>
      </c>
      <c r="BO231" s="17">
        <f t="shared" ref="BO231:BO245" si="1056">0.622*7000*(BN231/100)*(6.1078*10^((7.5*BM231)/(237.3+BM231)))/(1013.25-(6.1078*10^((7.5*BM231)/(237.3+BM231)))*BN231/100)</f>
        <v>65.062647806544774</v>
      </c>
      <c r="BP231" s="17">
        <f t="shared" ref="BP231:BP245" si="1057">BL231-BO231</f>
        <v>315.4785530024273</v>
      </c>
      <c r="BQ231" s="17">
        <f t="shared" ref="BQ231:BQ245" si="1058">(E231*G231*10.76*2+F231*G231*2*10.76)*BB231*0.45</f>
        <v>3514.1299199999999</v>
      </c>
      <c r="BR231" s="17">
        <f t="shared" ref="BR231:BR245" si="1059">(E231*G231*10.76*2+F231*G231*2*10.76)*BA231*0.45</f>
        <v>1338.7161599999993</v>
      </c>
      <c r="BS231" s="17">
        <f t="shared" ref="BS231:BS245" si="1060">(E231*F231*10.76)*BA231*0.45</f>
        <v>276.11020799999983</v>
      </c>
      <c r="BT231" s="17">
        <f t="shared" ref="BT231:BT245" si="1061">(E231*F231*10.76)*BB231*0.45</f>
        <v>724.78929599999992</v>
      </c>
      <c r="BU231" s="17">
        <f t="shared" ref="BU231:BU245" si="1062">H231*285*1.08*BB231</f>
        <v>23269.68</v>
      </c>
      <c r="BV231" s="17">
        <f t="shared" ref="BV231:BV245" si="1063">I231*1000*3.412</f>
        <v>3412</v>
      </c>
      <c r="BW231" s="17">
        <f t="shared" ref="BW231:BW245" si="1064">J231*X231*3.412</f>
        <v>254.42192159999999</v>
      </c>
      <c r="BX231" s="17">
        <f t="shared" ref="BX231:BX245" si="1065">K231*1.08*375*BA231</f>
        <v>17495.999999999989</v>
      </c>
      <c r="BY231" s="17">
        <f t="shared" ref="BY231:BY245" si="1066">(AA231+AB231)*1.08*BB231</f>
        <v>2738.65984229376</v>
      </c>
      <c r="BZ231" s="17"/>
      <c r="CA231" s="17">
        <f t="shared" ref="CA231:CA245" si="1067">H231*200*0.68*BP231</f>
        <v>85810.166416660228</v>
      </c>
      <c r="CB231" s="17">
        <f t="shared" ref="CB231:CB245" si="1068">K231*375*0.68*BP231</f>
        <v>241341.0930468569</v>
      </c>
      <c r="CC231" s="17">
        <f t="shared" ref="CC231:CC245" si="1069">(AA231+AB231)*0.68*BP231</f>
        <v>14391.341908304676</v>
      </c>
      <c r="CD231" s="17">
        <f t="shared" ref="CD231:CD245" si="1070">($Z231-$AA231)*0.68*$BP231</f>
        <v>129522.07717474207</v>
      </c>
      <c r="CE231" s="17">
        <f t="shared" ref="CE231:CE245" si="1071">$BQ231+$BU231+$BV231+$BW231+$BX231+$BY231</f>
        <v>50684.891683893751</v>
      </c>
      <c r="CF231" s="17">
        <f t="shared" ref="CF231:CF245" si="1072">$CA231+$CB231+$CC231+$CD231</f>
        <v>471064.67854656384</v>
      </c>
      <c r="CG231" s="17">
        <f t="shared" ref="CG231:CG245" si="1073">$CE231+$CF231</f>
        <v>521749.57023045758</v>
      </c>
      <c r="CH231" s="17">
        <f t="shared" ref="CH231:CH245" si="1074">CONVERT(N231,"C","F")-CONVERT((N231-8),"C","F")</f>
        <v>14.400000000000006</v>
      </c>
      <c r="CI231" s="17">
        <f t="shared" ref="CI231:CI245" si="1075">CONVERT(T231,"C","F")-CONVERT(N231,"C","F")</f>
        <v>-43.2</v>
      </c>
      <c r="CJ231" s="17">
        <f t="shared" ref="CJ231:CJ245" si="1076">CM231-8</f>
        <v>16</v>
      </c>
      <c r="CK231" s="17">
        <f t="shared" ref="CK231:CK245" si="1077">O231+40</f>
        <v>90</v>
      </c>
      <c r="CL231" s="17">
        <f t="shared" ref="CL231:CL245" si="1078">0.622*7000*(CK231/100)*(6.1078*10^((7.5*CJ231)/(237.3+CJ231)))/(1013.25-(6.1078*10^((7.5*CJ231)/(237.3+CJ231)))*CK231/100)</f>
        <v>71.46880726181422</v>
      </c>
      <c r="CM231" s="17">
        <f t="shared" ref="CM231:CM245" si="1079">N231</f>
        <v>24</v>
      </c>
      <c r="CN231" s="17">
        <f t="shared" ref="CN231:CN245" si="1080">O231</f>
        <v>50</v>
      </c>
      <c r="CO231" s="17">
        <f t="shared" ref="CO231:CO245" si="1081">0.622*7000*(CN231/100)*(6.1078*10^((7.5*CM231)/(237.3+CM231)))/(1013.25-(6.1078*10^((7.5*CM231)/(237.3+CM231)))*CN231/100)</f>
        <v>65.062647806544774</v>
      </c>
      <c r="CP231" s="17">
        <f t="shared" ref="CP231:CP245" si="1082">CL231-CO231</f>
        <v>6.4061594552694459</v>
      </c>
      <c r="CQ231" s="17">
        <f t="shared" ref="CQ231:CQ245" si="1083">T231</f>
        <v>0</v>
      </c>
      <c r="CR231" s="17">
        <f t="shared" ref="CR231:CR245" si="1084">U231</f>
        <v>100</v>
      </c>
      <c r="CS231" s="17">
        <f t="shared" ref="CS231:CS245" si="1085">0.622*7000*(CR231/100)*(6.1078*10^((7.5*CQ231)/(237.3+CQ231)))/(1013.25-(6.1078*10^((7.5*CQ231)/(237.3+CQ231)))*CR231/100)</f>
        <v>26.404773030064671</v>
      </c>
      <c r="CT231" s="17">
        <f t="shared" ref="CT231:CT245" si="1086">CM231</f>
        <v>24</v>
      </c>
      <c r="CU231" s="17">
        <f t="shared" ref="CU231:CU245" si="1087">O231</f>
        <v>50</v>
      </c>
      <c r="CV231" s="17">
        <f t="shared" ref="CV231:CV245" si="1088">0.622*7000*(CU231/100)*(6.1078*10^((7.5*CT231)/(237.3+CT231)))/(1013.25-(6.1078*10^((7.5*CT231)/(237.3+CT231)))*CU231/100)</f>
        <v>65.062647806544774</v>
      </c>
      <c r="CW231" s="17">
        <f t="shared" ref="CW231:CW245" si="1089">CS231-CV231</f>
        <v>-38.657874776480099</v>
      </c>
      <c r="CX231" s="17">
        <f t="shared" si="1027"/>
        <v>-4016.1484800000003</v>
      </c>
      <c r="CY231" s="17">
        <f t="shared" si="1027"/>
        <v>-4016.1484800000003</v>
      </c>
      <c r="CZ231" s="17">
        <f t="shared" ref="CZ231:CZ245" si="1090">($E231*$F231*10.76)*$CH231*0.45</f>
        <v>276.11020800000011</v>
      </c>
      <c r="DA231" s="17">
        <f t="shared" ref="DA231:DA245" si="1091">($E231*$F231*10.76)*$CI231*0.45</f>
        <v>-828.33062400000006</v>
      </c>
      <c r="DB231" s="17">
        <f t="shared" ref="DB231:DB245" si="1092">$H231*285*1.08*$CI231</f>
        <v>-26593.920000000002</v>
      </c>
      <c r="DC231" s="17">
        <f t="shared" ref="DC231:DC245" si="1093">$I231*1000*3.412</f>
        <v>3412</v>
      </c>
      <c r="DD231" s="17">
        <f t="shared" ref="DD231:DD245" si="1094">$J231*$X231*3.412</f>
        <v>254.42192159999999</v>
      </c>
      <c r="DE231" s="17">
        <f t="shared" ref="DE231:DE245" si="1095">$K231*1.08*375*$CH231</f>
        <v>17496.000000000007</v>
      </c>
      <c r="DF231" s="17">
        <f t="shared" ref="DF231:DF245" si="1096">($AA231+$AB231)*1.08*$CI231</f>
        <v>-3129.8969626214403</v>
      </c>
      <c r="DG231" s="17"/>
      <c r="DH231" s="17">
        <f t="shared" ref="DH231:DH245" si="1097">$H231*200*0.68*CW231</f>
        <v>-10514.941939202587</v>
      </c>
      <c r="DI231" s="17">
        <f t="shared" ref="DI231:DI245" si="1098">$K231*375*0.68*CW231</f>
        <v>-29573.274204007277</v>
      </c>
      <c r="DJ231" s="17">
        <f t="shared" ref="DJ231:DJ245" si="1099">(AA231+AB231)*0.68*CW231</f>
        <v>-1763.475482127217</v>
      </c>
      <c r="DK231" s="17">
        <f t="shared" ref="DK231:DK245" si="1100">(Z231-AA231)*0.68*CP231</f>
        <v>2630.0966308563256</v>
      </c>
      <c r="DL231" s="17">
        <f t="shared" ref="DL231:DL245" si="1101">CX231+DA231+CZ231+DB231+DC231+DD231+DE231+DF231</f>
        <v>-13129.763937021437</v>
      </c>
      <c r="DM231" s="17">
        <f t="shared" ref="DM231:DM245" si="1102">DH231+DI231+DJ231+DK231</f>
        <v>-39221.594994480751</v>
      </c>
      <c r="DN231" s="17">
        <f t="shared" ref="DN231:DN245" si="1103">DL231+DM231</f>
        <v>-52351.358931502189</v>
      </c>
    </row>
    <row r="232" spans="3:120" ht="18.600000000000001">
      <c r="C232" s="13">
        <f>IF(D232&lt;&gt;"",COUNTA($D$10:D232),"")</f>
        <v>190</v>
      </c>
      <c r="D232" s="14" t="s">
        <v>202</v>
      </c>
      <c r="E232" s="14">
        <v>1.5</v>
      </c>
      <c r="F232" s="14">
        <v>2.8</v>
      </c>
      <c r="G232" s="14">
        <v>2.4</v>
      </c>
      <c r="H232" s="14">
        <v>2</v>
      </c>
      <c r="I232" s="14">
        <v>3</v>
      </c>
      <c r="J232" s="14">
        <v>1.75</v>
      </c>
      <c r="K232" s="14">
        <v>3</v>
      </c>
      <c r="L232" s="15">
        <v>0.1</v>
      </c>
      <c r="M232" s="15">
        <v>0</v>
      </c>
      <c r="N232" s="14">
        <v>24</v>
      </c>
      <c r="O232" s="14">
        <v>50</v>
      </c>
      <c r="P232" s="13">
        <v>45</v>
      </c>
      <c r="Q232" s="13">
        <v>85</v>
      </c>
      <c r="R232" s="13" t="s">
        <v>17</v>
      </c>
      <c r="S232" s="13">
        <v>120</v>
      </c>
      <c r="T232" s="13">
        <v>0</v>
      </c>
      <c r="U232" s="13">
        <v>100</v>
      </c>
      <c r="V232" s="13" t="str">
        <f t="shared" si="1028"/>
        <v>ISO 6</v>
      </c>
      <c r="W232" s="13">
        <f t="shared" si="1029"/>
        <v>120</v>
      </c>
      <c r="X232" s="16">
        <f t="shared" si="1030"/>
        <v>45.191999999999993</v>
      </c>
      <c r="Y232" s="16">
        <f t="shared" si="1031"/>
        <v>355.75142399999993</v>
      </c>
      <c r="Z232" s="16">
        <f t="shared" si="1032"/>
        <v>711.50284799999986</v>
      </c>
      <c r="AA232" s="16">
        <f t="shared" si="1033"/>
        <v>71.150284799999994</v>
      </c>
      <c r="AB232" s="16">
        <f t="shared" si="1034"/>
        <v>0</v>
      </c>
      <c r="AC232" s="16">
        <f t="shared" si="1035"/>
        <v>6.5452646860337245</v>
      </c>
      <c r="AD232" s="16">
        <f t="shared" si="1036"/>
        <v>2250</v>
      </c>
      <c r="AE232" s="16">
        <f t="shared" si="1037"/>
        <v>2250</v>
      </c>
      <c r="AF232" s="16">
        <f t="shared" si="1038"/>
        <v>14</v>
      </c>
      <c r="AG232" s="16">
        <f t="shared" si="1039"/>
        <v>6</v>
      </c>
      <c r="AH232" s="838" t="s">
        <v>85</v>
      </c>
      <c r="AI232" s="17">
        <f t="shared" si="1040"/>
        <v>5</v>
      </c>
      <c r="AJ232" s="17">
        <f t="shared" si="1041"/>
        <v>6</v>
      </c>
      <c r="AK232" s="891"/>
      <c r="AL232" s="18" t="s">
        <v>255</v>
      </c>
      <c r="AM232" s="889"/>
      <c r="AN232" s="891"/>
      <c r="AO232" s="888"/>
      <c r="AP232" s="891"/>
      <c r="AQ232" s="891"/>
      <c r="AR232" s="889"/>
      <c r="AS232" s="888"/>
      <c r="AT232" s="888"/>
      <c r="AU232" s="890"/>
      <c r="AV232" s="888"/>
      <c r="AW232" s="888"/>
      <c r="AX232" s="888"/>
      <c r="AY232" s="887"/>
      <c r="AZ232" s="888"/>
      <c r="BA232" s="17">
        <f t="shared" si="1042"/>
        <v>14.399999999999991</v>
      </c>
      <c r="BB232" s="17">
        <f t="shared" si="1043"/>
        <v>37.799999999999997</v>
      </c>
      <c r="BC232" s="17">
        <f t="shared" si="1044"/>
        <v>32</v>
      </c>
      <c r="BD232" s="17">
        <f t="shared" si="1045"/>
        <v>85</v>
      </c>
      <c r="BE232" s="17">
        <f t="shared" si="1046"/>
        <v>180.86341983910182</v>
      </c>
      <c r="BF232" s="17">
        <f t="shared" si="1047"/>
        <v>24</v>
      </c>
      <c r="BG232" s="17">
        <f t="shared" si="1048"/>
        <v>50</v>
      </c>
      <c r="BH232" s="17">
        <f t="shared" si="1049"/>
        <v>65.062647806544774</v>
      </c>
      <c r="BI232" s="17">
        <f t="shared" si="1050"/>
        <v>115.80077203255705</v>
      </c>
      <c r="BJ232" s="17">
        <f t="shared" si="1051"/>
        <v>45</v>
      </c>
      <c r="BK232" s="17">
        <f t="shared" si="1052"/>
        <v>85</v>
      </c>
      <c r="BL232" s="17">
        <f t="shared" si="1053"/>
        <v>380.54120080897206</v>
      </c>
      <c r="BM232" s="17">
        <f t="shared" si="1054"/>
        <v>24</v>
      </c>
      <c r="BN232" s="17">
        <f t="shared" si="1055"/>
        <v>50</v>
      </c>
      <c r="BO232" s="17">
        <f t="shared" si="1056"/>
        <v>65.062647806544774</v>
      </c>
      <c r="BP232" s="17">
        <f t="shared" si="1057"/>
        <v>315.4785530024273</v>
      </c>
      <c r="BQ232" s="17">
        <f t="shared" si="1058"/>
        <v>3777.6896639999995</v>
      </c>
      <c r="BR232" s="17">
        <f t="shared" si="1059"/>
        <v>1439.1198719999991</v>
      </c>
      <c r="BS232" s="17">
        <f t="shared" si="1060"/>
        <v>292.84415999999976</v>
      </c>
      <c r="BT232" s="17">
        <f t="shared" si="1061"/>
        <v>768.71591999999987</v>
      </c>
      <c r="BU232" s="17">
        <f t="shared" si="1062"/>
        <v>23269.68</v>
      </c>
      <c r="BV232" s="17">
        <f t="shared" si="1063"/>
        <v>10236</v>
      </c>
      <c r="BW232" s="17">
        <f t="shared" si="1064"/>
        <v>269.84143199999994</v>
      </c>
      <c r="BX232" s="17">
        <f t="shared" si="1065"/>
        <v>17495.999999999989</v>
      </c>
      <c r="BY232" s="17">
        <f t="shared" si="1066"/>
        <v>2904.6392266751996</v>
      </c>
      <c r="BZ232" s="17"/>
      <c r="CA232" s="17">
        <f t="shared" si="1067"/>
        <v>85810.166416660228</v>
      </c>
      <c r="CB232" s="17">
        <f t="shared" si="1068"/>
        <v>241341.0930468569</v>
      </c>
      <c r="CC232" s="17">
        <f t="shared" si="1069"/>
        <v>15263.544448201927</v>
      </c>
      <c r="CD232" s="17">
        <f t="shared" si="1070"/>
        <v>137371.90003381731</v>
      </c>
      <c r="CE232" s="17">
        <f t="shared" si="1071"/>
        <v>57953.850322675185</v>
      </c>
      <c r="CF232" s="17">
        <f t="shared" si="1072"/>
        <v>479786.7039455364</v>
      </c>
      <c r="CG232" s="17">
        <f t="shared" si="1073"/>
        <v>537740.55426821159</v>
      </c>
      <c r="CH232" s="17">
        <f t="shared" si="1074"/>
        <v>14.400000000000006</v>
      </c>
      <c r="CI232" s="17">
        <f t="shared" si="1075"/>
        <v>-43.2</v>
      </c>
      <c r="CJ232" s="17">
        <f t="shared" si="1076"/>
        <v>16</v>
      </c>
      <c r="CK232" s="17">
        <f t="shared" si="1077"/>
        <v>90</v>
      </c>
      <c r="CL232" s="17">
        <f t="shared" si="1078"/>
        <v>71.46880726181422</v>
      </c>
      <c r="CM232" s="17">
        <f t="shared" si="1079"/>
        <v>24</v>
      </c>
      <c r="CN232" s="17">
        <f t="shared" si="1080"/>
        <v>50</v>
      </c>
      <c r="CO232" s="17">
        <f t="shared" si="1081"/>
        <v>65.062647806544774</v>
      </c>
      <c r="CP232" s="17">
        <f t="shared" si="1082"/>
        <v>6.4061594552694459</v>
      </c>
      <c r="CQ232" s="17">
        <f t="shared" si="1083"/>
        <v>0</v>
      </c>
      <c r="CR232" s="17">
        <f t="shared" si="1084"/>
        <v>100</v>
      </c>
      <c r="CS232" s="17">
        <f t="shared" si="1085"/>
        <v>26.404773030064671</v>
      </c>
      <c r="CT232" s="17">
        <f t="shared" si="1086"/>
        <v>24</v>
      </c>
      <c r="CU232" s="17">
        <f t="shared" si="1087"/>
        <v>50</v>
      </c>
      <c r="CV232" s="17">
        <f t="shared" si="1088"/>
        <v>65.062647806544774</v>
      </c>
      <c r="CW232" s="17">
        <f t="shared" si="1089"/>
        <v>-38.657874776480099</v>
      </c>
      <c r="CX232" s="17">
        <f t="shared" si="1027"/>
        <v>-4317.3596159999997</v>
      </c>
      <c r="CY232" s="17">
        <f t="shared" si="1027"/>
        <v>-4317.3596159999997</v>
      </c>
      <c r="CZ232" s="17">
        <f t="shared" si="1090"/>
        <v>292.8441600000001</v>
      </c>
      <c r="DA232" s="17">
        <f t="shared" si="1091"/>
        <v>-878.53247999999996</v>
      </c>
      <c r="DB232" s="17">
        <f t="shared" si="1092"/>
        <v>-26593.920000000002</v>
      </c>
      <c r="DC232" s="17">
        <f t="shared" si="1093"/>
        <v>10236</v>
      </c>
      <c r="DD232" s="17">
        <f t="shared" si="1094"/>
        <v>269.84143199999994</v>
      </c>
      <c r="DE232" s="17">
        <f t="shared" si="1095"/>
        <v>17496.000000000007</v>
      </c>
      <c r="DF232" s="17">
        <f t="shared" si="1096"/>
        <v>-3319.5876876288003</v>
      </c>
      <c r="DG232" s="17"/>
      <c r="DH232" s="17">
        <f t="shared" si="1097"/>
        <v>-10514.941939202587</v>
      </c>
      <c r="DI232" s="17">
        <f t="shared" si="1098"/>
        <v>-29573.274204007277</v>
      </c>
      <c r="DJ232" s="17">
        <f t="shared" si="1099"/>
        <v>-1870.3527840743209</v>
      </c>
      <c r="DK232" s="17">
        <f t="shared" si="1100"/>
        <v>2789.4964266657994</v>
      </c>
      <c r="DL232" s="17">
        <f t="shared" si="1101"/>
        <v>-6814.7141916287928</v>
      </c>
      <c r="DM232" s="17">
        <f t="shared" si="1102"/>
        <v>-39169.072500618386</v>
      </c>
      <c r="DN232" s="17">
        <f t="shared" si="1103"/>
        <v>-45983.78669224718</v>
      </c>
    </row>
    <row r="233" spans="3:120" ht="18.600000000000001">
      <c r="C233" s="13">
        <f>IF(D233&lt;&gt;"",COUNTA($D$10:D233),"")</f>
        <v>191</v>
      </c>
      <c r="D233" s="14" t="s">
        <v>203</v>
      </c>
      <c r="E233" s="14">
        <v>2.1</v>
      </c>
      <c r="F233" s="14">
        <v>3.5</v>
      </c>
      <c r="G233" s="14">
        <v>2.4</v>
      </c>
      <c r="H233" s="14">
        <v>0</v>
      </c>
      <c r="I233" s="14">
        <v>1</v>
      </c>
      <c r="J233" s="14">
        <v>1.75</v>
      </c>
      <c r="K233" s="14">
        <v>3</v>
      </c>
      <c r="L233" s="15">
        <v>0.1</v>
      </c>
      <c r="M233" s="15">
        <v>0</v>
      </c>
      <c r="N233" s="14">
        <v>24</v>
      </c>
      <c r="O233" s="14">
        <v>50</v>
      </c>
      <c r="P233" s="13">
        <v>45</v>
      </c>
      <c r="Q233" s="13">
        <v>85</v>
      </c>
      <c r="R233" s="13" t="s">
        <v>17</v>
      </c>
      <c r="S233" s="13">
        <v>120</v>
      </c>
      <c r="T233" s="13">
        <v>0</v>
      </c>
      <c r="U233" s="13">
        <v>100</v>
      </c>
      <c r="V233" s="13" t="str">
        <f t="shared" si="1028"/>
        <v>ISO 6</v>
      </c>
      <c r="W233" s="13">
        <f t="shared" si="1029"/>
        <v>120</v>
      </c>
      <c r="X233" s="16">
        <f t="shared" si="1030"/>
        <v>79.085999999999999</v>
      </c>
      <c r="Y233" s="16">
        <f t="shared" si="1031"/>
        <v>622.56499199999996</v>
      </c>
      <c r="Z233" s="16">
        <f t="shared" si="1032"/>
        <v>1245.1299839999999</v>
      </c>
      <c r="AA233" s="16">
        <f t="shared" si="1033"/>
        <v>124.5129984</v>
      </c>
      <c r="AB233" s="16">
        <f t="shared" si="1034"/>
        <v>0</v>
      </c>
      <c r="AC233" s="16">
        <f t="shared" si="1035"/>
        <v>11.454213200559018</v>
      </c>
      <c r="AD233" s="16">
        <f t="shared" si="1036"/>
        <v>2375</v>
      </c>
      <c r="AE233" s="16">
        <f t="shared" si="1037"/>
        <v>2375</v>
      </c>
      <c r="AF233" s="16">
        <f t="shared" si="1038"/>
        <v>14</v>
      </c>
      <c r="AG233" s="16">
        <f t="shared" si="1039"/>
        <v>6</v>
      </c>
      <c r="AH233" s="838" t="s">
        <v>85</v>
      </c>
      <c r="AI233" s="17">
        <f t="shared" si="1040"/>
        <v>3</v>
      </c>
      <c r="AJ233" s="17">
        <f t="shared" si="1041"/>
        <v>6</v>
      </c>
      <c r="AK233" s="891"/>
      <c r="AL233" s="18">
        <f>IF(AK230&lt;=2000,950,(IF(AK230&lt;=4000,1100,(IF(AK230&lt;=6000,1250,(IF(AK230&lt;=10000,1550,(IF(AK230&lt;=15000,1750,(IF(AK230&lt;=24000,2050,(IF(AK230&lt;=40000,2900,3600)))))))))))))</f>
        <v>3600</v>
      </c>
      <c r="AM233" s="889"/>
      <c r="AN233" s="891"/>
      <c r="AO233" s="888"/>
      <c r="AP233" s="891"/>
      <c r="AQ233" s="891"/>
      <c r="AR233" s="889"/>
      <c r="AS233" s="888"/>
      <c r="AT233" s="888"/>
      <c r="AU233" s="890"/>
      <c r="AV233" s="888"/>
      <c r="AW233" s="888"/>
      <c r="AX233" s="888"/>
      <c r="AY233" s="887"/>
      <c r="AZ233" s="888"/>
      <c r="BA233" s="17">
        <f t="shared" si="1042"/>
        <v>14.399999999999991</v>
      </c>
      <c r="BB233" s="17">
        <f t="shared" si="1043"/>
        <v>37.799999999999997</v>
      </c>
      <c r="BC233" s="17">
        <f t="shared" si="1044"/>
        <v>32</v>
      </c>
      <c r="BD233" s="17">
        <f t="shared" si="1045"/>
        <v>85</v>
      </c>
      <c r="BE233" s="17">
        <f t="shared" si="1046"/>
        <v>180.86341983910182</v>
      </c>
      <c r="BF233" s="17">
        <f t="shared" si="1047"/>
        <v>24</v>
      </c>
      <c r="BG233" s="17">
        <f t="shared" si="1048"/>
        <v>50</v>
      </c>
      <c r="BH233" s="17">
        <f t="shared" si="1049"/>
        <v>65.062647806544774</v>
      </c>
      <c r="BI233" s="17">
        <f t="shared" si="1050"/>
        <v>115.80077203255705</v>
      </c>
      <c r="BJ233" s="17">
        <f t="shared" si="1051"/>
        <v>45</v>
      </c>
      <c r="BK233" s="17">
        <f t="shared" si="1052"/>
        <v>85</v>
      </c>
      <c r="BL233" s="17">
        <f t="shared" si="1053"/>
        <v>380.54120080897206</v>
      </c>
      <c r="BM233" s="17">
        <f t="shared" si="1054"/>
        <v>24</v>
      </c>
      <c r="BN233" s="17">
        <f t="shared" si="1055"/>
        <v>50</v>
      </c>
      <c r="BO233" s="17">
        <f t="shared" si="1056"/>
        <v>65.062647806544774</v>
      </c>
      <c r="BP233" s="17">
        <f t="shared" si="1057"/>
        <v>315.4785530024273</v>
      </c>
      <c r="BQ233" s="17">
        <f t="shared" si="1058"/>
        <v>4919.7818879999995</v>
      </c>
      <c r="BR233" s="17">
        <f t="shared" si="1059"/>
        <v>1874.2026239999989</v>
      </c>
      <c r="BS233" s="17">
        <f t="shared" si="1060"/>
        <v>512.47727999999972</v>
      </c>
      <c r="BT233" s="17">
        <f t="shared" si="1061"/>
        <v>1345.2528599999998</v>
      </c>
      <c r="BU233" s="17">
        <f t="shared" si="1062"/>
        <v>0</v>
      </c>
      <c r="BV233" s="17">
        <f t="shared" si="1063"/>
        <v>3412</v>
      </c>
      <c r="BW233" s="17">
        <f t="shared" si="1064"/>
        <v>472.22250599999995</v>
      </c>
      <c r="BX233" s="17">
        <f t="shared" si="1065"/>
        <v>17495.999999999989</v>
      </c>
      <c r="BY233" s="17">
        <f t="shared" si="1066"/>
        <v>5083.1186466815998</v>
      </c>
      <c r="BZ233" s="17"/>
      <c r="CA233" s="17">
        <f t="shared" si="1067"/>
        <v>0</v>
      </c>
      <c r="CB233" s="17">
        <f t="shared" si="1068"/>
        <v>241341.0930468569</v>
      </c>
      <c r="CC233" s="17">
        <f t="shared" si="1069"/>
        <v>26711.202784353376</v>
      </c>
      <c r="CD233" s="17">
        <f t="shared" si="1070"/>
        <v>240400.82505918032</v>
      </c>
      <c r="CE233" s="17">
        <f t="shared" si="1071"/>
        <v>31383.123040681588</v>
      </c>
      <c r="CF233" s="17">
        <f t="shared" si="1072"/>
        <v>508453.12089039059</v>
      </c>
      <c r="CG233" s="17">
        <f t="shared" si="1073"/>
        <v>539836.24393107218</v>
      </c>
      <c r="CH233" s="17">
        <f t="shared" si="1074"/>
        <v>14.400000000000006</v>
      </c>
      <c r="CI233" s="17">
        <f t="shared" si="1075"/>
        <v>-43.2</v>
      </c>
      <c r="CJ233" s="17">
        <f t="shared" si="1076"/>
        <v>16</v>
      </c>
      <c r="CK233" s="17">
        <f t="shared" si="1077"/>
        <v>90</v>
      </c>
      <c r="CL233" s="17">
        <f t="shared" si="1078"/>
        <v>71.46880726181422</v>
      </c>
      <c r="CM233" s="17">
        <f t="shared" si="1079"/>
        <v>24</v>
      </c>
      <c r="CN233" s="17">
        <f t="shared" si="1080"/>
        <v>50</v>
      </c>
      <c r="CO233" s="17">
        <f t="shared" si="1081"/>
        <v>65.062647806544774</v>
      </c>
      <c r="CP233" s="17">
        <f t="shared" si="1082"/>
        <v>6.4061594552694459</v>
      </c>
      <c r="CQ233" s="17">
        <f t="shared" si="1083"/>
        <v>0</v>
      </c>
      <c r="CR233" s="17">
        <f t="shared" si="1084"/>
        <v>100</v>
      </c>
      <c r="CS233" s="17">
        <f t="shared" si="1085"/>
        <v>26.404773030064671</v>
      </c>
      <c r="CT233" s="17">
        <f t="shared" si="1086"/>
        <v>24</v>
      </c>
      <c r="CU233" s="17">
        <f t="shared" si="1087"/>
        <v>50</v>
      </c>
      <c r="CV233" s="17">
        <f t="shared" si="1088"/>
        <v>65.062647806544774</v>
      </c>
      <c r="CW233" s="17">
        <f t="shared" si="1089"/>
        <v>-38.657874776480099</v>
      </c>
      <c r="CX233" s="17">
        <f t="shared" si="1027"/>
        <v>-5622.6078720000005</v>
      </c>
      <c r="CY233" s="17">
        <f t="shared" si="1027"/>
        <v>-5622.6078720000005</v>
      </c>
      <c r="CZ233" s="17">
        <f t="shared" si="1090"/>
        <v>512.47728000000018</v>
      </c>
      <c r="DA233" s="17">
        <f t="shared" si="1091"/>
        <v>-1537.4318400000002</v>
      </c>
      <c r="DB233" s="17">
        <f t="shared" si="1092"/>
        <v>0</v>
      </c>
      <c r="DC233" s="17">
        <f t="shared" si="1093"/>
        <v>3412</v>
      </c>
      <c r="DD233" s="17">
        <f t="shared" si="1094"/>
        <v>472.22250599999995</v>
      </c>
      <c r="DE233" s="17">
        <f t="shared" si="1095"/>
        <v>17496.000000000007</v>
      </c>
      <c r="DF233" s="17">
        <f t="shared" si="1096"/>
        <v>-5809.2784533504</v>
      </c>
      <c r="DG233" s="17"/>
      <c r="DH233" s="17">
        <f t="shared" si="1097"/>
        <v>0</v>
      </c>
      <c r="DI233" s="17">
        <f t="shared" si="1098"/>
        <v>-29573.274204007277</v>
      </c>
      <c r="DJ233" s="17">
        <f t="shared" si="1099"/>
        <v>-3273.117372130062</v>
      </c>
      <c r="DK233" s="17">
        <f t="shared" si="1100"/>
        <v>4881.618746665149</v>
      </c>
      <c r="DL233" s="17">
        <f t="shared" si="1101"/>
        <v>8923.3816206496067</v>
      </c>
      <c r="DM233" s="17">
        <f t="shared" si="1102"/>
        <v>-27964.772829472186</v>
      </c>
      <c r="DN233" s="17">
        <f t="shared" si="1103"/>
        <v>-19041.391208822577</v>
      </c>
    </row>
    <row r="234" spans="3:120" ht="18.600000000000001">
      <c r="C234" s="13">
        <f>IF(D234&lt;&gt;"",COUNTA($D$10:D234),"")</f>
        <v>192</v>
      </c>
      <c r="D234" s="14" t="s">
        <v>204</v>
      </c>
      <c r="E234" s="14">
        <v>2.7</v>
      </c>
      <c r="F234" s="14">
        <v>4</v>
      </c>
      <c r="G234" s="14">
        <v>2.4</v>
      </c>
      <c r="H234" s="14">
        <v>2</v>
      </c>
      <c r="I234" s="14">
        <v>1</v>
      </c>
      <c r="J234" s="14">
        <v>1.75</v>
      </c>
      <c r="K234" s="14">
        <v>3</v>
      </c>
      <c r="L234" s="15">
        <v>0.1</v>
      </c>
      <c r="M234" s="15">
        <v>0</v>
      </c>
      <c r="N234" s="14">
        <v>24</v>
      </c>
      <c r="O234" s="14">
        <v>50</v>
      </c>
      <c r="P234" s="13">
        <v>45</v>
      </c>
      <c r="Q234" s="13">
        <v>85</v>
      </c>
      <c r="R234" s="13" t="s">
        <v>17</v>
      </c>
      <c r="S234" s="13">
        <v>120</v>
      </c>
      <c r="T234" s="13">
        <v>0</v>
      </c>
      <c r="U234" s="13">
        <v>100</v>
      </c>
      <c r="V234" s="13" t="str">
        <f t="shared" si="1028"/>
        <v>ISO 6</v>
      </c>
      <c r="W234" s="13">
        <f t="shared" si="1029"/>
        <v>120</v>
      </c>
      <c r="X234" s="16">
        <f t="shared" si="1030"/>
        <v>116.208</v>
      </c>
      <c r="Y234" s="16">
        <f t="shared" si="1031"/>
        <v>914.78937599999995</v>
      </c>
      <c r="Z234" s="16">
        <f t="shared" si="1032"/>
        <v>1829.5787519999999</v>
      </c>
      <c r="AA234" s="16">
        <f t="shared" si="1033"/>
        <v>182.95787519999999</v>
      </c>
      <c r="AB234" s="16">
        <f t="shared" si="1034"/>
        <v>0</v>
      </c>
      <c r="AC234" s="16">
        <f t="shared" si="1035"/>
        <v>16.830680621229575</v>
      </c>
      <c r="AD234" s="16">
        <f t="shared" si="1036"/>
        <v>3375</v>
      </c>
      <c r="AE234" s="16">
        <f t="shared" si="1037"/>
        <v>3375</v>
      </c>
      <c r="AF234" s="16">
        <f t="shared" si="1038"/>
        <v>20</v>
      </c>
      <c r="AG234" s="16">
        <f t="shared" si="1039"/>
        <v>8.5</v>
      </c>
      <c r="AH234" s="838" t="s">
        <v>85</v>
      </c>
      <c r="AI234" s="17">
        <f t="shared" si="1040"/>
        <v>5</v>
      </c>
      <c r="AJ234" s="17">
        <f t="shared" si="1041"/>
        <v>8.5</v>
      </c>
      <c r="AK234" s="891"/>
      <c r="AL234" s="18" t="s">
        <v>256</v>
      </c>
      <c r="AM234" s="889"/>
      <c r="AN234" s="891"/>
      <c r="AO234" s="888"/>
      <c r="AP234" s="891"/>
      <c r="AQ234" s="891"/>
      <c r="AR234" s="889"/>
      <c r="AS234" s="888"/>
      <c r="AT234" s="888"/>
      <c r="AU234" s="890"/>
      <c r="AV234" s="888"/>
      <c r="AW234" s="888"/>
      <c r="AX234" s="888"/>
      <c r="AY234" s="887"/>
      <c r="AZ234" s="888"/>
      <c r="BA234" s="17">
        <f t="shared" si="1042"/>
        <v>14.399999999999991</v>
      </c>
      <c r="BB234" s="17">
        <f t="shared" si="1043"/>
        <v>37.799999999999997</v>
      </c>
      <c r="BC234" s="17">
        <f t="shared" si="1044"/>
        <v>32</v>
      </c>
      <c r="BD234" s="17">
        <f t="shared" si="1045"/>
        <v>85</v>
      </c>
      <c r="BE234" s="17">
        <f t="shared" si="1046"/>
        <v>180.86341983910182</v>
      </c>
      <c r="BF234" s="17">
        <f t="shared" si="1047"/>
        <v>24</v>
      </c>
      <c r="BG234" s="17">
        <f t="shared" si="1048"/>
        <v>50</v>
      </c>
      <c r="BH234" s="17">
        <f t="shared" si="1049"/>
        <v>65.062647806544774</v>
      </c>
      <c r="BI234" s="17">
        <f t="shared" si="1050"/>
        <v>115.80077203255705</v>
      </c>
      <c r="BJ234" s="17">
        <f t="shared" si="1051"/>
        <v>45</v>
      </c>
      <c r="BK234" s="17">
        <f t="shared" si="1052"/>
        <v>85</v>
      </c>
      <c r="BL234" s="17">
        <f t="shared" si="1053"/>
        <v>380.54120080897206</v>
      </c>
      <c r="BM234" s="17">
        <f t="shared" si="1054"/>
        <v>24</v>
      </c>
      <c r="BN234" s="17">
        <f t="shared" si="1055"/>
        <v>50</v>
      </c>
      <c r="BO234" s="17">
        <f t="shared" si="1056"/>
        <v>65.062647806544774</v>
      </c>
      <c r="BP234" s="17">
        <f t="shared" si="1057"/>
        <v>315.4785530024273</v>
      </c>
      <c r="BQ234" s="17">
        <f t="shared" si="1058"/>
        <v>5886.1676159999997</v>
      </c>
      <c r="BR234" s="17">
        <f t="shared" si="1059"/>
        <v>2242.3495679999987</v>
      </c>
      <c r="BS234" s="17">
        <f t="shared" si="1060"/>
        <v>753.02783999999963</v>
      </c>
      <c r="BT234" s="17">
        <f t="shared" si="1061"/>
        <v>1976.6980799999997</v>
      </c>
      <c r="BU234" s="17">
        <f t="shared" si="1062"/>
        <v>23269.68</v>
      </c>
      <c r="BV234" s="17">
        <f t="shared" si="1063"/>
        <v>3412</v>
      </c>
      <c r="BW234" s="17">
        <f t="shared" si="1064"/>
        <v>693.87796800000001</v>
      </c>
      <c r="BX234" s="17">
        <f t="shared" si="1065"/>
        <v>17495.999999999989</v>
      </c>
      <c r="BY234" s="17">
        <f t="shared" si="1066"/>
        <v>7469.0722971647992</v>
      </c>
      <c r="BZ234" s="17"/>
      <c r="CA234" s="17">
        <f t="shared" si="1067"/>
        <v>85810.166416660228</v>
      </c>
      <c r="CB234" s="17">
        <f t="shared" si="1068"/>
        <v>241341.0930468569</v>
      </c>
      <c r="CC234" s="17">
        <f t="shared" si="1069"/>
        <v>39249.114295376385</v>
      </c>
      <c r="CD234" s="17">
        <f t="shared" si="1070"/>
        <v>353242.02865838748</v>
      </c>
      <c r="CE234" s="17">
        <f t="shared" si="1071"/>
        <v>58226.797881164784</v>
      </c>
      <c r="CF234" s="17">
        <f t="shared" si="1072"/>
        <v>719642.40241728094</v>
      </c>
      <c r="CG234" s="17">
        <f t="shared" si="1073"/>
        <v>777869.20029844576</v>
      </c>
      <c r="CH234" s="17">
        <f t="shared" si="1074"/>
        <v>14.400000000000006</v>
      </c>
      <c r="CI234" s="17">
        <f t="shared" si="1075"/>
        <v>-43.2</v>
      </c>
      <c r="CJ234" s="17">
        <f t="shared" si="1076"/>
        <v>16</v>
      </c>
      <c r="CK234" s="17">
        <f t="shared" si="1077"/>
        <v>90</v>
      </c>
      <c r="CL234" s="17">
        <f t="shared" si="1078"/>
        <v>71.46880726181422</v>
      </c>
      <c r="CM234" s="17">
        <f t="shared" si="1079"/>
        <v>24</v>
      </c>
      <c r="CN234" s="17">
        <f t="shared" si="1080"/>
        <v>50</v>
      </c>
      <c r="CO234" s="17">
        <f t="shared" si="1081"/>
        <v>65.062647806544774</v>
      </c>
      <c r="CP234" s="17">
        <f t="shared" si="1082"/>
        <v>6.4061594552694459</v>
      </c>
      <c r="CQ234" s="17">
        <f t="shared" si="1083"/>
        <v>0</v>
      </c>
      <c r="CR234" s="17">
        <f t="shared" si="1084"/>
        <v>100</v>
      </c>
      <c r="CS234" s="17">
        <f t="shared" si="1085"/>
        <v>26.404773030064671</v>
      </c>
      <c r="CT234" s="17">
        <f t="shared" si="1086"/>
        <v>24</v>
      </c>
      <c r="CU234" s="17">
        <f t="shared" si="1087"/>
        <v>50</v>
      </c>
      <c r="CV234" s="17">
        <f t="shared" si="1088"/>
        <v>65.062647806544774</v>
      </c>
      <c r="CW234" s="17">
        <f t="shared" si="1089"/>
        <v>-38.657874776480099</v>
      </c>
      <c r="CX234" s="17">
        <f t="shared" si="1027"/>
        <v>-6727.0487040000007</v>
      </c>
      <c r="CY234" s="17">
        <f t="shared" si="1027"/>
        <v>-6727.0487040000007</v>
      </c>
      <c r="CZ234" s="17">
        <f t="shared" si="1090"/>
        <v>753.02784000000031</v>
      </c>
      <c r="DA234" s="17">
        <f t="shared" si="1091"/>
        <v>-2259.0835200000006</v>
      </c>
      <c r="DB234" s="17">
        <f t="shared" si="1092"/>
        <v>-26593.920000000002</v>
      </c>
      <c r="DC234" s="17">
        <f t="shared" si="1093"/>
        <v>3412</v>
      </c>
      <c r="DD234" s="17">
        <f t="shared" si="1094"/>
        <v>693.87796800000001</v>
      </c>
      <c r="DE234" s="17">
        <f t="shared" si="1095"/>
        <v>17496.000000000007</v>
      </c>
      <c r="DF234" s="17">
        <f t="shared" si="1096"/>
        <v>-8536.0826253312007</v>
      </c>
      <c r="DG234" s="17"/>
      <c r="DH234" s="17">
        <f t="shared" si="1097"/>
        <v>-10514.941939202587</v>
      </c>
      <c r="DI234" s="17">
        <f t="shared" si="1098"/>
        <v>-29573.274204007277</v>
      </c>
      <c r="DJ234" s="17">
        <f t="shared" si="1099"/>
        <v>-4809.478587619682</v>
      </c>
      <c r="DK234" s="17">
        <f t="shared" si="1100"/>
        <v>7172.9908114263426</v>
      </c>
      <c r="DL234" s="17">
        <f t="shared" si="1101"/>
        <v>-21761.229041331197</v>
      </c>
      <c r="DM234" s="17">
        <f t="shared" si="1102"/>
        <v>-37724.703919403204</v>
      </c>
      <c r="DN234" s="17">
        <f t="shared" si="1103"/>
        <v>-59485.932960734397</v>
      </c>
    </row>
    <row r="235" spans="3:120" ht="18.600000000000001">
      <c r="C235" s="13">
        <f>IF(D235&lt;&gt;"",COUNTA($D$10:D235),"")</f>
        <v>193</v>
      </c>
      <c r="D235" s="14" t="s">
        <v>205</v>
      </c>
      <c r="E235" s="14">
        <v>3.8</v>
      </c>
      <c r="F235" s="14">
        <v>4.2</v>
      </c>
      <c r="G235" s="14">
        <v>2.4</v>
      </c>
      <c r="H235" s="14">
        <v>3</v>
      </c>
      <c r="I235" s="14">
        <v>3</v>
      </c>
      <c r="J235" s="14">
        <v>1.75</v>
      </c>
      <c r="K235" s="14">
        <v>3</v>
      </c>
      <c r="L235" s="15">
        <v>0.1</v>
      </c>
      <c r="M235" s="15">
        <v>0</v>
      </c>
      <c r="N235" s="14">
        <v>24</v>
      </c>
      <c r="O235" s="14">
        <v>50</v>
      </c>
      <c r="P235" s="13">
        <v>45</v>
      </c>
      <c r="Q235" s="13">
        <v>85</v>
      </c>
      <c r="R235" s="13" t="s">
        <v>17</v>
      </c>
      <c r="S235" s="13">
        <v>120</v>
      </c>
      <c r="T235" s="13">
        <v>0</v>
      </c>
      <c r="U235" s="13">
        <v>100</v>
      </c>
      <c r="V235" s="13" t="str">
        <f t="shared" si="1028"/>
        <v>ISO 6</v>
      </c>
      <c r="W235" s="13">
        <f t="shared" si="1029"/>
        <v>120</v>
      </c>
      <c r="X235" s="16">
        <f t="shared" si="1030"/>
        <v>171.72959999999998</v>
      </c>
      <c r="Y235" s="16">
        <f t="shared" si="1031"/>
        <v>1351.8554111999997</v>
      </c>
      <c r="Z235" s="16">
        <f t="shared" si="1032"/>
        <v>2703.7108223999994</v>
      </c>
      <c r="AA235" s="16">
        <f t="shared" si="1033"/>
        <v>270.37108223999996</v>
      </c>
      <c r="AB235" s="16">
        <f t="shared" si="1034"/>
        <v>0</v>
      </c>
      <c r="AC235" s="16">
        <f t="shared" si="1035"/>
        <v>24.872005806928151</v>
      </c>
      <c r="AD235" s="16">
        <f t="shared" si="1036"/>
        <v>4450</v>
      </c>
      <c r="AE235" s="16">
        <f t="shared" si="1037"/>
        <v>4450</v>
      </c>
      <c r="AF235" s="16">
        <f t="shared" si="1038"/>
        <v>26</v>
      </c>
      <c r="AG235" s="16">
        <f t="shared" si="1039"/>
        <v>11.5</v>
      </c>
      <c r="AH235" s="838" t="s">
        <v>85</v>
      </c>
      <c r="AI235" s="17">
        <f t="shared" si="1040"/>
        <v>7</v>
      </c>
      <c r="AJ235" s="17">
        <f t="shared" si="1041"/>
        <v>11.5</v>
      </c>
      <c r="AK235" s="891"/>
      <c r="AL235" s="18">
        <f>IF(AL239&lt;4000,AL239,AL239+400)</f>
        <v>5800</v>
      </c>
      <c r="AM235" s="889"/>
      <c r="AN235" s="891"/>
      <c r="AO235" s="888"/>
      <c r="AP235" s="891"/>
      <c r="AQ235" s="891"/>
      <c r="AR235" s="889"/>
      <c r="AS235" s="888"/>
      <c r="AT235" s="888"/>
      <c r="AU235" s="890"/>
      <c r="AV235" s="888"/>
      <c r="AW235" s="888"/>
      <c r="AX235" s="888"/>
      <c r="AY235" s="887"/>
      <c r="AZ235" s="888"/>
      <c r="BA235" s="17">
        <f t="shared" si="1042"/>
        <v>14.399999999999991</v>
      </c>
      <c r="BB235" s="17">
        <f t="shared" si="1043"/>
        <v>37.799999999999997</v>
      </c>
      <c r="BC235" s="17">
        <f t="shared" si="1044"/>
        <v>32</v>
      </c>
      <c r="BD235" s="17">
        <f t="shared" si="1045"/>
        <v>85</v>
      </c>
      <c r="BE235" s="17">
        <f t="shared" si="1046"/>
        <v>180.86341983910182</v>
      </c>
      <c r="BF235" s="17">
        <f t="shared" si="1047"/>
        <v>24</v>
      </c>
      <c r="BG235" s="17">
        <f t="shared" si="1048"/>
        <v>50</v>
      </c>
      <c r="BH235" s="17">
        <f t="shared" si="1049"/>
        <v>65.062647806544774</v>
      </c>
      <c r="BI235" s="17">
        <f t="shared" si="1050"/>
        <v>115.80077203255705</v>
      </c>
      <c r="BJ235" s="17">
        <f t="shared" si="1051"/>
        <v>45</v>
      </c>
      <c r="BK235" s="17">
        <f t="shared" si="1052"/>
        <v>85</v>
      </c>
      <c r="BL235" s="17">
        <f t="shared" si="1053"/>
        <v>380.54120080897206</v>
      </c>
      <c r="BM235" s="17">
        <f t="shared" si="1054"/>
        <v>24</v>
      </c>
      <c r="BN235" s="17">
        <f t="shared" si="1055"/>
        <v>50</v>
      </c>
      <c r="BO235" s="17">
        <f t="shared" si="1056"/>
        <v>65.062647806544774</v>
      </c>
      <c r="BP235" s="17">
        <f t="shared" si="1057"/>
        <v>315.4785530024273</v>
      </c>
      <c r="BQ235" s="17">
        <f t="shared" si="1058"/>
        <v>7028.2598399999997</v>
      </c>
      <c r="BR235" s="17">
        <f t="shared" si="1059"/>
        <v>2677.4323199999981</v>
      </c>
      <c r="BS235" s="17">
        <f t="shared" si="1060"/>
        <v>1112.8078079999991</v>
      </c>
      <c r="BT235" s="17">
        <f t="shared" si="1061"/>
        <v>2921.1204959999995</v>
      </c>
      <c r="BU235" s="17">
        <f t="shared" si="1062"/>
        <v>34904.520000000004</v>
      </c>
      <c r="BV235" s="17">
        <f t="shared" si="1063"/>
        <v>10236</v>
      </c>
      <c r="BW235" s="17">
        <f t="shared" si="1064"/>
        <v>1025.3974415999999</v>
      </c>
      <c r="BX235" s="17">
        <f t="shared" si="1065"/>
        <v>17495.999999999989</v>
      </c>
      <c r="BY235" s="17">
        <f t="shared" si="1066"/>
        <v>11037.62906136576</v>
      </c>
      <c r="BZ235" s="17"/>
      <c r="CA235" s="17">
        <f t="shared" si="1067"/>
        <v>128715.24962499036</v>
      </c>
      <c r="CB235" s="17">
        <f t="shared" si="1068"/>
        <v>241341.0930468569</v>
      </c>
      <c r="CC235" s="17">
        <f t="shared" si="1069"/>
        <v>58001.468903167319</v>
      </c>
      <c r="CD235" s="17">
        <f t="shared" si="1070"/>
        <v>522013.22012850584</v>
      </c>
      <c r="CE235" s="17">
        <f t="shared" si="1071"/>
        <v>81727.806342965749</v>
      </c>
      <c r="CF235" s="17">
        <f t="shared" si="1072"/>
        <v>950071.03170352045</v>
      </c>
      <c r="CG235" s="17">
        <f t="shared" si="1073"/>
        <v>1031798.8380464863</v>
      </c>
      <c r="CH235" s="17">
        <f t="shared" si="1074"/>
        <v>14.400000000000006</v>
      </c>
      <c r="CI235" s="17">
        <f t="shared" si="1075"/>
        <v>-43.2</v>
      </c>
      <c r="CJ235" s="17">
        <f t="shared" si="1076"/>
        <v>16</v>
      </c>
      <c r="CK235" s="17">
        <f t="shared" si="1077"/>
        <v>90</v>
      </c>
      <c r="CL235" s="17">
        <f t="shared" si="1078"/>
        <v>71.46880726181422</v>
      </c>
      <c r="CM235" s="17">
        <f t="shared" si="1079"/>
        <v>24</v>
      </c>
      <c r="CN235" s="17">
        <f t="shared" si="1080"/>
        <v>50</v>
      </c>
      <c r="CO235" s="17">
        <f t="shared" si="1081"/>
        <v>65.062647806544774</v>
      </c>
      <c r="CP235" s="17">
        <f t="shared" si="1082"/>
        <v>6.4061594552694459</v>
      </c>
      <c r="CQ235" s="17">
        <f t="shared" si="1083"/>
        <v>0</v>
      </c>
      <c r="CR235" s="17">
        <f t="shared" si="1084"/>
        <v>100</v>
      </c>
      <c r="CS235" s="17">
        <f t="shared" si="1085"/>
        <v>26.404773030064671</v>
      </c>
      <c r="CT235" s="17">
        <f t="shared" si="1086"/>
        <v>24</v>
      </c>
      <c r="CU235" s="17">
        <f t="shared" si="1087"/>
        <v>50</v>
      </c>
      <c r="CV235" s="17">
        <f t="shared" si="1088"/>
        <v>65.062647806544774</v>
      </c>
      <c r="CW235" s="17">
        <f t="shared" si="1089"/>
        <v>-38.657874776480099</v>
      </c>
      <c r="CX235" s="17">
        <f t="shared" si="1027"/>
        <v>-8032.2969600000006</v>
      </c>
      <c r="CY235" s="17">
        <f t="shared" si="1027"/>
        <v>-8032.2969600000006</v>
      </c>
      <c r="CZ235" s="17">
        <f t="shared" si="1090"/>
        <v>1112.8078080000003</v>
      </c>
      <c r="DA235" s="17">
        <f t="shared" si="1091"/>
        <v>-3338.4234240000001</v>
      </c>
      <c r="DB235" s="17">
        <f t="shared" si="1092"/>
        <v>-39890.880000000005</v>
      </c>
      <c r="DC235" s="17">
        <f t="shared" si="1093"/>
        <v>10236</v>
      </c>
      <c r="DD235" s="17">
        <f t="shared" si="1094"/>
        <v>1025.3974415999999</v>
      </c>
      <c r="DE235" s="17">
        <f t="shared" si="1095"/>
        <v>17496.000000000007</v>
      </c>
      <c r="DF235" s="17">
        <f t="shared" si="1096"/>
        <v>-12614.433212989441</v>
      </c>
      <c r="DG235" s="17"/>
      <c r="DH235" s="17">
        <f t="shared" si="1097"/>
        <v>-15772.412908803883</v>
      </c>
      <c r="DI235" s="17">
        <f t="shared" si="1098"/>
        <v>-29573.274204007277</v>
      </c>
      <c r="DJ235" s="17">
        <f t="shared" si="1099"/>
        <v>-7107.3405794824193</v>
      </c>
      <c r="DK235" s="17">
        <f t="shared" si="1100"/>
        <v>10600.086421330037</v>
      </c>
      <c r="DL235" s="17">
        <f t="shared" si="1101"/>
        <v>-34005.828347389441</v>
      </c>
      <c r="DM235" s="17">
        <f t="shared" si="1102"/>
        <v>-41852.941270963544</v>
      </c>
      <c r="DN235" s="17">
        <f t="shared" si="1103"/>
        <v>-75858.769618352992</v>
      </c>
    </row>
    <row r="236" spans="3:120" ht="18.600000000000001">
      <c r="C236" s="13">
        <f>IF(D236&lt;&gt;"",COUNTA($D$10:D236),"")</f>
        <v>194</v>
      </c>
      <c r="D236" s="14" t="s">
        <v>206</v>
      </c>
      <c r="E236" s="14">
        <v>3.1</v>
      </c>
      <c r="F236" s="14">
        <v>2.6</v>
      </c>
      <c r="G236" s="14">
        <v>2.4</v>
      </c>
      <c r="H236" s="14">
        <v>2</v>
      </c>
      <c r="I236" s="14">
        <v>1</v>
      </c>
      <c r="J236" s="14">
        <v>1.75</v>
      </c>
      <c r="K236" s="14">
        <v>3</v>
      </c>
      <c r="L236" s="15">
        <v>0.1</v>
      </c>
      <c r="M236" s="15">
        <v>0</v>
      </c>
      <c r="N236" s="14">
        <v>24</v>
      </c>
      <c r="O236" s="14">
        <v>50</v>
      </c>
      <c r="P236" s="13">
        <v>45</v>
      </c>
      <c r="Q236" s="13">
        <v>85</v>
      </c>
      <c r="R236" s="13" t="s">
        <v>17</v>
      </c>
      <c r="S236" s="13">
        <v>120</v>
      </c>
      <c r="T236" s="13">
        <v>0</v>
      </c>
      <c r="U236" s="13">
        <v>100</v>
      </c>
      <c r="V236" s="13" t="str">
        <f t="shared" si="1028"/>
        <v>ISO 6</v>
      </c>
      <c r="W236" s="13">
        <f t="shared" si="1029"/>
        <v>120</v>
      </c>
      <c r="X236" s="16">
        <f t="shared" si="1030"/>
        <v>86.7256</v>
      </c>
      <c r="Y236" s="16">
        <f t="shared" si="1031"/>
        <v>682.70392319999996</v>
      </c>
      <c r="Z236" s="16">
        <f t="shared" si="1032"/>
        <v>1365.4078463999999</v>
      </c>
      <c r="AA236" s="16">
        <f t="shared" si="1033"/>
        <v>136.54078464</v>
      </c>
      <c r="AB236" s="16">
        <f t="shared" si="1034"/>
        <v>0</v>
      </c>
      <c r="AC236" s="16">
        <f t="shared" si="1035"/>
        <v>12.560674611769482</v>
      </c>
      <c r="AD236" s="16">
        <f t="shared" si="1036"/>
        <v>2900</v>
      </c>
      <c r="AE236" s="16">
        <f t="shared" si="1037"/>
        <v>2900</v>
      </c>
      <c r="AF236" s="16">
        <f t="shared" si="1038"/>
        <v>18</v>
      </c>
      <c r="AG236" s="16">
        <f t="shared" si="1039"/>
        <v>7.5</v>
      </c>
      <c r="AH236" s="838" t="s">
        <v>85</v>
      </c>
      <c r="AI236" s="17">
        <f t="shared" si="1040"/>
        <v>5</v>
      </c>
      <c r="AJ236" s="17">
        <f t="shared" si="1041"/>
        <v>7.5</v>
      </c>
      <c r="AK236" s="891"/>
      <c r="AL236" s="18"/>
      <c r="AM236" s="889"/>
      <c r="AN236" s="891"/>
      <c r="AO236" s="888"/>
      <c r="AP236" s="891"/>
      <c r="AQ236" s="891"/>
      <c r="AR236" s="889"/>
      <c r="AS236" s="888"/>
      <c r="AT236" s="888"/>
      <c r="AU236" s="890"/>
      <c r="AV236" s="888"/>
      <c r="AW236" s="888"/>
      <c r="AX236" s="888"/>
      <c r="AY236" s="887"/>
      <c r="AZ236" s="888"/>
      <c r="BA236" s="17">
        <f t="shared" si="1042"/>
        <v>14.399999999999991</v>
      </c>
      <c r="BB236" s="17">
        <f t="shared" si="1043"/>
        <v>37.799999999999997</v>
      </c>
      <c r="BC236" s="17">
        <f t="shared" si="1044"/>
        <v>32</v>
      </c>
      <c r="BD236" s="17">
        <f t="shared" si="1045"/>
        <v>85</v>
      </c>
      <c r="BE236" s="17">
        <f t="shared" si="1046"/>
        <v>180.86341983910182</v>
      </c>
      <c r="BF236" s="17">
        <f t="shared" si="1047"/>
        <v>24</v>
      </c>
      <c r="BG236" s="17">
        <f t="shared" si="1048"/>
        <v>50</v>
      </c>
      <c r="BH236" s="17">
        <f t="shared" si="1049"/>
        <v>65.062647806544774</v>
      </c>
      <c r="BI236" s="17">
        <f t="shared" si="1050"/>
        <v>115.80077203255705</v>
      </c>
      <c r="BJ236" s="17">
        <f t="shared" si="1051"/>
        <v>45</v>
      </c>
      <c r="BK236" s="17">
        <f t="shared" si="1052"/>
        <v>85</v>
      </c>
      <c r="BL236" s="17">
        <f t="shared" si="1053"/>
        <v>380.54120080897206</v>
      </c>
      <c r="BM236" s="17">
        <f t="shared" si="1054"/>
        <v>24</v>
      </c>
      <c r="BN236" s="17">
        <f t="shared" si="1055"/>
        <v>50</v>
      </c>
      <c r="BO236" s="17">
        <f t="shared" si="1056"/>
        <v>65.062647806544774</v>
      </c>
      <c r="BP236" s="17">
        <f t="shared" si="1057"/>
        <v>315.4785530024273</v>
      </c>
      <c r="BQ236" s="17">
        <f t="shared" si="1058"/>
        <v>5007.6351359999999</v>
      </c>
      <c r="BR236" s="17">
        <f t="shared" si="1059"/>
        <v>1907.670527999999</v>
      </c>
      <c r="BS236" s="17">
        <f t="shared" si="1060"/>
        <v>561.98188799999969</v>
      </c>
      <c r="BT236" s="17">
        <f t="shared" si="1061"/>
        <v>1475.202456</v>
      </c>
      <c r="BU236" s="17">
        <f t="shared" si="1062"/>
        <v>23269.68</v>
      </c>
      <c r="BV236" s="17">
        <f t="shared" si="1063"/>
        <v>3412</v>
      </c>
      <c r="BW236" s="17">
        <f t="shared" si="1064"/>
        <v>517.83855759999994</v>
      </c>
      <c r="BX236" s="17">
        <f t="shared" si="1065"/>
        <v>17495.999999999989</v>
      </c>
      <c r="BY236" s="17">
        <f t="shared" si="1066"/>
        <v>5574.1409921433597</v>
      </c>
      <c r="BZ236" s="17"/>
      <c r="CA236" s="17">
        <f t="shared" si="1067"/>
        <v>85810.166416660228</v>
      </c>
      <c r="CB236" s="17">
        <f t="shared" si="1068"/>
        <v>241341.0930468569</v>
      </c>
      <c r="CC236" s="17">
        <f t="shared" si="1069"/>
        <v>29291.468631549415</v>
      </c>
      <c r="CD236" s="17">
        <f t="shared" si="1070"/>
        <v>263623.21768394468</v>
      </c>
      <c r="CE236" s="17">
        <f t="shared" si="1071"/>
        <v>55277.294685743349</v>
      </c>
      <c r="CF236" s="17">
        <f t="shared" si="1072"/>
        <v>620065.94577901112</v>
      </c>
      <c r="CG236" s="17">
        <f t="shared" si="1073"/>
        <v>675343.24046475452</v>
      </c>
      <c r="CH236" s="17">
        <f t="shared" si="1074"/>
        <v>14.400000000000006</v>
      </c>
      <c r="CI236" s="17">
        <f t="shared" si="1075"/>
        <v>-43.2</v>
      </c>
      <c r="CJ236" s="17">
        <f t="shared" si="1076"/>
        <v>16</v>
      </c>
      <c r="CK236" s="17">
        <f t="shared" si="1077"/>
        <v>90</v>
      </c>
      <c r="CL236" s="17">
        <f t="shared" si="1078"/>
        <v>71.46880726181422</v>
      </c>
      <c r="CM236" s="17">
        <f t="shared" si="1079"/>
        <v>24</v>
      </c>
      <c r="CN236" s="17">
        <f t="shared" si="1080"/>
        <v>50</v>
      </c>
      <c r="CO236" s="17">
        <f t="shared" si="1081"/>
        <v>65.062647806544774</v>
      </c>
      <c r="CP236" s="17">
        <f t="shared" si="1082"/>
        <v>6.4061594552694459</v>
      </c>
      <c r="CQ236" s="17">
        <f t="shared" si="1083"/>
        <v>0</v>
      </c>
      <c r="CR236" s="17">
        <f t="shared" si="1084"/>
        <v>100</v>
      </c>
      <c r="CS236" s="17">
        <f t="shared" si="1085"/>
        <v>26.404773030064671</v>
      </c>
      <c r="CT236" s="17">
        <f t="shared" si="1086"/>
        <v>24</v>
      </c>
      <c r="CU236" s="17">
        <f t="shared" si="1087"/>
        <v>50</v>
      </c>
      <c r="CV236" s="17">
        <f t="shared" si="1088"/>
        <v>65.062647806544774</v>
      </c>
      <c r="CW236" s="17">
        <f t="shared" si="1089"/>
        <v>-38.657874776480099</v>
      </c>
      <c r="CX236" s="17">
        <f t="shared" si="1027"/>
        <v>-5723.0115840000008</v>
      </c>
      <c r="CY236" s="17">
        <f t="shared" si="1027"/>
        <v>-5723.0115840000008</v>
      </c>
      <c r="CZ236" s="17">
        <f t="shared" si="1090"/>
        <v>561.98188800000014</v>
      </c>
      <c r="DA236" s="17">
        <f t="shared" si="1091"/>
        <v>-1685.9456640000001</v>
      </c>
      <c r="DB236" s="17">
        <f t="shared" si="1092"/>
        <v>-26593.920000000002</v>
      </c>
      <c r="DC236" s="17">
        <f t="shared" si="1093"/>
        <v>3412</v>
      </c>
      <c r="DD236" s="17">
        <f t="shared" si="1094"/>
        <v>517.83855759999994</v>
      </c>
      <c r="DE236" s="17">
        <f t="shared" si="1095"/>
        <v>17496.000000000007</v>
      </c>
      <c r="DF236" s="17">
        <f t="shared" si="1096"/>
        <v>-6370.4468481638405</v>
      </c>
      <c r="DG236" s="17"/>
      <c r="DH236" s="17">
        <f t="shared" si="1097"/>
        <v>-10514.941939202587</v>
      </c>
      <c r="DI236" s="17">
        <f t="shared" si="1098"/>
        <v>-29573.274204007277</v>
      </c>
      <c r="DJ236" s="17">
        <f t="shared" si="1099"/>
        <v>-3589.2960570569112</v>
      </c>
      <c r="DK236" s="17">
        <f t="shared" si="1100"/>
        <v>5353.1764759348434</v>
      </c>
      <c r="DL236" s="17">
        <f t="shared" si="1101"/>
        <v>-18385.503650563835</v>
      </c>
      <c r="DM236" s="17">
        <f t="shared" si="1102"/>
        <v>-38324.335724331933</v>
      </c>
      <c r="DN236" s="17">
        <f t="shared" si="1103"/>
        <v>-56709.839374895768</v>
      </c>
    </row>
    <row r="237" spans="3:120" ht="18.600000000000001">
      <c r="C237" s="13">
        <f>IF(D237&lt;&gt;"",COUNTA($D$10:D237),"")</f>
        <v>195</v>
      </c>
      <c r="D237" s="14" t="s">
        <v>207</v>
      </c>
      <c r="E237" s="14">
        <v>1.9</v>
      </c>
      <c r="F237" s="14">
        <v>2.4</v>
      </c>
      <c r="G237" s="14">
        <v>2.4</v>
      </c>
      <c r="H237" s="14">
        <v>3</v>
      </c>
      <c r="I237" s="14">
        <v>2</v>
      </c>
      <c r="J237" s="14">
        <v>1.75</v>
      </c>
      <c r="K237" s="14">
        <v>3</v>
      </c>
      <c r="L237" s="15">
        <v>0.1</v>
      </c>
      <c r="M237" s="15">
        <v>0</v>
      </c>
      <c r="N237" s="14">
        <v>24</v>
      </c>
      <c r="O237" s="14">
        <v>50</v>
      </c>
      <c r="P237" s="13">
        <v>45</v>
      </c>
      <c r="Q237" s="13">
        <v>85</v>
      </c>
      <c r="R237" s="13" t="s">
        <v>17</v>
      </c>
      <c r="S237" s="13">
        <v>120</v>
      </c>
      <c r="T237" s="13">
        <v>0</v>
      </c>
      <c r="U237" s="13">
        <v>100</v>
      </c>
      <c r="V237" s="13" t="str">
        <f t="shared" si="1028"/>
        <v>ISO 6</v>
      </c>
      <c r="W237" s="13">
        <f t="shared" si="1029"/>
        <v>120</v>
      </c>
      <c r="X237" s="16">
        <f t="shared" si="1030"/>
        <v>49.065599999999996</v>
      </c>
      <c r="Y237" s="16">
        <f t="shared" si="1031"/>
        <v>386.24440319999997</v>
      </c>
      <c r="Z237" s="16">
        <f t="shared" si="1032"/>
        <v>772.48880639999993</v>
      </c>
      <c r="AA237" s="16">
        <f t="shared" si="1033"/>
        <v>77.248880639999996</v>
      </c>
      <c r="AB237" s="16">
        <f t="shared" si="1034"/>
        <v>0</v>
      </c>
      <c r="AC237" s="16">
        <f t="shared" si="1035"/>
        <v>7.1062873734080432</v>
      </c>
      <c r="AD237" s="16">
        <f t="shared" si="1036"/>
        <v>2500</v>
      </c>
      <c r="AE237" s="16">
        <f t="shared" si="1037"/>
        <v>2500</v>
      </c>
      <c r="AF237" s="16">
        <f t="shared" si="1038"/>
        <v>16</v>
      </c>
      <c r="AG237" s="16">
        <f t="shared" si="1039"/>
        <v>6.5</v>
      </c>
      <c r="AH237" s="838" t="s">
        <v>85</v>
      </c>
      <c r="AI237" s="17">
        <f t="shared" si="1040"/>
        <v>6</v>
      </c>
      <c r="AJ237" s="17">
        <f t="shared" si="1041"/>
        <v>6.5</v>
      </c>
      <c r="AK237" s="891"/>
      <c r="AL237" s="18"/>
      <c r="AM237" s="889"/>
      <c r="AN237" s="891"/>
      <c r="AO237" s="888"/>
      <c r="AP237" s="891"/>
      <c r="AQ237" s="891"/>
      <c r="AR237" s="889"/>
      <c r="AS237" s="888"/>
      <c r="AT237" s="888"/>
      <c r="AU237" s="890"/>
      <c r="AV237" s="888"/>
      <c r="AW237" s="888"/>
      <c r="AX237" s="888"/>
      <c r="AY237" s="887"/>
      <c r="AZ237" s="888"/>
      <c r="BA237" s="17">
        <f t="shared" si="1042"/>
        <v>14.399999999999991</v>
      </c>
      <c r="BB237" s="17">
        <f t="shared" si="1043"/>
        <v>37.799999999999997</v>
      </c>
      <c r="BC237" s="17">
        <f t="shared" si="1044"/>
        <v>32</v>
      </c>
      <c r="BD237" s="17">
        <f t="shared" si="1045"/>
        <v>85</v>
      </c>
      <c r="BE237" s="17">
        <f t="shared" si="1046"/>
        <v>180.86341983910182</v>
      </c>
      <c r="BF237" s="17">
        <f t="shared" si="1047"/>
        <v>24</v>
      </c>
      <c r="BG237" s="17">
        <f t="shared" si="1048"/>
        <v>50</v>
      </c>
      <c r="BH237" s="17">
        <f t="shared" si="1049"/>
        <v>65.062647806544774</v>
      </c>
      <c r="BI237" s="17">
        <f t="shared" si="1050"/>
        <v>115.80077203255705</v>
      </c>
      <c r="BJ237" s="17">
        <f t="shared" si="1051"/>
        <v>45</v>
      </c>
      <c r="BK237" s="17">
        <f t="shared" si="1052"/>
        <v>85</v>
      </c>
      <c r="BL237" s="17">
        <f t="shared" si="1053"/>
        <v>380.54120080897206</v>
      </c>
      <c r="BM237" s="17">
        <f t="shared" si="1054"/>
        <v>24</v>
      </c>
      <c r="BN237" s="17">
        <f t="shared" si="1055"/>
        <v>50</v>
      </c>
      <c r="BO237" s="17">
        <f t="shared" si="1056"/>
        <v>65.062647806544774</v>
      </c>
      <c r="BP237" s="17">
        <f t="shared" si="1057"/>
        <v>315.4785530024273</v>
      </c>
      <c r="BQ237" s="17">
        <f t="shared" si="1058"/>
        <v>3777.6896639999995</v>
      </c>
      <c r="BR237" s="17">
        <f t="shared" si="1059"/>
        <v>1439.1198719999991</v>
      </c>
      <c r="BS237" s="17">
        <f t="shared" si="1060"/>
        <v>317.94508799999977</v>
      </c>
      <c r="BT237" s="17">
        <f t="shared" si="1061"/>
        <v>834.6058559999999</v>
      </c>
      <c r="BU237" s="17">
        <f t="shared" si="1062"/>
        <v>34904.520000000004</v>
      </c>
      <c r="BV237" s="17">
        <f t="shared" si="1063"/>
        <v>6824</v>
      </c>
      <c r="BW237" s="17">
        <f t="shared" si="1064"/>
        <v>292.97069759999994</v>
      </c>
      <c r="BX237" s="17">
        <f t="shared" si="1065"/>
        <v>17495.999999999989</v>
      </c>
      <c r="BY237" s="17">
        <f t="shared" si="1066"/>
        <v>3153.6083032473598</v>
      </c>
      <c r="BZ237" s="17"/>
      <c r="CA237" s="17">
        <f t="shared" si="1067"/>
        <v>128715.24962499036</v>
      </c>
      <c r="CB237" s="17">
        <f t="shared" si="1068"/>
        <v>241341.0930468569</v>
      </c>
      <c r="CC237" s="17">
        <f t="shared" si="1069"/>
        <v>16571.848258047805</v>
      </c>
      <c r="CD237" s="17">
        <f t="shared" si="1070"/>
        <v>149146.63432243024</v>
      </c>
      <c r="CE237" s="17">
        <f t="shared" si="1071"/>
        <v>66448.78866484735</v>
      </c>
      <c r="CF237" s="17">
        <f t="shared" si="1072"/>
        <v>535774.82525232527</v>
      </c>
      <c r="CG237" s="17">
        <f t="shared" si="1073"/>
        <v>602223.61391717265</v>
      </c>
      <c r="CH237" s="17">
        <f t="shared" si="1074"/>
        <v>14.400000000000006</v>
      </c>
      <c r="CI237" s="17">
        <f t="shared" si="1075"/>
        <v>-43.2</v>
      </c>
      <c r="CJ237" s="17">
        <f t="shared" si="1076"/>
        <v>16</v>
      </c>
      <c r="CK237" s="17">
        <f t="shared" si="1077"/>
        <v>90</v>
      </c>
      <c r="CL237" s="17">
        <f t="shared" si="1078"/>
        <v>71.46880726181422</v>
      </c>
      <c r="CM237" s="17">
        <f t="shared" si="1079"/>
        <v>24</v>
      </c>
      <c r="CN237" s="17">
        <f t="shared" si="1080"/>
        <v>50</v>
      </c>
      <c r="CO237" s="17">
        <f t="shared" si="1081"/>
        <v>65.062647806544774</v>
      </c>
      <c r="CP237" s="17">
        <f t="shared" si="1082"/>
        <v>6.4061594552694459</v>
      </c>
      <c r="CQ237" s="17">
        <f t="shared" si="1083"/>
        <v>0</v>
      </c>
      <c r="CR237" s="17">
        <f t="shared" si="1084"/>
        <v>100</v>
      </c>
      <c r="CS237" s="17">
        <f t="shared" si="1085"/>
        <v>26.404773030064671</v>
      </c>
      <c r="CT237" s="17">
        <f t="shared" si="1086"/>
        <v>24</v>
      </c>
      <c r="CU237" s="17">
        <f t="shared" si="1087"/>
        <v>50</v>
      </c>
      <c r="CV237" s="17">
        <f t="shared" si="1088"/>
        <v>65.062647806544774</v>
      </c>
      <c r="CW237" s="17">
        <f t="shared" si="1089"/>
        <v>-38.657874776480099</v>
      </c>
      <c r="CX237" s="17">
        <f t="shared" si="1027"/>
        <v>-4317.3596159999997</v>
      </c>
      <c r="CY237" s="17">
        <f t="shared" si="1027"/>
        <v>-4317.3596159999997</v>
      </c>
      <c r="CZ237" s="17">
        <f t="shared" si="1090"/>
        <v>317.94508800000011</v>
      </c>
      <c r="DA237" s="17">
        <f t="shared" si="1091"/>
        <v>-953.83526399999994</v>
      </c>
      <c r="DB237" s="17">
        <f t="shared" si="1092"/>
        <v>-39890.880000000005</v>
      </c>
      <c r="DC237" s="17">
        <f t="shared" si="1093"/>
        <v>6824</v>
      </c>
      <c r="DD237" s="17">
        <f t="shared" si="1094"/>
        <v>292.97069759999994</v>
      </c>
      <c r="DE237" s="17">
        <f t="shared" si="1095"/>
        <v>17496.000000000007</v>
      </c>
      <c r="DF237" s="17">
        <f t="shared" si="1096"/>
        <v>-3604.1237751398403</v>
      </c>
      <c r="DG237" s="17"/>
      <c r="DH237" s="17">
        <f t="shared" si="1097"/>
        <v>-15772.412908803883</v>
      </c>
      <c r="DI237" s="17">
        <f t="shared" si="1098"/>
        <v>-29573.274204007277</v>
      </c>
      <c r="DJ237" s="17">
        <f t="shared" si="1099"/>
        <v>-2030.6687369949768</v>
      </c>
      <c r="DK237" s="17">
        <f t="shared" si="1100"/>
        <v>3028.5961203800107</v>
      </c>
      <c r="DL237" s="17">
        <f t="shared" si="1101"/>
        <v>-23835.282869539838</v>
      </c>
      <c r="DM237" s="17">
        <f t="shared" si="1102"/>
        <v>-44347.759729426129</v>
      </c>
      <c r="DN237" s="17">
        <f t="shared" si="1103"/>
        <v>-68183.042598965971</v>
      </c>
    </row>
    <row r="238" spans="3:120" ht="18.600000000000001">
      <c r="C238" s="13">
        <f>IF(D238&lt;&gt;"",COUNTA($D$10:D238),"")</f>
        <v>196</v>
      </c>
      <c r="D238" s="14" t="s">
        <v>208</v>
      </c>
      <c r="E238" s="14">
        <v>3</v>
      </c>
      <c r="F238" s="14">
        <v>2.9</v>
      </c>
      <c r="G238" s="14">
        <v>2.4</v>
      </c>
      <c r="H238" s="14">
        <v>2</v>
      </c>
      <c r="I238" s="14">
        <v>1</v>
      </c>
      <c r="J238" s="14">
        <v>1.75</v>
      </c>
      <c r="K238" s="14">
        <v>3</v>
      </c>
      <c r="L238" s="15">
        <v>0.1</v>
      </c>
      <c r="M238" s="15">
        <v>0</v>
      </c>
      <c r="N238" s="14">
        <v>24</v>
      </c>
      <c r="O238" s="14">
        <v>50</v>
      </c>
      <c r="P238" s="13">
        <v>45</v>
      </c>
      <c r="Q238" s="13">
        <v>85</v>
      </c>
      <c r="R238" s="13" t="s">
        <v>17</v>
      </c>
      <c r="S238" s="13">
        <v>120</v>
      </c>
      <c r="T238" s="13">
        <v>0</v>
      </c>
      <c r="U238" s="13">
        <v>100</v>
      </c>
      <c r="V238" s="13" t="str">
        <f t="shared" si="1028"/>
        <v>ISO 6</v>
      </c>
      <c r="W238" s="13">
        <f t="shared" si="1029"/>
        <v>120</v>
      </c>
      <c r="X238" s="16">
        <f t="shared" si="1030"/>
        <v>93.611999999999995</v>
      </c>
      <c r="Y238" s="16">
        <f t="shared" si="1031"/>
        <v>736.91366399999993</v>
      </c>
      <c r="Z238" s="16">
        <f t="shared" si="1032"/>
        <v>1473.8273279999999</v>
      </c>
      <c r="AA238" s="16">
        <f t="shared" si="1033"/>
        <v>147.38273279999999</v>
      </c>
      <c r="AB238" s="16">
        <f t="shared" si="1034"/>
        <v>0</v>
      </c>
      <c r="AC238" s="16">
        <f t="shared" si="1035"/>
        <v>13.558048278212716</v>
      </c>
      <c r="AD238" s="16">
        <f>IF(ISNUMBER(N238), CEILING(CF238/(0.68*BP238),25), "Ambient")</f>
        <v>3000</v>
      </c>
      <c r="AE238" s="16">
        <f t="shared" si="1037"/>
        <v>3000</v>
      </c>
      <c r="AF238" s="16">
        <f t="shared" si="1038"/>
        <v>18</v>
      </c>
      <c r="AG238" s="16">
        <f t="shared" si="1039"/>
        <v>7.5</v>
      </c>
      <c r="AH238" s="838" t="s">
        <v>85</v>
      </c>
      <c r="AI238" s="17">
        <f t="shared" si="1040"/>
        <v>5</v>
      </c>
      <c r="AJ238" s="17">
        <f t="shared" si="1041"/>
        <v>7.5</v>
      </c>
      <c r="AK238" s="891"/>
      <c r="AL238" s="18"/>
      <c r="AM238" s="889"/>
      <c r="AN238" s="891"/>
      <c r="AO238" s="888"/>
      <c r="AP238" s="891"/>
      <c r="AQ238" s="891"/>
      <c r="AR238" s="889"/>
      <c r="AS238" s="888"/>
      <c r="AT238" s="888"/>
      <c r="AU238" s="890"/>
      <c r="AV238" s="888"/>
      <c r="AW238" s="888"/>
      <c r="AX238" s="888"/>
      <c r="AY238" s="887"/>
      <c r="AZ238" s="888"/>
      <c r="BA238" s="17">
        <f t="shared" si="1042"/>
        <v>14.399999999999991</v>
      </c>
      <c r="BB238" s="17">
        <f t="shared" si="1043"/>
        <v>37.799999999999997</v>
      </c>
      <c r="BC238" s="17">
        <f t="shared" si="1044"/>
        <v>32</v>
      </c>
      <c r="BD238" s="17">
        <f t="shared" si="1045"/>
        <v>85</v>
      </c>
      <c r="BE238" s="17">
        <f t="shared" si="1046"/>
        <v>180.86341983910182</v>
      </c>
      <c r="BF238" s="17">
        <f t="shared" si="1047"/>
        <v>24</v>
      </c>
      <c r="BG238" s="17">
        <f t="shared" si="1048"/>
        <v>50</v>
      </c>
      <c r="BH238" s="17">
        <f t="shared" si="1049"/>
        <v>65.062647806544774</v>
      </c>
      <c r="BI238" s="17">
        <f t="shared" si="1050"/>
        <v>115.80077203255705</v>
      </c>
      <c r="BJ238" s="17">
        <f t="shared" si="1051"/>
        <v>45</v>
      </c>
      <c r="BK238" s="17">
        <f t="shared" si="1052"/>
        <v>85</v>
      </c>
      <c r="BL238" s="17">
        <f t="shared" si="1053"/>
        <v>380.54120080897206</v>
      </c>
      <c r="BM238" s="17">
        <f t="shared" si="1054"/>
        <v>24</v>
      </c>
      <c r="BN238" s="17">
        <f t="shared" si="1055"/>
        <v>50</v>
      </c>
      <c r="BO238" s="17">
        <f t="shared" si="1056"/>
        <v>65.062647806544774</v>
      </c>
      <c r="BP238" s="17">
        <f t="shared" si="1057"/>
        <v>315.4785530024273</v>
      </c>
      <c r="BQ238" s="17">
        <f t="shared" si="1058"/>
        <v>5183.3416319999997</v>
      </c>
      <c r="BR238" s="17">
        <f t="shared" si="1059"/>
        <v>1974.6063359999991</v>
      </c>
      <c r="BS238" s="17">
        <f t="shared" si="1060"/>
        <v>606.60575999999958</v>
      </c>
      <c r="BT238" s="17">
        <f t="shared" si="1061"/>
        <v>1592.3401199999998</v>
      </c>
      <c r="BU238" s="17">
        <f t="shared" si="1062"/>
        <v>23269.68</v>
      </c>
      <c r="BV238" s="17">
        <f t="shared" si="1063"/>
        <v>3412</v>
      </c>
      <c r="BW238" s="17">
        <f t="shared" si="1064"/>
        <v>558.95725199999993</v>
      </c>
      <c r="BX238" s="17">
        <f t="shared" si="1065"/>
        <v>17495.999999999989</v>
      </c>
      <c r="BY238" s="17">
        <f t="shared" si="1066"/>
        <v>6016.7526838271997</v>
      </c>
      <c r="BZ238" s="17"/>
      <c r="CA238" s="17">
        <f t="shared" si="1067"/>
        <v>85810.166416660228</v>
      </c>
      <c r="CB238" s="17">
        <f t="shared" si="1068"/>
        <v>241341.0930468569</v>
      </c>
      <c r="CC238" s="17">
        <f t="shared" si="1069"/>
        <v>31617.34207127542</v>
      </c>
      <c r="CD238" s="17">
        <f t="shared" si="1070"/>
        <v>284556.07864147879</v>
      </c>
      <c r="CE238" s="17">
        <f t="shared" si="1071"/>
        <v>55936.731567827192</v>
      </c>
      <c r="CF238" s="17">
        <f t="shared" si="1072"/>
        <v>643324.68017627136</v>
      </c>
      <c r="CG238" s="17">
        <f t="shared" si="1073"/>
        <v>699261.41174409853</v>
      </c>
      <c r="CH238" s="17">
        <f t="shared" si="1074"/>
        <v>14.400000000000006</v>
      </c>
      <c r="CI238" s="17">
        <f t="shared" si="1075"/>
        <v>-43.2</v>
      </c>
      <c r="CJ238" s="17">
        <f t="shared" si="1076"/>
        <v>16</v>
      </c>
      <c r="CK238" s="17">
        <f t="shared" si="1077"/>
        <v>90</v>
      </c>
      <c r="CL238" s="17">
        <f t="shared" si="1078"/>
        <v>71.46880726181422</v>
      </c>
      <c r="CM238" s="17">
        <f t="shared" si="1079"/>
        <v>24</v>
      </c>
      <c r="CN238" s="17">
        <f t="shared" si="1080"/>
        <v>50</v>
      </c>
      <c r="CO238" s="17">
        <f t="shared" si="1081"/>
        <v>65.062647806544774</v>
      </c>
      <c r="CP238" s="17">
        <f t="shared" si="1082"/>
        <v>6.4061594552694459</v>
      </c>
      <c r="CQ238" s="17">
        <f t="shared" si="1083"/>
        <v>0</v>
      </c>
      <c r="CR238" s="17">
        <f t="shared" si="1084"/>
        <v>100</v>
      </c>
      <c r="CS238" s="17">
        <f t="shared" si="1085"/>
        <v>26.404773030064671</v>
      </c>
      <c r="CT238" s="17">
        <f t="shared" si="1086"/>
        <v>24</v>
      </c>
      <c r="CU238" s="17">
        <f t="shared" si="1087"/>
        <v>50</v>
      </c>
      <c r="CV238" s="17">
        <f t="shared" si="1088"/>
        <v>65.062647806544774</v>
      </c>
      <c r="CW238" s="17">
        <f t="shared" si="1089"/>
        <v>-38.657874776480099</v>
      </c>
      <c r="CX238" s="17">
        <f t="shared" si="1027"/>
        <v>-5923.8190080000013</v>
      </c>
      <c r="CY238" s="17">
        <f t="shared" si="1027"/>
        <v>-5923.8190080000013</v>
      </c>
      <c r="CZ238" s="17">
        <f t="shared" si="1090"/>
        <v>606.60576000000026</v>
      </c>
      <c r="DA238" s="17">
        <f t="shared" si="1091"/>
        <v>-1819.81728</v>
      </c>
      <c r="DB238" s="17">
        <f t="shared" si="1092"/>
        <v>-26593.920000000002</v>
      </c>
      <c r="DC238" s="17">
        <f t="shared" si="1093"/>
        <v>3412</v>
      </c>
      <c r="DD238" s="17">
        <f t="shared" si="1094"/>
        <v>558.95725199999993</v>
      </c>
      <c r="DE238" s="17">
        <f t="shared" si="1095"/>
        <v>17496.000000000007</v>
      </c>
      <c r="DF238" s="17">
        <f t="shared" si="1096"/>
        <v>-6876.2887815168006</v>
      </c>
      <c r="DG238" s="17"/>
      <c r="DH238" s="17">
        <f t="shared" si="1097"/>
        <v>-10514.941939202587</v>
      </c>
      <c r="DI238" s="17">
        <f t="shared" si="1098"/>
        <v>-29573.274204007277</v>
      </c>
      <c r="DJ238" s="17">
        <f t="shared" si="1099"/>
        <v>-3874.3021955825216</v>
      </c>
      <c r="DK238" s="17">
        <f t="shared" si="1100"/>
        <v>5778.2425980934422</v>
      </c>
      <c r="DL238" s="17">
        <f t="shared" si="1101"/>
        <v>-19140.282057516793</v>
      </c>
      <c r="DM238" s="17">
        <f t="shared" si="1102"/>
        <v>-38184.275740698948</v>
      </c>
      <c r="DN238" s="17">
        <f t="shared" si="1103"/>
        <v>-57324.557798215741</v>
      </c>
    </row>
    <row r="239" spans="3:120" ht="18.600000000000001">
      <c r="C239" s="13">
        <f>IF(D239&lt;&gt;"",COUNTA($D$10:D239),"")</f>
        <v>197</v>
      </c>
      <c r="D239" s="14" t="s">
        <v>209</v>
      </c>
      <c r="E239" s="14">
        <v>2.4</v>
      </c>
      <c r="F239" s="14">
        <v>2</v>
      </c>
      <c r="G239" s="14">
        <v>2.4</v>
      </c>
      <c r="H239" s="14">
        <v>2</v>
      </c>
      <c r="I239" s="14">
        <v>1</v>
      </c>
      <c r="J239" s="14">
        <v>1.75</v>
      </c>
      <c r="K239" s="14">
        <v>3</v>
      </c>
      <c r="L239" s="15">
        <v>0.1</v>
      </c>
      <c r="M239" s="15">
        <v>0</v>
      </c>
      <c r="N239" s="14">
        <v>24</v>
      </c>
      <c r="O239" s="14">
        <v>50</v>
      </c>
      <c r="P239" s="13">
        <v>45</v>
      </c>
      <c r="Q239" s="13">
        <v>85</v>
      </c>
      <c r="R239" s="13" t="s">
        <v>17</v>
      </c>
      <c r="S239" s="13">
        <v>120</v>
      </c>
      <c r="T239" s="13">
        <v>0</v>
      </c>
      <c r="U239" s="13">
        <v>100</v>
      </c>
      <c r="V239" s="13" t="str">
        <f t="shared" si="1028"/>
        <v>ISO 6</v>
      </c>
      <c r="W239" s="13">
        <f t="shared" si="1029"/>
        <v>120</v>
      </c>
      <c r="X239" s="16">
        <f t="shared" si="1030"/>
        <v>51.647999999999996</v>
      </c>
      <c r="Y239" s="16">
        <f t="shared" si="1031"/>
        <v>406.57305599999995</v>
      </c>
      <c r="Z239" s="16">
        <f t="shared" si="1032"/>
        <v>813.1461119999999</v>
      </c>
      <c r="AA239" s="16">
        <f t="shared" si="1033"/>
        <v>81.314611200000002</v>
      </c>
      <c r="AB239" s="16">
        <f t="shared" si="1034"/>
        <v>0</v>
      </c>
      <c r="AC239" s="16">
        <f t="shared" si="1035"/>
        <v>7.4803024983242565</v>
      </c>
      <c r="AD239" s="16">
        <f t="shared" ref="AD239:AD245" si="1104">IF(ISNUMBER(N239), CEILING(CF239/(0.68*BP239),25), "Ambient")</f>
        <v>2350</v>
      </c>
      <c r="AE239" s="16">
        <f t="shared" si="1037"/>
        <v>2350</v>
      </c>
      <c r="AF239" s="16">
        <f t="shared" si="1038"/>
        <v>14</v>
      </c>
      <c r="AG239" s="16">
        <f t="shared" si="1039"/>
        <v>6</v>
      </c>
      <c r="AH239" s="838" t="s">
        <v>85</v>
      </c>
      <c r="AI239" s="17">
        <f t="shared" si="1040"/>
        <v>4.5</v>
      </c>
      <c r="AJ239" s="17">
        <f t="shared" si="1041"/>
        <v>6</v>
      </c>
      <c r="AK239" s="891"/>
      <c r="AL239" s="174">
        <f>IF(AN230&lt;=315,1600,(IF(AN230=355,1650,(IF(AN230=400,1650,(IF(AN230=450,1700,(IF(AN230=500,1700,(IF(AN230=560,1800,(IF(AN230=630,2000,(IF(AN230=710,2200,2500)))))))))))))))+IF(AR230=2,1800,(IF(AR230=3,2300,(IF(AR230=4,3300,0)))))+IF(AP230&lt;=4,600,(IF(AP230&lt;=6,800,(IF(AP230&lt;=8,1000,1200)))))</f>
        <v>5400</v>
      </c>
      <c r="AM239" s="889"/>
      <c r="AN239" s="891"/>
      <c r="AO239" s="888"/>
      <c r="AP239" s="891"/>
      <c r="AQ239" s="891"/>
      <c r="AR239" s="889"/>
      <c r="AS239" s="888"/>
      <c r="AT239" s="888"/>
      <c r="AU239" s="890"/>
      <c r="AV239" s="888"/>
      <c r="AW239" s="888"/>
      <c r="AX239" s="888"/>
      <c r="AY239" s="887"/>
      <c r="AZ239" s="888"/>
      <c r="BA239" s="17">
        <f t="shared" si="1042"/>
        <v>14.399999999999991</v>
      </c>
      <c r="BB239" s="17">
        <f t="shared" si="1043"/>
        <v>37.799999999999997</v>
      </c>
      <c r="BC239" s="17">
        <f t="shared" si="1044"/>
        <v>32</v>
      </c>
      <c r="BD239" s="17">
        <f t="shared" si="1045"/>
        <v>85</v>
      </c>
      <c r="BE239" s="17">
        <f t="shared" si="1046"/>
        <v>180.86341983910182</v>
      </c>
      <c r="BF239" s="17">
        <f t="shared" si="1047"/>
        <v>24</v>
      </c>
      <c r="BG239" s="17">
        <f t="shared" si="1048"/>
        <v>50</v>
      </c>
      <c r="BH239" s="17">
        <f t="shared" si="1049"/>
        <v>65.062647806544774</v>
      </c>
      <c r="BI239" s="17">
        <f t="shared" si="1050"/>
        <v>115.80077203255705</v>
      </c>
      <c r="BJ239" s="17">
        <f t="shared" si="1051"/>
        <v>45</v>
      </c>
      <c r="BK239" s="17">
        <f t="shared" si="1052"/>
        <v>85</v>
      </c>
      <c r="BL239" s="17">
        <f t="shared" si="1053"/>
        <v>380.54120080897206</v>
      </c>
      <c r="BM239" s="17">
        <f t="shared" si="1054"/>
        <v>24</v>
      </c>
      <c r="BN239" s="17">
        <f t="shared" si="1055"/>
        <v>50</v>
      </c>
      <c r="BO239" s="17">
        <f t="shared" si="1056"/>
        <v>65.062647806544774</v>
      </c>
      <c r="BP239" s="17">
        <f t="shared" si="1057"/>
        <v>315.4785530024273</v>
      </c>
      <c r="BQ239" s="17">
        <f t="shared" si="1058"/>
        <v>3865.5429119999999</v>
      </c>
      <c r="BR239" s="17">
        <f t="shared" si="1059"/>
        <v>1472.5877759999992</v>
      </c>
      <c r="BS239" s="17">
        <f t="shared" si="1060"/>
        <v>334.67903999999976</v>
      </c>
      <c r="BT239" s="17">
        <f t="shared" si="1061"/>
        <v>878.53247999999996</v>
      </c>
      <c r="BU239" s="17">
        <f t="shared" si="1062"/>
        <v>23269.68</v>
      </c>
      <c r="BV239" s="17">
        <f t="shared" si="1063"/>
        <v>3412</v>
      </c>
      <c r="BW239" s="17">
        <f t="shared" si="1064"/>
        <v>308.39020799999997</v>
      </c>
      <c r="BX239" s="17">
        <f t="shared" si="1065"/>
        <v>17495.999999999989</v>
      </c>
      <c r="BY239" s="17">
        <f t="shared" si="1066"/>
        <v>3319.5876876287998</v>
      </c>
      <c r="BZ239" s="17"/>
      <c r="CA239" s="17">
        <f t="shared" si="1067"/>
        <v>85810.166416660228</v>
      </c>
      <c r="CB239" s="17">
        <f t="shared" si="1068"/>
        <v>241341.0930468569</v>
      </c>
      <c r="CC239" s="17">
        <f t="shared" si="1069"/>
        <v>17444.050797945059</v>
      </c>
      <c r="CD239" s="17">
        <f t="shared" si="1070"/>
        <v>156996.45718150554</v>
      </c>
      <c r="CE239" s="17">
        <f t="shared" si="1071"/>
        <v>51671.200807628797</v>
      </c>
      <c r="CF239" s="17">
        <f t="shared" si="1072"/>
        <v>501591.76744296774</v>
      </c>
      <c r="CG239" s="17">
        <f t="shared" si="1073"/>
        <v>553262.96825059655</v>
      </c>
      <c r="CH239" s="17">
        <f t="shared" si="1074"/>
        <v>14.400000000000006</v>
      </c>
      <c r="CI239" s="17">
        <f t="shared" si="1075"/>
        <v>-43.2</v>
      </c>
      <c r="CJ239" s="17">
        <f t="shared" si="1076"/>
        <v>16</v>
      </c>
      <c r="CK239" s="17">
        <f t="shared" si="1077"/>
        <v>90</v>
      </c>
      <c r="CL239" s="17">
        <f t="shared" si="1078"/>
        <v>71.46880726181422</v>
      </c>
      <c r="CM239" s="17">
        <f t="shared" si="1079"/>
        <v>24</v>
      </c>
      <c r="CN239" s="17">
        <f t="shared" si="1080"/>
        <v>50</v>
      </c>
      <c r="CO239" s="17">
        <f t="shared" si="1081"/>
        <v>65.062647806544774</v>
      </c>
      <c r="CP239" s="17">
        <f t="shared" si="1082"/>
        <v>6.4061594552694459</v>
      </c>
      <c r="CQ239" s="17">
        <f t="shared" si="1083"/>
        <v>0</v>
      </c>
      <c r="CR239" s="17">
        <f t="shared" si="1084"/>
        <v>100</v>
      </c>
      <c r="CS239" s="17">
        <f t="shared" si="1085"/>
        <v>26.404773030064671</v>
      </c>
      <c r="CT239" s="17">
        <f t="shared" si="1086"/>
        <v>24</v>
      </c>
      <c r="CU239" s="17">
        <f t="shared" si="1087"/>
        <v>50</v>
      </c>
      <c r="CV239" s="17">
        <f t="shared" si="1088"/>
        <v>65.062647806544774</v>
      </c>
      <c r="CW239" s="17">
        <f t="shared" si="1089"/>
        <v>-38.657874776480099</v>
      </c>
      <c r="CX239" s="17">
        <f t="shared" si="1027"/>
        <v>-4417.7633280000009</v>
      </c>
      <c r="CY239" s="17">
        <f t="shared" si="1027"/>
        <v>-4417.7633280000009</v>
      </c>
      <c r="CZ239" s="17">
        <f t="shared" si="1090"/>
        <v>334.67904000000016</v>
      </c>
      <c r="DA239" s="17">
        <f t="shared" si="1091"/>
        <v>-1004.0371200000001</v>
      </c>
      <c r="DB239" s="17">
        <f t="shared" si="1092"/>
        <v>-26593.920000000002</v>
      </c>
      <c r="DC239" s="17">
        <f t="shared" si="1093"/>
        <v>3412</v>
      </c>
      <c r="DD239" s="17">
        <f t="shared" si="1094"/>
        <v>308.39020799999997</v>
      </c>
      <c r="DE239" s="17">
        <f t="shared" si="1095"/>
        <v>17496.000000000007</v>
      </c>
      <c r="DF239" s="17">
        <f t="shared" si="1096"/>
        <v>-3793.8145001472003</v>
      </c>
      <c r="DG239" s="17"/>
      <c r="DH239" s="17">
        <f t="shared" si="1097"/>
        <v>-10514.941939202587</v>
      </c>
      <c r="DI239" s="17">
        <f t="shared" si="1098"/>
        <v>-29573.274204007277</v>
      </c>
      <c r="DJ239" s="17">
        <f t="shared" si="1099"/>
        <v>-2137.5460389420814</v>
      </c>
      <c r="DK239" s="17">
        <f t="shared" si="1100"/>
        <v>3187.9959161894853</v>
      </c>
      <c r="DL239" s="17">
        <f t="shared" si="1101"/>
        <v>-14258.465700147197</v>
      </c>
      <c r="DM239" s="17">
        <f t="shared" si="1102"/>
        <v>-39037.766265962462</v>
      </c>
      <c r="DN239" s="17">
        <f t="shared" si="1103"/>
        <v>-53296.231966109655</v>
      </c>
    </row>
    <row r="240" spans="3:120" ht="18.600000000000001">
      <c r="C240" s="13">
        <f>IF(D240&lt;&gt;"",COUNTA($D$10:D240),"")</f>
        <v>198</v>
      </c>
      <c r="D240" s="14" t="s">
        <v>210</v>
      </c>
      <c r="E240" s="14">
        <v>2.1</v>
      </c>
      <c r="F240" s="14">
        <v>1.8</v>
      </c>
      <c r="G240" s="14">
        <v>2.4</v>
      </c>
      <c r="H240" s="14">
        <v>2</v>
      </c>
      <c r="I240" s="14">
        <v>1</v>
      </c>
      <c r="J240" s="14">
        <v>1.75</v>
      </c>
      <c r="K240" s="14">
        <v>3</v>
      </c>
      <c r="L240" s="15">
        <v>0.1</v>
      </c>
      <c r="M240" s="15">
        <v>0</v>
      </c>
      <c r="N240" s="14">
        <v>24</v>
      </c>
      <c r="O240" s="14">
        <v>50</v>
      </c>
      <c r="P240" s="13">
        <v>45</v>
      </c>
      <c r="Q240" s="13">
        <v>85</v>
      </c>
      <c r="R240" s="13" t="s">
        <v>17</v>
      </c>
      <c r="S240" s="13">
        <v>120</v>
      </c>
      <c r="T240" s="13">
        <v>0</v>
      </c>
      <c r="U240" s="13">
        <v>100</v>
      </c>
      <c r="V240" s="13" t="str">
        <f t="shared" si="1028"/>
        <v>ISO 6</v>
      </c>
      <c r="W240" s="13">
        <f t="shared" si="1029"/>
        <v>120</v>
      </c>
      <c r="X240" s="16">
        <f t="shared" si="1030"/>
        <v>40.672800000000002</v>
      </c>
      <c r="Y240" s="16">
        <f t="shared" si="1031"/>
        <v>320.17628159999998</v>
      </c>
      <c r="Z240" s="16">
        <f t="shared" si="1032"/>
        <v>640.35256319999996</v>
      </c>
      <c r="AA240" s="16">
        <f t="shared" si="1033"/>
        <v>64.035256320000002</v>
      </c>
      <c r="AB240" s="16">
        <f t="shared" si="1034"/>
        <v>0</v>
      </c>
      <c r="AC240" s="16">
        <f t="shared" si="1035"/>
        <v>5.8907382174303526</v>
      </c>
      <c r="AD240" s="16">
        <f t="shared" si="1104"/>
        <v>2175</v>
      </c>
      <c r="AE240" s="16">
        <f t="shared" si="1037"/>
        <v>2175</v>
      </c>
      <c r="AF240" s="16">
        <f t="shared" si="1038"/>
        <v>14</v>
      </c>
      <c r="AG240" s="16">
        <f t="shared" si="1039"/>
        <v>5.5</v>
      </c>
      <c r="AH240" s="838" t="s">
        <v>85</v>
      </c>
      <c r="AI240" s="17">
        <f t="shared" si="1040"/>
        <v>4.5</v>
      </c>
      <c r="AJ240" s="17">
        <f t="shared" si="1041"/>
        <v>5.5</v>
      </c>
      <c r="AK240" s="891"/>
      <c r="AL240" s="18"/>
      <c r="AM240" s="889"/>
      <c r="AN240" s="891"/>
      <c r="AO240" s="888"/>
      <c r="AP240" s="891"/>
      <c r="AQ240" s="891"/>
      <c r="AR240" s="889"/>
      <c r="AS240" s="888"/>
      <c r="AT240" s="888"/>
      <c r="AU240" s="890"/>
      <c r="AV240" s="888"/>
      <c r="AW240" s="888"/>
      <c r="AX240" s="888"/>
      <c r="AY240" s="887"/>
      <c r="AZ240" s="888"/>
      <c r="BA240" s="17">
        <f t="shared" si="1042"/>
        <v>14.399999999999991</v>
      </c>
      <c r="BB240" s="17">
        <f t="shared" si="1043"/>
        <v>37.799999999999997</v>
      </c>
      <c r="BC240" s="17">
        <f t="shared" si="1044"/>
        <v>32</v>
      </c>
      <c r="BD240" s="17">
        <f t="shared" si="1045"/>
        <v>85</v>
      </c>
      <c r="BE240" s="17">
        <f t="shared" si="1046"/>
        <v>180.86341983910182</v>
      </c>
      <c r="BF240" s="17">
        <f t="shared" si="1047"/>
        <v>24</v>
      </c>
      <c r="BG240" s="17">
        <f t="shared" si="1048"/>
        <v>50</v>
      </c>
      <c r="BH240" s="17">
        <f t="shared" si="1049"/>
        <v>65.062647806544774</v>
      </c>
      <c r="BI240" s="17">
        <f t="shared" si="1050"/>
        <v>115.80077203255705</v>
      </c>
      <c r="BJ240" s="17">
        <f t="shared" si="1051"/>
        <v>45</v>
      </c>
      <c r="BK240" s="17">
        <f t="shared" si="1052"/>
        <v>85</v>
      </c>
      <c r="BL240" s="17">
        <f t="shared" si="1053"/>
        <v>380.54120080897206</v>
      </c>
      <c r="BM240" s="17">
        <f t="shared" si="1054"/>
        <v>24</v>
      </c>
      <c r="BN240" s="17">
        <f t="shared" si="1055"/>
        <v>50</v>
      </c>
      <c r="BO240" s="17">
        <f t="shared" si="1056"/>
        <v>65.062647806544774</v>
      </c>
      <c r="BP240" s="17">
        <f t="shared" si="1057"/>
        <v>315.4785530024273</v>
      </c>
      <c r="BQ240" s="17">
        <f t="shared" si="1058"/>
        <v>3426.2766719999995</v>
      </c>
      <c r="BR240" s="17">
        <f t="shared" si="1059"/>
        <v>1305.2482559999992</v>
      </c>
      <c r="BS240" s="17">
        <f t="shared" si="1060"/>
        <v>263.55974399999985</v>
      </c>
      <c r="BT240" s="17">
        <f t="shared" si="1061"/>
        <v>691.84432800000002</v>
      </c>
      <c r="BU240" s="17">
        <f t="shared" si="1062"/>
        <v>23269.68</v>
      </c>
      <c r="BV240" s="17">
        <f t="shared" si="1063"/>
        <v>3412</v>
      </c>
      <c r="BW240" s="17">
        <f t="shared" si="1064"/>
        <v>242.85728880000002</v>
      </c>
      <c r="BX240" s="17">
        <f t="shared" si="1065"/>
        <v>17495.999999999989</v>
      </c>
      <c r="BY240" s="17">
        <f t="shared" si="1066"/>
        <v>2614.1753040076801</v>
      </c>
      <c r="BZ240" s="17"/>
      <c r="CA240" s="17">
        <f t="shared" si="1067"/>
        <v>85810.166416660228</v>
      </c>
      <c r="CB240" s="17">
        <f t="shared" si="1068"/>
        <v>241341.0930468569</v>
      </c>
      <c r="CC240" s="17">
        <f t="shared" si="1069"/>
        <v>13737.190003381735</v>
      </c>
      <c r="CD240" s="17">
        <f t="shared" si="1070"/>
        <v>123634.7100304356</v>
      </c>
      <c r="CE240" s="17">
        <f t="shared" si="1071"/>
        <v>50460.989264807671</v>
      </c>
      <c r="CF240" s="17">
        <f t="shared" si="1072"/>
        <v>464523.15949733445</v>
      </c>
      <c r="CG240" s="17">
        <f t="shared" si="1073"/>
        <v>514984.14876214211</v>
      </c>
      <c r="CH240" s="17">
        <f t="shared" si="1074"/>
        <v>14.400000000000006</v>
      </c>
      <c r="CI240" s="17">
        <f t="shared" si="1075"/>
        <v>-43.2</v>
      </c>
      <c r="CJ240" s="17">
        <f t="shared" si="1076"/>
        <v>16</v>
      </c>
      <c r="CK240" s="17">
        <f t="shared" si="1077"/>
        <v>90</v>
      </c>
      <c r="CL240" s="17">
        <f t="shared" si="1078"/>
        <v>71.46880726181422</v>
      </c>
      <c r="CM240" s="17">
        <f t="shared" si="1079"/>
        <v>24</v>
      </c>
      <c r="CN240" s="17">
        <f t="shared" si="1080"/>
        <v>50</v>
      </c>
      <c r="CO240" s="17">
        <f t="shared" si="1081"/>
        <v>65.062647806544774</v>
      </c>
      <c r="CP240" s="17">
        <f t="shared" si="1082"/>
        <v>6.4061594552694459</v>
      </c>
      <c r="CQ240" s="17">
        <f t="shared" si="1083"/>
        <v>0</v>
      </c>
      <c r="CR240" s="17">
        <f t="shared" si="1084"/>
        <v>100</v>
      </c>
      <c r="CS240" s="17">
        <f t="shared" si="1085"/>
        <v>26.404773030064671</v>
      </c>
      <c r="CT240" s="17">
        <f t="shared" si="1086"/>
        <v>24</v>
      </c>
      <c r="CU240" s="17">
        <f t="shared" si="1087"/>
        <v>50</v>
      </c>
      <c r="CV240" s="17">
        <f t="shared" si="1088"/>
        <v>65.062647806544774</v>
      </c>
      <c r="CW240" s="17">
        <f t="shared" si="1089"/>
        <v>-38.657874776480099</v>
      </c>
      <c r="CX240" s="17">
        <f t="shared" si="1027"/>
        <v>-3915.744768</v>
      </c>
      <c r="CY240" s="17">
        <f t="shared" si="1027"/>
        <v>-3915.744768</v>
      </c>
      <c r="CZ240" s="17">
        <f t="shared" si="1090"/>
        <v>263.55974400000014</v>
      </c>
      <c r="DA240" s="17">
        <f t="shared" si="1091"/>
        <v>-790.67923200000007</v>
      </c>
      <c r="DB240" s="17">
        <f t="shared" si="1092"/>
        <v>-26593.920000000002</v>
      </c>
      <c r="DC240" s="17">
        <f t="shared" si="1093"/>
        <v>3412</v>
      </c>
      <c r="DD240" s="17">
        <f t="shared" si="1094"/>
        <v>242.85728880000002</v>
      </c>
      <c r="DE240" s="17">
        <f t="shared" si="1095"/>
        <v>17496.000000000007</v>
      </c>
      <c r="DF240" s="17">
        <f t="shared" si="1096"/>
        <v>-2987.6289188659202</v>
      </c>
      <c r="DG240" s="17"/>
      <c r="DH240" s="17">
        <f t="shared" si="1097"/>
        <v>-10514.941939202587</v>
      </c>
      <c r="DI240" s="17">
        <f t="shared" si="1098"/>
        <v>-29573.274204007277</v>
      </c>
      <c r="DJ240" s="17">
        <f t="shared" si="1099"/>
        <v>-1683.3175056668888</v>
      </c>
      <c r="DK240" s="17">
        <f t="shared" si="1100"/>
        <v>2510.5467839992198</v>
      </c>
      <c r="DL240" s="17">
        <f t="shared" si="1101"/>
        <v>-12873.555886065915</v>
      </c>
      <c r="DM240" s="17">
        <f t="shared" si="1102"/>
        <v>-39260.986864877537</v>
      </c>
      <c r="DN240" s="17">
        <f t="shared" si="1103"/>
        <v>-52134.542750943452</v>
      </c>
    </row>
    <row r="241" spans="3:120" ht="18.600000000000001">
      <c r="C241" s="13">
        <f>IF(D241&lt;&gt;"",COUNTA($D$10:D241),"")</f>
        <v>199</v>
      </c>
      <c r="D241" s="14" t="s">
        <v>211</v>
      </c>
      <c r="E241" s="14">
        <v>1.8</v>
      </c>
      <c r="F241" s="14">
        <v>1.9</v>
      </c>
      <c r="G241" s="14">
        <v>2.4</v>
      </c>
      <c r="H241" s="14">
        <v>2</v>
      </c>
      <c r="I241" s="14">
        <v>1</v>
      </c>
      <c r="J241" s="14">
        <v>1.75</v>
      </c>
      <c r="K241" s="14">
        <v>3</v>
      </c>
      <c r="L241" s="15">
        <v>0.1</v>
      </c>
      <c r="M241" s="15">
        <v>0</v>
      </c>
      <c r="N241" s="14">
        <v>24</v>
      </c>
      <c r="O241" s="14">
        <v>50</v>
      </c>
      <c r="P241" s="13">
        <v>45</v>
      </c>
      <c r="Q241" s="13">
        <v>85</v>
      </c>
      <c r="R241" s="13" t="s">
        <v>17</v>
      </c>
      <c r="S241" s="13">
        <v>120</v>
      </c>
      <c r="T241" s="13">
        <v>0</v>
      </c>
      <c r="U241" s="13">
        <v>100</v>
      </c>
      <c r="V241" s="13" t="str">
        <f t="shared" si="1028"/>
        <v>ISO 6</v>
      </c>
      <c r="W241" s="13">
        <f t="shared" si="1029"/>
        <v>120</v>
      </c>
      <c r="X241" s="16">
        <f t="shared" si="1030"/>
        <v>36.799199999999999</v>
      </c>
      <c r="Y241" s="16">
        <f t="shared" si="1031"/>
        <v>289.68330239999995</v>
      </c>
      <c r="Z241" s="16">
        <f t="shared" si="1032"/>
        <v>579.36660479999989</v>
      </c>
      <c r="AA241" s="16">
        <f t="shared" si="1033"/>
        <v>57.936660479999993</v>
      </c>
      <c r="AB241" s="16">
        <f t="shared" si="1034"/>
        <v>0</v>
      </c>
      <c r="AC241" s="16">
        <f t="shared" si="1035"/>
        <v>5.3297155300560322</v>
      </c>
      <c r="AD241" s="16">
        <f t="shared" si="1104"/>
        <v>2125</v>
      </c>
      <c r="AE241" s="16">
        <f t="shared" si="1037"/>
        <v>2125</v>
      </c>
      <c r="AF241" s="16">
        <f t="shared" si="1038"/>
        <v>14</v>
      </c>
      <c r="AG241" s="16">
        <f t="shared" si="1039"/>
        <v>5.5</v>
      </c>
      <c r="AH241" s="838" t="s">
        <v>85</v>
      </c>
      <c r="AI241" s="17">
        <f t="shared" si="1040"/>
        <v>4.5</v>
      </c>
      <c r="AJ241" s="17">
        <f t="shared" si="1041"/>
        <v>5.5</v>
      </c>
      <c r="AK241" s="891"/>
      <c r="AL241" s="18"/>
      <c r="AM241" s="889"/>
      <c r="AN241" s="891"/>
      <c r="AO241" s="888"/>
      <c r="AP241" s="891"/>
      <c r="AQ241" s="891"/>
      <c r="AR241" s="889"/>
      <c r="AS241" s="888"/>
      <c r="AT241" s="888"/>
      <c r="AU241" s="890"/>
      <c r="AV241" s="888"/>
      <c r="AW241" s="888"/>
      <c r="AX241" s="888"/>
      <c r="AY241" s="887"/>
      <c r="AZ241" s="888"/>
      <c r="BA241" s="17">
        <f t="shared" si="1042"/>
        <v>14.399999999999991</v>
      </c>
      <c r="BB241" s="17">
        <f t="shared" si="1043"/>
        <v>37.799999999999997</v>
      </c>
      <c r="BC241" s="17">
        <f t="shared" si="1044"/>
        <v>32</v>
      </c>
      <c r="BD241" s="17">
        <f t="shared" si="1045"/>
        <v>85</v>
      </c>
      <c r="BE241" s="17">
        <f t="shared" si="1046"/>
        <v>180.86341983910182</v>
      </c>
      <c r="BF241" s="17">
        <f t="shared" si="1047"/>
        <v>24</v>
      </c>
      <c r="BG241" s="17">
        <f t="shared" si="1048"/>
        <v>50</v>
      </c>
      <c r="BH241" s="17">
        <f t="shared" si="1049"/>
        <v>65.062647806544774</v>
      </c>
      <c r="BI241" s="17">
        <f t="shared" si="1050"/>
        <v>115.80077203255705</v>
      </c>
      <c r="BJ241" s="17">
        <f t="shared" si="1051"/>
        <v>45</v>
      </c>
      <c r="BK241" s="17">
        <f t="shared" si="1052"/>
        <v>85</v>
      </c>
      <c r="BL241" s="17">
        <f t="shared" si="1053"/>
        <v>380.54120080897206</v>
      </c>
      <c r="BM241" s="17">
        <f t="shared" si="1054"/>
        <v>24</v>
      </c>
      <c r="BN241" s="17">
        <f t="shared" si="1055"/>
        <v>50</v>
      </c>
      <c r="BO241" s="17">
        <f t="shared" si="1056"/>
        <v>65.062647806544774</v>
      </c>
      <c r="BP241" s="17">
        <f t="shared" si="1057"/>
        <v>315.4785530024273</v>
      </c>
      <c r="BQ241" s="17">
        <f t="shared" si="1058"/>
        <v>3250.5701760000002</v>
      </c>
      <c r="BR241" s="17">
        <f t="shared" si="1059"/>
        <v>1238.3124479999992</v>
      </c>
      <c r="BS241" s="17">
        <f t="shared" si="1060"/>
        <v>238.45881599999987</v>
      </c>
      <c r="BT241" s="17">
        <f t="shared" si="1061"/>
        <v>625.95439199999998</v>
      </c>
      <c r="BU241" s="17">
        <f t="shared" si="1062"/>
        <v>23269.68</v>
      </c>
      <c r="BV241" s="17">
        <f t="shared" si="1063"/>
        <v>3412</v>
      </c>
      <c r="BW241" s="17">
        <f t="shared" si="1064"/>
        <v>219.7280232</v>
      </c>
      <c r="BX241" s="17">
        <f t="shared" si="1065"/>
        <v>17495.999999999989</v>
      </c>
      <c r="BY241" s="17">
        <f t="shared" si="1066"/>
        <v>2365.2062274355198</v>
      </c>
      <c r="BZ241" s="17"/>
      <c r="CA241" s="17">
        <f t="shared" si="1067"/>
        <v>85810.166416660228</v>
      </c>
      <c r="CB241" s="17">
        <f t="shared" si="1068"/>
        <v>241341.0930468569</v>
      </c>
      <c r="CC241" s="17">
        <f t="shared" si="1069"/>
        <v>12428.886193535853</v>
      </c>
      <c r="CD241" s="17">
        <f t="shared" si="1070"/>
        <v>111859.97574182268</v>
      </c>
      <c r="CE241" s="17">
        <f t="shared" si="1071"/>
        <v>50013.184426635511</v>
      </c>
      <c r="CF241" s="17">
        <f t="shared" si="1072"/>
        <v>451440.12139887566</v>
      </c>
      <c r="CG241" s="17">
        <f t="shared" si="1073"/>
        <v>501453.30582551117</v>
      </c>
      <c r="CH241" s="17">
        <f t="shared" si="1074"/>
        <v>14.400000000000006</v>
      </c>
      <c r="CI241" s="17">
        <f t="shared" si="1075"/>
        <v>-43.2</v>
      </c>
      <c r="CJ241" s="17">
        <f t="shared" si="1076"/>
        <v>16</v>
      </c>
      <c r="CK241" s="17">
        <f t="shared" si="1077"/>
        <v>90</v>
      </c>
      <c r="CL241" s="17">
        <f t="shared" si="1078"/>
        <v>71.46880726181422</v>
      </c>
      <c r="CM241" s="17">
        <f t="shared" si="1079"/>
        <v>24</v>
      </c>
      <c r="CN241" s="17">
        <f t="shared" si="1080"/>
        <v>50</v>
      </c>
      <c r="CO241" s="17">
        <f t="shared" si="1081"/>
        <v>65.062647806544774</v>
      </c>
      <c r="CP241" s="17">
        <f t="shared" si="1082"/>
        <v>6.4061594552694459</v>
      </c>
      <c r="CQ241" s="17">
        <f t="shared" si="1083"/>
        <v>0</v>
      </c>
      <c r="CR241" s="17">
        <f t="shared" si="1084"/>
        <v>100</v>
      </c>
      <c r="CS241" s="17">
        <f t="shared" si="1085"/>
        <v>26.404773030064671</v>
      </c>
      <c r="CT241" s="17">
        <f t="shared" si="1086"/>
        <v>24</v>
      </c>
      <c r="CU241" s="17">
        <f t="shared" si="1087"/>
        <v>50</v>
      </c>
      <c r="CV241" s="17">
        <f t="shared" si="1088"/>
        <v>65.062647806544774</v>
      </c>
      <c r="CW241" s="17">
        <f t="shared" si="1089"/>
        <v>-38.657874776480099</v>
      </c>
      <c r="CX241" s="17">
        <f t="shared" si="1027"/>
        <v>-3714.9373440000004</v>
      </c>
      <c r="CY241" s="17">
        <f t="shared" si="1027"/>
        <v>-3714.9373440000004</v>
      </c>
      <c r="CZ241" s="17">
        <f t="shared" si="1090"/>
        <v>238.45881600000007</v>
      </c>
      <c r="DA241" s="17">
        <f t="shared" si="1091"/>
        <v>-715.3764480000001</v>
      </c>
      <c r="DB241" s="17">
        <f t="shared" si="1092"/>
        <v>-26593.920000000002</v>
      </c>
      <c r="DC241" s="17">
        <f t="shared" si="1093"/>
        <v>3412</v>
      </c>
      <c r="DD241" s="17">
        <f t="shared" si="1094"/>
        <v>219.7280232</v>
      </c>
      <c r="DE241" s="17">
        <f t="shared" si="1095"/>
        <v>17496.000000000007</v>
      </c>
      <c r="DF241" s="17">
        <f t="shared" si="1096"/>
        <v>-2703.0928313548802</v>
      </c>
      <c r="DG241" s="17"/>
      <c r="DH241" s="17">
        <f t="shared" si="1097"/>
        <v>-10514.941939202587</v>
      </c>
      <c r="DI241" s="17">
        <f t="shared" si="1098"/>
        <v>-29573.274204007277</v>
      </c>
      <c r="DJ241" s="17">
        <f t="shared" si="1099"/>
        <v>-1523.0015527462326</v>
      </c>
      <c r="DK241" s="17">
        <f t="shared" si="1100"/>
        <v>2271.447090285008</v>
      </c>
      <c r="DL241" s="17">
        <f t="shared" si="1101"/>
        <v>-12361.139784154871</v>
      </c>
      <c r="DM241" s="17">
        <f t="shared" si="1102"/>
        <v>-39339.770605671089</v>
      </c>
      <c r="DN241" s="17">
        <f t="shared" si="1103"/>
        <v>-51700.910389825964</v>
      </c>
    </row>
    <row r="242" spans="3:120" ht="18.600000000000001">
      <c r="C242" s="13">
        <f>IF(D242&lt;&gt;"",COUNTA($D$10:D242),"")</f>
        <v>200</v>
      </c>
      <c r="D242" s="14" t="s">
        <v>212</v>
      </c>
      <c r="E242" s="14">
        <v>1.9</v>
      </c>
      <c r="F242" s="14">
        <v>2</v>
      </c>
      <c r="G242" s="14">
        <v>2.4</v>
      </c>
      <c r="H242" s="14">
        <v>2</v>
      </c>
      <c r="I242" s="14">
        <v>1</v>
      </c>
      <c r="J242" s="14">
        <v>1.75</v>
      </c>
      <c r="K242" s="14">
        <v>3</v>
      </c>
      <c r="L242" s="15">
        <v>0.1</v>
      </c>
      <c r="M242" s="15">
        <v>0</v>
      </c>
      <c r="N242" s="14">
        <v>24</v>
      </c>
      <c r="O242" s="14">
        <v>50</v>
      </c>
      <c r="P242" s="13">
        <v>45</v>
      </c>
      <c r="Q242" s="13">
        <v>85</v>
      </c>
      <c r="R242" s="13" t="s">
        <v>17</v>
      </c>
      <c r="S242" s="13">
        <v>120</v>
      </c>
      <c r="T242" s="13">
        <v>0</v>
      </c>
      <c r="U242" s="13">
        <v>100</v>
      </c>
      <c r="V242" s="13" t="str">
        <f t="shared" si="1028"/>
        <v>ISO 6</v>
      </c>
      <c r="W242" s="13">
        <f t="shared" si="1029"/>
        <v>120</v>
      </c>
      <c r="X242" s="16">
        <f t="shared" si="1030"/>
        <v>40.887999999999998</v>
      </c>
      <c r="Y242" s="16">
        <f t="shared" si="1031"/>
        <v>321.87033599999995</v>
      </c>
      <c r="Z242" s="16">
        <f t="shared" si="1032"/>
        <v>643.7406719999999</v>
      </c>
      <c r="AA242" s="16">
        <f t="shared" si="1033"/>
        <v>64.374067199999999</v>
      </c>
      <c r="AB242" s="16">
        <f t="shared" si="1034"/>
        <v>0</v>
      </c>
      <c r="AC242" s="16">
        <f t="shared" si="1035"/>
        <v>5.9219061445067043</v>
      </c>
      <c r="AD242" s="16">
        <f t="shared" si="1104"/>
        <v>2175</v>
      </c>
      <c r="AE242" s="16">
        <f t="shared" si="1037"/>
        <v>2175</v>
      </c>
      <c r="AF242" s="16">
        <f t="shared" si="1038"/>
        <v>14</v>
      </c>
      <c r="AG242" s="16">
        <f t="shared" si="1039"/>
        <v>5.5</v>
      </c>
      <c r="AH242" s="838" t="s">
        <v>85</v>
      </c>
      <c r="AI242" s="17">
        <f t="shared" si="1040"/>
        <v>4.5</v>
      </c>
      <c r="AJ242" s="17">
        <f t="shared" si="1041"/>
        <v>5.5</v>
      </c>
      <c r="AK242" s="891"/>
      <c r="AL242" s="18"/>
      <c r="AM242" s="889"/>
      <c r="AN242" s="891"/>
      <c r="AO242" s="888"/>
      <c r="AP242" s="891"/>
      <c r="AQ242" s="891"/>
      <c r="AR242" s="889"/>
      <c r="AS242" s="888"/>
      <c r="AT242" s="888"/>
      <c r="AU242" s="890"/>
      <c r="AV242" s="888"/>
      <c r="AW242" s="888"/>
      <c r="AX242" s="888"/>
      <c r="AY242" s="887"/>
      <c r="AZ242" s="888"/>
      <c r="BA242" s="17">
        <f t="shared" si="1042"/>
        <v>14.399999999999991</v>
      </c>
      <c r="BB242" s="17">
        <f t="shared" si="1043"/>
        <v>37.799999999999997</v>
      </c>
      <c r="BC242" s="17">
        <f t="shared" si="1044"/>
        <v>32</v>
      </c>
      <c r="BD242" s="17">
        <f t="shared" si="1045"/>
        <v>85</v>
      </c>
      <c r="BE242" s="17">
        <f t="shared" si="1046"/>
        <v>180.86341983910182</v>
      </c>
      <c r="BF242" s="17">
        <f t="shared" si="1047"/>
        <v>24</v>
      </c>
      <c r="BG242" s="17">
        <f t="shared" si="1048"/>
        <v>50</v>
      </c>
      <c r="BH242" s="17">
        <f t="shared" si="1049"/>
        <v>65.062647806544774</v>
      </c>
      <c r="BI242" s="17">
        <f t="shared" si="1050"/>
        <v>115.80077203255705</v>
      </c>
      <c r="BJ242" s="17">
        <f t="shared" si="1051"/>
        <v>45</v>
      </c>
      <c r="BK242" s="17">
        <f t="shared" si="1052"/>
        <v>85</v>
      </c>
      <c r="BL242" s="17">
        <f t="shared" si="1053"/>
        <v>380.54120080897206</v>
      </c>
      <c r="BM242" s="17">
        <f t="shared" si="1054"/>
        <v>24</v>
      </c>
      <c r="BN242" s="17">
        <f t="shared" si="1055"/>
        <v>50</v>
      </c>
      <c r="BO242" s="17">
        <f t="shared" si="1056"/>
        <v>65.062647806544774</v>
      </c>
      <c r="BP242" s="17">
        <f t="shared" si="1057"/>
        <v>315.4785530024273</v>
      </c>
      <c r="BQ242" s="17">
        <f t="shared" si="1058"/>
        <v>3426.2766719999991</v>
      </c>
      <c r="BR242" s="17">
        <f t="shared" si="1059"/>
        <v>1305.2482559999989</v>
      </c>
      <c r="BS242" s="17">
        <f t="shared" si="1060"/>
        <v>264.95423999999986</v>
      </c>
      <c r="BT242" s="17">
        <f t="shared" si="1061"/>
        <v>695.50487999999984</v>
      </c>
      <c r="BU242" s="17">
        <f t="shared" si="1062"/>
        <v>23269.68</v>
      </c>
      <c r="BV242" s="17">
        <f t="shared" si="1063"/>
        <v>3412</v>
      </c>
      <c r="BW242" s="17">
        <f t="shared" si="1064"/>
        <v>244.142248</v>
      </c>
      <c r="BX242" s="17">
        <f t="shared" si="1065"/>
        <v>17495.999999999989</v>
      </c>
      <c r="BY242" s="17">
        <f t="shared" si="1066"/>
        <v>2628.0069193727995</v>
      </c>
      <c r="BZ242" s="17"/>
      <c r="CA242" s="17">
        <f t="shared" si="1067"/>
        <v>85810.166416660228</v>
      </c>
      <c r="CB242" s="17">
        <f t="shared" si="1068"/>
        <v>241341.0930468569</v>
      </c>
      <c r="CC242" s="17">
        <f t="shared" si="1069"/>
        <v>13809.873548373173</v>
      </c>
      <c r="CD242" s="17">
        <f t="shared" si="1070"/>
        <v>124288.86193535852</v>
      </c>
      <c r="CE242" s="17">
        <f t="shared" si="1071"/>
        <v>50476.105839372787</v>
      </c>
      <c r="CF242" s="17">
        <f t="shared" si="1072"/>
        <v>465249.99494724884</v>
      </c>
      <c r="CG242" s="17">
        <f t="shared" si="1073"/>
        <v>515726.10078662162</v>
      </c>
      <c r="CH242" s="17">
        <f t="shared" si="1074"/>
        <v>14.400000000000006</v>
      </c>
      <c r="CI242" s="17">
        <f t="shared" si="1075"/>
        <v>-43.2</v>
      </c>
      <c r="CJ242" s="17">
        <f t="shared" si="1076"/>
        <v>16</v>
      </c>
      <c r="CK242" s="17">
        <f t="shared" si="1077"/>
        <v>90</v>
      </c>
      <c r="CL242" s="17">
        <f t="shared" si="1078"/>
        <v>71.46880726181422</v>
      </c>
      <c r="CM242" s="17">
        <f t="shared" si="1079"/>
        <v>24</v>
      </c>
      <c r="CN242" s="17">
        <f t="shared" si="1080"/>
        <v>50</v>
      </c>
      <c r="CO242" s="17">
        <f t="shared" si="1081"/>
        <v>65.062647806544774</v>
      </c>
      <c r="CP242" s="17">
        <f t="shared" si="1082"/>
        <v>6.4061594552694459</v>
      </c>
      <c r="CQ242" s="17">
        <f t="shared" si="1083"/>
        <v>0</v>
      </c>
      <c r="CR242" s="17">
        <f t="shared" si="1084"/>
        <v>100</v>
      </c>
      <c r="CS242" s="17">
        <f t="shared" si="1085"/>
        <v>26.404773030064671</v>
      </c>
      <c r="CT242" s="17">
        <f t="shared" si="1086"/>
        <v>24</v>
      </c>
      <c r="CU242" s="17">
        <f t="shared" si="1087"/>
        <v>50</v>
      </c>
      <c r="CV242" s="17">
        <f t="shared" si="1088"/>
        <v>65.062647806544774</v>
      </c>
      <c r="CW242" s="17">
        <f t="shared" si="1089"/>
        <v>-38.657874776480099</v>
      </c>
      <c r="CX242" s="17">
        <f t="shared" si="1027"/>
        <v>-3915.744768</v>
      </c>
      <c r="CY242" s="17">
        <f t="shared" si="1027"/>
        <v>-3915.744768</v>
      </c>
      <c r="CZ242" s="17">
        <f t="shared" si="1090"/>
        <v>264.95424000000008</v>
      </c>
      <c r="DA242" s="17">
        <f t="shared" si="1091"/>
        <v>-794.86271999999997</v>
      </c>
      <c r="DB242" s="17">
        <f t="shared" si="1092"/>
        <v>-26593.920000000002</v>
      </c>
      <c r="DC242" s="17">
        <f t="shared" si="1093"/>
        <v>3412</v>
      </c>
      <c r="DD242" s="17">
        <f t="shared" si="1094"/>
        <v>244.142248</v>
      </c>
      <c r="DE242" s="17">
        <f t="shared" si="1095"/>
        <v>17496.000000000007</v>
      </c>
      <c r="DF242" s="17">
        <f t="shared" si="1096"/>
        <v>-3003.4364792832002</v>
      </c>
      <c r="DG242" s="17"/>
      <c r="DH242" s="17">
        <f t="shared" si="1097"/>
        <v>-10514.941939202587</v>
      </c>
      <c r="DI242" s="17">
        <f t="shared" si="1098"/>
        <v>-29573.274204007277</v>
      </c>
      <c r="DJ242" s="17">
        <f t="shared" si="1099"/>
        <v>-1692.2239474958142</v>
      </c>
      <c r="DK242" s="17">
        <f t="shared" si="1100"/>
        <v>2523.8301003166753</v>
      </c>
      <c r="DL242" s="17">
        <f t="shared" si="1101"/>
        <v>-12890.867479283193</v>
      </c>
      <c r="DM242" s="17">
        <f t="shared" si="1102"/>
        <v>-39256.609990388999</v>
      </c>
      <c r="DN242" s="17">
        <f t="shared" si="1103"/>
        <v>-52147.477469672194</v>
      </c>
    </row>
    <row r="243" spans="3:120" ht="18.600000000000001">
      <c r="C243" s="13">
        <f>IF(D243&lt;&gt;"",COUNTA($D$10:D243),"")</f>
        <v>201</v>
      </c>
      <c r="D243" s="14" t="s">
        <v>213</v>
      </c>
      <c r="E243" s="14">
        <v>2.2999999999999998</v>
      </c>
      <c r="F243" s="14">
        <v>2.2000000000000002</v>
      </c>
      <c r="G243" s="14">
        <v>2.4</v>
      </c>
      <c r="H243" s="14">
        <v>2</v>
      </c>
      <c r="I243" s="14">
        <v>1</v>
      </c>
      <c r="J243" s="14">
        <v>1.75</v>
      </c>
      <c r="K243" s="14">
        <v>3</v>
      </c>
      <c r="L243" s="15">
        <v>0.1</v>
      </c>
      <c r="M243" s="15">
        <v>0</v>
      </c>
      <c r="N243" s="14">
        <v>24</v>
      </c>
      <c r="O243" s="14">
        <v>50</v>
      </c>
      <c r="P243" s="13">
        <v>45</v>
      </c>
      <c r="Q243" s="13">
        <v>85</v>
      </c>
      <c r="R243" s="13" t="s">
        <v>17</v>
      </c>
      <c r="S243" s="13">
        <v>120</v>
      </c>
      <c r="T243" s="13">
        <v>0</v>
      </c>
      <c r="U243" s="13">
        <v>100</v>
      </c>
      <c r="V243" s="13" t="str">
        <f t="shared" si="1028"/>
        <v>ISO 6</v>
      </c>
      <c r="W243" s="13">
        <f t="shared" si="1029"/>
        <v>120</v>
      </c>
      <c r="X243" s="16">
        <f t="shared" si="1030"/>
        <v>54.445599999999992</v>
      </c>
      <c r="Y243" s="16">
        <f t="shared" si="1031"/>
        <v>428.59576319999991</v>
      </c>
      <c r="Z243" s="16">
        <f t="shared" si="1032"/>
        <v>857.19152639999982</v>
      </c>
      <c r="AA243" s="16">
        <f t="shared" si="1033"/>
        <v>85.71915263999999</v>
      </c>
      <c r="AB243" s="16">
        <f t="shared" si="1034"/>
        <v>0</v>
      </c>
      <c r="AC243" s="16">
        <f t="shared" si="1035"/>
        <v>7.8854855503168197</v>
      </c>
      <c r="AD243" s="16">
        <f t="shared" si="1104"/>
        <v>2400</v>
      </c>
      <c r="AE243" s="16">
        <f t="shared" si="1037"/>
        <v>2400</v>
      </c>
      <c r="AF243" s="16">
        <f t="shared" si="1038"/>
        <v>14</v>
      </c>
      <c r="AG243" s="16">
        <f t="shared" si="1039"/>
        <v>6</v>
      </c>
      <c r="AH243" s="838" t="s">
        <v>85</v>
      </c>
      <c r="AI243" s="17">
        <f t="shared" si="1040"/>
        <v>4.5</v>
      </c>
      <c r="AJ243" s="17">
        <f t="shared" si="1041"/>
        <v>6</v>
      </c>
      <c r="AK243" s="891"/>
      <c r="AL243" s="18"/>
      <c r="AM243" s="889"/>
      <c r="AN243" s="891"/>
      <c r="AO243" s="888"/>
      <c r="AP243" s="891"/>
      <c r="AQ243" s="891"/>
      <c r="AR243" s="889"/>
      <c r="AS243" s="888"/>
      <c r="AT243" s="888"/>
      <c r="AU243" s="890"/>
      <c r="AV243" s="888"/>
      <c r="AW243" s="888"/>
      <c r="AX243" s="888"/>
      <c r="AY243" s="887"/>
      <c r="AZ243" s="888"/>
      <c r="BA243" s="17">
        <f t="shared" si="1042"/>
        <v>14.399999999999991</v>
      </c>
      <c r="BB243" s="17">
        <f t="shared" si="1043"/>
        <v>37.799999999999997</v>
      </c>
      <c r="BC243" s="17">
        <f t="shared" si="1044"/>
        <v>32</v>
      </c>
      <c r="BD243" s="17">
        <f t="shared" si="1045"/>
        <v>85</v>
      </c>
      <c r="BE243" s="17">
        <f t="shared" si="1046"/>
        <v>180.86341983910182</v>
      </c>
      <c r="BF243" s="17">
        <f t="shared" si="1047"/>
        <v>24</v>
      </c>
      <c r="BG243" s="17">
        <f t="shared" si="1048"/>
        <v>50</v>
      </c>
      <c r="BH243" s="17">
        <f t="shared" si="1049"/>
        <v>65.062647806544774</v>
      </c>
      <c r="BI243" s="17">
        <f t="shared" si="1050"/>
        <v>115.80077203255705</v>
      </c>
      <c r="BJ243" s="17">
        <f t="shared" si="1051"/>
        <v>45</v>
      </c>
      <c r="BK243" s="17">
        <f t="shared" si="1052"/>
        <v>85</v>
      </c>
      <c r="BL243" s="17">
        <f t="shared" si="1053"/>
        <v>380.54120080897206</v>
      </c>
      <c r="BM243" s="17">
        <f t="shared" si="1054"/>
        <v>24</v>
      </c>
      <c r="BN243" s="17">
        <f t="shared" si="1055"/>
        <v>50</v>
      </c>
      <c r="BO243" s="17">
        <f t="shared" si="1056"/>
        <v>65.062647806544774</v>
      </c>
      <c r="BP243" s="17">
        <f t="shared" si="1057"/>
        <v>315.4785530024273</v>
      </c>
      <c r="BQ243" s="17">
        <f t="shared" si="1058"/>
        <v>3953.3961599999993</v>
      </c>
      <c r="BR243" s="17">
        <f t="shared" si="1059"/>
        <v>1506.0556799999993</v>
      </c>
      <c r="BS243" s="17">
        <f t="shared" si="1060"/>
        <v>352.80748799999975</v>
      </c>
      <c r="BT243" s="17">
        <f t="shared" si="1061"/>
        <v>926.11965599999974</v>
      </c>
      <c r="BU243" s="17">
        <f t="shared" si="1062"/>
        <v>23269.68</v>
      </c>
      <c r="BV243" s="17">
        <f t="shared" si="1063"/>
        <v>3412</v>
      </c>
      <c r="BW243" s="17">
        <f t="shared" si="1064"/>
        <v>325.0946775999999</v>
      </c>
      <c r="BX243" s="17">
        <f t="shared" si="1065"/>
        <v>17495.999999999989</v>
      </c>
      <c r="BY243" s="17">
        <f t="shared" si="1066"/>
        <v>3499.3986873753597</v>
      </c>
      <c r="BZ243" s="17"/>
      <c r="CA243" s="17">
        <f t="shared" si="1067"/>
        <v>85810.166416660228</v>
      </c>
      <c r="CB243" s="17">
        <f t="shared" si="1068"/>
        <v>241341.0930468569</v>
      </c>
      <c r="CC243" s="17">
        <f t="shared" si="1069"/>
        <v>18388.936882833746</v>
      </c>
      <c r="CD243" s="17">
        <f t="shared" si="1070"/>
        <v>165500.43194550375</v>
      </c>
      <c r="CE243" s="17">
        <f t="shared" si="1071"/>
        <v>51955.569524975348</v>
      </c>
      <c r="CF243" s="17">
        <f t="shared" si="1072"/>
        <v>511040.62829185458</v>
      </c>
      <c r="CG243" s="17">
        <f t="shared" si="1073"/>
        <v>562996.1978168299</v>
      </c>
      <c r="CH243" s="17">
        <f t="shared" si="1074"/>
        <v>14.400000000000006</v>
      </c>
      <c r="CI243" s="17">
        <f t="shared" si="1075"/>
        <v>-43.2</v>
      </c>
      <c r="CJ243" s="17">
        <f t="shared" si="1076"/>
        <v>16</v>
      </c>
      <c r="CK243" s="17">
        <f t="shared" si="1077"/>
        <v>90</v>
      </c>
      <c r="CL243" s="17">
        <f t="shared" si="1078"/>
        <v>71.46880726181422</v>
      </c>
      <c r="CM243" s="17">
        <f t="shared" si="1079"/>
        <v>24</v>
      </c>
      <c r="CN243" s="17">
        <f t="shared" si="1080"/>
        <v>50</v>
      </c>
      <c r="CO243" s="17">
        <f t="shared" si="1081"/>
        <v>65.062647806544774</v>
      </c>
      <c r="CP243" s="17">
        <f t="shared" si="1082"/>
        <v>6.4061594552694459</v>
      </c>
      <c r="CQ243" s="17">
        <f t="shared" si="1083"/>
        <v>0</v>
      </c>
      <c r="CR243" s="17">
        <f t="shared" si="1084"/>
        <v>100</v>
      </c>
      <c r="CS243" s="17">
        <f t="shared" si="1085"/>
        <v>26.404773030064671</v>
      </c>
      <c r="CT243" s="17">
        <f t="shared" si="1086"/>
        <v>24</v>
      </c>
      <c r="CU243" s="17">
        <f t="shared" si="1087"/>
        <v>50</v>
      </c>
      <c r="CV243" s="17">
        <f t="shared" si="1088"/>
        <v>65.062647806544774</v>
      </c>
      <c r="CW243" s="17">
        <f t="shared" si="1089"/>
        <v>-38.657874776480099</v>
      </c>
      <c r="CX243" s="17">
        <f t="shared" si="1027"/>
        <v>-4518.1670400000012</v>
      </c>
      <c r="CY243" s="17">
        <f t="shared" si="1027"/>
        <v>-4518.1670400000012</v>
      </c>
      <c r="CZ243" s="17">
        <f t="shared" si="1090"/>
        <v>352.80748800000009</v>
      </c>
      <c r="DA243" s="17">
        <f t="shared" si="1091"/>
        <v>-1058.422464</v>
      </c>
      <c r="DB243" s="17">
        <f t="shared" si="1092"/>
        <v>-26593.920000000002</v>
      </c>
      <c r="DC243" s="17">
        <f t="shared" si="1093"/>
        <v>3412</v>
      </c>
      <c r="DD243" s="17">
        <f t="shared" si="1094"/>
        <v>325.0946775999999</v>
      </c>
      <c r="DE243" s="17">
        <f t="shared" si="1095"/>
        <v>17496.000000000007</v>
      </c>
      <c r="DF243" s="17">
        <f t="shared" si="1096"/>
        <v>-3999.3127855718403</v>
      </c>
      <c r="DG243" s="17"/>
      <c r="DH243" s="17">
        <f t="shared" si="1097"/>
        <v>-10514.941939202587</v>
      </c>
      <c r="DI243" s="17">
        <f t="shared" si="1098"/>
        <v>-29573.274204007277</v>
      </c>
      <c r="DJ243" s="17">
        <f t="shared" si="1099"/>
        <v>-2253.32978271811</v>
      </c>
      <c r="DK243" s="17">
        <f t="shared" si="1100"/>
        <v>3360.6790283164155</v>
      </c>
      <c r="DL243" s="17">
        <f t="shared" si="1101"/>
        <v>-14583.920123971839</v>
      </c>
      <c r="DM243" s="17">
        <f t="shared" si="1102"/>
        <v>-38980.866897611559</v>
      </c>
      <c r="DN243" s="17">
        <f t="shared" si="1103"/>
        <v>-53564.787021583397</v>
      </c>
    </row>
    <row r="244" spans="3:120" ht="18.600000000000001">
      <c r="C244" s="13">
        <f>IF(D244&lt;&gt;"",COUNTA($D$10:D244),"")</f>
        <v>202</v>
      </c>
      <c r="D244" s="14" t="s">
        <v>214</v>
      </c>
      <c r="E244" s="14">
        <v>2.2000000000000002</v>
      </c>
      <c r="F244" s="14">
        <v>2.8</v>
      </c>
      <c r="G244" s="14">
        <v>2.4</v>
      </c>
      <c r="H244" s="14">
        <v>2</v>
      </c>
      <c r="I244" s="14">
        <v>1</v>
      </c>
      <c r="J244" s="14">
        <v>1.75</v>
      </c>
      <c r="K244" s="14">
        <v>3</v>
      </c>
      <c r="L244" s="15">
        <v>0.1</v>
      </c>
      <c r="M244" s="15">
        <v>0</v>
      </c>
      <c r="N244" s="14">
        <v>24</v>
      </c>
      <c r="O244" s="14">
        <v>50</v>
      </c>
      <c r="P244" s="13">
        <v>45</v>
      </c>
      <c r="Q244" s="13">
        <v>85</v>
      </c>
      <c r="R244" s="13" t="s">
        <v>17</v>
      </c>
      <c r="S244" s="13">
        <v>120</v>
      </c>
      <c r="T244" s="13">
        <v>0</v>
      </c>
      <c r="U244" s="13">
        <v>100</v>
      </c>
      <c r="V244" s="13" t="str">
        <f t="shared" si="1028"/>
        <v>ISO 6</v>
      </c>
      <c r="W244" s="13">
        <f t="shared" si="1029"/>
        <v>120</v>
      </c>
      <c r="X244" s="16">
        <f t="shared" si="1030"/>
        <v>66.281599999999997</v>
      </c>
      <c r="Y244" s="16">
        <f t="shared" si="1031"/>
        <v>521.76875519999999</v>
      </c>
      <c r="Z244" s="16">
        <f t="shared" si="1032"/>
        <v>1043.5375104</v>
      </c>
      <c r="AA244" s="16">
        <f t="shared" si="1033"/>
        <v>104.35375104000001</v>
      </c>
      <c r="AB244" s="16">
        <f t="shared" si="1034"/>
        <v>0</v>
      </c>
      <c r="AC244" s="16">
        <f t="shared" si="1035"/>
        <v>9.5997215395161284</v>
      </c>
      <c r="AD244" s="16">
        <f t="shared" si="1104"/>
        <v>2575</v>
      </c>
      <c r="AE244" s="16">
        <f t="shared" si="1037"/>
        <v>2575</v>
      </c>
      <c r="AF244" s="16">
        <f t="shared" si="1038"/>
        <v>16</v>
      </c>
      <c r="AG244" s="16">
        <f t="shared" si="1039"/>
        <v>6.5</v>
      </c>
      <c r="AH244" s="838" t="s">
        <v>85</v>
      </c>
      <c r="AI244" s="17">
        <f t="shared" si="1040"/>
        <v>4.5</v>
      </c>
      <c r="AJ244" s="17">
        <f t="shared" si="1041"/>
        <v>6.5</v>
      </c>
      <c r="AK244" s="891"/>
      <c r="AL244" s="18"/>
      <c r="AM244" s="889"/>
      <c r="AN244" s="891"/>
      <c r="AO244" s="888"/>
      <c r="AP244" s="891"/>
      <c r="AQ244" s="891"/>
      <c r="AR244" s="889"/>
      <c r="AS244" s="888"/>
      <c r="AT244" s="888"/>
      <c r="AU244" s="890"/>
      <c r="AV244" s="888"/>
      <c r="AW244" s="888"/>
      <c r="AX244" s="888"/>
      <c r="AY244" s="887"/>
      <c r="AZ244" s="888"/>
      <c r="BA244" s="17">
        <f t="shared" si="1042"/>
        <v>14.399999999999991</v>
      </c>
      <c r="BB244" s="17">
        <f t="shared" si="1043"/>
        <v>37.799999999999997</v>
      </c>
      <c r="BC244" s="17">
        <f t="shared" si="1044"/>
        <v>32</v>
      </c>
      <c r="BD244" s="17">
        <f t="shared" si="1045"/>
        <v>85</v>
      </c>
      <c r="BE244" s="17">
        <f t="shared" si="1046"/>
        <v>180.86341983910182</v>
      </c>
      <c r="BF244" s="17">
        <f t="shared" si="1047"/>
        <v>24</v>
      </c>
      <c r="BG244" s="17">
        <f t="shared" si="1048"/>
        <v>50</v>
      </c>
      <c r="BH244" s="17">
        <f t="shared" si="1049"/>
        <v>65.062647806544774</v>
      </c>
      <c r="BI244" s="17">
        <f t="shared" si="1050"/>
        <v>115.80077203255705</v>
      </c>
      <c r="BJ244" s="17">
        <f t="shared" si="1051"/>
        <v>45</v>
      </c>
      <c r="BK244" s="17">
        <f t="shared" si="1052"/>
        <v>85</v>
      </c>
      <c r="BL244" s="17">
        <f t="shared" si="1053"/>
        <v>380.54120080897206</v>
      </c>
      <c r="BM244" s="17">
        <f t="shared" si="1054"/>
        <v>24</v>
      </c>
      <c r="BN244" s="17">
        <f t="shared" si="1055"/>
        <v>50</v>
      </c>
      <c r="BO244" s="17">
        <f t="shared" si="1056"/>
        <v>65.062647806544774</v>
      </c>
      <c r="BP244" s="17">
        <f t="shared" si="1057"/>
        <v>315.4785530024273</v>
      </c>
      <c r="BQ244" s="17">
        <f t="shared" si="1058"/>
        <v>4392.6624000000002</v>
      </c>
      <c r="BR244" s="17">
        <f t="shared" si="1059"/>
        <v>1673.3951999999992</v>
      </c>
      <c r="BS244" s="17">
        <f t="shared" si="1060"/>
        <v>429.50476799999973</v>
      </c>
      <c r="BT244" s="17">
        <f t="shared" si="1061"/>
        <v>1127.4500159999998</v>
      </c>
      <c r="BU244" s="17">
        <f t="shared" si="1062"/>
        <v>23269.68</v>
      </c>
      <c r="BV244" s="17">
        <f t="shared" si="1063"/>
        <v>3412</v>
      </c>
      <c r="BW244" s="17">
        <f t="shared" si="1064"/>
        <v>395.76743359999995</v>
      </c>
      <c r="BX244" s="17">
        <f t="shared" si="1065"/>
        <v>17495.999999999989</v>
      </c>
      <c r="BY244" s="17">
        <f t="shared" si="1066"/>
        <v>4260.1375324569599</v>
      </c>
      <c r="BZ244" s="17"/>
      <c r="CA244" s="17">
        <f t="shared" si="1067"/>
        <v>85810.166416660228</v>
      </c>
      <c r="CB244" s="17">
        <f t="shared" si="1068"/>
        <v>241341.0930468569</v>
      </c>
      <c r="CC244" s="17">
        <f t="shared" si="1069"/>
        <v>22386.531857362828</v>
      </c>
      <c r="CD244" s="17">
        <f t="shared" si="1070"/>
        <v>201478.78671626543</v>
      </c>
      <c r="CE244" s="17">
        <f t="shared" si="1071"/>
        <v>53226.247366056945</v>
      </c>
      <c r="CF244" s="17">
        <f t="shared" si="1072"/>
        <v>551016.57803714531</v>
      </c>
      <c r="CG244" s="17">
        <f t="shared" si="1073"/>
        <v>604242.82540320221</v>
      </c>
      <c r="CH244" s="17">
        <f t="shared" si="1074"/>
        <v>14.400000000000006</v>
      </c>
      <c r="CI244" s="17">
        <f t="shared" si="1075"/>
        <v>-43.2</v>
      </c>
      <c r="CJ244" s="17">
        <f t="shared" si="1076"/>
        <v>16</v>
      </c>
      <c r="CK244" s="17">
        <f t="shared" si="1077"/>
        <v>90</v>
      </c>
      <c r="CL244" s="17">
        <f t="shared" si="1078"/>
        <v>71.46880726181422</v>
      </c>
      <c r="CM244" s="17">
        <f t="shared" si="1079"/>
        <v>24</v>
      </c>
      <c r="CN244" s="17">
        <f t="shared" si="1080"/>
        <v>50</v>
      </c>
      <c r="CO244" s="17">
        <f t="shared" si="1081"/>
        <v>65.062647806544774</v>
      </c>
      <c r="CP244" s="17">
        <f t="shared" si="1082"/>
        <v>6.4061594552694459</v>
      </c>
      <c r="CQ244" s="17">
        <f t="shared" si="1083"/>
        <v>0</v>
      </c>
      <c r="CR244" s="17">
        <f t="shared" si="1084"/>
        <v>100</v>
      </c>
      <c r="CS244" s="17">
        <f t="shared" si="1085"/>
        <v>26.404773030064671</v>
      </c>
      <c r="CT244" s="17">
        <f t="shared" si="1086"/>
        <v>24</v>
      </c>
      <c r="CU244" s="17">
        <f t="shared" si="1087"/>
        <v>50</v>
      </c>
      <c r="CV244" s="17">
        <f t="shared" si="1088"/>
        <v>65.062647806544774</v>
      </c>
      <c r="CW244" s="17">
        <f t="shared" si="1089"/>
        <v>-38.657874776480099</v>
      </c>
      <c r="CX244" s="17">
        <f t="shared" si="1027"/>
        <v>-5020.1856000000007</v>
      </c>
      <c r="CY244" s="17">
        <f t="shared" si="1027"/>
        <v>-5020.1856000000007</v>
      </c>
      <c r="CZ244" s="17">
        <f t="shared" si="1090"/>
        <v>429.50476800000018</v>
      </c>
      <c r="DA244" s="17">
        <f t="shared" si="1091"/>
        <v>-1288.514304</v>
      </c>
      <c r="DB244" s="17">
        <f t="shared" si="1092"/>
        <v>-26593.920000000002</v>
      </c>
      <c r="DC244" s="17">
        <f t="shared" si="1093"/>
        <v>3412</v>
      </c>
      <c r="DD244" s="17">
        <f t="shared" si="1094"/>
        <v>395.76743359999995</v>
      </c>
      <c r="DE244" s="17">
        <f t="shared" si="1095"/>
        <v>17496.000000000007</v>
      </c>
      <c r="DF244" s="17">
        <f t="shared" si="1096"/>
        <v>-4868.7286085222404</v>
      </c>
      <c r="DG244" s="17"/>
      <c r="DH244" s="17">
        <f t="shared" si="1097"/>
        <v>-10514.941939202587</v>
      </c>
      <c r="DI244" s="17">
        <f t="shared" si="1098"/>
        <v>-29573.274204007277</v>
      </c>
      <c r="DJ244" s="17">
        <f t="shared" si="1099"/>
        <v>-2743.1840833090046</v>
      </c>
      <c r="DK244" s="17">
        <f t="shared" si="1100"/>
        <v>4091.2614257765063</v>
      </c>
      <c r="DL244" s="17">
        <f t="shared" si="1101"/>
        <v>-16038.076310922239</v>
      </c>
      <c r="DM244" s="17">
        <f t="shared" si="1102"/>
        <v>-38740.138800742359</v>
      </c>
      <c r="DN244" s="17">
        <f t="shared" si="1103"/>
        <v>-54778.215111664598</v>
      </c>
    </row>
    <row r="245" spans="3:120" ht="18.600000000000001">
      <c r="C245" s="13">
        <f>IF(D245&lt;&gt;"",COUNTA($D$10:D245),"")</f>
        <v>203</v>
      </c>
      <c r="D245" s="14" t="s">
        <v>215</v>
      </c>
      <c r="E245" s="14">
        <v>2.8</v>
      </c>
      <c r="F245" s="14">
        <v>2.4</v>
      </c>
      <c r="G245" s="14">
        <v>2.4</v>
      </c>
      <c r="H245" s="14">
        <v>2</v>
      </c>
      <c r="I245" s="14">
        <v>1</v>
      </c>
      <c r="J245" s="14">
        <v>1.75</v>
      </c>
      <c r="K245" s="14">
        <v>3</v>
      </c>
      <c r="L245" s="15">
        <v>0.1</v>
      </c>
      <c r="M245" s="15">
        <v>0</v>
      </c>
      <c r="N245" s="14">
        <v>24</v>
      </c>
      <c r="O245" s="14">
        <v>50</v>
      </c>
      <c r="P245" s="13">
        <v>45</v>
      </c>
      <c r="Q245" s="13">
        <v>85</v>
      </c>
      <c r="R245" s="13" t="s">
        <v>17</v>
      </c>
      <c r="S245" s="13">
        <v>120</v>
      </c>
      <c r="T245" s="13">
        <v>0</v>
      </c>
      <c r="U245" s="13">
        <v>100</v>
      </c>
      <c r="V245" s="13" t="str">
        <f t="shared" si="1028"/>
        <v>ISO 6</v>
      </c>
      <c r="W245" s="13">
        <f t="shared" si="1029"/>
        <v>120</v>
      </c>
      <c r="X245" s="16">
        <f t="shared" si="1030"/>
        <v>72.307199999999995</v>
      </c>
      <c r="Y245" s="16">
        <f t="shared" si="1031"/>
        <v>569.20227839999995</v>
      </c>
      <c r="Z245" s="16">
        <f t="shared" si="1032"/>
        <v>1138.4045567999999</v>
      </c>
      <c r="AA245" s="16">
        <f t="shared" si="1033"/>
        <v>113.84045567999999</v>
      </c>
      <c r="AB245" s="16">
        <f t="shared" si="1034"/>
        <v>0</v>
      </c>
      <c r="AC245" s="16">
        <f t="shared" si="1035"/>
        <v>10.472423497653956</v>
      </c>
      <c r="AD245" s="16">
        <f t="shared" si="1104"/>
        <v>2675</v>
      </c>
      <c r="AE245" s="16">
        <f t="shared" si="1037"/>
        <v>2675</v>
      </c>
      <c r="AF245" s="16">
        <f t="shared" si="1038"/>
        <v>16</v>
      </c>
      <c r="AG245" s="16">
        <f t="shared" si="1039"/>
        <v>7</v>
      </c>
      <c r="AH245" s="838" t="s">
        <v>85</v>
      </c>
      <c r="AI245" s="17">
        <f t="shared" si="1040"/>
        <v>4.5</v>
      </c>
      <c r="AJ245" s="17">
        <f t="shared" si="1041"/>
        <v>7</v>
      </c>
      <c r="AK245" s="891"/>
      <c r="AL245" s="18"/>
      <c r="AM245" s="889"/>
      <c r="AN245" s="891"/>
      <c r="AO245" s="888"/>
      <c r="AP245" s="891"/>
      <c r="AQ245" s="891"/>
      <c r="AR245" s="889"/>
      <c r="AS245" s="888"/>
      <c r="AT245" s="888"/>
      <c r="AU245" s="890"/>
      <c r="AV245" s="888"/>
      <c r="AW245" s="888"/>
      <c r="AX245" s="888"/>
      <c r="AY245" s="887"/>
      <c r="AZ245" s="888"/>
      <c r="BA245" s="17">
        <f t="shared" si="1042"/>
        <v>14.399999999999991</v>
      </c>
      <c r="BB245" s="17">
        <f t="shared" si="1043"/>
        <v>37.799999999999997</v>
      </c>
      <c r="BC245" s="17">
        <f t="shared" si="1044"/>
        <v>32</v>
      </c>
      <c r="BD245" s="17">
        <f t="shared" si="1045"/>
        <v>85</v>
      </c>
      <c r="BE245" s="17">
        <f t="shared" si="1046"/>
        <v>180.86341983910182</v>
      </c>
      <c r="BF245" s="17">
        <f t="shared" si="1047"/>
        <v>24</v>
      </c>
      <c r="BG245" s="17">
        <f t="shared" si="1048"/>
        <v>50</v>
      </c>
      <c r="BH245" s="17">
        <f t="shared" si="1049"/>
        <v>65.062647806544774</v>
      </c>
      <c r="BI245" s="17">
        <f t="shared" si="1050"/>
        <v>115.80077203255705</v>
      </c>
      <c r="BJ245" s="17">
        <f t="shared" si="1051"/>
        <v>45</v>
      </c>
      <c r="BK245" s="17">
        <f t="shared" si="1052"/>
        <v>85</v>
      </c>
      <c r="BL245" s="17">
        <f t="shared" si="1053"/>
        <v>380.54120080897206</v>
      </c>
      <c r="BM245" s="17">
        <f t="shared" si="1054"/>
        <v>24</v>
      </c>
      <c r="BN245" s="17">
        <f t="shared" si="1055"/>
        <v>50</v>
      </c>
      <c r="BO245" s="17">
        <f t="shared" si="1056"/>
        <v>65.062647806544774</v>
      </c>
      <c r="BP245" s="17">
        <f t="shared" si="1057"/>
        <v>315.4785530024273</v>
      </c>
      <c r="BQ245" s="17">
        <f t="shared" si="1058"/>
        <v>4568.368895999999</v>
      </c>
      <c r="BR245" s="17">
        <f t="shared" si="1059"/>
        <v>1740.331007999999</v>
      </c>
      <c r="BS245" s="17">
        <f t="shared" si="1060"/>
        <v>468.55065599999972</v>
      </c>
      <c r="BT245" s="17">
        <f t="shared" si="1061"/>
        <v>1229.9454719999999</v>
      </c>
      <c r="BU245" s="17">
        <f t="shared" si="1062"/>
        <v>23269.68</v>
      </c>
      <c r="BV245" s="17">
        <f t="shared" si="1063"/>
        <v>3412</v>
      </c>
      <c r="BW245" s="17">
        <f t="shared" si="1064"/>
        <v>431.74629119999997</v>
      </c>
      <c r="BX245" s="17">
        <f t="shared" si="1065"/>
        <v>17495.999999999989</v>
      </c>
      <c r="BY245" s="17">
        <f t="shared" si="1066"/>
        <v>4647.4227626803195</v>
      </c>
      <c r="BZ245" s="17"/>
      <c r="CA245" s="17">
        <f t="shared" si="1067"/>
        <v>85810.166416660228</v>
      </c>
      <c r="CB245" s="17">
        <f t="shared" si="1068"/>
        <v>241341.0930468569</v>
      </c>
      <c r="CC245" s="17">
        <f t="shared" si="1069"/>
        <v>24421.671117123082</v>
      </c>
      <c r="CD245" s="17">
        <f t="shared" si="1070"/>
        <v>219795.04005410775</v>
      </c>
      <c r="CE245" s="17">
        <f t="shared" si="1071"/>
        <v>53825.217949880309</v>
      </c>
      <c r="CF245" s="17">
        <f t="shared" si="1072"/>
        <v>571367.970634748</v>
      </c>
      <c r="CG245" s="17">
        <f t="shared" si="1073"/>
        <v>625193.18858462828</v>
      </c>
      <c r="CH245" s="17">
        <f t="shared" si="1074"/>
        <v>14.400000000000006</v>
      </c>
      <c r="CI245" s="17">
        <f t="shared" si="1075"/>
        <v>-43.2</v>
      </c>
      <c r="CJ245" s="17">
        <f t="shared" si="1076"/>
        <v>16</v>
      </c>
      <c r="CK245" s="17">
        <f t="shared" si="1077"/>
        <v>90</v>
      </c>
      <c r="CL245" s="17">
        <f t="shared" si="1078"/>
        <v>71.46880726181422</v>
      </c>
      <c r="CM245" s="17">
        <f t="shared" si="1079"/>
        <v>24</v>
      </c>
      <c r="CN245" s="17">
        <f t="shared" si="1080"/>
        <v>50</v>
      </c>
      <c r="CO245" s="17">
        <f t="shared" si="1081"/>
        <v>65.062647806544774</v>
      </c>
      <c r="CP245" s="17">
        <f t="shared" si="1082"/>
        <v>6.4061594552694459</v>
      </c>
      <c r="CQ245" s="17">
        <f t="shared" si="1083"/>
        <v>0</v>
      </c>
      <c r="CR245" s="17">
        <f t="shared" si="1084"/>
        <v>100</v>
      </c>
      <c r="CS245" s="17">
        <f t="shared" si="1085"/>
        <v>26.404773030064671</v>
      </c>
      <c r="CT245" s="17">
        <f t="shared" si="1086"/>
        <v>24</v>
      </c>
      <c r="CU245" s="17">
        <f t="shared" si="1087"/>
        <v>50</v>
      </c>
      <c r="CV245" s="17">
        <f t="shared" si="1088"/>
        <v>65.062647806544774</v>
      </c>
      <c r="CW245" s="17">
        <f t="shared" si="1089"/>
        <v>-38.657874776480099</v>
      </c>
      <c r="CX245" s="17">
        <f t="shared" si="1027"/>
        <v>-5220.9930240000003</v>
      </c>
      <c r="CY245" s="17">
        <f t="shared" si="1027"/>
        <v>-5220.9930240000003</v>
      </c>
      <c r="CZ245" s="17">
        <f t="shared" si="1090"/>
        <v>468.55065600000012</v>
      </c>
      <c r="DA245" s="17">
        <f t="shared" si="1091"/>
        <v>-1405.6519680000001</v>
      </c>
      <c r="DB245" s="17">
        <f t="shared" si="1092"/>
        <v>-26593.920000000002</v>
      </c>
      <c r="DC245" s="17">
        <f t="shared" si="1093"/>
        <v>3412</v>
      </c>
      <c r="DD245" s="17">
        <f t="shared" si="1094"/>
        <v>431.74629119999997</v>
      </c>
      <c r="DE245" s="17">
        <f t="shared" si="1095"/>
        <v>17496.000000000007</v>
      </c>
      <c r="DF245" s="17">
        <f t="shared" si="1096"/>
        <v>-5311.3403002060804</v>
      </c>
      <c r="DG245" s="17"/>
      <c r="DH245" s="17">
        <f t="shared" si="1097"/>
        <v>-10514.941939202587</v>
      </c>
      <c r="DI245" s="17">
        <f t="shared" si="1098"/>
        <v>-29573.274204007277</v>
      </c>
      <c r="DJ245" s="17">
        <f t="shared" si="1099"/>
        <v>-2992.5644545189134</v>
      </c>
      <c r="DK245" s="17">
        <f t="shared" si="1100"/>
        <v>4463.1942826652794</v>
      </c>
      <c r="DL245" s="17">
        <f t="shared" si="1101"/>
        <v>-16723.608345006072</v>
      </c>
      <c r="DM245" s="17">
        <f t="shared" si="1102"/>
        <v>-38617.586315063498</v>
      </c>
      <c r="DN245" s="17">
        <f t="shared" si="1103"/>
        <v>-55341.194660069566</v>
      </c>
    </row>
    <row r="246" spans="3:120">
      <c r="C246" s="19"/>
      <c r="D246" s="19"/>
      <c r="E246" s="19"/>
      <c r="F246" s="19"/>
      <c r="G246" s="19"/>
      <c r="H246" s="19"/>
      <c r="I246" s="19"/>
      <c r="J246" s="19"/>
      <c r="K246" s="19"/>
      <c r="L246" s="19"/>
      <c r="M246" s="19"/>
      <c r="N246" s="19"/>
      <c r="O246" s="19"/>
      <c r="P246" s="19"/>
      <c r="Q246" s="19"/>
      <c r="R246" s="19"/>
      <c r="S246" s="19"/>
      <c r="T246" s="19"/>
      <c r="U246" s="19"/>
      <c r="V246" s="19"/>
      <c r="W246" s="19"/>
      <c r="X246" s="20">
        <f>SUM(X230:X245)</f>
        <v>1144.1108000000002</v>
      </c>
      <c r="Y246" s="20">
        <f t="shared" ref="Y246:AG246" si="1105">SUM(Y230:Y245)</f>
        <v>9006.4402175999985</v>
      </c>
      <c r="Z246" s="20">
        <f t="shared" si="1105"/>
        <v>18012.880435199997</v>
      </c>
      <c r="AA246" s="20">
        <f t="shared" si="1105"/>
        <v>1801.2880435199995</v>
      </c>
      <c r="AB246" s="20">
        <f t="shared" si="1105"/>
        <v>0</v>
      </c>
      <c r="AC246" s="20">
        <f t="shared" si="1105"/>
        <v>165.70428430142042</v>
      </c>
      <c r="AD246" s="20">
        <f t="shared" si="1105"/>
        <v>42375</v>
      </c>
      <c r="AE246" s="20">
        <f t="shared" si="1105"/>
        <v>42375</v>
      </c>
      <c r="AF246" s="20">
        <f t="shared" si="1105"/>
        <v>260</v>
      </c>
      <c r="AG246" s="20">
        <f t="shared" si="1105"/>
        <v>108.5</v>
      </c>
      <c r="AH246" s="841"/>
      <c r="AI246" s="20">
        <f t="shared" ref="AI246:AJ246" si="1106">SUM(AI230:AI245)</f>
        <v>76.5</v>
      </c>
      <c r="AJ246" s="20">
        <f t="shared" si="1106"/>
        <v>108.5</v>
      </c>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2"/>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row>
    <row r="248" spans="3:120" ht="29.1">
      <c r="C248" s="8" t="str">
        <f>"Zoning Area  AHU - " &amp; INT((ROW()-8)/20)+1 &amp; "  " &amp;IF(AQ250&gt;0,"Air-Conditioning System " &amp; IF(AH250="D","(DX)",IF(AH250="C","(Chilled Water)","")),IF(AND(N250="Amb",AQ250=0),"Ventilation System","Refer"))</f>
        <v>Zoning Area  AHU - 13  Air-Conditioning System (Chilled Water)</v>
      </c>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39"/>
      <c r="AI248" s="8"/>
      <c r="AJ248" s="8"/>
      <c r="AK248" s="8"/>
      <c r="AL248" s="8"/>
      <c r="AM248" s="8"/>
      <c r="AN248" s="8"/>
      <c r="AO248" s="8"/>
      <c r="AP248" s="8"/>
      <c r="AQ248" s="8"/>
      <c r="AR248" s="8"/>
      <c r="AS248" s="9" t="s">
        <v>221</v>
      </c>
      <c r="AT248" s="10"/>
      <c r="AU248" s="10"/>
      <c r="AV248" s="11"/>
      <c r="AW248" s="9" t="s">
        <v>222</v>
      </c>
      <c r="AX248" s="10"/>
      <c r="AY248" s="10"/>
      <c r="AZ248" s="11"/>
      <c r="BA248" s="12" t="s">
        <v>483</v>
      </c>
      <c r="BB248" s="12"/>
      <c r="BC248" s="12"/>
      <c r="BD248" s="12"/>
      <c r="BE248" s="12"/>
      <c r="BF248" s="12"/>
      <c r="BG248" s="12"/>
      <c r="BH248" s="12"/>
      <c r="BI248" s="12"/>
      <c r="BJ248" s="12"/>
      <c r="BK248" s="12"/>
      <c r="BL248" s="12"/>
      <c r="BM248" s="12"/>
      <c r="BN248" s="12"/>
      <c r="BO248" s="12"/>
      <c r="BP248" s="12"/>
      <c r="BQ248" s="9" t="s">
        <v>484</v>
      </c>
      <c r="BR248" s="10"/>
      <c r="BS248" s="10"/>
      <c r="BT248" s="10"/>
      <c r="BU248" s="10"/>
      <c r="BV248" s="10"/>
      <c r="BW248" s="10"/>
      <c r="BX248" s="10"/>
      <c r="BY248" s="10"/>
      <c r="BZ248" s="11"/>
      <c r="CA248" s="9" t="s">
        <v>485</v>
      </c>
      <c r="CB248" s="10"/>
      <c r="CC248" s="10"/>
      <c r="CD248" s="10"/>
      <c r="CE248" s="9" t="s">
        <v>486</v>
      </c>
      <c r="CF248" s="10"/>
      <c r="CG248" s="11"/>
      <c r="CH248" s="12" t="s">
        <v>487</v>
      </c>
      <c r="CI248" s="12"/>
      <c r="CJ248" s="12"/>
      <c r="CK248" s="12"/>
      <c r="CL248" s="12"/>
      <c r="CM248" s="12"/>
      <c r="CN248" s="12"/>
      <c r="CO248" s="12"/>
      <c r="CP248" s="12"/>
      <c r="CQ248" s="12"/>
      <c r="CR248" s="12"/>
      <c r="CS248" s="12"/>
      <c r="CT248" s="12"/>
      <c r="CU248" s="12"/>
      <c r="CV248" s="12"/>
      <c r="CW248" s="12"/>
      <c r="CX248" s="9" t="s">
        <v>488</v>
      </c>
      <c r="CY248" s="10"/>
      <c r="CZ248" s="10"/>
      <c r="DA248" s="10"/>
      <c r="DB248" s="10"/>
      <c r="DC248" s="10"/>
      <c r="DD248" s="10"/>
      <c r="DE248" s="10"/>
      <c r="DF248" s="10"/>
      <c r="DG248" s="11"/>
      <c r="DH248" s="9" t="s">
        <v>489</v>
      </c>
      <c r="DI248" s="10"/>
      <c r="DJ248" s="10"/>
      <c r="DK248" s="10"/>
      <c r="DL248" s="9"/>
      <c r="DM248" s="10"/>
      <c r="DN248" s="11"/>
      <c r="DO248" s="1"/>
      <c r="DP248" s="1"/>
    </row>
    <row r="249" spans="3:120" ht="120" customHeight="1">
      <c r="C249" s="13">
        <f>IF(D249&lt;&gt;"",COUNTA($D$10:D249),"")</f>
        <v>204</v>
      </c>
      <c r="D249" s="5" t="s">
        <v>165</v>
      </c>
      <c r="E249" s="5" t="s">
        <v>166</v>
      </c>
      <c r="F249" s="5" t="s">
        <v>167</v>
      </c>
      <c r="G249" s="5" t="s">
        <v>168</v>
      </c>
      <c r="H249" s="5" t="s">
        <v>169</v>
      </c>
      <c r="I249" s="5" t="s">
        <v>170</v>
      </c>
      <c r="J249" s="5" t="s">
        <v>171</v>
      </c>
      <c r="K249" s="5" t="s">
        <v>172</v>
      </c>
      <c r="L249" s="5" t="s">
        <v>173</v>
      </c>
      <c r="M249" s="5" t="s">
        <v>174</v>
      </c>
      <c r="N249" s="5" t="s">
        <v>175</v>
      </c>
      <c r="O249" s="5" t="s">
        <v>176</v>
      </c>
      <c r="P249" s="5" t="s">
        <v>177</v>
      </c>
      <c r="Q249" s="5" t="s">
        <v>178</v>
      </c>
      <c r="R249" s="5" t="s">
        <v>199</v>
      </c>
      <c r="S249" s="5" t="s">
        <v>180</v>
      </c>
      <c r="T249" s="5" t="s">
        <v>223</v>
      </c>
      <c r="U249" s="5" t="s">
        <v>224</v>
      </c>
      <c r="V249" s="5" t="s">
        <v>199</v>
      </c>
      <c r="W249" s="5" t="s">
        <v>180</v>
      </c>
      <c r="X249" s="5" t="s">
        <v>225</v>
      </c>
      <c r="Y249" s="5" t="s">
        <v>226</v>
      </c>
      <c r="Z249" s="5" t="s">
        <v>227</v>
      </c>
      <c r="AA249" s="5" t="s">
        <v>228</v>
      </c>
      <c r="AB249" s="5" t="s">
        <v>229</v>
      </c>
      <c r="AC249" s="5" t="s">
        <v>230</v>
      </c>
      <c r="AD249" s="5" t="s">
        <v>231</v>
      </c>
      <c r="AE249" s="5" t="s">
        <v>232</v>
      </c>
      <c r="AF249" s="6" t="s">
        <v>233</v>
      </c>
      <c r="AG249" s="6" t="s">
        <v>234</v>
      </c>
      <c r="AH249" s="6" t="s">
        <v>235</v>
      </c>
      <c r="AI249" s="5" t="s">
        <v>236</v>
      </c>
      <c r="AJ249" s="5" t="s">
        <v>237</v>
      </c>
      <c r="AK249" s="5" t="s">
        <v>238</v>
      </c>
      <c r="AL249" s="5" t="s">
        <v>239</v>
      </c>
      <c r="AM249" s="5" t="s">
        <v>240</v>
      </c>
      <c r="AN249" s="5" t="s">
        <v>241</v>
      </c>
      <c r="AO249" s="5" t="s">
        <v>242</v>
      </c>
      <c r="AP249" s="5" t="s">
        <v>243</v>
      </c>
      <c r="AQ249" s="5" t="s">
        <v>244</v>
      </c>
      <c r="AR249" s="5" t="s">
        <v>245</v>
      </c>
      <c r="AS249" s="5" t="s">
        <v>246</v>
      </c>
      <c r="AT249" s="5" t="s">
        <v>247</v>
      </c>
      <c r="AU249" s="5" t="s">
        <v>248</v>
      </c>
      <c r="AV249" s="5" t="s">
        <v>249</v>
      </c>
      <c r="AW249" s="5" t="s">
        <v>250</v>
      </c>
      <c r="AX249" s="5" t="s">
        <v>251</v>
      </c>
      <c r="AY249" s="5" t="s">
        <v>252</v>
      </c>
      <c r="AZ249" s="5" t="s">
        <v>253</v>
      </c>
      <c r="BA249" s="5" t="s">
        <v>490</v>
      </c>
      <c r="BB249" s="5" t="s">
        <v>491</v>
      </c>
      <c r="BC249" s="5" t="s">
        <v>492</v>
      </c>
      <c r="BD249" s="5" t="s">
        <v>493</v>
      </c>
      <c r="BE249" s="5" t="s">
        <v>494</v>
      </c>
      <c r="BF249" s="5" t="s">
        <v>492</v>
      </c>
      <c r="BG249" s="5" t="s">
        <v>493</v>
      </c>
      <c r="BH249" s="5" t="s">
        <v>495</v>
      </c>
      <c r="BI249" s="5" t="s">
        <v>496</v>
      </c>
      <c r="BJ249" s="5" t="s">
        <v>492</v>
      </c>
      <c r="BK249" s="5" t="s">
        <v>493</v>
      </c>
      <c r="BL249" s="5" t="s">
        <v>497</v>
      </c>
      <c r="BM249" s="5" t="s">
        <v>492</v>
      </c>
      <c r="BN249" s="5" t="s">
        <v>493</v>
      </c>
      <c r="BO249" s="5" t="s">
        <v>495</v>
      </c>
      <c r="BP249" s="5" t="s">
        <v>498</v>
      </c>
      <c r="BQ249" s="5" t="s">
        <v>499</v>
      </c>
      <c r="BR249" s="5" t="s">
        <v>500</v>
      </c>
      <c r="BS249" s="5" t="s">
        <v>501</v>
      </c>
      <c r="BT249" s="5" t="s">
        <v>502</v>
      </c>
      <c r="BU249" s="5" t="s">
        <v>503</v>
      </c>
      <c r="BV249" s="5" t="s">
        <v>504</v>
      </c>
      <c r="BW249" s="5" t="s">
        <v>505</v>
      </c>
      <c r="BX249" s="5" t="s">
        <v>506</v>
      </c>
      <c r="BY249" s="5" t="s">
        <v>173</v>
      </c>
      <c r="BZ249" s="5" t="s">
        <v>174</v>
      </c>
      <c r="CA249" s="5" t="s">
        <v>503</v>
      </c>
      <c r="CB249" s="5" t="s">
        <v>507</v>
      </c>
      <c r="CC249" s="5" t="s">
        <v>173</v>
      </c>
      <c r="CD249" s="5" t="s">
        <v>508</v>
      </c>
      <c r="CE249" s="7" t="s">
        <v>509</v>
      </c>
      <c r="CF249" s="7" t="s">
        <v>510</v>
      </c>
      <c r="CG249" s="7" t="s">
        <v>511</v>
      </c>
      <c r="CH249" s="5" t="s">
        <v>512</v>
      </c>
      <c r="CI249" s="5" t="s">
        <v>513</v>
      </c>
      <c r="CJ249" s="5" t="s">
        <v>492</v>
      </c>
      <c r="CK249" s="5" t="s">
        <v>493</v>
      </c>
      <c r="CL249" s="5" t="s">
        <v>494</v>
      </c>
      <c r="CM249" s="5" t="s">
        <v>492</v>
      </c>
      <c r="CN249" s="5" t="s">
        <v>493</v>
      </c>
      <c r="CO249" s="5" t="s">
        <v>495</v>
      </c>
      <c r="CP249" s="5" t="s">
        <v>496</v>
      </c>
      <c r="CQ249" s="5" t="s">
        <v>492</v>
      </c>
      <c r="CR249" s="5" t="s">
        <v>493</v>
      </c>
      <c r="CS249" s="5" t="s">
        <v>497</v>
      </c>
      <c r="CT249" s="5" t="s">
        <v>492</v>
      </c>
      <c r="CU249" s="5" t="s">
        <v>493</v>
      </c>
      <c r="CV249" s="5" t="s">
        <v>495</v>
      </c>
      <c r="CW249" s="5" t="s">
        <v>498</v>
      </c>
      <c r="CX249" s="5" t="s">
        <v>499</v>
      </c>
      <c r="CY249" s="5" t="s">
        <v>500</v>
      </c>
      <c r="CZ249" s="5" t="s">
        <v>501</v>
      </c>
      <c r="DA249" s="5" t="s">
        <v>502</v>
      </c>
      <c r="DB249" s="5" t="s">
        <v>503</v>
      </c>
      <c r="DC249" s="5" t="s">
        <v>504</v>
      </c>
      <c r="DD249" s="5" t="s">
        <v>505</v>
      </c>
      <c r="DE249" s="5" t="s">
        <v>506</v>
      </c>
      <c r="DF249" s="5" t="s">
        <v>173</v>
      </c>
      <c r="DG249" s="5" t="s">
        <v>174</v>
      </c>
      <c r="DH249" s="5" t="s">
        <v>503</v>
      </c>
      <c r="DI249" s="5" t="s">
        <v>507</v>
      </c>
      <c r="DJ249" s="5" t="s">
        <v>173</v>
      </c>
      <c r="DK249" s="5" t="s">
        <v>508</v>
      </c>
      <c r="DL249" s="7" t="s">
        <v>509</v>
      </c>
      <c r="DM249" s="7" t="s">
        <v>510</v>
      </c>
      <c r="DN249" s="7" t="s">
        <v>511</v>
      </c>
      <c r="DO249" s="2"/>
      <c r="DP249" s="2"/>
    </row>
    <row r="250" spans="3:120" ht="18.600000000000001" customHeight="1">
      <c r="C250" s="13">
        <f>IF(D250&lt;&gt;"",COUNTA($D$10:D250),"")</f>
        <v>205</v>
      </c>
      <c r="D250" s="14" t="s">
        <v>200</v>
      </c>
      <c r="E250" s="14">
        <v>3</v>
      </c>
      <c r="F250" s="14">
        <v>3</v>
      </c>
      <c r="G250" s="14">
        <v>2.4</v>
      </c>
      <c r="H250" s="14">
        <v>1</v>
      </c>
      <c r="I250" s="14">
        <v>2</v>
      </c>
      <c r="J250" s="14">
        <v>1.75</v>
      </c>
      <c r="K250" s="14">
        <v>3</v>
      </c>
      <c r="L250" s="15">
        <v>0.1</v>
      </c>
      <c r="M250" s="15">
        <v>0</v>
      </c>
      <c r="N250" s="14">
        <v>24</v>
      </c>
      <c r="O250" s="14">
        <v>50</v>
      </c>
      <c r="P250" s="13">
        <v>45</v>
      </c>
      <c r="Q250" s="13">
        <v>85</v>
      </c>
      <c r="R250" s="13" t="s">
        <v>17</v>
      </c>
      <c r="S250" s="13">
        <v>120</v>
      </c>
      <c r="T250" s="13">
        <v>0</v>
      </c>
      <c r="U250" s="13">
        <v>100</v>
      </c>
      <c r="V250" s="13" t="str">
        <f>R250</f>
        <v>ISO 6</v>
      </c>
      <c r="W250" s="13">
        <f>S250</f>
        <v>120</v>
      </c>
      <c r="X250" s="16">
        <f>E250*F250*10.76</f>
        <v>96.84</v>
      </c>
      <c r="Y250" s="16">
        <f>X250*G250*3.28</f>
        <v>762.32447999999999</v>
      </c>
      <c r="Z250" s="16">
        <f>Y250*S250/60</f>
        <v>1524.64896</v>
      </c>
      <c r="AA250" s="16">
        <f>Z250*L250</f>
        <v>152.46489600000001</v>
      </c>
      <c r="AB250" s="16">
        <f>IF(N250="Amb",Z250,Z250*M250)</f>
        <v>0</v>
      </c>
      <c r="AC250" s="16">
        <f>IF(ISNUMBER(N250), (AA250*0.075*60/2.20462)*BP250/7000, "Ambient")</f>
        <v>14.025567184357984</v>
      </c>
      <c r="AD250" s="16">
        <f>IF(ISNUMBER(N250), CEILING(CF250/(0.68*BP250),25), "Ambient")</f>
        <v>2850</v>
      </c>
      <c r="AE250" s="16">
        <f>CEILING(MAX((Z250+AA250),AD250),25)</f>
        <v>2850</v>
      </c>
      <c r="AF250" s="16">
        <f>CEILING(IF(OR($R250="ISO 6",$R250="GRADE B",$R250="1K",$R250=1000),AE250*1/175,IF(OR($R250="ISO 5",$R250="GRADE A",$R250=100),AE250*1/100,IF(OR($R250="ISO 7",$R250="GRADE C",$R250="10K",$R250=10000),$AE250*1/250,IF(OR($R250="ISO 8",$R250="GRADE D",$R250="100K",$R250=100000),$AE250*1/250,IF(OR($R250="NC",$R250="20 Micron",$R250="5 Micron",$R250="N C"),$AE250*1/350,0))))),2)</f>
        <v>18</v>
      </c>
      <c r="AG250" s="16">
        <f>IF(ISNUMBER(N250), CEILING(MAX(AI250,AJ250),0.5), "Ambient")</f>
        <v>7.5</v>
      </c>
      <c r="AH250" s="838" t="s">
        <v>85</v>
      </c>
      <c r="AI250" s="17">
        <f>IF(ISNUMBER(N250), CEILING(CE250/12000,0.5), "Ambient")</f>
        <v>4.5</v>
      </c>
      <c r="AJ250" s="17">
        <f>IF(ISNUMBER(N250),CEILING(AE250/(IF(AH250="C",400,300)),0.5), "Ambient")</f>
        <v>7.5</v>
      </c>
      <c r="AK250" s="891">
        <f>CEILING(SUM(AE250:AE265),250)</f>
        <v>42500</v>
      </c>
      <c r="AL250" s="18" t="s">
        <v>254</v>
      </c>
      <c r="AM250" s="889">
        <v>150</v>
      </c>
      <c r="AN250" s="891">
        <f>IF(AK250&lt;=1300,200,IF(AK250&lt;=1600,225,IF(AK250&lt;=2100,250,IF(AK250&lt;=2700,280,IF(AK250&lt;=3450,315,IF(AK250&lt;=4250,355,IF(AK250&lt;=5250,400,IF(AK250&lt;=6750,450,IF(AK250&lt;=8500,500,IF(AK250&lt;=10750,560,IF(AK250&lt;=13500,630,IF(AK250&lt;=17000,710,IF(AK250&lt;=21500,800,IF(AK250&lt;=27000,900,IF(AK250&lt;=34000,1000,IF(AK250&lt;=43000,1120,IF(AK250&lt;=49000,1200,IF(AK250&lt;=68000,1450,"Refer"))))))))))))))))))</f>
        <v>1120</v>
      </c>
      <c r="AO250" s="888">
        <f>IF(AK250*AM250/(6356*0.7*0.9*1.1*25.4)&lt;=1,1,IF(AK250*AM250/(6356*0.7*0.9*1.1*25.4)&lt;=1.5,1.5,IF(AK250*AM250/(6356*0.7*0.9*1.1*25.4)&lt;=2,2,IF(AK250*AM250/(6356*0.7*0.9*1.1*25.4)&lt;=3,3,IF(AK250*AM250/(6356*0.7*0.9*1.1*25.4)&lt;=5,5,IF(AK250*AM250/(6356*0.7*0.9*1.1*25.4)&lt;=7.5,7.5,IF(AK250*AM250/(6356*0.7*0.9*1.1*25.4)&lt;=10,10,IF(AK250*AM250/(6356*0.7*0.9*1.1*25.4)&lt;=12.5,12.5,IF(AK250*AM250/(6356*0.7*0.9*1.1*25.4)&lt;=15,15,IF(AK250*AM250/(6356*0.7*0.9*1.1*25.4)&lt;=20,20,IF(AK250*AM250/(6356*0.7*0.9*1.1*25.4)&lt;=25,25,IF(AK250*AM250/(6356*0.7*0.9*1.1*25.4)&lt;=30,30,IF(AK250*AM250/(6356*0.7*0.9*1.1*25.4)&lt;=40,40,IF(AK250*AM250/(6356*0.7*0.9*1.1*25.4)&lt;=50,50,IF(AK250*AM250/(6356*0.7*0.9*1.1*25.4)&lt;=60,60,IF(AK250*AM250/(6356*0.7*0.9*1.1*25.4)&lt;=75,75,"Refer"))))))))))))))))</f>
        <v>60</v>
      </c>
      <c r="AP250" s="891">
        <f>IF(AND(AQ250=0, N250="Amb"), "Amb",IF((AL251-250)*(AL253-150)*10.76/(1000*1000) &gt;= MAX(AI266,AJ266), 4,IF((AL251-250)*(AL253-150)*10.76*1.5/(1000*1000) &gt;= MAX(AI266,AJ266), 6,IF((AL251-250)*(AL253-150)*10.76*2/(1000*1000) &gt;= MAX(AI266,AJ266), 8, 0))
 )
)</f>
        <v>4</v>
      </c>
      <c r="AQ250" s="891">
        <f>AG266</f>
        <v>108.5</v>
      </c>
      <c r="AR250" s="889">
        <f>_xlfn.SWITCH(TRIM(UPPER(R250)),"ISO 9", 3,"ISO 8", 4,"Grade D", 4,"Class 100,000", 4,"Class 100K", 4,"ISO 7", 3,"Grade C", 3,"Class 10,000", 3,"Class 10K", 3,"ISO 6", 3,"Class 1,000", 3,"Class 1K", 3,"ISO 5", 4,"Grade A", 4,"Grade B", 4,"Class 100", 4,"ISO 4", 3,"ISO 3", 4,"ISO 2", 4,"ISO 1", 4,"NCV20",1,"NCV-10",2,"NCV-5",3,"NCAC-10",1,"NCAC-5",2,"NCAC-1",3,3)</f>
        <v>3</v>
      </c>
      <c r="AS250" s="888">
        <f>MAX(AI266,AJ266)*24/6</f>
        <v>434</v>
      </c>
      <c r="AT250" s="888">
        <f>AS250*0.06309</f>
        <v>27.381059999999998</v>
      </c>
      <c r="AU250" s="890">
        <v>2</v>
      </c>
      <c r="AV250" s="888">
        <f>SQRT((4*AS250*0.00006309)/(3.14*AU250))*1000</f>
        <v>132.06121915647887</v>
      </c>
      <c r="AW250" s="888"/>
      <c r="AX250" s="888"/>
      <c r="AY250" s="887"/>
      <c r="AZ250" s="888"/>
      <c r="BA250" s="17">
        <f>-CONVERT(N250,"C","F")+CONVERT((N250+8),"C","F")</f>
        <v>14.399999999999991</v>
      </c>
      <c r="BB250" s="17">
        <f>CONVERT(P250,"C","F")-CONVERT(N250,"C","F")</f>
        <v>37.799999999999997</v>
      </c>
      <c r="BC250" s="17">
        <f>N250+8</f>
        <v>32</v>
      </c>
      <c r="BD250" s="17">
        <f>BG250+35</f>
        <v>85</v>
      </c>
      <c r="BE250" s="17">
        <f>0.622*7000*(BD250/100)*(6.1078*10^((7.5*BC250)/(237.3+BC250)))/(1013.25-(6.1078*10^((7.5*BC250)/(237.3+BC250)))*BD250/100)</f>
        <v>180.86341983910182</v>
      </c>
      <c r="BF250" s="17">
        <f>N250</f>
        <v>24</v>
      </c>
      <c r="BG250" s="17">
        <f>O250</f>
        <v>50</v>
      </c>
      <c r="BH250" s="17">
        <f>0.622*7000*(BG250/100)*(6.1078*10^((7.5*BF250)/(237.3+BF250)))/(1013.25-(6.1078*10^((7.5*BF250)/(237.3+BF250)))*BG250/100)</f>
        <v>65.062647806544774</v>
      </c>
      <c r="BI250" s="17">
        <f>BE250-BH250</f>
        <v>115.80077203255705</v>
      </c>
      <c r="BJ250" s="17">
        <f>P250</f>
        <v>45</v>
      </c>
      <c r="BK250" s="17">
        <f>Q250</f>
        <v>85</v>
      </c>
      <c r="BL250" s="17">
        <f>0.622*7000*(BK250/100)*(6.1078*10^((7.5*BJ250)/(237.3+BJ250)))/(1013.25-(6.1078*10^((7.5*BJ250)/(237.3+BJ250)))*BK250/100)</f>
        <v>380.54120080897206</v>
      </c>
      <c r="BM250" s="17">
        <f>N250</f>
        <v>24</v>
      </c>
      <c r="BN250" s="17">
        <f>BG250</f>
        <v>50</v>
      </c>
      <c r="BO250" s="17">
        <f>0.622*7000*(BN250/100)*(6.1078*10^((7.5*BM250)/(237.3+BM250)))/(1013.25-(6.1078*10^((7.5*BM250)/(237.3+BM250)))*BN250/100)</f>
        <v>65.062647806544774</v>
      </c>
      <c r="BP250" s="17">
        <f>BL250-BO250</f>
        <v>315.4785530024273</v>
      </c>
      <c r="BQ250" s="17">
        <f>($E250*$G250*10.76*2+$F250*$G250*2*10.76)*$BB250*0.45</f>
        <v>5271.1948799999991</v>
      </c>
      <c r="BR250" s="17">
        <f>($E250*$G250*10.76*2+$F250*$G250*2*10.76)*$BA250*0.45</f>
        <v>2008.0742399999988</v>
      </c>
      <c r="BS250" s="17">
        <f>($E250*$F250*10.76)*$BA250*0.45</f>
        <v>627.52319999999963</v>
      </c>
      <c r="BT250" s="17">
        <f>($E250*$F250*10.76)*$BB250*0.45</f>
        <v>1647.2483999999999</v>
      </c>
      <c r="BU250" s="17">
        <f>$H250*285*1.08*$BB250</f>
        <v>11634.84</v>
      </c>
      <c r="BV250" s="17">
        <f>$I250*1000*3.412</f>
        <v>6824</v>
      </c>
      <c r="BW250" s="17">
        <f>$J250*$X250*3.412</f>
        <v>578.23163999999997</v>
      </c>
      <c r="BX250" s="17">
        <f>$K250*1.08*375*$BA250</f>
        <v>17495.999999999989</v>
      </c>
      <c r="BY250" s="17">
        <f>($AA250+$AB250)*1.08*$BB250</f>
        <v>6224.2269143040003</v>
      </c>
      <c r="BZ250" s="17"/>
      <c r="CA250" s="17">
        <f>$H250*200*0.68*$BP250</f>
        <v>42905.083208330114</v>
      </c>
      <c r="CB250" s="17">
        <f>$K250*375*0.68*$BP250</f>
        <v>241341.0930468569</v>
      </c>
      <c r="CC250" s="17">
        <f>($AA250+$AB250)*0.68*$BP250</f>
        <v>32707.59524614699</v>
      </c>
      <c r="CD250" s="17">
        <f>($Z250-$AA250)*0.68*$BP250</f>
        <v>294368.3572153229</v>
      </c>
      <c r="CE250" s="17">
        <f>$BQ250+$BU250+$BV250+$BW250+$BX250+$BY250</f>
        <v>48028.493434303993</v>
      </c>
      <c r="CF250" s="17">
        <f>$CA250+$CB250+$CC250+$CD250</f>
        <v>611322.12871665694</v>
      </c>
      <c r="CG250" s="17">
        <f>$CE250+$CF250</f>
        <v>659350.62215096096</v>
      </c>
      <c r="CH250" s="17">
        <f>CONVERT(N250,"C","F")-CONVERT((N250-8),"C","F")</f>
        <v>14.400000000000006</v>
      </c>
      <c r="CI250" s="17">
        <f>CONVERT(T250,"C","F")-CONVERT(N250,"C","F")</f>
        <v>-43.2</v>
      </c>
      <c r="CJ250" s="17">
        <f>CM250-8</f>
        <v>16</v>
      </c>
      <c r="CK250" s="17">
        <f>O250+40</f>
        <v>90</v>
      </c>
      <c r="CL250" s="17">
        <f>0.622*7000*(CK250/100)*(6.1078*10^((7.5*CJ250)/(237.3+CJ250)))/(1013.25-(6.1078*10^((7.5*CJ250)/(237.3+CJ250)))*CK250/100)</f>
        <v>71.46880726181422</v>
      </c>
      <c r="CM250" s="17">
        <f>N250</f>
        <v>24</v>
      </c>
      <c r="CN250" s="17">
        <f>O250</f>
        <v>50</v>
      </c>
      <c r="CO250" s="17">
        <f>0.622*7000*(CN250/100)*(6.1078*10^((7.5*CM250)/(237.3+CM250)))/(1013.25-(6.1078*10^((7.5*CM250)/(237.3+CM250)))*CN250/100)</f>
        <v>65.062647806544774</v>
      </c>
      <c r="CP250" s="17">
        <f>CL250-CO250</f>
        <v>6.4061594552694459</v>
      </c>
      <c r="CQ250" s="17">
        <f>T250</f>
        <v>0</v>
      </c>
      <c r="CR250" s="17">
        <f>U250</f>
        <v>100</v>
      </c>
      <c r="CS250" s="17">
        <f>0.622*7000*(CR250/100)*(6.1078*10^((7.5*CQ250)/(237.3+CQ250)))/(1013.25-(6.1078*10^((7.5*CQ250)/(237.3+CQ250)))*CR250/100)</f>
        <v>26.404773030064671</v>
      </c>
      <c r="CT250" s="17">
        <f>CM250</f>
        <v>24</v>
      </c>
      <c r="CU250" s="17">
        <f>O250</f>
        <v>50</v>
      </c>
      <c r="CV250" s="17">
        <f>0.622*7000*(CU250/100)*(6.1078*10^((7.5*CT250)/(237.3+CT250)))/(1013.25-(6.1078*10^((7.5*CT250)/(237.3+CT250)))*CU250/100)</f>
        <v>65.062647806544774</v>
      </c>
      <c r="CW250" s="17">
        <f>CS250-CV250</f>
        <v>-38.657874776480099</v>
      </c>
      <c r="CX250" s="17">
        <f t="shared" ref="CX250:CY265" si="1107">($E250*$G250*10.76*2+$F250*$G250*2*10.76)*$CI250*0.45</f>
        <v>-6024.2227199999998</v>
      </c>
      <c r="CY250" s="17">
        <f t="shared" si="1107"/>
        <v>-6024.2227199999998</v>
      </c>
      <c r="CZ250" s="17">
        <f>($E250*$F250*10.76)*$CH250*0.45</f>
        <v>627.52320000000032</v>
      </c>
      <c r="DA250" s="17">
        <f>($E250*$F250*10.76)*$CI250*0.45</f>
        <v>-1882.5696000000003</v>
      </c>
      <c r="DB250" s="17">
        <f>$H250*285*1.08*$CI250</f>
        <v>-13296.960000000001</v>
      </c>
      <c r="DC250" s="17">
        <f>$I250*1000*3.412</f>
        <v>6824</v>
      </c>
      <c r="DD250" s="17">
        <f>$J250*$X250*3.412</f>
        <v>578.23163999999997</v>
      </c>
      <c r="DE250" s="17">
        <f>$K250*1.08*375*$CH250</f>
        <v>17496.000000000007</v>
      </c>
      <c r="DF250" s="17">
        <f>($AA250+$AB250)*1.08*$CI250</f>
        <v>-7113.4021877760015</v>
      </c>
      <c r="DG250" s="17"/>
      <c r="DH250" s="17">
        <f>$H250*200*0.68*CW250</f>
        <v>-5257.4709696012933</v>
      </c>
      <c r="DI250" s="17">
        <f>$K250*375*0.68*CW250</f>
        <v>-29573.274204007277</v>
      </c>
      <c r="DJ250" s="17">
        <f>(AA250+AB250)*0.68*CW250</f>
        <v>-4007.8988230164023</v>
      </c>
      <c r="DK250" s="17">
        <f>(Z250-AA250)*0.68*CP250</f>
        <v>5977.4923428552856</v>
      </c>
      <c r="DL250" s="17">
        <f>CX250+DA250+CZ250+DB250+DC250+DD250+DE250+DF250</f>
        <v>-2791.3996677759942</v>
      </c>
      <c r="DM250" s="17">
        <f>DH250+DI250+DJ250+DK250</f>
        <v>-32861.151653769688</v>
      </c>
      <c r="DN250" s="17">
        <f>DL250+DM250</f>
        <v>-35652.551321545681</v>
      </c>
    </row>
    <row r="251" spans="3:120" ht="18.600000000000001">
      <c r="C251" s="13">
        <f>IF(D251&lt;&gt;"",COUNTA($D$10:D251),"")</f>
        <v>206</v>
      </c>
      <c r="D251" s="14" t="s">
        <v>201</v>
      </c>
      <c r="E251" s="14">
        <v>1.8</v>
      </c>
      <c r="F251" s="14">
        <v>2.2000000000000002</v>
      </c>
      <c r="G251" s="14">
        <v>2.4</v>
      </c>
      <c r="H251" s="14">
        <v>2</v>
      </c>
      <c r="I251" s="14">
        <v>1</v>
      </c>
      <c r="J251" s="14">
        <v>1.75</v>
      </c>
      <c r="K251" s="14">
        <v>3</v>
      </c>
      <c r="L251" s="15">
        <v>0.1</v>
      </c>
      <c r="M251" s="15">
        <v>0</v>
      </c>
      <c r="N251" s="14">
        <v>24</v>
      </c>
      <c r="O251" s="14">
        <v>50</v>
      </c>
      <c r="P251" s="13">
        <v>45</v>
      </c>
      <c r="Q251" s="13">
        <v>85</v>
      </c>
      <c r="R251" s="13" t="s">
        <v>17</v>
      </c>
      <c r="S251" s="13">
        <v>120</v>
      </c>
      <c r="T251" s="13">
        <v>0</v>
      </c>
      <c r="U251" s="13">
        <v>100</v>
      </c>
      <c r="V251" s="13" t="str">
        <f t="shared" ref="V251:V265" si="1108">R251</f>
        <v>ISO 6</v>
      </c>
      <c r="W251" s="13">
        <f t="shared" ref="W251:W265" si="1109">S251</f>
        <v>120</v>
      </c>
      <c r="X251" s="16">
        <f t="shared" ref="X251:X265" si="1110">E251*F251*10.76</f>
        <v>42.6096</v>
      </c>
      <c r="Y251" s="16">
        <f t="shared" ref="Y251:Y265" si="1111">X251*G251*3.28</f>
        <v>335.4227712</v>
      </c>
      <c r="Z251" s="16">
        <f t="shared" ref="Z251:Z265" si="1112">Y251*S251/60</f>
        <v>670.8455424</v>
      </c>
      <c r="AA251" s="16">
        <f t="shared" ref="AA251:AA265" si="1113">Z251*L251</f>
        <v>67.084554240000003</v>
      </c>
      <c r="AB251" s="16">
        <f t="shared" ref="AB251:AB265" si="1114">IF(N251="Amb",Z251,Z251*M251)</f>
        <v>0</v>
      </c>
      <c r="AC251" s="16">
        <f t="shared" ref="AC251:AC265" si="1115">IF(ISNUMBER(N251), (AA251*0.075*60/2.20462)*BP251/7000, "Ambient")</f>
        <v>6.1712495611175129</v>
      </c>
      <c r="AD251" s="16">
        <f t="shared" ref="AD251:AD257" si="1116">IF(ISNUMBER(N251), CEILING(CF251/(0.68*BP251),25), "Ambient")</f>
        <v>2200</v>
      </c>
      <c r="AE251" s="16">
        <f t="shared" ref="AE251:AE265" si="1117">CEILING(MAX((Z251+AA251),AD251),25)</f>
        <v>2200</v>
      </c>
      <c r="AF251" s="16">
        <f t="shared" ref="AF251:AF265" si="1118">CEILING(IF(OR($R251="ISO 6",$R251="GRADE B",$R251="1K",$R251=1000),AE251*1/175,IF(OR($R251="ISO 5",$R251="GRADE A",$R251=100),AE251*1/100,IF(OR($R251="ISO 7",$R251="GRADE C",$R251="10K",$R251=10000),$AE251*1/250,IF(OR($R251="ISO 8",$R251="GRADE D",$R251="100K",$R251=100000),$AE251*1/250,IF(OR($R251="NC",$R251="20 Micron",$R251="5 Micron",$R251="N C"),$AE251*1/350,0))))),2)</f>
        <v>14</v>
      </c>
      <c r="AG251" s="16">
        <f t="shared" ref="AG251:AG265" si="1119">IF(ISNUMBER(N251), CEILING(MAX(AI251,AJ251),0.5), "Ambient")</f>
        <v>5.5</v>
      </c>
      <c r="AH251" s="838" t="s">
        <v>85</v>
      </c>
      <c r="AI251" s="17">
        <f t="shared" ref="AI251:AI265" si="1120">IF(ISNUMBER(N251), CEILING(CE251/12000,0.5), "Ambient")</f>
        <v>4.5</v>
      </c>
      <c r="AJ251" s="17">
        <f t="shared" ref="AJ251:AJ265" si="1121">IF(ISNUMBER(N251),CEILING(AE251/(IF(AH251="C",400,300)),0.5), "Ambient")</f>
        <v>5.5</v>
      </c>
      <c r="AK251" s="891"/>
      <c r="AL251" s="18">
        <f>IF(AK250&lt;=2000,950,(IF(AK250&lt;=3000,1150,(IF(AK250&lt;=8000,1550,(IF(AK250&lt;=10000,1750,(IF(AK250&lt;=18000,2050,(IF(AK250&lt;=32000,2900,(IF(AK250&lt;=40000,3600,4000)))))))))))))</f>
        <v>4000</v>
      </c>
      <c r="AM251" s="889"/>
      <c r="AN251" s="891"/>
      <c r="AO251" s="888"/>
      <c r="AP251" s="891"/>
      <c r="AQ251" s="891"/>
      <c r="AR251" s="889"/>
      <c r="AS251" s="888"/>
      <c r="AT251" s="888"/>
      <c r="AU251" s="890"/>
      <c r="AV251" s="888"/>
      <c r="AW251" s="888"/>
      <c r="AX251" s="888"/>
      <c r="AY251" s="887"/>
      <c r="AZ251" s="888"/>
      <c r="BA251" s="17">
        <f t="shared" ref="BA251:BA265" si="1122">-CONVERT(N251,"C","F")+CONVERT((N251+8),"C","F")</f>
        <v>14.399999999999991</v>
      </c>
      <c r="BB251" s="17">
        <f t="shared" ref="BB251:BB265" si="1123">CONVERT(P251,"C","F")-CONVERT(N251,"C","F")</f>
        <v>37.799999999999997</v>
      </c>
      <c r="BC251" s="17">
        <f t="shared" ref="BC251:BC265" si="1124">BF251+8</f>
        <v>32</v>
      </c>
      <c r="BD251" s="17">
        <f t="shared" ref="BD251:BD265" si="1125">BG251+35</f>
        <v>85</v>
      </c>
      <c r="BE251" s="17">
        <f t="shared" ref="BE251:BE265" si="1126">0.622*7000*(BD251/100)*(6.1078*10^((7.5*BC251)/(237.3+BC251)))/(1013.25-(6.1078*10^((7.5*BC251)/(237.3+BC251)))*BD251/100)</f>
        <v>180.86341983910182</v>
      </c>
      <c r="BF251" s="17">
        <f t="shared" ref="BF251:BF265" si="1127">N251</f>
        <v>24</v>
      </c>
      <c r="BG251" s="17">
        <f t="shared" ref="BG251:BG265" si="1128">O251</f>
        <v>50</v>
      </c>
      <c r="BH251" s="17">
        <f t="shared" ref="BH251:BH265" si="1129">0.622*7000*(BG251/100)*(6.1078*10^((7.5*BF251)/(237.3+BF251)))/(1013.25-(6.1078*10^((7.5*BF251)/(237.3+BF251)))*BG251/100)</f>
        <v>65.062647806544774</v>
      </c>
      <c r="BI251" s="17">
        <f t="shared" ref="BI251:BI265" si="1130">BE251-BH251</f>
        <v>115.80077203255705</v>
      </c>
      <c r="BJ251" s="17">
        <f t="shared" ref="BJ251:BJ265" si="1131">P251</f>
        <v>45</v>
      </c>
      <c r="BK251" s="17">
        <f t="shared" ref="BK251:BK265" si="1132">Q251</f>
        <v>85</v>
      </c>
      <c r="BL251" s="17">
        <f t="shared" ref="BL251:BL265" si="1133">0.622*7000*(BK251/100)*(6.1078*10^((7.5*BJ251)/(237.3+BJ251)))/(1013.25-(6.1078*10^((7.5*BJ251)/(237.3+BJ251)))*BK251/100)</f>
        <v>380.54120080897206</v>
      </c>
      <c r="BM251" s="17">
        <f t="shared" ref="BM251:BM265" si="1134">BF251</f>
        <v>24</v>
      </c>
      <c r="BN251" s="17">
        <f t="shared" ref="BN251:BN265" si="1135">BG251</f>
        <v>50</v>
      </c>
      <c r="BO251" s="17">
        <f t="shared" ref="BO251:BO265" si="1136">0.622*7000*(BN251/100)*(6.1078*10^((7.5*BM251)/(237.3+BM251)))/(1013.25-(6.1078*10^((7.5*BM251)/(237.3+BM251)))*BN251/100)</f>
        <v>65.062647806544774</v>
      </c>
      <c r="BP251" s="17">
        <f t="shared" ref="BP251:BP265" si="1137">BL251-BO251</f>
        <v>315.4785530024273</v>
      </c>
      <c r="BQ251" s="17">
        <f t="shared" ref="BQ251:BQ265" si="1138">(E251*G251*10.76*2+F251*G251*2*10.76)*BB251*0.45</f>
        <v>3514.1299199999999</v>
      </c>
      <c r="BR251" s="17">
        <f t="shared" ref="BR251:BR265" si="1139">(E251*G251*10.76*2+F251*G251*2*10.76)*BA251*0.45</f>
        <v>1338.7161599999993</v>
      </c>
      <c r="BS251" s="17">
        <f t="shared" ref="BS251:BS265" si="1140">(E251*F251*10.76)*BA251*0.45</f>
        <v>276.11020799999983</v>
      </c>
      <c r="BT251" s="17">
        <f t="shared" ref="BT251:BT265" si="1141">(E251*F251*10.76)*BB251*0.45</f>
        <v>724.78929599999992</v>
      </c>
      <c r="BU251" s="17">
        <f t="shared" ref="BU251:BU265" si="1142">H251*285*1.08*BB251</f>
        <v>23269.68</v>
      </c>
      <c r="BV251" s="17">
        <f t="shared" ref="BV251:BV265" si="1143">I251*1000*3.412</f>
        <v>3412</v>
      </c>
      <c r="BW251" s="17">
        <f t="shared" ref="BW251:BW265" si="1144">J251*X251*3.412</f>
        <v>254.42192159999999</v>
      </c>
      <c r="BX251" s="17">
        <f t="shared" ref="BX251:BX265" si="1145">K251*1.08*375*BA251</f>
        <v>17495.999999999989</v>
      </c>
      <c r="BY251" s="17">
        <f t="shared" ref="BY251:BY265" si="1146">(AA251+AB251)*1.08*BB251</f>
        <v>2738.65984229376</v>
      </c>
      <c r="BZ251" s="17"/>
      <c r="CA251" s="17">
        <f t="shared" ref="CA251:CA265" si="1147">H251*200*0.68*BP251</f>
        <v>85810.166416660228</v>
      </c>
      <c r="CB251" s="17">
        <f t="shared" ref="CB251:CB265" si="1148">K251*375*0.68*BP251</f>
        <v>241341.0930468569</v>
      </c>
      <c r="CC251" s="17">
        <f t="shared" ref="CC251:CC265" si="1149">(AA251+AB251)*0.68*BP251</f>
        <v>14391.341908304676</v>
      </c>
      <c r="CD251" s="17">
        <f t="shared" ref="CD251:CD265" si="1150">($Z251-$AA251)*0.68*$BP251</f>
        <v>129522.07717474207</v>
      </c>
      <c r="CE251" s="17">
        <f t="shared" ref="CE251:CE265" si="1151">$BQ251+$BU251+$BV251+$BW251+$BX251+$BY251</f>
        <v>50684.891683893751</v>
      </c>
      <c r="CF251" s="17">
        <f t="shared" ref="CF251:CF265" si="1152">$CA251+$CB251+$CC251+$CD251</f>
        <v>471064.67854656384</v>
      </c>
      <c r="CG251" s="17">
        <f t="shared" ref="CG251:CG265" si="1153">$CE251+$CF251</f>
        <v>521749.57023045758</v>
      </c>
      <c r="CH251" s="17">
        <f t="shared" ref="CH251:CH265" si="1154">CONVERT(N251,"C","F")-CONVERT((N251-8),"C","F")</f>
        <v>14.400000000000006</v>
      </c>
      <c r="CI251" s="17">
        <f t="shared" ref="CI251:CI265" si="1155">CONVERT(T251,"C","F")-CONVERT(N251,"C","F")</f>
        <v>-43.2</v>
      </c>
      <c r="CJ251" s="17">
        <f t="shared" ref="CJ251:CJ265" si="1156">CM251-8</f>
        <v>16</v>
      </c>
      <c r="CK251" s="17">
        <f t="shared" ref="CK251:CK265" si="1157">O251+40</f>
        <v>90</v>
      </c>
      <c r="CL251" s="17">
        <f t="shared" ref="CL251:CL265" si="1158">0.622*7000*(CK251/100)*(6.1078*10^((7.5*CJ251)/(237.3+CJ251)))/(1013.25-(6.1078*10^((7.5*CJ251)/(237.3+CJ251)))*CK251/100)</f>
        <v>71.46880726181422</v>
      </c>
      <c r="CM251" s="17">
        <f t="shared" ref="CM251:CM265" si="1159">N251</f>
        <v>24</v>
      </c>
      <c r="CN251" s="17">
        <f t="shared" ref="CN251:CN265" si="1160">O251</f>
        <v>50</v>
      </c>
      <c r="CO251" s="17">
        <f t="shared" ref="CO251:CO265" si="1161">0.622*7000*(CN251/100)*(6.1078*10^((7.5*CM251)/(237.3+CM251)))/(1013.25-(6.1078*10^((7.5*CM251)/(237.3+CM251)))*CN251/100)</f>
        <v>65.062647806544774</v>
      </c>
      <c r="CP251" s="17">
        <f t="shared" ref="CP251:CP265" si="1162">CL251-CO251</f>
        <v>6.4061594552694459</v>
      </c>
      <c r="CQ251" s="17">
        <f t="shared" ref="CQ251:CQ265" si="1163">T251</f>
        <v>0</v>
      </c>
      <c r="CR251" s="17">
        <f t="shared" ref="CR251:CR265" si="1164">U251</f>
        <v>100</v>
      </c>
      <c r="CS251" s="17">
        <f t="shared" ref="CS251:CS265" si="1165">0.622*7000*(CR251/100)*(6.1078*10^((7.5*CQ251)/(237.3+CQ251)))/(1013.25-(6.1078*10^((7.5*CQ251)/(237.3+CQ251)))*CR251/100)</f>
        <v>26.404773030064671</v>
      </c>
      <c r="CT251" s="17">
        <f t="shared" ref="CT251:CT265" si="1166">CM251</f>
        <v>24</v>
      </c>
      <c r="CU251" s="17">
        <f t="shared" ref="CU251:CU265" si="1167">O251</f>
        <v>50</v>
      </c>
      <c r="CV251" s="17">
        <f t="shared" ref="CV251:CV265" si="1168">0.622*7000*(CU251/100)*(6.1078*10^((7.5*CT251)/(237.3+CT251)))/(1013.25-(6.1078*10^((7.5*CT251)/(237.3+CT251)))*CU251/100)</f>
        <v>65.062647806544774</v>
      </c>
      <c r="CW251" s="17">
        <f t="shared" ref="CW251:CW265" si="1169">CS251-CV251</f>
        <v>-38.657874776480099</v>
      </c>
      <c r="CX251" s="17">
        <f t="shared" si="1107"/>
        <v>-4016.1484800000003</v>
      </c>
      <c r="CY251" s="17">
        <f t="shared" si="1107"/>
        <v>-4016.1484800000003</v>
      </c>
      <c r="CZ251" s="17">
        <f t="shared" ref="CZ251:CZ265" si="1170">($E251*$F251*10.76)*$CH251*0.45</f>
        <v>276.11020800000011</v>
      </c>
      <c r="DA251" s="17">
        <f t="shared" ref="DA251:DA265" si="1171">($E251*$F251*10.76)*$CI251*0.45</f>
        <v>-828.33062400000006</v>
      </c>
      <c r="DB251" s="17">
        <f t="shared" ref="DB251:DB265" si="1172">$H251*285*1.08*$CI251</f>
        <v>-26593.920000000002</v>
      </c>
      <c r="DC251" s="17">
        <f t="shared" ref="DC251:DC265" si="1173">$I251*1000*3.412</f>
        <v>3412</v>
      </c>
      <c r="DD251" s="17">
        <f t="shared" ref="DD251:DD265" si="1174">$J251*$X251*3.412</f>
        <v>254.42192159999999</v>
      </c>
      <c r="DE251" s="17">
        <f t="shared" ref="DE251:DE265" si="1175">$K251*1.08*375*$CH251</f>
        <v>17496.000000000007</v>
      </c>
      <c r="DF251" s="17">
        <f t="shared" ref="DF251:DF265" si="1176">($AA251+$AB251)*1.08*$CI251</f>
        <v>-3129.8969626214403</v>
      </c>
      <c r="DG251" s="17"/>
      <c r="DH251" s="17">
        <f t="shared" ref="DH251:DH265" si="1177">$H251*200*0.68*CW251</f>
        <v>-10514.941939202587</v>
      </c>
      <c r="DI251" s="17">
        <f t="shared" ref="DI251:DI265" si="1178">$K251*375*0.68*CW251</f>
        <v>-29573.274204007277</v>
      </c>
      <c r="DJ251" s="17">
        <f t="shared" ref="DJ251:DJ265" si="1179">(AA251+AB251)*0.68*CW251</f>
        <v>-1763.475482127217</v>
      </c>
      <c r="DK251" s="17">
        <f t="shared" ref="DK251:DK265" si="1180">(Z251-AA251)*0.68*CP251</f>
        <v>2630.0966308563256</v>
      </c>
      <c r="DL251" s="17">
        <f t="shared" ref="DL251:DL265" si="1181">CX251+DA251+CZ251+DB251+DC251+DD251+DE251+DF251</f>
        <v>-13129.763937021437</v>
      </c>
      <c r="DM251" s="17">
        <f t="shared" ref="DM251:DM265" si="1182">DH251+DI251+DJ251+DK251</f>
        <v>-39221.594994480751</v>
      </c>
      <c r="DN251" s="17">
        <f t="shared" ref="DN251:DN265" si="1183">DL251+DM251</f>
        <v>-52351.358931502189</v>
      </c>
    </row>
    <row r="252" spans="3:120" ht="18.600000000000001">
      <c r="C252" s="13">
        <f>IF(D252&lt;&gt;"",COUNTA($D$10:D252),"")</f>
        <v>207</v>
      </c>
      <c r="D252" s="14" t="s">
        <v>202</v>
      </c>
      <c r="E252" s="14">
        <v>1.5</v>
      </c>
      <c r="F252" s="14">
        <v>2.8</v>
      </c>
      <c r="G252" s="14">
        <v>2.4</v>
      </c>
      <c r="H252" s="14">
        <v>2</v>
      </c>
      <c r="I252" s="14">
        <v>3</v>
      </c>
      <c r="J252" s="14">
        <v>1.75</v>
      </c>
      <c r="K252" s="14">
        <v>3</v>
      </c>
      <c r="L252" s="15">
        <v>0.1</v>
      </c>
      <c r="M252" s="15">
        <v>0</v>
      </c>
      <c r="N252" s="14">
        <v>24</v>
      </c>
      <c r="O252" s="14">
        <v>50</v>
      </c>
      <c r="P252" s="13">
        <v>45</v>
      </c>
      <c r="Q252" s="13">
        <v>85</v>
      </c>
      <c r="R252" s="13" t="s">
        <v>17</v>
      </c>
      <c r="S252" s="13">
        <v>120</v>
      </c>
      <c r="T252" s="13">
        <v>0</v>
      </c>
      <c r="U252" s="13">
        <v>100</v>
      </c>
      <c r="V252" s="13" t="str">
        <f t="shared" si="1108"/>
        <v>ISO 6</v>
      </c>
      <c r="W252" s="13">
        <f t="shared" si="1109"/>
        <v>120</v>
      </c>
      <c r="X252" s="16">
        <f t="shared" si="1110"/>
        <v>45.191999999999993</v>
      </c>
      <c r="Y252" s="16">
        <f t="shared" si="1111"/>
        <v>355.75142399999993</v>
      </c>
      <c r="Z252" s="16">
        <f t="shared" si="1112"/>
        <v>711.50284799999986</v>
      </c>
      <c r="AA252" s="16">
        <f t="shared" si="1113"/>
        <v>71.150284799999994</v>
      </c>
      <c r="AB252" s="16">
        <f t="shared" si="1114"/>
        <v>0</v>
      </c>
      <c r="AC252" s="16">
        <f t="shared" si="1115"/>
        <v>6.5452646860337245</v>
      </c>
      <c r="AD252" s="16">
        <f t="shared" si="1116"/>
        <v>2250</v>
      </c>
      <c r="AE252" s="16">
        <f t="shared" si="1117"/>
        <v>2250</v>
      </c>
      <c r="AF252" s="16">
        <f t="shared" si="1118"/>
        <v>14</v>
      </c>
      <c r="AG252" s="16">
        <f t="shared" si="1119"/>
        <v>6</v>
      </c>
      <c r="AH252" s="838" t="s">
        <v>85</v>
      </c>
      <c r="AI252" s="17">
        <f t="shared" si="1120"/>
        <v>5</v>
      </c>
      <c r="AJ252" s="17">
        <f t="shared" si="1121"/>
        <v>6</v>
      </c>
      <c r="AK252" s="891"/>
      <c r="AL252" s="18" t="s">
        <v>255</v>
      </c>
      <c r="AM252" s="889"/>
      <c r="AN252" s="891"/>
      <c r="AO252" s="888"/>
      <c r="AP252" s="891"/>
      <c r="AQ252" s="891"/>
      <c r="AR252" s="889"/>
      <c r="AS252" s="888"/>
      <c r="AT252" s="888"/>
      <c r="AU252" s="890"/>
      <c r="AV252" s="888"/>
      <c r="AW252" s="888"/>
      <c r="AX252" s="888"/>
      <c r="AY252" s="887"/>
      <c r="AZ252" s="888"/>
      <c r="BA252" s="17">
        <f t="shared" si="1122"/>
        <v>14.399999999999991</v>
      </c>
      <c r="BB252" s="17">
        <f t="shared" si="1123"/>
        <v>37.799999999999997</v>
      </c>
      <c r="BC252" s="17">
        <f t="shared" si="1124"/>
        <v>32</v>
      </c>
      <c r="BD252" s="17">
        <f t="shared" si="1125"/>
        <v>85</v>
      </c>
      <c r="BE252" s="17">
        <f t="shared" si="1126"/>
        <v>180.86341983910182</v>
      </c>
      <c r="BF252" s="17">
        <f t="shared" si="1127"/>
        <v>24</v>
      </c>
      <c r="BG252" s="17">
        <f t="shared" si="1128"/>
        <v>50</v>
      </c>
      <c r="BH252" s="17">
        <f t="shared" si="1129"/>
        <v>65.062647806544774</v>
      </c>
      <c r="BI252" s="17">
        <f t="shared" si="1130"/>
        <v>115.80077203255705</v>
      </c>
      <c r="BJ252" s="17">
        <f t="shared" si="1131"/>
        <v>45</v>
      </c>
      <c r="BK252" s="17">
        <f t="shared" si="1132"/>
        <v>85</v>
      </c>
      <c r="BL252" s="17">
        <f t="shared" si="1133"/>
        <v>380.54120080897206</v>
      </c>
      <c r="BM252" s="17">
        <f t="shared" si="1134"/>
        <v>24</v>
      </c>
      <c r="BN252" s="17">
        <f t="shared" si="1135"/>
        <v>50</v>
      </c>
      <c r="BO252" s="17">
        <f t="shared" si="1136"/>
        <v>65.062647806544774</v>
      </c>
      <c r="BP252" s="17">
        <f t="shared" si="1137"/>
        <v>315.4785530024273</v>
      </c>
      <c r="BQ252" s="17">
        <f t="shared" si="1138"/>
        <v>3777.6896639999995</v>
      </c>
      <c r="BR252" s="17">
        <f t="shared" si="1139"/>
        <v>1439.1198719999991</v>
      </c>
      <c r="BS252" s="17">
        <f t="shared" si="1140"/>
        <v>292.84415999999976</v>
      </c>
      <c r="BT252" s="17">
        <f t="shared" si="1141"/>
        <v>768.71591999999987</v>
      </c>
      <c r="BU252" s="17">
        <f t="shared" si="1142"/>
        <v>23269.68</v>
      </c>
      <c r="BV252" s="17">
        <f t="shared" si="1143"/>
        <v>10236</v>
      </c>
      <c r="BW252" s="17">
        <f t="shared" si="1144"/>
        <v>269.84143199999994</v>
      </c>
      <c r="BX252" s="17">
        <f t="shared" si="1145"/>
        <v>17495.999999999989</v>
      </c>
      <c r="BY252" s="17">
        <f t="shared" si="1146"/>
        <v>2904.6392266751996</v>
      </c>
      <c r="BZ252" s="17"/>
      <c r="CA252" s="17">
        <f t="shared" si="1147"/>
        <v>85810.166416660228</v>
      </c>
      <c r="CB252" s="17">
        <f t="shared" si="1148"/>
        <v>241341.0930468569</v>
      </c>
      <c r="CC252" s="17">
        <f t="shared" si="1149"/>
        <v>15263.544448201927</v>
      </c>
      <c r="CD252" s="17">
        <f t="shared" si="1150"/>
        <v>137371.90003381731</v>
      </c>
      <c r="CE252" s="17">
        <f t="shared" si="1151"/>
        <v>57953.850322675185</v>
      </c>
      <c r="CF252" s="17">
        <f t="shared" si="1152"/>
        <v>479786.7039455364</v>
      </c>
      <c r="CG252" s="17">
        <f t="shared" si="1153"/>
        <v>537740.55426821159</v>
      </c>
      <c r="CH252" s="17">
        <f t="shared" si="1154"/>
        <v>14.400000000000006</v>
      </c>
      <c r="CI252" s="17">
        <f t="shared" si="1155"/>
        <v>-43.2</v>
      </c>
      <c r="CJ252" s="17">
        <f t="shared" si="1156"/>
        <v>16</v>
      </c>
      <c r="CK252" s="17">
        <f t="shared" si="1157"/>
        <v>90</v>
      </c>
      <c r="CL252" s="17">
        <f t="shared" si="1158"/>
        <v>71.46880726181422</v>
      </c>
      <c r="CM252" s="17">
        <f t="shared" si="1159"/>
        <v>24</v>
      </c>
      <c r="CN252" s="17">
        <f t="shared" si="1160"/>
        <v>50</v>
      </c>
      <c r="CO252" s="17">
        <f t="shared" si="1161"/>
        <v>65.062647806544774</v>
      </c>
      <c r="CP252" s="17">
        <f t="shared" si="1162"/>
        <v>6.4061594552694459</v>
      </c>
      <c r="CQ252" s="17">
        <f t="shared" si="1163"/>
        <v>0</v>
      </c>
      <c r="CR252" s="17">
        <f t="shared" si="1164"/>
        <v>100</v>
      </c>
      <c r="CS252" s="17">
        <f t="shared" si="1165"/>
        <v>26.404773030064671</v>
      </c>
      <c r="CT252" s="17">
        <f t="shared" si="1166"/>
        <v>24</v>
      </c>
      <c r="CU252" s="17">
        <f t="shared" si="1167"/>
        <v>50</v>
      </c>
      <c r="CV252" s="17">
        <f t="shared" si="1168"/>
        <v>65.062647806544774</v>
      </c>
      <c r="CW252" s="17">
        <f t="shared" si="1169"/>
        <v>-38.657874776480099</v>
      </c>
      <c r="CX252" s="17">
        <f t="shared" si="1107"/>
        <v>-4317.3596159999997</v>
      </c>
      <c r="CY252" s="17">
        <f t="shared" si="1107"/>
        <v>-4317.3596159999997</v>
      </c>
      <c r="CZ252" s="17">
        <f t="shared" si="1170"/>
        <v>292.8441600000001</v>
      </c>
      <c r="DA252" s="17">
        <f t="shared" si="1171"/>
        <v>-878.53247999999996</v>
      </c>
      <c r="DB252" s="17">
        <f t="shared" si="1172"/>
        <v>-26593.920000000002</v>
      </c>
      <c r="DC252" s="17">
        <f t="shared" si="1173"/>
        <v>10236</v>
      </c>
      <c r="DD252" s="17">
        <f t="shared" si="1174"/>
        <v>269.84143199999994</v>
      </c>
      <c r="DE252" s="17">
        <f t="shared" si="1175"/>
        <v>17496.000000000007</v>
      </c>
      <c r="DF252" s="17">
        <f t="shared" si="1176"/>
        <v>-3319.5876876288003</v>
      </c>
      <c r="DG252" s="17"/>
      <c r="DH252" s="17">
        <f t="shared" si="1177"/>
        <v>-10514.941939202587</v>
      </c>
      <c r="DI252" s="17">
        <f t="shared" si="1178"/>
        <v>-29573.274204007277</v>
      </c>
      <c r="DJ252" s="17">
        <f t="shared" si="1179"/>
        <v>-1870.3527840743209</v>
      </c>
      <c r="DK252" s="17">
        <f t="shared" si="1180"/>
        <v>2789.4964266657994</v>
      </c>
      <c r="DL252" s="17">
        <f t="shared" si="1181"/>
        <v>-6814.7141916287928</v>
      </c>
      <c r="DM252" s="17">
        <f t="shared" si="1182"/>
        <v>-39169.072500618386</v>
      </c>
      <c r="DN252" s="17">
        <f t="shared" si="1183"/>
        <v>-45983.78669224718</v>
      </c>
    </row>
    <row r="253" spans="3:120" ht="18.600000000000001">
      <c r="C253" s="13">
        <f>IF(D253&lt;&gt;"",COUNTA($D$10:D253),"")</f>
        <v>208</v>
      </c>
      <c r="D253" s="14" t="s">
        <v>203</v>
      </c>
      <c r="E253" s="14">
        <v>2.1</v>
      </c>
      <c r="F253" s="14">
        <v>3.5</v>
      </c>
      <c r="G253" s="14">
        <v>2.4</v>
      </c>
      <c r="H253" s="14">
        <v>0</v>
      </c>
      <c r="I253" s="14">
        <v>1</v>
      </c>
      <c r="J253" s="14">
        <v>1.75</v>
      </c>
      <c r="K253" s="14">
        <v>3</v>
      </c>
      <c r="L253" s="15">
        <v>0.1</v>
      </c>
      <c r="M253" s="15">
        <v>0</v>
      </c>
      <c r="N253" s="14">
        <v>24</v>
      </c>
      <c r="O253" s="14">
        <v>50</v>
      </c>
      <c r="P253" s="13">
        <v>45</v>
      </c>
      <c r="Q253" s="13">
        <v>85</v>
      </c>
      <c r="R253" s="13" t="s">
        <v>17</v>
      </c>
      <c r="S253" s="13">
        <v>120</v>
      </c>
      <c r="T253" s="13">
        <v>0</v>
      </c>
      <c r="U253" s="13">
        <v>100</v>
      </c>
      <c r="V253" s="13" t="str">
        <f t="shared" si="1108"/>
        <v>ISO 6</v>
      </c>
      <c r="W253" s="13">
        <f t="shared" si="1109"/>
        <v>120</v>
      </c>
      <c r="X253" s="16">
        <f t="shared" si="1110"/>
        <v>79.085999999999999</v>
      </c>
      <c r="Y253" s="16">
        <f t="shared" si="1111"/>
        <v>622.56499199999996</v>
      </c>
      <c r="Z253" s="16">
        <f t="shared" si="1112"/>
        <v>1245.1299839999999</v>
      </c>
      <c r="AA253" s="16">
        <f t="shared" si="1113"/>
        <v>124.5129984</v>
      </c>
      <c r="AB253" s="16">
        <f t="shared" si="1114"/>
        <v>0</v>
      </c>
      <c r="AC253" s="16">
        <f t="shared" si="1115"/>
        <v>11.454213200559018</v>
      </c>
      <c r="AD253" s="16">
        <f t="shared" si="1116"/>
        <v>2375</v>
      </c>
      <c r="AE253" s="16">
        <f t="shared" si="1117"/>
        <v>2375</v>
      </c>
      <c r="AF253" s="16">
        <f t="shared" si="1118"/>
        <v>14</v>
      </c>
      <c r="AG253" s="16">
        <f t="shared" si="1119"/>
        <v>6</v>
      </c>
      <c r="AH253" s="838" t="s">
        <v>85</v>
      </c>
      <c r="AI253" s="17">
        <f t="shared" si="1120"/>
        <v>3</v>
      </c>
      <c r="AJ253" s="17">
        <f t="shared" si="1121"/>
        <v>6</v>
      </c>
      <c r="AK253" s="891"/>
      <c r="AL253" s="18">
        <f>IF(AK250&lt;=2000,950,(IF(AK250&lt;=4000,1100,(IF(AK250&lt;=6000,1250,(IF(AK250&lt;=10000,1550,(IF(AK250&lt;=15000,1750,(IF(AK250&lt;=24000,2050,(IF(AK250&lt;=40000,2900,3600)))))))))))))</f>
        <v>3600</v>
      </c>
      <c r="AM253" s="889"/>
      <c r="AN253" s="891"/>
      <c r="AO253" s="888"/>
      <c r="AP253" s="891"/>
      <c r="AQ253" s="891"/>
      <c r="AR253" s="889"/>
      <c r="AS253" s="888"/>
      <c r="AT253" s="888"/>
      <c r="AU253" s="890"/>
      <c r="AV253" s="888"/>
      <c r="AW253" s="888"/>
      <c r="AX253" s="888"/>
      <c r="AY253" s="887"/>
      <c r="AZ253" s="888"/>
      <c r="BA253" s="17">
        <f t="shared" si="1122"/>
        <v>14.399999999999991</v>
      </c>
      <c r="BB253" s="17">
        <f t="shared" si="1123"/>
        <v>37.799999999999997</v>
      </c>
      <c r="BC253" s="17">
        <f t="shared" si="1124"/>
        <v>32</v>
      </c>
      <c r="BD253" s="17">
        <f t="shared" si="1125"/>
        <v>85</v>
      </c>
      <c r="BE253" s="17">
        <f t="shared" si="1126"/>
        <v>180.86341983910182</v>
      </c>
      <c r="BF253" s="17">
        <f t="shared" si="1127"/>
        <v>24</v>
      </c>
      <c r="BG253" s="17">
        <f t="shared" si="1128"/>
        <v>50</v>
      </c>
      <c r="BH253" s="17">
        <f t="shared" si="1129"/>
        <v>65.062647806544774</v>
      </c>
      <c r="BI253" s="17">
        <f t="shared" si="1130"/>
        <v>115.80077203255705</v>
      </c>
      <c r="BJ253" s="17">
        <f t="shared" si="1131"/>
        <v>45</v>
      </c>
      <c r="BK253" s="17">
        <f t="shared" si="1132"/>
        <v>85</v>
      </c>
      <c r="BL253" s="17">
        <f t="shared" si="1133"/>
        <v>380.54120080897206</v>
      </c>
      <c r="BM253" s="17">
        <f t="shared" si="1134"/>
        <v>24</v>
      </c>
      <c r="BN253" s="17">
        <f t="shared" si="1135"/>
        <v>50</v>
      </c>
      <c r="BO253" s="17">
        <f t="shared" si="1136"/>
        <v>65.062647806544774</v>
      </c>
      <c r="BP253" s="17">
        <f t="shared" si="1137"/>
        <v>315.4785530024273</v>
      </c>
      <c r="BQ253" s="17">
        <f t="shared" si="1138"/>
        <v>4919.7818879999995</v>
      </c>
      <c r="BR253" s="17">
        <f t="shared" si="1139"/>
        <v>1874.2026239999989</v>
      </c>
      <c r="BS253" s="17">
        <f t="shared" si="1140"/>
        <v>512.47727999999972</v>
      </c>
      <c r="BT253" s="17">
        <f t="shared" si="1141"/>
        <v>1345.2528599999998</v>
      </c>
      <c r="BU253" s="17">
        <f t="shared" si="1142"/>
        <v>0</v>
      </c>
      <c r="BV253" s="17">
        <f t="shared" si="1143"/>
        <v>3412</v>
      </c>
      <c r="BW253" s="17">
        <f t="shared" si="1144"/>
        <v>472.22250599999995</v>
      </c>
      <c r="BX253" s="17">
        <f t="shared" si="1145"/>
        <v>17495.999999999989</v>
      </c>
      <c r="BY253" s="17">
        <f t="shared" si="1146"/>
        <v>5083.1186466815998</v>
      </c>
      <c r="BZ253" s="17"/>
      <c r="CA253" s="17">
        <f t="shared" si="1147"/>
        <v>0</v>
      </c>
      <c r="CB253" s="17">
        <f t="shared" si="1148"/>
        <v>241341.0930468569</v>
      </c>
      <c r="CC253" s="17">
        <f t="shared" si="1149"/>
        <v>26711.202784353376</v>
      </c>
      <c r="CD253" s="17">
        <f t="shared" si="1150"/>
        <v>240400.82505918032</v>
      </c>
      <c r="CE253" s="17">
        <f t="shared" si="1151"/>
        <v>31383.123040681588</v>
      </c>
      <c r="CF253" s="17">
        <f t="shared" si="1152"/>
        <v>508453.12089039059</v>
      </c>
      <c r="CG253" s="17">
        <f t="shared" si="1153"/>
        <v>539836.24393107218</v>
      </c>
      <c r="CH253" s="17">
        <f t="shared" si="1154"/>
        <v>14.400000000000006</v>
      </c>
      <c r="CI253" s="17">
        <f t="shared" si="1155"/>
        <v>-43.2</v>
      </c>
      <c r="CJ253" s="17">
        <f t="shared" si="1156"/>
        <v>16</v>
      </c>
      <c r="CK253" s="17">
        <f t="shared" si="1157"/>
        <v>90</v>
      </c>
      <c r="CL253" s="17">
        <f t="shared" si="1158"/>
        <v>71.46880726181422</v>
      </c>
      <c r="CM253" s="17">
        <f t="shared" si="1159"/>
        <v>24</v>
      </c>
      <c r="CN253" s="17">
        <f t="shared" si="1160"/>
        <v>50</v>
      </c>
      <c r="CO253" s="17">
        <f t="shared" si="1161"/>
        <v>65.062647806544774</v>
      </c>
      <c r="CP253" s="17">
        <f t="shared" si="1162"/>
        <v>6.4061594552694459</v>
      </c>
      <c r="CQ253" s="17">
        <f t="shared" si="1163"/>
        <v>0</v>
      </c>
      <c r="CR253" s="17">
        <f t="shared" si="1164"/>
        <v>100</v>
      </c>
      <c r="CS253" s="17">
        <f t="shared" si="1165"/>
        <v>26.404773030064671</v>
      </c>
      <c r="CT253" s="17">
        <f t="shared" si="1166"/>
        <v>24</v>
      </c>
      <c r="CU253" s="17">
        <f t="shared" si="1167"/>
        <v>50</v>
      </c>
      <c r="CV253" s="17">
        <f t="shared" si="1168"/>
        <v>65.062647806544774</v>
      </c>
      <c r="CW253" s="17">
        <f t="shared" si="1169"/>
        <v>-38.657874776480099</v>
      </c>
      <c r="CX253" s="17">
        <f t="shared" si="1107"/>
        <v>-5622.6078720000005</v>
      </c>
      <c r="CY253" s="17">
        <f t="shared" si="1107"/>
        <v>-5622.6078720000005</v>
      </c>
      <c r="CZ253" s="17">
        <f t="shared" si="1170"/>
        <v>512.47728000000018</v>
      </c>
      <c r="DA253" s="17">
        <f t="shared" si="1171"/>
        <v>-1537.4318400000002</v>
      </c>
      <c r="DB253" s="17">
        <f t="shared" si="1172"/>
        <v>0</v>
      </c>
      <c r="DC253" s="17">
        <f t="shared" si="1173"/>
        <v>3412</v>
      </c>
      <c r="DD253" s="17">
        <f t="shared" si="1174"/>
        <v>472.22250599999995</v>
      </c>
      <c r="DE253" s="17">
        <f t="shared" si="1175"/>
        <v>17496.000000000007</v>
      </c>
      <c r="DF253" s="17">
        <f t="shared" si="1176"/>
        <v>-5809.2784533504</v>
      </c>
      <c r="DG253" s="17"/>
      <c r="DH253" s="17">
        <f t="shared" si="1177"/>
        <v>0</v>
      </c>
      <c r="DI253" s="17">
        <f t="shared" si="1178"/>
        <v>-29573.274204007277</v>
      </c>
      <c r="DJ253" s="17">
        <f t="shared" si="1179"/>
        <v>-3273.117372130062</v>
      </c>
      <c r="DK253" s="17">
        <f t="shared" si="1180"/>
        <v>4881.618746665149</v>
      </c>
      <c r="DL253" s="17">
        <f t="shared" si="1181"/>
        <v>8923.3816206496067</v>
      </c>
      <c r="DM253" s="17">
        <f t="shared" si="1182"/>
        <v>-27964.772829472186</v>
      </c>
      <c r="DN253" s="17">
        <f t="shared" si="1183"/>
        <v>-19041.391208822577</v>
      </c>
    </row>
    <row r="254" spans="3:120" ht="18.600000000000001">
      <c r="C254" s="13">
        <f>IF(D254&lt;&gt;"",COUNTA($D$10:D254),"")</f>
        <v>209</v>
      </c>
      <c r="D254" s="14" t="s">
        <v>204</v>
      </c>
      <c r="E254" s="14">
        <v>2.7</v>
      </c>
      <c r="F254" s="14">
        <v>4</v>
      </c>
      <c r="G254" s="14">
        <v>2.4</v>
      </c>
      <c r="H254" s="14">
        <v>2</v>
      </c>
      <c r="I254" s="14">
        <v>1</v>
      </c>
      <c r="J254" s="14">
        <v>1.75</v>
      </c>
      <c r="K254" s="14">
        <v>3</v>
      </c>
      <c r="L254" s="15">
        <v>0.1</v>
      </c>
      <c r="M254" s="15">
        <v>0</v>
      </c>
      <c r="N254" s="14">
        <v>24</v>
      </c>
      <c r="O254" s="14">
        <v>50</v>
      </c>
      <c r="P254" s="13">
        <v>45</v>
      </c>
      <c r="Q254" s="13">
        <v>85</v>
      </c>
      <c r="R254" s="13" t="s">
        <v>17</v>
      </c>
      <c r="S254" s="13">
        <v>120</v>
      </c>
      <c r="T254" s="13">
        <v>0</v>
      </c>
      <c r="U254" s="13">
        <v>100</v>
      </c>
      <c r="V254" s="13" t="str">
        <f t="shared" si="1108"/>
        <v>ISO 6</v>
      </c>
      <c r="W254" s="13">
        <f t="shared" si="1109"/>
        <v>120</v>
      </c>
      <c r="X254" s="16">
        <f t="shared" si="1110"/>
        <v>116.208</v>
      </c>
      <c r="Y254" s="16">
        <f t="shared" si="1111"/>
        <v>914.78937599999995</v>
      </c>
      <c r="Z254" s="16">
        <f t="shared" si="1112"/>
        <v>1829.5787519999999</v>
      </c>
      <c r="AA254" s="16">
        <f t="shared" si="1113"/>
        <v>182.95787519999999</v>
      </c>
      <c r="AB254" s="16">
        <f t="shared" si="1114"/>
        <v>0</v>
      </c>
      <c r="AC254" s="16">
        <f t="shared" si="1115"/>
        <v>16.830680621229575</v>
      </c>
      <c r="AD254" s="16">
        <f t="shared" si="1116"/>
        <v>3375</v>
      </c>
      <c r="AE254" s="16">
        <f t="shared" si="1117"/>
        <v>3375</v>
      </c>
      <c r="AF254" s="16">
        <f t="shared" si="1118"/>
        <v>20</v>
      </c>
      <c r="AG254" s="16">
        <f t="shared" si="1119"/>
        <v>8.5</v>
      </c>
      <c r="AH254" s="838" t="s">
        <v>85</v>
      </c>
      <c r="AI254" s="17">
        <f t="shared" si="1120"/>
        <v>5</v>
      </c>
      <c r="AJ254" s="17">
        <f t="shared" si="1121"/>
        <v>8.5</v>
      </c>
      <c r="AK254" s="891"/>
      <c r="AL254" s="18" t="s">
        <v>256</v>
      </c>
      <c r="AM254" s="889"/>
      <c r="AN254" s="891"/>
      <c r="AO254" s="888"/>
      <c r="AP254" s="891"/>
      <c r="AQ254" s="891"/>
      <c r="AR254" s="889"/>
      <c r="AS254" s="888"/>
      <c r="AT254" s="888"/>
      <c r="AU254" s="890"/>
      <c r="AV254" s="888"/>
      <c r="AW254" s="888"/>
      <c r="AX254" s="888"/>
      <c r="AY254" s="887"/>
      <c r="AZ254" s="888"/>
      <c r="BA254" s="17">
        <f t="shared" si="1122"/>
        <v>14.399999999999991</v>
      </c>
      <c r="BB254" s="17">
        <f t="shared" si="1123"/>
        <v>37.799999999999997</v>
      </c>
      <c r="BC254" s="17">
        <f t="shared" si="1124"/>
        <v>32</v>
      </c>
      <c r="BD254" s="17">
        <f t="shared" si="1125"/>
        <v>85</v>
      </c>
      <c r="BE254" s="17">
        <f t="shared" si="1126"/>
        <v>180.86341983910182</v>
      </c>
      <c r="BF254" s="17">
        <f t="shared" si="1127"/>
        <v>24</v>
      </c>
      <c r="BG254" s="17">
        <f t="shared" si="1128"/>
        <v>50</v>
      </c>
      <c r="BH254" s="17">
        <f t="shared" si="1129"/>
        <v>65.062647806544774</v>
      </c>
      <c r="BI254" s="17">
        <f t="shared" si="1130"/>
        <v>115.80077203255705</v>
      </c>
      <c r="BJ254" s="17">
        <f t="shared" si="1131"/>
        <v>45</v>
      </c>
      <c r="BK254" s="17">
        <f t="shared" si="1132"/>
        <v>85</v>
      </c>
      <c r="BL254" s="17">
        <f t="shared" si="1133"/>
        <v>380.54120080897206</v>
      </c>
      <c r="BM254" s="17">
        <f t="shared" si="1134"/>
        <v>24</v>
      </c>
      <c r="BN254" s="17">
        <f t="shared" si="1135"/>
        <v>50</v>
      </c>
      <c r="BO254" s="17">
        <f t="shared" si="1136"/>
        <v>65.062647806544774</v>
      </c>
      <c r="BP254" s="17">
        <f t="shared" si="1137"/>
        <v>315.4785530024273</v>
      </c>
      <c r="BQ254" s="17">
        <f t="shared" si="1138"/>
        <v>5886.1676159999997</v>
      </c>
      <c r="BR254" s="17">
        <f t="shared" si="1139"/>
        <v>2242.3495679999987</v>
      </c>
      <c r="BS254" s="17">
        <f t="shared" si="1140"/>
        <v>753.02783999999963</v>
      </c>
      <c r="BT254" s="17">
        <f t="shared" si="1141"/>
        <v>1976.6980799999997</v>
      </c>
      <c r="BU254" s="17">
        <f t="shared" si="1142"/>
        <v>23269.68</v>
      </c>
      <c r="BV254" s="17">
        <f t="shared" si="1143"/>
        <v>3412</v>
      </c>
      <c r="BW254" s="17">
        <f t="shared" si="1144"/>
        <v>693.87796800000001</v>
      </c>
      <c r="BX254" s="17">
        <f t="shared" si="1145"/>
        <v>17495.999999999989</v>
      </c>
      <c r="BY254" s="17">
        <f t="shared" si="1146"/>
        <v>7469.0722971647992</v>
      </c>
      <c r="BZ254" s="17"/>
      <c r="CA254" s="17">
        <f t="shared" si="1147"/>
        <v>85810.166416660228</v>
      </c>
      <c r="CB254" s="17">
        <f t="shared" si="1148"/>
        <v>241341.0930468569</v>
      </c>
      <c r="CC254" s="17">
        <f t="shared" si="1149"/>
        <v>39249.114295376385</v>
      </c>
      <c r="CD254" s="17">
        <f t="shared" si="1150"/>
        <v>353242.02865838748</v>
      </c>
      <c r="CE254" s="17">
        <f t="shared" si="1151"/>
        <v>58226.797881164784</v>
      </c>
      <c r="CF254" s="17">
        <f t="shared" si="1152"/>
        <v>719642.40241728094</v>
      </c>
      <c r="CG254" s="17">
        <f t="shared" si="1153"/>
        <v>777869.20029844576</v>
      </c>
      <c r="CH254" s="17">
        <f t="shared" si="1154"/>
        <v>14.400000000000006</v>
      </c>
      <c r="CI254" s="17">
        <f t="shared" si="1155"/>
        <v>-43.2</v>
      </c>
      <c r="CJ254" s="17">
        <f t="shared" si="1156"/>
        <v>16</v>
      </c>
      <c r="CK254" s="17">
        <f t="shared" si="1157"/>
        <v>90</v>
      </c>
      <c r="CL254" s="17">
        <f t="shared" si="1158"/>
        <v>71.46880726181422</v>
      </c>
      <c r="CM254" s="17">
        <f t="shared" si="1159"/>
        <v>24</v>
      </c>
      <c r="CN254" s="17">
        <f t="shared" si="1160"/>
        <v>50</v>
      </c>
      <c r="CO254" s="17">
        <f t="shared" si="1161"/>
        <v>65.062647806544774</v>
      </c>
      <c r="CP254" s="17">
        <f t="shared" si="1162"/>
        <v>6.4061594552694459</v>
      </c>
      <c r="CQ254" s="17">
        <f t="shared" si="1163"/>
        <v>0</v>
      </c>
      <c r="CR254" s="17">
        <f t="shared" si="1164"/>
        <v>100</v>
      </c>
      <c r="CS254" s="17">
        <f t="shared" si="1165"/>
        <v>26.404773030064671</v>
      </c>
      <c r="CT254" s="17">
        <f t="shared" si="1166"/>
        <v>24</v>
      </c>
      <c r="CU254" s="17">
        <f t="shared" si="1167"/>
        <v>50</v>
      </c>
      <c r="CV254" s="17">
        <f t="shared" si="1168"/>
        <v>65.062647806544774</v>
      </c>
      <c r="CW254" s="17">
        <f t="shared" si="1169"/>
        <v>-38.657874776480099</v>
      </c>
      <c r="CX254" s="17">
        <f t="shared" si="1107"/>
        <v>-6727.0487040000007</v>
      </c>
      <c r="CY254" s="17">
        <f t="shared" si="1107"/>
        <v>-6727.0487040000007</v>
      </c>
      <c r="CZ254" s="17">
        <f t="shared" si="1170"/>
        <v>753.02784000000031</v>
      </c>
      <c r="DA254" s="17">
        <f t="shared" si="1171"/>
        <v>-2259.0835200000006</v>
      </c>
      <c r="DB254" s="17">
        <f t="shared" si="1172"/>
        <v>-26593.920000000002</v>
      </c>
      <c r="DC254" s="17">
        <f t="shared" si="1173"/>
        <v>3412</v>
      </c>
      <c r="DD254" s="17">
        <f t="shared" si="1174"/>
        <v>693.87796800000001</v>
      </c>
      <c r="DE254" s="17">
        <f t="shared" si="1175"/>
        <v>17496.000000000007</v>
      </c>
      <c r="DF254" s="17">
        <f t="shared" si="1176"/>
        <v>-8536.0826253312007</v>
      </c>
      <c r="DG254" s="17"/>
      <c r="DH254" s="17">
        <f t="shared" si="1177"/>
        <v>-10514.941939202587</v>
      </c>
      <c r="DI254" s="17">
        <f t="shared" si="1178"/>
        <v>-29573.274204007277</v>
      </c>
      <c r="DJ254" s="17">
        <f t="shared" si="1179"/>
        <v>-4809.478587619682</v>
      </c>
      <c r="DK254" s="17">
        <f t="shared" si="1180"/>
        <v>7172.9908114263426</v>
      </c>
      <c r="DL254" s="17">
        <f t="shared" si="1181"/>
        <v>-21761.229041331197</v>
      </c>
      <c r="DM254" s="17">
        <f t="shared" si="1182"/>
        <v>-37724.703919403204</v>
      </c>
      <c r="DN254" s="17">
        <f t="shared" si="1183"/>
        <v>-59485.932960734397</v>
      </c>
    </row>
    <row r="255" spans="3:120" ht="18.600000000000001">
      <c r="C255" s="13">
        <f>IF(D255&lt;&gt;"",COUNTA($D$10:D255),"")</f>
        <v>210</v>
      </c>
      <c r="D255" s="14" t="s">
        <v>205</v>
      </c>
      <c r="E255" s="14">
        <v>3.8</v>
      </c>
      <c r="F255" s="14">
        <v>4.2</v>
      </c>
      <c r="G255" s="14">
        <v>2.4</v>
      </c>
      <c r="H255" s="14">
        <v>3</v>
      </c>
      <c r="I255" s="14">
        <v>3</v>
      </c>
      <c r="J255" s="14">
        <v>1.75</v>
      </c>
      <c r="K255" s="14">
        <v>3</v>
      </c>
      <c r="L255" s="15">
        <v>0.1</v>
      </c>
      <c r="M255" s="15">
        <v>0</v>
      </c>
      <c r="N255" s="14">
        <v>24</v>
      </c>
      <c r="O255" s="14">
        <v>50</v>
      </c>
      <c r="P255" s="13">
        <v>45</v>
      </c>
      <c r="Q255" s="13">
        <v>85</v>
      </c>
      <c r="R255" s="13" t="s">
        <v>17</v>
      </c>
      <c r="S255" s="13">
        <v>120</v>
      </c>
      <c r="T255" s="13">
        <v>0</v>
      </c>
      <c r="U255" s="13">
        <v>100</v>
      </c>
      <c r="V255" s="13" t="str">
        <f t="shared" si="1108"/>
        <v>ISO 6</v>
      </c>
      <c r="W255" s="13">
        <f t="shared" si="1109"/>
        <v>120</v>
      </c>
      <c r="X255" s="16">
        <f t="shared" si="1110"/>
        <v>171.72959999999998</v>
      </c>
      <c r="Y255" s="16">
        <f t="shared" si="1111"/>
        <v>1351.8554111999997</v>
      </c>
      <c r="Z255" s="16">
        <f t="shared" si="1112"/>
        <v>2703.7108223999994</v>
      </c>
      <c r="AA255" s="16">
        <f t="shared" si="1113"/>
        <v>270.37108223999996</v>
      </c>
      <c r="AB255" s="16">
        <f t="shared" si="1114"/>
        <v>0</v>
      </c>
      <c r="AC255" s="16">
        <f t="shared" si="1115"/>
        <v>24.872005806928151</v>
      </c>
      <c r="AD255" s="16">
        <f t="shared" si="1116"/>
        <v>4450</v>
      </c>
      <c r="AE255" s="16">
        <f t="shared" si="1117"/>
        <v>4450</v>
      </c>
      <c r="AF255" s="16">
        <f t="shared" si="1118"/>
        <v>26</v>
      </c>
      <c r="AG255" s="16">
        <f t="shared" si="1119"/>
        <v>11.5</v>
      </c>
      <c r="AH255" s="838" t="s">
        <v>85</v>
      </c>
      <c r="AI255" s="17">
        <f t="shared" si="1120"/>
        <v>7</v>
      </c>
      <c r="AJ255" s="17">
        <f t="shared" si="1121"/>
        <v>11.5</v>
      </c>
      <c r="AK255" s="891"/>
      <c r="AL255" s="18">
        <f>IF(AL259&lt;4000,AL259,AL259+400)</f>
        <v>5800</v>
      </c>
      <c r="AM255" s="889"/>
      <c r="AN255" s="891"/>
      <c r="AO255" s="888"/>
      <c r="AP255" s="891"/>
      <c r="AQ255" s="891"/>
      <c r="AR255" s="889"/>
      <c r="AS255" s="888"/>
      <c r="AT255" s="888"/>
      <c r="AU255" s="890"/>
      <c r="AV255" s="888"/>
      <c r="AW255" s="888"/>
      <c r="AX255" s="888"/>
      <c r="AY255" s="887"/>
      <c r="AZ255" s="888"/>
      <c r="BA255" s="17">
        <f t="shared" si="1122"/>
        <v>14.399999999999991</v>
      </c>
      <c r="BB255" s="17">
        <f t="shared" si="1123"/>
        <v>37.799999999999997</v>
      </c>
      <c r="BC255" s="17">
        <f t="shared" si="1124"/>
        <v>32</v>
      </c>
      <c r="BD255" s="17">
        <f t="shared" si="1125"/>
        <v>85</v>
      </c>
      <c r="BE255" s="17">
        <f t="shared" si="1126"/>
        <v>180.86341983910182</v>
      </c>
      <c r="BF255" s="17">
        <f t="shared" si="1127"/>
        <v>24</v>
      </c>
      <c r="BG255" s="17">
        <f t="shared" si="1128"/>
        <v>50</v>
      </c>
      <c r="BH255" s="17">
        <f t="shared" si="1129"/>
        <v>65.062647806544774</v>
      </c>
      <c r="BI255" s="17">
        <f t="shared" si="1130"/>
        <v>115.80077203255705</v>
      </c>
      <c r="BJ255" s="17">
        <f t="shared" si="1131"/>
        <v>45</v>
      </c>
      <c r="BK255" s="17">
        <f t="shared" si="1132"/>
        <v>85</v>
      </c>
      <c r="BL255" s="17">
        <f t="shared" si="1133"/>
        <v>380.54120080897206</v>
      </c>
      <c r="BM255" s="17">
        <f t="shared" si="1134"/>
        <v>24</v>
      </c>
      <c r="BN255" s="17">
        <f t="shared" si="1135"/>
        <v>50</v>
      </c>
      <c r="BO255" s="17">
        <f t="shared" si="1136"/>
        <v>65.062647806544774</v>
      </c>
      <c r="BP255" s="17">
        <f t="shared" si="1137"/>
        <v>315.4785530024273</v>
      </c>
      <c r="BQ255" s="17">
        <f t="shared" si="1138"/>
        <v>7028.2598399999997</v>
      </c>
      <c r="BR255" s="17">
        <f t="shared" si="1139"/>
        <v>2677.4323199999981</v>
      </c>
      <c r="BS255" s="17">
        <f t="shared" si="1140"/>
        <v>1112.8078079999991</v>
      </c>
      <c r="BT255" s="17">
        <f t="shared" si="1141"/>
        <v>2921.1204959999995</v>
      </c>
      <c r="BU255" s="17">
        <f t="shared" si="1142"/>
        <v>34904.520000000004</v>
      </c>
      <c r="BV255" s="17">
        <f t="shared" si="1143"/>
        <v>10236</v>
      </c>
      <c r="BW255" s="17">
        <f t="shared" si="1144"/>
        <v>1025.3974415999999</v>
      </c>
      <c r="BX255" s="17">
        <f t="shared" si="1145"/>
        <v>17495.999999999989</v>
      </c>
      <c r="BY255" s="17">
        <f t="shared" si="1146"/>
        <v>11037.62906136576</v>
      </c>
      <c r="BZ255" s="17"/>
      <c r="CA255" s="17">
        <f t="shared" si="1147"/>
        <v>128715.24962499036</v>
      </c>
      <c r="CB255" s="17">
        <f t="shared" si="1148"/>
        <v>241341.0930468569</v>
      </c>
      <c r="CC255" s="17">
        <f t="shared" si="1149"/>
        <v>58001.468903167319</v>
      </c>
      <c r="CD255" s="17">
        <f t="shared" si="1150"/>
        <v>522013.22012850584</v>
      </c>
      <c r="CE255" s="17">
        <f t="shared" si="1151"/>
        <v>81727.806342965749</v>
      </c>
      <c r="CF255" s="17">
        <f t="shared" si="1152"/>
        <v>950071.03170352045</v>
      </c>
      <c r="CG255" s="17">
        <f t="shared" si="1153"/>
        <v>1031798.8380464863</v>
      </c>
      <c r="CH255" s="17">
        <f t="shared" si="1154"/>
        <v>14.400000000000006</v>
      </c>
      <c r="CI255" s="17">
        <f t="shared" si="1155"/>
        <v>-43.2</v>
      </c>
      <c r="CJ255" s="17">
        <f t="shared" si="1156"/>
        <v>16</v>
      </c>
      <c r="CK255" s="17">
        <f t="shared" si="1157"/>
        <v>90</v>
      </c>
      <c r="CL255" s="17">
        <f t="shared" si="1158"/>
        <v>71.46880726181422</v>
      </c>
      <c r="CM255" s="17">
        <f t="shared" si="1159"/>
        <v>24</v>
      </c>
      <c r="CN255" s="17">
        <f t="shared" si="1160"/>
        <v>50</v>
      </c>
      <c r="CO255" s="17">
        <f t="shared" si="1161"/>
        <v>65.062647806544774</v>
      </c>
      <c r="CP255" s="17">
        <f t="shared" si="1162"/>
        <v>6.4061594552694459</v>
      </c>
      <c r="CQ255" s="17">
        <f t="shared" si="1163"/>
        <v>0</v>
      </c>
      <c r="CR255" s="17">
        <f t="shared" si="1164"/>
        <v>100</v>
      </c>
      <c r="CS255" s="17">
        <f t="shared" si="1165"/>
        <v>26.404773030064671</v>
      </c>
      <c r="CT255" s="17">
        <f t="shared" si="1166"/>
        <v>24</v>
      </c>
      <c r="CU255" s="17">
        <f t="shared" si="1167"/>
        <v>50</v>
      </c>
      <c r="CV255" s="17">
        <f t="shared" si="1168"/>
        <v>65.062647806544774</v>
      </c>
      <c r="CW255" s="17">
        <f t="shared" si="1169"/>
        <v>-38.657874776480099</v>
      </c>
      <c r="CX255" s="17">
        <f t="shared" si="1107"/>
        <v>-8032.2969600000006</v>
      </c>
      <c r="CY255" s="17">
        <f t="shared" si="1107"/>
        <v>-8032.2969600000006</v>
      </c>
      <c r="CZ255" s="17">
        <f t="shared" si="1170"/>
        <v>1112.8078080000003</v>
      </c>
      <c r="DA255" s="17">
        <f t="shared" si="1171"/>
        <v>-3338.4234240000001</v>
      </c>
      <c r="DB255" s="17">
        <f t="shared" si="1172"/>
        <v>-39890.880000000005</v>
      </c>
      <c r="DC255" s="17">
        <f t="shared" si="1173"/>
        <v>10236</v>
      </c>
      <c r="DD255" s="17">
        <f t="shared" si="1174"/>
        <v>1025.3974415999999</v>
      </c>
      <c r="DE255" s="17">
        <f t="shared" si="1175"/>
        <v>17496.000000000007</v>
      </c>
      <c r="DF255" s="17">
        <f t="shared" si="1176"/>
        <v>-12614.433212989441</v>
      </c>
      <c r="DG255" s="17"/>
      <c r="DH255" s="17">
        <f t="shared" si="1177"/>
        <v>-15772.412908803883</v>
      </c>
      <c r="DI255" s="17">
        <f t="shared" si="1178"/>
        <v>-29573.274204007277</v>
      </c>
      <c r="DJ255" s="17">
        <f t="shared" si="1179"/>
        <v>-7107.3405794824193</v>
      </c>
      <c r="DK255" s="17">
        <f t="shared" si="1180"/>
        <v>10600.086421330037</v>
      </c>
      <c r="DL255" s="17">
        <f t="shared" si="1181"/>
        <v>-34005.828347389441</v>
      </c>
      <c r="DM255" s="17">
        <f t="shared" si="1182"/>
        <v>-41852.941270963544</v>
      </c>
      <c r="DN255" s="17">
        <f t="shared" si="1183"/>
        <v>-75858.769618352992</v>
      </c>
    </row>
    <row r="256" spans="3:120" ht="18.600000000000001">
      <c r="C256" s="13">
        <f>IF(D256&lt;&gt;"",COUNTA($D$10:D256),"")</f>
        <v>211</v>
      </c>
      <c r="D256" s="14" t="s">
        <v>206</v>
      </c>
      <c r="E256" s="14">
        <v>3.1</v>
      </c>
      <c r="F256" s="14">
        <v>2.6</v>
      </c>
      <c r="G256" s="14">
        <v>2.4</v>
      </c>
      <c r="H256" s="14">
        <v>2</v>
      </c>
      <c r="I256" s="14">
        <v>1</v>
      </c>
      <c r="J256" s="14">
        <v>1.75</v>
      </c>
      <c r="K256" s="14">
        <v>3</v>
      </c>
      <c r="L256" s="15">
        <v>0.1</v>
      </c>
      <c r="M256" s="15">
        <v>0</v>
      </c>
      <c r="N256" s="14">
        <v>24</v>
      </c>
      <c r="O256" s="14">
        <v>50</v>
      </c>
      <c r="P256" s="13">
        <v>45</v>
      </c>
      <c r="Q256" s="13">
        <v>85</v>
      </c>
      <c r="R256" s="13" t="s">
        <v>17</v>
      </c>
      <c r="S256" s="13">
        <v>120</v>
      </c>
      <c r="T256" s="13">
        <v>0</v>
      </c>
      <c r="U256" s="13">
        <v>100</v>
      </c>
      <c r="V256" s="13" t="str">
        <f t="shared" si="1108"/>
        <v>ISO 6</v>
      </c>
      <c r="W256" s="13">
        <f t="shared" si="1109"/>
        <v>120</v>
      </c>
      <c r="X256" s="16">
        <f t="shared" si="1110"/>
        <v>86.7256</v>
      </c>
      <c r="Y256" s="16">
        <f t="shared" si="1111"/>
        <v>682.70392319999996</v>
      </c>
      <c r="Z256" s="16">
        <f t="shared" si="1112"/>
        <v>1365.4078463999999</v>
      </c>
      <c r="AA256" s="16">
        <f t="shared" si="1113"/>
        <v>136.54078464</v>
      </c>
      <c r="AB256" s="16">
        <f t="shared" si="1114"/>
        <v>0</v>
      </c>
      <c r="AC256" s="16">
        <f t="shared" si="1115"/>
        <v>12.560674611769482</v>
      </c>
      <c r="AD256" s="16">
        <f t="shared" si="1116"/>
        <v>2900</v>
      </c>
      <c r="AE256" s="16">
        <f t="shared" si="1117"/>
        <v>2900</v>
      </c>
      <c r="AF256" s="16">
        <f t="shared" si="1118"/>
        <v>18</v>
      </c>
      <c r="AG256" s="16">
        <f t="shared" si="1119"/>
        <v>7.5</v>
      </c>
      <c r="AH256" s="838" t="s">
        <v>85</v>
      </c>
      <c r="AI256" s="17">
        <f t="shared" si="1120"/>
        <v>5</v>
      </c>
      <c r="AJ256" s="17">
        <f t="shared" si="1121"/>
        <v>7.5</v>
      </c>
      <c r="AK256" s="891"/>
      <c r="AL256" s="18"/>
      <c r="AM256" s="889"/>
      <c r="AN256" s="891"/>
      <c r="AO256" s="888"/>
      <c r="AP256" s="891"/>
      <c r="AQ256" s="891"/>
      <c r="AR256" s="889"/>
      <c r="AS256" s="888"/>
      <c r="AT256" s="888"/>
      <c r="AU256" s="890"/>
      <c r="AV256" s="888"/>
      <c r="AW256" s="888"/>
      <c r="AX256" s="888"/>
      <c r="AY256" s="887"/>
      <c r="AZ256" s="888"/>
      <c r="BA256" s="17">
        <f t="shared" si="1122"/>
        <v>14.399999999999991</v>
      </c>
      <c r="BB256" s="17">
        <f t="shared" si="1123"/>
        <v>37.799999999999997</v>
      </c>
      <c r="BC256" s="17">
        <f t="shared" si="1124"/>
        <v>32</v>
      </c>
      <c r="BD256" s="17">
        <f t="shared" si="1125"/>
        <v>85</v>
      </c>
      <c r="BE256" s="17">
        <f t="shared" si="1126"/>
        <v>180.86341983910182</v>
      </c>
      <c r="BF256" s="17">
        <f t="shared" si="1127"/>
        <v>24</v>
      </c>
      <c r="BG256" s="17">
        <f t="shared" si="1128"/>
        <v>50</v>
      </c>
      <c r="BH256" s="17">
        <f t="shared" si="1129"/>
        <v>65.062647806544774</v>
      </c>
      <c r="BI256" s="17">
        <f t="shared" si="1130"/>
        <v>115.80077203255705</v>
      </c>
      <c r="BJ256" s="17">
        <f t="shared" si="1131"/>
        <v>45</v>
      </c>
      <c r="BK256" s="17">
        <f t="shared" si="1132"/>
        <v>85</v>
      </c>
      <c r="BL256" s="17">
        <f t="shared" si="1133"/>
        <v>380.54120080897206</v>
      </c>
      <c r="BM256" s="17">
        <f t="shared" si="1134"/>
        <v>24</v>
      </c>
      <c r="BN256" s="17">
        <f t="shared" si="1135"/>
        <v>50</v>
      </c>
      <c r="BO256" s="17">
        <f t="shared" si="1136"/>
        <v>65.062647806544774</v>
      </c>
      <c r="BP256" s="17">
        <f t="shared" si="1137"/>
        <v>315.4785530024273</v>
      </c>
      <c r="BQ256" s="17">
        <f t="shared" si="1138"/>
        <v>5007.6351359999999</v>
      </c>
      <c r="BR256" s="17">
        <f t="shared" si="1139"/>
        <v>1907.670527999999</v>
      </c>
      <c r="BS256" s="17">
        <f t="shared" si="1140"/>
        <v>561.98188799999969</v>
      </c>
      <c r="BT256" s="17">
        <f t="shared" si="1141"/>
        <v>1475.202456</v>
      </c>
      <c r="BU256" s="17">
        <f t="shared" si="1142"/>
        <v>23269.68</v>
      </c>
      <c r="BV256" s="17">
        <f t="shared" si="1143"/>
        <v>3412</v>
      </c>
      <c r="BW256" s="17">
        <f t="shared" si="1144"/>
        <v>517.83855759999994</v>
      </c>
      <c r="BX256" s="17">
        <f t="shared" si="1145"/>
        <v>17495.999999999989</v>
      </c>
      <c r="BY256" s="17">
        <f t="shared" si="1146"/>
        <v>5574.1409921433597</v>
      </c>
      <c r="BZ256" s="17"/>
      <c r="CA256" s="17">
        <f t="shared" si="1147"/>
        <v>85810.166416660228</v>
      </c>
      <c r="CB256" s="17">
        <f t="shared" si="1148"/>
        <v>241341.0930468569</v>
      </c>
      <c r="CC256" s="17">
        <f t="shared" si="1149"/>
        <v>29291.468631549415</v>
      </c>
      <c r="CD256" s="17">
        <f t="shared" si="1150"/>
        <v>263623.21768394468</v>
      </c>
      <c r="CE256" s="17">
        <f t="shared" si="1151"/>
        <v>55277.294685743349</v>
      </c>
      <c r="CF256" s="17">
        <f t="shared" si="1152"/>
        <v>620065.94577901112</v>
      </c>
      <c r="CG256" s="17">
        <f t="shared" si="1153"/>
        <v>675343.24046475452</v>
      </c>
      <c r="CH256" s="17">
        <f t="shared" si="1154"/>
        <v>14.400000000000006</v>
      </c>
      <c r="CI256" s="17">
        <f t="shared" si="1155"/>
        <v>-43.2</v>
      </c>
      <c r="CJ256" s="17">
        <f t="shared" si="1156"/>
        <v>16</v>
      </c>
      <c r="CK256" s="17">
        <f t="shared" si="1157"/>
        <v>90</v>
      </c>
      <c r="CL256" s="17">
        <f t="shared" si="1158"/>
        <v>71.46880726181422</v>
      </c>
      <c r="CM256" s="17">
        <f t="shared" si="1159"/>
        <v>24</v>
      </c>
      <c r="CN256" s="17">
        <f t="shared" si="1160"/>
        <v>50</v>
      </c>
      <c r="CO256" s="17">
        <f t="shared" si="1161"/>
        <v>65.062647806544774</v>
      </c>
      <c r="CP256" s="17">
        <f t="shared" si="1162"/>
        <v>6.4061594552694459</v>
      </c>
      <c r="CQ256" s="17">
        <f t="shared" si="1163"/>
        <v>0</v>
      </c>
      <c r="CR256" s="17">
        <f t="shared" si="1164"/>
        <v>100</v>
      </c>
      <c r="CS256" s="17">
        <f t="shared" si="1165"/>
        <v>26.404773030064671</v>
      </c>
      <c r="CT256" s="17">
        <f t="shared" si="1166"/>
        <v>24</v>
      </c>
      <c r="CU256" s="17">
        <f t="shared" si="1167"/>
        <v>50</v>
      </c>
      <c r="CV256" s="17">
        <f t="shared" si="1168"/>
        <v>65.062647806544774</v>
      </c>
      <c r="CW256" s="17">
        <f t="shared" si="1169"/>
        <v>-38.657874776480099</v>
      </c>
      <c r="CX256" s="17">
        <f t="shared" si="1107"/>
        <v>-5723.0115840000008</v>
      </c>
      <c r="CY256" s="17">
        <f t="shared" si="1107"/>
        <v>-5723.0115840000008</v>
      </c>
      <c r="CZ256" s="17">
        <f t="shared" si="1170"/>
        <v>561.98188800000014</v>
      </c>
      <c r="DA256" s="17">
        <f t="shared" si="1171"/>
        <v>-1685.9456640000001</v>
      </c>
      <c r="DB256" s="17">
        <f t="shared" si="1172"/>
        <v>-26593.920000000002</v>
      </c>
      <c r="DC256" s="17">
        <f t="shared" si="1173"/>
        <v>3412</v>
      </c>
      <c r="DD256" s="17">
        <f t="shared" si="1174"/>
        <v>517.83855759999994</v>
      </c>
      <c r="DE256" s="17">
        <f t="shared" si="1175"/>
        <v>17496.000000000007</v>
      </c>
      <c r="DF256" s="17">
        <f t="shared" si="1176"/>
        <v>-6370.4468481638405</v>
      </c>
      <c r="DG256" s="17"/>
      <c r="DH256" s="17">
        <f t="shared" si="1177"/>
        <v>-10514.941939202587</v>
      </c>
      <c r="DI256" s="17">
        <f t="shared" si="1178"/>
        <v>-29573.274204007277</v>
      </c>
      <c r="DJ256" s="17">
        <f t="shared" si="1179"/>
        <v>-3589.2960570569112</v>
      </c>
      <c r="DK256" s="17">
        <f t="shared" si="1180"/>
        <v>5353.1764759348434</v>
      </c>
      <c r="DL256" s="17">
        <f t="shared" si="1181"/>
        <v>-18385.503650563835</v>
      </c>
      <c r="DM256" s="17">
        <f t="shared" si="1182"/>
        <v>-38324.335724331933</v>
      </c>
      <c r="DN256" s="17">
        <f t="shared" si="1183"/>
        <v>-56709.839374895768</v>
      </c>
    </row>
    <row r="257" spans="3:120" ht="18.600000000000001">
      <c r="C257" s="13">
        <f>IF(D257&lt;&gt;"",COUNTA($D$10:D257),"")</f>
        <v>212</v>
      </c>
      <c r="D257" s="14" t="s">
        <v>207</v>
      </c>
      <c r="E257" s="14">
        <v>1.9</v>
      </c>
      <c r="F257" s="14">
        <v>2.4</v>
      </c>
      <c r="G257" s="14">
        <v>2.4</v>
      </c>
      <c r="H257" s="14">
        <v>3</v>
      </c>
      <c r="I257" s="14">
        <v>2</v>
      </c>
      <c r="J257" s="14">
        <v>1.75</v>
      </c>
      <c r="K257" s="14">
        <v>3</v>
      </c>
      <c r="L257" s="15">
        <v>0.1</v>
      </c>
      <c r="M257" s="15">
        <v>0</v>
      </c>
      <c r="N257" s="14">
        <v>24</v>
      </c>
      <c r="O257" s="14">
        <v>50</v>
      </c>
      <c r="P257" s="13">
        <v>45</v>
      </c>
      <c r="Q257" s="13">
        <v>85</v>
      </c>
      <c r="R257" s="13" t="s">
        <v>17</v>
      </c>
      <c r="S257" s="13">
        <v>120</v>
      </c>
      <c r="T257" s="13">
        <v>0</v>
      </c>
      <c r="U257" s="13">
        <v>100</v>
      </c>
      <c r="V257" s="13" t="str">
        <f t="shared" si="1108"/>
        <v>ISO 6</v>
      </c>
      <c r="W257" s="13">
        <f t="shared" si="1109"/>
        <v>120</v>
      </c>
      <c r="X257" s="16">
        <f t="shared" si="1110"/>
        <v>49.065599999999996</v>
      </c>
      <c r="Y257" s="16">
        <f t="shared" si="1111"/>
        <v>386.24440319999997</v>
      </c>
      <c r="Z257" s="16">
        <f t="shared" si="1112"/>
        <v>772.48880639999993</v>
      </c>
      <c r="AA257" s="16">
        <f t="shared" si="1113"/>
        <v>77.248880639999996</v>
      </c>
      <c r="AB257" s="16">
        <f t="shared" si="1114"/>
        <v>0</v>
      </c>
      <c r="AC257" s="16">
        <f t="shared" si="1115"/>
        <v>7.1062873734080432</v>
      </c>
      <c r="AD257" s="16">
        <f t="shared" si="1116"/>
        <v>2500</v>
      </c>
      <c r="AE257" s="16">
        <f t="shared" si="1117"/>
        <v>2500</v>
      </c>
      <c r="AF257" s="16">
        <f t="shared" si="1118"/>
        <v>16</v>
      </c>
      <c r="AG257" s="16">
        <f t="shared" si="1119"/>
        <v>6.5</v>
      </c>
      <c r="AH257" s="838" t="s">
        <v>85</v>
      </c>
      <c r="AI257" s="17">
        <f t="shared" si="1120"/>
        <v>6</v>
      </c>
      <c r="AJ257" s="17">
        <f t="shared" si="1121"/>
        <v>6.5</v>
      </c>
      <c r="AK257" s="891"/>
      <c r="AL257" s="18"/>
      <c r="AM257" s="889"/>
      <c r="AN257" s="891"/>
      <c r="AO257" s="888"/>
      <c r="AP257" s="891"/>
      <c r="AQ257" s="891"/>
      <c r="AR257" s="889"/>
      <c r="AS257" s="888"/>
      <c r="AT257" s="888"/>
      <c r="AU257" s="890"/>
      <c r="AV257" s="888"/>
      <c r="AW257" s="888"/>
      <c r="AX257" s="888"/>
      <c r="AY257" s="887"/>
      <c r="AZ257" s="888"/>
      <c r="BA257" s="17">
        <f t="shared" si="1122"/>
        <v>14.399999999999991</v>
      </c>
      <c r="BB257" s="17">
        <f t="shared" si="1123"/>
        <v>37.799999999999997</v>
      </c>
      <c r="BC257" s="17">
        <f t="shared" si="1124"/>
        <v>32</v>
      </c>
      <c r="BD257" s="17">
        <f t="shared" si="1125"/>
        <v>85</v>
      </c>
      <c r="BE257" s="17">
        <f t="shared" si="1126"/>
        <v>180.86341983910182</v>
      </c>
      <c r="BF257" s="17">
        <f t="shared" si="1127"/>
        <v>24</v>
      </c>
      <c r="BG257" s="17">
        <f t="shared" si="1128"/>
        <v>50</v>
      </c>
      <c r="BH257" s="17">
        <f t="shared" si="1129"/>
        <v>65.062647806544774</v>
      </c>
      <c r="BI257" s="17">
        <f t="shared" si="1130"/>
        <v>115.80077203255705</v>
      </c>
      <c r="BJ257" s="17">
        <f t="shared" si="1131"/>
        <v>45</v>
      </c>
      <c r="BK257" s="17">
        <f t="shared" si="1132"/>
        <v>85</v>
      </c>
      <c r="BL257" s="17">
        <f t="shared" si="1133"/>
        <v>380.54120080897206</v>
      </c>
      <c r="BM257" s="17">
        <f t="shared" si="1134"/>
        <v>24</v>
      </c>
      <c r="BN257" s="17">
        <f t="shared" si="1135"/>
        <v>50</v>
      </c>
      <c r="BO257" s="17">
        <f t="shared" si="1136"/>
        <v>65.062647806544774</v>
      </c>
      <c r="BP257" s="17">
        <f t="shared" si="1137"/>
        <v>315.4785530024273</v>
      </c>
      <c r="BQ257" s="17">
        <f t="shared" si="1138"/>
        <v>3777.6896639999995</v>
      </c>
      <c r="BR257" s="17">
        <f t="shared" si="1139"/>
        <v>1439.1198719999991</v>
      </c>
      <c r="BS257" s="17">
        <f t="shared" si="1140"/>
        <v>317.94508799999977</v>
      </c>
      <c r="BT257" s="17">
        <f t="shared" si="1141"/>
        <v>834.6058559999999</v>
      </c>
      <c r="BU257" s="17">
        <f t="shared" si="1142"/>
        <v>34904.520000000004</v>
      </c>
      <c r="BV257" s="17">
        <f t="shared" si="1143"/>
        <v>6824</v>
      </c>
      <c r="BW257" s="17">
        <f t="shared" si="1144"/>
        <v>292.97069759999994</v>
      </c>
      <c r="BX257" s="17">
        <f t="shared" si="1145"/>
        <v>17495.999999999989</v>
      </c>
      <c r="BY257" s="17">
        <f t="shared" si="1146"/>
        <v>3153.6083032473598</v>
      </c>
      <c r="BZ257" s="17"/>
      <c r="CA257" s="17">
        <f t="shared" si="1147"/>
        <v>128715.24962499036</v>
      </c>
      <c r="CB257" s="17">
        <f t="shared" si="1148"/>
        <v>241341.0930468569</v>
      </c>
      <c r="CC257" s="17">
        <f t="shared" si="1149"/>
        <v>16571.848258047805</v>
      </c>
      <c r="CD257" s="17">
        <f t="shared" si="1150"/>
        <v>149146.63432243024</v>
      </c>
      <c r="CE257" s="17">
        <f t="shared" si="1151"/>
        <v>66448.78866484735</v>
      </c>
      <c r="CF257" s="17">
        <f t="shared" si="1152"/>
        <v>535774.82525232527</v>
      </c>
      <c r="CG257" s="17">
        <f t="shared" si="1153"/>
        <v>602223.61391717265</v>
      </c>
      <c r="CH257" s="17">
        <f t="shared" si="1154"/>
        <v>14.400000000000006</v>
      </c>
      <c r="CI257" s="17">
        <f t="shared" si="1155"/>
        <v>-43.2</v>
      </c>
      <c r="CJ257" s="17">
        <f t="shared" si="1156"/>
        <v>16</v>
      </c>
      <c r="CK257" s="17">
        <f t="shared" si="1157"/>
        <v>90</v>
      </c>
      <c r="CL257" s="17">
        <f t="shared" si="1158"/>
        <v>71.46880726181422</v>
      </c>
      <c r="CM257" s="17">
        <f t="shared" si="1159"/>
        <v>24</v>
      </c>
      <c r="CN257" s="17">
        <f t="shared" si="1160"/>
        <v>50</v>
      </c>
      <c r="CO257" s="17">
        <f t="shared" si="1161"/>
        <v>65.062647806544774</v>
      </c>
      <c r="CP257" s="17">
        <f t="shared" si="1162"/>
        <v>6.4061594552694459</v>
      </c>
      <c r="CQ257" s="17">
        <f t="shared" si="1163"/>
        <v>0</v>
      </c>
      <c r="CR257" s="17">
        <f t="shared" si="1164"/>
        <v>100</v>
      </c>
      <c r="CS257" s="17">
        <f t="shared" si="1165"/>
        <v>26.404773030064671</v>
      </c>
      <c r="CT257" s="17">
        <f t="shared" si="1166"/>
        <v>24</v>
      </c>
      <c r="CU257" s="17">
        <f t="shared" si="1167"/>
        <v>50</v>
      </c>
      <c r="CV257" s="17">
        <f t="shared" si="1168"/>
        <v>65.062647806544774</v>
      </c>
      <c r="CW257" s="17">
        <f t="shared" si="1169"/>
        <v>-38.657874776480099</v>
      </c>
      <c r="CX257" s="17">
        <f t="shared" si="1107"/>
        <v>-4317.3596159999997</v>
      </c>
      <c r="CY257" s="17">
        <f t="shared" si="1107"/>
        <v>-4317.3596159999997</v>
      </c>
      <c r="CZ257" s="17">
        <f t="shared" si="1170"/>
        <v>317.94508800000011</v>
      </c>
      <c r="DA257" s="17">
        <f t="shared" si="1171"/>
        <v>-953.83526399999994</v>
      </c>
      <c r="DB257" s="17">
        <f t="shared" si="1172"/>
        <v>-39890.880000000005</v>
      </c>
      <c r="DC257" s="17">
        <f t="shared" si="1173"/>
        <v>6824</v>
      </c>
      <c r="DD257" s="17">
        <f t="shared" si="1174"/>
        <v>292.97069759999994</v>
      </c>
      <c r="DE257" s="17">
        <f t="shared" si="1175"/>
        <v>17496.000000000007</v>
      </c>
      <c r="DF257" s="17">
        <f t="shared" si="1176"/>
        <v>-3604.1237751398403</v>
      </c>
      <c r="DG257" s="17"/>
      <c r="DH257" s="17">
        <f t="shared" si="1177"/>
        <v>-15772.412908803883</v>
      </c>
      <c r="DI257" s="17">
        <f t="shared" si="1178"/>
        <v>-29573.274204007277</v>
      </c>
      <c r="DJ257" s="17">
        <f t="shared" si="1179"/>
        <v>-2030.6687369949768</v>
      </c>
      <c r="DK257" s="17">
        <f t="shared" si="1180"/>
        <v>3028.5961203800107</v>
      </c>
      <c r="DL257" s="17">
        <f t="shared" si="1181"/>
        <v>-23835.282869539838</v>
      </c>
      <c r="DM257" s="17">
        <f t="shared" si="1182"/>
        <v>-44347.759729426129</v>
      </c>
      <c r="DN257" s="17">
        <f t="shared" si="1183"/>
        <v>-68183.042598965971</v>
      </c>
    </row>
    <row r="258" spans="3:120" ht="18.600000000000001">
      <c r="C258" s="13">
        <f>IF(D258&lt;&gt;"",COUNTA($D$10:D258),"")</f>
        <v>213</v>
      </c>
      <c r="D258" s="14" t="s">
        <v>208</v>
      </c>
      <c r="E258" s="14">
        <v>3</v>
      </c>
      <c r="F258" s="14">
        <v>2.9</v>
      </c>
      <c r="G258" s="14">
        <v>2.4</v>
      </c>
      <c r="H258" s="14">
        <v>2</v>
      </c>
      <c r="I258" s="14">
        <v>1</v>
      </c>
      <c r="J258" s="14">
        <v>1.75</v>
      </c>
      <c r="K258" s="14">
        <v>3</v>
      </c>
      <c r="L258" s="15">
        <v>0.1</v>
      </c>
      <c r="M258" s="15">
        <v>0</v>
      </c>
      <c r="N258" s="14">
        <v>24</v>
      </c>
      <c r="O258" s="14">
        <v>50</v>
      </c>
      <c r="P258" s="13">
        <v>45</v>
      </c>
      <c r="Q258" s="13">
        <v>85</v>
      </c>
      <c r="R258" s="13" t="s">
        <v>17</v>
      </c>
      <c r="S258" s="13">
        <v>120</v>
      </c>
      <c r="T258" s="13">
        <v>0</v>
      </c>
      <c r="U258" s="13">
        <v>100</v>
      </c>
      <c r="V258" s="13" t="str">
        <f t="shared" si="1108"/>
        <v>ISO 6</v>
      </c>
      <c r="W258" s="13">
        <f t="shared" si="1109"/>
        <v>120</v>
      </c>
      <c r="X258" s="16">
        <f t="shared" si="1110"/>
        <v>93.611999999999995</v>
      </c>
      <c r="Y258" s="16">
        <f t="shared" si="1111"/>
        <v>736.91366399999993</v>
      </c>
      <c r="Z258" s="16">
        <f t="shared" si="1112"/>
        <v>1473.8273279999999</v>
      </c>
      <c r="AA258" s="16">
        <f t="shared" si="1113"/>
        <v>147.38273279999999</v>
      </c>
      <c r="AB258" s="16">
        <f t="shared" si="1114"/>
        <v>0</v>
      </c>
      <c r="AC258" s="16">
        <f t="shared" si="1115"/>
        <v>13.558048278212716</v>
      </c>
      <c r="AD258" s="16">
        <f>IF(ISNUMBER(N258), CEILING(CF258/(0.68*BP258),25), "Ambient")</f>
        <v>3000</v>
      </c>
      <c r="AE258" s="16">
        <f t="shared" si="1117"/>
        <v>3000</v>
      </c>
      <c r="AF258" s="16">
        <f t="shared" si="1118"/>
        <v>18</v>
      </c>
      <c r="AG258" s="16">
        <f t="shared" si="1119"/>
        <v>7.5</v>
      </c>
      <c r="AH258" s="838" t="s">
        <v>85</v>
      </c>
      <c r="AI258" s="17">
        <f t="shared" si="1120"/>
        <v>5</v>
      </c>
      <c r="AJ258" s="17">
        <f t="shared" si="1121"/>
        <v>7.5</v>
      </c>
      <c r="AK258" s="891"/>
      <c r="AL258" s="18"/>
      <c r="AM258" s="889"/>
      <c r="AN258" s="891"/>
      <c r="AO258" s="888"/>
      <c r="AP258" s="891"/>
      <c r="AQ258" s="891"/>
      <c r="AR258" s="889"/>
      <c r="AS258" s="888"/>
      <c r="AT258" s="888"/>
      <c r="AU258" s="890"/>
      <c r="AV258" s="888"/>
      <c r="AW258" s="888"/>
      <c r="AX258" s="888"/>
      <c r="AY258" s="887"/>
      <c r="AZ258" s="888"/>
      <c r="BA258" s="17">
        <f t="shared" si="1122"/>
        <v>14.399999999999991</v>
      </c>
      <c r="BB258" s="17">
        <f t="shared" si="1123"/>
        <v>37.799999999999997</v>
      </c>
      <c r="BC258" s="17">
        <f t="shared" si="1124"/>
        <v>32</v>
      </c>
      <c r="BD258" s="17">
        <f t="shared" si="1125"/>
        <v>85</v>
      </c>
      <c r="BE258" s="17">
        <f t="shared" si="1126"/>
        <v>180.86341983910182</v>
      </c>
      <c r="BF258" s="17">
        <f t="shared" si="1127"/>
        <v>24</v>
      </c>
      <c r="BG258" s="17">
        <f t="shared" si="1128"/>
        <v>50</v>
      </c>
      <c r="BH258" s="17">
        <f t="shared" si="1129"/>
        <v>65.062647806544774</v>
      </c>
      <c r="BI258" s="17">
        <f t="shared" si="1130"/>
        <v>115.80077203255705</v>
      </c>
      <c r="BJ258" s="17">
        <f t="shared" si="1131"/>
        <v>45</v>
      </c>
      <c r="BK258" s="17">
        <f t="shared" si="1132"/>
        <v>85</v>
      </c>
      <c r="BL258" s="17">
        <f t="shared" si="1133"/>
        <v>380.54120080897206</v>
      </c>
      <c r="BM258" s="17">
        <f t="shared" si="1134"/>
        <v>24</v>
      </c>
      <c r="BN258" s="17">
        <f t="shared" si="1135"/>
        <v>50</v>
      </c>
      <c r="BO258" s="17">
        <f t="shared" si="1136"/>
        <v>65.062647806544774</v>
      </c>
      <c r="BP258" s="17">
        <f t="shared" si="1137"/>
        <v>315.4785530024273</v>
      </c>
      <c r="BQ258" s="17">
        <f t="shared" si="1138"/>
        <v>5183.3416319999997</v>
      </c>
      <c r="BR258" s="17">
        <f t="shared" si="1139"/>
        <v>1974.6063359999991</v>
      </c>
      <c r="BS258" s="17">
        <f t="shared" si="1140"/>
        <v>606.60575999999958</v>
      </c>
      <c r="BT258" s="17">
        <f t="shared" si="1141"/>
        <v>1592.3401199999998</v>
      </c>
      <c r="BU258" s="17">
        <f t="shared" si="1142"/>
        <v>23269.68</v>
      </c>
      <c r="BV258" s="17">
        <f t="shared" si="1143"/>
        <v>3412</v>
      </c>
      <c r="BW258" s="17">
        <f t="shared" si="1144"/>
        <v>558.95725199999993</v>
      </c>
      <c r="BX258" s="17">
        <f t="shared" si="1145"/>
        <v>17495.999999999989</v>
      </c>
      <c r="BY258" s="17">
        <f t="shared" si="1146"/>
        <v>6016.7526838271997</v>
      </c>
      <c r="BZ258" s="17"/>
      <c r="CA258" s="17">
        <f t="shared" si="1147"/>
        <v>85810.166416660228</v>
      </c>
      <c r="CB258" s="17">
        <f t="shared" si="1148"/>
        <v>241341.0930468569</v>
      </c>
      <c r="CC258" s="17">
        <f t="shared" si="1149"/>
        <v>31617.34207127542</v>
      </c>
      <c r="CD258" s="17">
        <f t="shared" si="1150"/>
        <v>284556.07864147879</v>
      </c>
      <c r="CE258" s="17">
        <f t="shared" si="1151"/>
        <v>55936.731567827192</v>
      </c>
      <c r="CF258" s="17">
        <f t="shared" si="1152"/>
        <v>643324.68017627136</v>
      </c>
      <c r="CG258" s="17">
        <f t="shared" si="1153"/>
        <v>699261.41174409853</v>
      </c>
      <c r="CH258" s="17">
        <f t="shared" si="1154"/>
        <v>14.400000000000006</v>
      </c>
      <c r="CI258" s="17">
        <f t="shared" si="1155"/>
        <v>-43.2</v>
      </c>
      <c r="CJ258" s="17">
        <f t="shared" si="1156"/>
        <v>16</v>
      </c>
      <c r="CK258" s="17">
        <f t="shared" si="1157"/>
        <v>90</v>
      </c>
      <c r="CL258" s="17">
        <f t="shared" si="1158"/>
        <v>71.46880726181422</v>
      </c>
      <c r="CM258" s="17">
        <f t="shared" si="1159"/>
        <v>24</v>
      </c>
      <c r="CN258" s="17">
        <f t="shared" si="1160"/>
        <v>50</v>
      </c>
      <c r="CO258" s="17">
        <f t="shared" si="1161"/>
        <v>65.062647806544774</v>
      </c>
      <c r="CP258" s="17">
        <f t="shared" si="1162"/>
        <v>6.4061594552694459</v>
      </c>
      <c r="CQ258" s="17">
        <f t="shared" si="1163"/>
        <v>0</v>
      </c>
      <c r="CR258" s="17">
        <f t="shared" si="1164"/>
        <v>100</v>
      </c>
      <c r="CS258" s="17">
        <f t="shared" si="1165"/>
        <v>26.404773030064671</v>
      </c>
      <c r="CT258" s="17">
        <f t="shared" si="1166"/>
        <v>24</v>
      </c>
      <c r="CU258" s="17">
        <f t="shared" si="1167"/>
        <v>50</v>
      </c>
      <c r="CV258" s="17">
        <f t="shared" si="1168"/>
        <v>65.062647806544774</v>
      </c>
      <c r="CW258" s="17">
        <f t="shared" si="1169"/>
        <v>-38.657874776480099</v>
      </c>
      <c r="CX258" s="17">
        <f t="shared" si="1107"/>
        <v>-5923.8190080000013</v>
      </c>
      <c r="CY258" s="17">
        <f t="shared" si="1107"/>
        <v>-5923.8190080000013</v>
      </c>
      <c r="CZ258" s="17">
        <f t="shared" si="1170"/>
        <v>606.60576000000026</v>
      </c>
      <c r="DA258" s="17">
        <f t="shared" si="1171"/>
        <v>-1819.81728</v>
      </c>
      <c r="DB258" s="17">
        <f t="shared" si="1172"/>
        <v>-26593.920000000002</v>
      </c>
      <c r="DC258" s="17">
        <f t="shared" si="1173"/>
        <v>3412</v>
      </c>
      <c r="DD258" s="17">
        <f t="shared" si="1174"/>
        <v>558.95725199999993</v>
      </c>
      <c r="DE258" s="17">
        <f t="shared" si="1175"/>
        <v>17496.000000000007</v>
      </c>
      <c r="DF258" s="17">
        <f t="shared" si="1176"/>
        <v>-6876.2887815168006</v>
      </c>
      <c r="DG258" s="17"/>
      <c r="DH258" s="17">
        <f t="shared" si="1177"/>
        <v>-10514.941939202587</v>
      </c>
      <c r="DI258" s="17">
        <f t="shared" si="1178"/>
        <v>-29573.274204007277</v>
      </c>
      <c r="DJ258" s="17">
        <f t="shared" si="1179"/>
        <v>-3874.3021955825216</v>
      </c>
      <c r="DK258" s="17">
        <f t="shared" si="1180"/>
        <v>5778.2425980934422</v>
      </c>
      <c r="DL258" s="17">
        <f t="shared" si="1181"/>
        <v>-19140.282057516793</v>
      </c>
      <c r="DM258" s="17">
        <f t="shared" si="1182"/>
        <v>-38184.275740698948</v>
      </c>
      <c r="DN258" s="17">
        <f t="shared" si="1183"/>
        <v>-57324.557798215741</v>
      </c>
    </row>
    <row r="259" spans="3:120" ht="18.600000000000001">
      <c r="C259" s="13">
        <f>IF(D259&lt;&gt;"",COUNTA($D$10:D259),"")</f>
        <v>214</v>
      </c>
      <c r="D259" s="14" t="s">
        <v>209</v>
      </c>
      <c r="E259" s="14">
        <v>2.4</v>
      </c>
      <c r="F259" s="14">
        <v>2</v>
      </c>
      <c r="G259" s="14">
        <v>2.4</v>
      </c>
      <c r="H259" s="14">
        <v>2</v>
      </c>
      <c r="I259" s="14">
        <v>1</v>
      </c>
      <c r="J259" s="14">
        <v>1.75</v>
      </c>
      <c r="K259" s="14">
        <v>3</v>
      </c>
      <c r="L259" s="15">
        <v>0.1</v>
      </c>
      <c r="M259" s="15">
        <v>0</v>
      </c>
      <c r="N259" s="14">
        <v>24</v>
      </c>
      <c r="O259" s="14">
        <v>50</v>
      </c>
      <c r="P259" s="13">
        <v>45</v>
      </c>
      <c r="Q259" s="13">
        <v>85</v>
      </c>
      <c r="R259" s="13" t="s">
        <v>17</v>
      </c>
      <c r="S259" s="13">
        <v>120</v>
      </c>
      <c r="T259" s="13">
        <v>0</v>
      </c>
      <c r="U259" s="13">
        <v>100</v>
      </c>
      <c r="V259" s="13" t="str">
        <f t="shared" si="1108"/>
        <v>ISO 6</v>
      </c>
      <c r="W259" s="13">
        <f t="shared" si="1109"/>
        <v>120</v>
      </c>
      <c r="X259" s="16">
        <f t="shared" si="1110"/>
        <v>51.647999999999996</v>
      </c>
      <c r="Y259" s="16">
        <f t="shared" si="1111"/>
        <v>406.57305599999995</v>
      </c>
      <c r="Z259" s="16">
        <f t="shared" si="1112"/>
        <v>813.1461119999999</v>
      </c>
      <c r="AA259" s="16">
        <f t="shared" si="1113"/>
        <v>81.314611200000002</v>
      </c>
      <c r="AB259" s="16">
        <f t="shared" si="1114"/>
        <v>0</v>
      </c>
      <c r="AC259" s="16">
        <f t="shared" si="1115"/>
        <v>7.4803024983242565</v>
      </c>
      <c r="AD259" s="16">
        <f t="shared" ref="AD259:AD265" si="1184">IF(ISNUMBER(N259), CEILING(CF259/(0.68*BP259),25), "Ambient")</f>
        <v>2350</v>
      </c>
      <c r="AE259" s="16">
        <f t="shared" si="1117"/>
        <v>2350</v>
      </c>
      <c r="AF259" s="16">
        <f t="shared" si="1118"/>
        <v>14</v>
      </c>
      <c r="AG259" s="16">
        <f t="shared" si="1119"/>
        <v>6</v>
      </c>
      <c r="AH259" s="838" t="s">
        <v>85</v>
      </c>
      <c r="AI259" s="17">
        <f t="shared" si="1120"/>
        <v>4.5</v>
      </c>
      <c r="AJ259" s="17">
        <f t="shared" si="1121"/>
        <v>6</v>
      </c>
      <c r="AK259" s="891"/>
      <c r="AL259" s="174">
        <f>IF(AN250&lt;=315,1600,(IF(AN250=355,1650,(IF(AN250=400,1650,(IF(AN250=450,1700,(IF(AN250=500,1700,(IF(AN250=560,1800,(IF(AN250=630,2000,(IF(AN250=710,2200,2500)))))))))))))))+IF(AR250=2,1800,(IF(AR250=3,2300,(IF(AR250=4,3300,0)))))+IF(AP250&lt;=4,600,(IF(AP250&lt;=6,800,(IF(AP250&lt;=8,1000,1200)))))</f>
        <v>5400</v>
      </c>
      <c r="AM259" s="889"/>
      <c r="AN259" s="891"/>
      <c r="AO259" s="888"/>
      <c r="AP259" s="891"/>
      <c r="AQ259" s="891"/>
      <c r="AR259" s="889"/>
      <c r="AS259" s="888"/>
      <c r="AT259" s="888"/>
      <c r="AU259" s="890"/>
      <c r="AV259" s="888"/>
      <c r="AW259" s="888"/>
      <c r="AX259" s="888"/>
      <c r="AY259" s="887"/>
      <c r="AZ259" s="888"/>
      <c r="BA259" s="17">
        <f t="shared" si="1122"/>
        <v>14.399999999999991</v>
      </c>
      <c r="BB259" s="17">
        <f t="shared" si="1123"/>
        <v>37.799999999999997</v>
      </c>
      <c r="BC259" s="17">
        <f t="shared" si="1124"/>
        <v>32</v>
      </c>
      <c r="BD259" s="17">
        <f t="shared" si="1125"/>
        <v>85</v>
      </c>
      <c r="BE259" s="17">
        <f t="shared" si="1126"/>
        <v>180.86341983910182</v>
      </c>
      <c r="BF259" s="17">
        <f t="shared" si="1127"/>
        <v>24</v>
      </c>
      <c r="BG259" s="17">
        <f t="shared" si="1128"/>
        <v>50</v>
      </c>
      <c r="BH259" s="17">
        <f t="shared" si="1129"/>
        <v>65.062647806544774</v>
      </c>
      <c r="BI259" s="17">
        <f t="shared" si="1130"/>
        <v>115.80077203255705</v>
      </c>
      <c r="BJ259" s="17">
        <f t="shared" si="1131"/>
        <v>45</v>
      </c>
      <c r="BK259" s="17">
        <f t="shared" si="1132"/>
        <v>85</v>
      </c>
      <c r="BL259" s="17">
        <f t="shared" si="1133"/>
        <v>380.54120080897206</v>
      </c>
      <c r="BM259" s="17">
        <f t="shared" si="1134"/>
        <v>24</v>
      </c>
      <c r="BN259" s="17">
        <f t="shared" si="1135"/>
        <v>50</v>
      </c>
      <c r="BO259" s="17">
        <f t="shared" si="1136"/>
        <v>65.062647806544774</v>
      </c>
      <c r="BP259" s="17">
        <f t="shared" si="1137"/>
        <v>315.4785530024273</v>
      </c>
      <c r="BQ259" s="17">
        <f t="shared" si="1138"/>
        <v>3865.5429119999999</v>
      </c>
      <c r="BR259" s="17">
        <f t="shared" si="1139"/>
        <v>1472.5877759999992</v>
      </c>
      <c r="BS259" s="17">
        <f t="shared" si="1140"/>
        <v>334.67903999999976</v>
      </c>
      <c r="BT259" s="17">
        <f t="shared" si="1141"/>
        <v>878.53247999999996</v>
      </c>
      <c r="BU259" s="17">
        <f t="shared" si="1142"/>
        <v>23269.68</v>
      </c>
      <c r="BV259" s="17">
        <f t="shared" si="1143"/>
        <v>3412</v>
      </c>
      <c r="BW259" s="17">
        <f t="shared" si="1144"/>
        <v>308.39020799999997</v>
      </c>
      <c r="BX259" s="17">
        <f t="shared" si="1145"/>
        <v>17495.999999999989</v>
      </c>
      <c r="BY259" s="17">
        <f t="shared" si="1146"/>
        <v>3319.5876876287998</v>
      </c>
      <c r="BZ259" s="17"/>
      <c r="CA259" s="17">
        <f t="shared" si="1147"/>
        <v>85810.166416660228</v>
      </c>
      <c r="CB259" s="17">
        <f t="shared" si="1148"/>
        <v>241341.0930468569</v>
      </c>
      <c r="CC259" s="17">
        <f t="shared" si="1149"/>
        <v>17444.050797945059</v>
      </c>
      <c r="CD259" s="17">
        <f t="shared" si="1150"/>
        <v>156996.45718150554</v>
      </c>
      <c r="CE259" s="17">
        <f t="shared" si="1151"/>
        <v>51671.200807628797</v>
      </c>
      <c r="CF259" s="17">
        <f t="shared" si="1152"/>
        <v>501591.76744296774</v>
      </c>
      <c r="CG259" s="17">
        <f t="shared" si="1153"/>
        <v>553262.96825059655</v>
      </c>
      <c r="CH259" s="17">
        <f t="shared" si="1154"/>
        <v>14.400000000000006</v>
      </c>
      <c r="CI259" s="17">
        <f t="shared" si="1155"/>
        <v>-43.2</v>
      </c>
      <c r="CJ259" s="17">
        <f t="shared" si="1156"/>
        <v>16</v>
      </c>
      <c r="CK259" s="17">
        <f t="shared" si="1157"/>
        <v>90</v>
      </c>
      <c r="CL259" s="17">
        <f t="shared" si="1158"/>
        <v>71.46880726181422</v>
      </c>
      <c r="CM259" s="17">
        <f t="shared" si="1159"/>
        <v>24</v>
      </c>
      <c r="CN259" s="17">
        <f t="shared" si="1160"/>
        <v>50</v>
      </c>
      <c r="CO259" s="17">
        <f t="shared" si="1161"/>
        <v>65.062647806544774</v>
      </c>
      <c r="CP259" s="17">
        <f t="shared" si="1162"/>
        <v>6.4061594552694459</v>
      </c>
      <c r="CQ259" s="17">
        <f t="shared" si="1163"/>
        <v>0</v>
      </c>
      <c r="CR259" s="17">
        <f t="shared" si="1164"/>
        <v>100</v>
      </c>
      <c r="CS259" s="17">
        <f t="shared" si="1165"/>
        <v>26.404773030064671</v>
      </c>
      <c r="CT259" s="17">
        <f t="shared" si="1166"/>
        <v>24</v>
      </c>
      <c r="CU259" s="17">
        <f t="shared" si="1167"/>
        <v>50</v>
      </c>
      <c r="CV259" s="17">
        <f t="shared" si="1168"/>
        <v>65.062647806544774</v>
      </c>
      <c r="CW259" s="17">
        <f t="shared" si="1169"/>
        <v>-38.657874776480099</v>
      </c>
      <c r="CX259" s="17">
        <f t="shared" si="1107"/>
        <v>-4417.7633280000009</v>
      </c>
      <c r="CY259" s="17">
        <f t="shared" si="1107"/>
        <v>-4417.7633280000009</v>
      </c>
      <c r="CZ259" s="17">
        <f t="shared" si="1170"/>
        <v>334.67904000000016</v>
      </c>
      <c r="DA259" s="17">
        <f t="shared" si="1171"/>
        <v>-1004.0371200000001</v>
      </c>
      <c r="DB259" s="17">
        <f t="shared" si="1172"/>
        <v>-26593.920000000002</v>
      </c>
      <c r="DC259" s="17">
        <f t="shared" si="1173"/>
        <v>3412</v>
      </c>
      <c r="DD259" s="17">
        <f t="shared" si="1174"/>
        <v>308.39020799999997</v>
      </c>
      <c r="DE259" s="17">
        <f t="shared" si="1175"/>
        <v>17496.000000000007</v>
      </c>
      <c r="DF259" s="17">
        <f t="shared" si="1176"/>
        <v>-3793.8145001472003</v>
      </c>
      <c r="DG259" s="17"/>
      <c r="DH259" s="17">
        <f t="shared" si="1177"/>
        <v>-10514.941939202587</v>
      </c>
      <c r="DI259" s="17">
        <f t="shared" si="1178"/>
        <v>-29573.274204007277</v>
      </c>
      <c r="DJ259" s="17">
        <f t="shared" si="1179"/>
        <v>-2137.5460389420814</v>
      </c>
      <c r="DK259" s="17">
        <f t="shared" si="1180"/>
        <v>3187.9959161894853</v>
      </c>
      <c r="DL259" s="17">
        <f t="shared" si="1181"/>
        <v>-14258.465700147197</v>
      </c>
      <c r="DM259" s="17">
        <f t="shared" si="1182"/>
        <v>-39037.766265962462</v>
      </c>
      <c r="DN259" s="17">
        <f t="shared" si="1183"/>
        <v>-53296.231966109655</v>
      </c>
    </row>
    <row r="260" spans="3:120" ht="18.600000000000001">
      <c r="C260" s="13">
        <f>IF(D260&lt;&gt;"",COUNTA($D$10:D260),"")</f>
        <v>215</v>
      </c>
      <c r="D260" s="14" t="s">
        <v>210</v>
      </c>
      <c r="E260" s="14">
        <v>2.1</v>
      </c>
      <c r="F260" s="14">
        <v>1.8</v>
      </c>
      <c r="G260" s="14">
        <v>2.4</v>
      </c>
      <c r="H260" s="14">
        <v>2</v>
      </c>
      <c r="I260" s="14">
        <v>1</v>
      </c>
      <c r="J260" s="14">
        <v>1.75</v>
      </c>
      <c r="K260" s="14">
        <v>3</v>
      </c>
      <c r="L260" s="15">
        <v>0.1</v>
      </c>
      <c r="M260" s="15">
        <v>0</v>
      </c>
      <c r="N260" s="14">
        <v>24</v>
      </c>
      <c r="O260" s="14">
        <v>50</v>
      </c>
      <c r="P260" s="13">
        <v>45</v>
      </c>
      <c r="Q260" s="13">
        <v>85</v>
      </c>
      <c r="R260" s="13" t="s">
        <v>17</v>
      </c>
      <c r="S260" s="13">
        <v>120</v>
      </c>
      <c r="T260" s="13">
        <v>0</v>
      </c>
      <c r="U260" s="13">
        <v>100</v>
      </c>
      <c r="V260" s="13" t="str">
        <f t="shared" si="1108"/>
        <v>ISO 6</v>
      </c>
      <c r="W260" s="13">
        <f t="shared" si="1109"/>
        <v>120</v>
      </c>
      <c r="X260" s="16">
        <f t="shared" si="1110"/>
        <v>40.672800000000002</v>
      </c>
      <c r="Y260" s="16">
        <f t="shared" si="1111"/>
        <v>320.17628159999998</v>
      </c>
      <c r="Z260" s="16">
        <f t="shared" si="1112"/>
        <v>640.35256319999996</v>
      </c>
      <c r="AA260" s="16">
        <f t="shared" si="1113"/>
        <v>64.035256320000002</v>
      </c>
      <c r="AB260" s="16">
        <f t="shared" si="1114"/>
        <v>0</v>
      </c>
      <c r="AC260" s="16">
        <f t="shared" si="1115"/>
        <v>5.8907382174303526</v>
      </c>
      <c r="AD260" s="16">
        <f t="shared" si="1184"/>
        <v>2175</v>
      </c>
      <c r="AE260" s="16">
        <f t="shared" si="1117"/>
        <v>2175</v>
      </c>
      <c r="AF260" s="16">
        <f t="shared" si="1118"/>
        <v>14</v>
      </c>
      <c r="AG260" s="16">
        <f t="shared" si="1119"/>
        <v>5.5</v>
      </c>
      <c r="AH260" s="838" t="s">
        <v>85</v>
      </c>
      <c r="AI260" s="17">
        <f t="shared" si="1120"/>
        <v>4.5</v>
      </c>
      <c r="AJ260" s="17">
        <f t="shared" si="1121"/>
        <v>5.5</v>
      </c>
      <c r="AK260" s="891"/>
      <c r="AL260" s="18"/>
      <c r="AM260" s="889"/>
      <c r="AN260" s="891"/>
      <c r="AO260" s="888"/>
      <c r="AP260" s="891"/>
      <c r="AQ260" s="891"/>
      <c r="AR260" s="889"/>
      <c r="AS260" s="888"/>
      <c r="AT260" s="888"/>
      <c r="AU260" s="890"/>
      <c r="AV260" s="888"/>
      <c r="AW260" s="888"/>
      <c r="AX260" s="888"/>
      <c r="AY260" s="887"/>
      <c r="AZ260" s="888"/>
      <c r="BA260" s="17">
        <f t="shared" si="1122"/>
        <v>14.399999999999991</v>
      </c>
      <c r="BB260" s="17">
        <f t="shared" si="1123"/>
        <v>37.799999999999997</v>
      </c>
      <c r="BC260" s="17">
        <f t="shared" si="1124"/>
        <v>32</v>
      </c>
      <c r="BD260" s="17">
        <f t="shared" si="1125"/>
        <v>85</v>
      </c>
      <c r="BE260" s="17">
        <f t="shared" si="1126"/>
        <v>180.86341983910182</v>
      </c>
      <c r="BF260" s="17">
        <f t="shared" si="1127"/>
        <v>24</v>
      </c>
      <c r="BG260" s="17">
        <f t="shared" si="1128"/>
        <v>50</v>
      </c>
      <c r="BH260" s="17">
        <f t="shared" si="1129"/>
        <v>65.062647806544774</v>
      </c>
      <c r="BI260" s="17">
        <f t="shared" si="1130"/>
        <v>115.80077203255705</v>
      </c>
      <c r="BJ260" s="17">
        <f t="shared" si="1131"/>
        <v>45</v>
      </c>
      <c r="BK260" s="17">
        <f t="shared" si="1132"/>
        <v>85</v>
      </c>
      <c r="BL260" s="17">
        <f t="shared" si="1133"/>
        <v>380.54120080897206</v>
      </c>
      <c r="BM260" s="17">
        <f t="shared" si="1134"/>
        <v>24</v>
      </c>
      <c r="BN260" s="17">
        <f t="shared" si="1135"/>
        <v>50</v>
      </c>
      <c r="BO260" s="17">
        <f t="shared" si="1136"/>
        <v>65.062647806544774</v>
      </c>
      <c r="BP260" s="17">
        <f t="shared" si="1137"/>
        <v>315.4785530024273</v>
      </c>
      <c r="BQ260" s="17">
        <f t="shared" si="1138"/>
        <v>3426.2766719999995</v>
      </c>
      <c r="BR260" s="17">
        <f t="shared" si="1139"/>
        <v>1305.2482559999992</v>
      </c>
      <c r="BS260" s="17">
        <f t="shared" si="1140"/>
        <v>263.55974399999985</v>
      </c>
      <c r="BT260" s="17">
        <f t="shared" si="1141"/>
        <v>691.84432800000002</v>
      </c>
      <c r="BU260" s="17">
        <f t="shared" si="1142"/>
        <v>23269.68</v>
      </c>
      <c r="BV260" s="17">
        <f t="shared" si="1143"/>
        <v>3412</v>
      </c>
      <c r="BW260" s="17">
        <f t="shared" si="1144"/>
        <v>242.85728880000002</v>
      </c>
      <c r="BX260" s="17">
        <f t="shared" si="1145"/>
        <v>17495.999999999989</v>
      </c>
      <c r="BY260" s="17">
        <f t="shared" si="1146"/>
        <v>2614.1753040076801</v>
      </c>
      <c r="BZ260" s="17"/>
      <c r="CA260" s="17">
        <f t="shared" si="1147"/>
        <v>85810.166416660228</v>
      </c>
      <c r="CB260" s="17">
        <f t="shared" si="1148"/>
        <v>241341.0930468569</v>
      </c>
      <c r="CC260" s="17">
        <f t="shared" si="1149"/>
        <v>13737.190003381735</v>
      </c>
      <c r="CD260" s="17">
        <f t="shared" si="1150"/>
        <v>123634.7100304356</v>
      </c>
      <c r="CE260" s="17">
        <f t="shared" si="1151"/>
        <v>50460.989264807671</v>
      </c>
      <c r="CF260" s="17">
        <f t="shared" si="1152"/>
        <v>464523.15949733445</v>
      </c>
      <c r="CG260" s="17">
        <f t="shared" si="1153"/>
        <v>514984.14876214211</v>
      </c>
      <c r="CH260" s="17">
        <f t="shared" si="1154"/>
        <v>14.400000000000006</v>
      </c>
      <c r="CI260" s="17">
        <f t="shared" si="1155"/>
        <v>-43.2</v>
      </c>
      <c r="CJ260" s="17">
        <f t="shared" si="1156"/>
        <v>16</v>
      </c>
      <c r="CK260" s="17">
        <f t="shared" si="1157"/>
        <v>90</v>
      </c>
      <c r="CL260" s="17">
        <f t="shared" si="1158"/>
        <v>71.46880726181422</v>
      </c>
      <c r="CM260" s="17">
        <f t="shared" si="1159"/>
        <v>24</v>
      </c>
      <c r="CN260" s="17">
        <f t="shared" si="1160"/>
        <v>50</v>
      </c>
      <c r="CO260" s="17">
        <f t="shared" si="1161"/>
        <v>65.062647806544774</v>
      </c>
      <c r="CP260" s="17">
        <f t="shared" si="1162"/>
        <v>6.4061594552694459</v>
      </c>
      <c r="CQ260" s="17">
        <f t="shared" si="1163"/>
        <v>0</v>
      </c>
      <c r="CR260" s="17">
        <f t="shared" si="1164"/>
        <v>100</v>
      </c>
      <c r="CS260" s="17">
        <f t="shared" si="1165"/>
        <v>26.404773030064671</v>
      </c>
      <c r="CT260" s="17">
        <f t="shared" si="1166"/>
        <v>24</v>
      </c>
      <c r="CU260" s="17">
        <f t="shared" si="1167"/>
        <v>50</v>
      </c>
      <c r="CV260" s="17">
        <f t="shared" si="1168"/>
        <v>65.062647806544774</v>
      </c>
      <c r="CW260" s="17">
        <f t="shared" si="1169"/>
        <v>-38.657874776480099</v>
      </c>
      <c r="CX260" s="17">
        <f t="shared" si="1107"/>
        <v>-3915.744768</v>
      </c>
      <c r="CY260" s="17">
        <f t="shared" si="1107"/>
        <v>-3915.744768</v>
      </c>
      <c r="CZ260" s="17">
        <f t="shared" si="1170"/>
        <v>263.55974400000014</v>
      </c>
      <c r="DA260" s="17">
        <f t="shared" si="1171"/>
        <v>-790.67923200000007</v>
      </c>
      <c r="DB260" s="17">
        <f t="shared" si="1172"/>
        <v>-26593.920000000002</v>
      </c>
      <c r="DC260" s="17">
        <f t="shared" si="1173"/>
        <v>3412</v>
      </c>
      <c r="DD260" s="17">
        <f t="shared" si="1174"/>
        <v>242.85728880000002</v>
      </c>
      <c r="DE260" s="17">
        <f t="shared" si="1175"/>
        <v>17496.000000000007</v>
      </c>
      <c r="DF260" s="17">
        <f t="shared" si="1176"/>
        <v>-2987.6289188659202</v>
      </c>
      <c r="DG260" s="17"/>
      <c r="DH260" s="17">
        <f t="shared" si="1177"/>
        <v>-10514.941939202587</v>
      </c>
      <c r="DI260" s="17">
        <f t="shared" si="1178"/>
        <v>-29573.274204007277</v>
      </c>
      <c r="DJ260" s="17">
        <f t="shared" si="1179"/>
        <v>-1683.3175056668888</v>
      </c>
      <c r="DK260" s="17">
        <f t="shared" si="1180"/>
        <v>2510.5467839992198</v>
      </c>
      <c r="DL260" s="17">
        <f t="shared" si="1181"/>
        <v>-12873.555886065915</v>
      </c>
      <c r="DM260" s="17">
        <f t="shared" si="1182"/>
        <v>-39260.986864877537</v>
      </c>
      <c r="DN260" s="17">
        <f t="shared" si="1183"/>
        <v>-52134.542750943452</v>
      </c>
    </row>
    <row r="261" spans="3:120" ht="18.600000000000001">
      <c r="C261" s="13">
        <f>IF(D261&lt;&gt;"",COUNTA($D$10:D261),"")</f>
        <v>216</v>
      </c>
      <c r="D261" s="14" t="s">
        <v>211</v>
      </c>
      <c r="E261" s="14">
        <v>1.8</v>
      </c>
      <c r="F261" s="14">
        <v>1.9</v>
      </c>
      <c r="G261" s="14">
        <v>2.4</v>
      </c>
      <c r="H261" s="14">
        <v>2</v>
      </c>
      <c r="I261" s="14">
        <v>1</v>
      </c>
      <c r="J261" s="14">
        <v>1.75</v>
      </c>
      <c r="K261" s="14">
        <v>3</v>
      </c>
      <c r="L261" s="15">
        <v>0.1</v>
      </c>
      <c r="M261" s="15">
        <v>0</v>
      </c>
      <c r="N261" s="14">
        <v>24</v>
      </c>
      <c r="O261" s="14">
        <v>50</v>
      </c>
      <c r="P261" s="13">
        <v>45</v>
      </c>
      <c r="Q261" s="13">
        <v>85</v>
      </c>
      <c r="R261" s="13" t="s">
        <v>17</v>
      </c>
      <c r="S261" s="13">
        <v>120</v>
      </c>
      <c r="T261" s="13">
        <v>0</v>
      </c>
      <c r="U261" s="13">
        <v>100</v>
      </c>
      <c r="V261" s="13" t="str">
        <f t="shared" si="1108"/>
        <v>ISO 6</v>
      </c>
      <c r="W261" s="13">
        <f t="shared" si="1109"/>
        <v>120</v>
      </c>
      <c r="X261" s="16">
        <f t="shared" si="1110"/>
        <v>36.799199999999999</v>
      </c>
      <c r="Y261" s="16">
        <f t="shared" si="1111"/>
        <v>289.68330239999995</v>
      </c>
      <c r="Z261" s="16">
        <f t="shared" si="1112"/>
        <v>579.36660479999989</v>
      </c>
      <c r="AA261" s="16">
        <f t="shared" si="1113"/>
        <v>57.936660479999993</v>
      </c>
      <c r="AB261" s="16">
        <f t="shared" si="1114"/>
        <v>0</v>
      </c>
      <c r="AC261" s="16">
        <f t="shared" si="1115"/>
        <v>5.3297155300560322</v>
      </c>
      <c r="AD261" s="16">
        <f t="shared" si="1184"/>
        <v>2125</v>
      </c>
      <c r="AE261" s="16">
        <f t="shared" si="1117"/>
        <v>2125</v>
      </c>
      <c r="AF261" s="16">
        <f t="shared" si="1118"/>
        <v>14</v>
      </c>
      <c r="AG261" s="16">
        <f t="shared" si="1119"/>
        <v>5.5</v>
      </c>
      <c r="AH261" s="838" t="s">
        <v>85</v>
      </c>
      <c r="AI261" s="17">
        <f t="shared" si="1120"/>
        <v>4.5</v>
      </c>
      <c r="AJ261" s="17">
        <f t="shared" si="1121"/>
        <v>5.5</v>
      </c>
      <c r="AK261" s="891"/>
      <c r="AL261" s="18"/>
      <c r="AM261" s="889"/>
      <c r="AN261" s="891"/>
      <c r="AO261" s="888"/>
      <c r="AP261" s="891"/>
      <c r="AQ261" s="891"/>
      <c r="AR261" s="889"/>
      <c r="AS261" s="888"/>
      <c r="AT261" s="888"/>
      <c r="AU261" s="890"/>
      <c r="AV261" s="888"/>
      <c r="AW261" s="888"/>
      <c r="AX261" s="888"/>
      <c r="AY261" s="887"/>
      <c r="AZ261" s="888"/>
      <c r="BA261" s="17">
        <f t="shared" si="1122"/>
        <v>14.399999999999991</v>
      </c>
      <c r="BB261" s="17">
        <f t="shared" si="1123"/>
        <v>37.799999999999997</v>
      </c>
      <c r="BC261" s="17">
        <f t="shared" si="1124"/>
        <v>32</v>
      </c>
      <c r="BD261" s="17">
        <f t="shared" si="1125"/>
        <v>85</v>
      </c>
      <c r="BE261" s="17">
        <f t="shared" si="1126"/>
        <v>180.86341983910182</v>
      </c>
      <c r="BF261" s="17">
        <f t="shared" si="1127"/>
        <v>24</v>
      </c>
      <c r="BG261" s="17">
        <f t="shared" si="1128"/>
        <v>50</v>
      </c>
      <c r="BH261" s="17">
        <f t="shared" si="1129"/>
        <v>65.062647806544774</v>
      </c>
      <c r="BI261" s="17">
        <f t="shared" si="1130"/>
        <v>115.80077203255705</v>
      </c>
      <c r="BJ261" s="17">
        <f t="shared" si="1131"/>
        <v>45</v>
      </c>
      <c r="BK261" s="17">
        <f t="shared" si="1132"/>
        <v>85</v>
      </c>
      <c r="BL261" s="17">
        <f t="shared" si="1133"/>
        <v>380.54120080897206</v>
      </c>
      <c r="BM261" s="17">
        <f t="shared" si="1134"/>
        <v>24</v>
      </c>
      <c r="BN261" s="17">
        <f t="shared" si="1135"/>
        <v>50</v>
      </c>
      <c r="BO261" s="17">
        <f t="shared" si="1136"/>
        <v>65.062647806544774</v>
      </c>
      <c r="BP261" s="17">
        <f t="shared" si="1137"/>
        <v>315.4785530024273</v>
      </c>
      <c r="BQ261" s="17">
        <f t="shared" si="1138"/>
        <v>3250.5701760000002</v>
      </c>
      <c r="BR261" s="17">
        <f t="shared" si="1139"/>
        <v>1238.3124479999992</v>
      </c>
      <c r="BS261" s="17">
        <f t="shared" si="1140"/>
        <v>238.45881599999987</v>
      </c>
      <c r="BT261" s="17">
        <f t="shared" si="1141"/>
        <v>625.95439199999998</v>
      </c>
      <c r="BU261" s="17">
        <f t="shared" si="1142"/>
        <v>23269.68</v>
      </c>
      <c r="BV261" s="17">
        <f t="shared" si="1143"/>
        <v>3412</v>
      </c>
      <c r="BW261" s="17">
        <f t="shared" si="1144"/>
        <v>219.7280232</v>
      </c>
      <c r="BX261" s="17">
        <f t="shared" si="1145"/>
        <v>17495.999999999989</v>
      </c>
      <c r="BY261" s="17">
        <f t="shared" si="1146"/>
        <v>2365.2062274355198</v>
      </c>
      <c r="BZ261" s="17"/>
      <c r="CA261" s="17">
        <f t="shared" si="1147"/>
        <v>85810.166416660228</v>
      </c>
      <c r="CB261" s="17">
        <f t="shared" si="1148"/>
        <v>241341.0930468569</v>
      </c>
      <c r="CC261" s="17">
        <f t="shared" si="1149"/>
        <v>12428.886193535853</v>
      </c>
      <c r="CD261" s="17">
        <f t="shared" si="1150"/>
        <v>111859.97574182268</v>
      </c>
      <c r="CE261" s="17">
        <f t="shared" si="1151"/>
        <v>50013.184426635511</v>
      </c>
      <c r="CF261" s="17">
        <f t="shared" si="1152"/>
        <v>451440.12139887566</v>
      </c>
      <c r="CG261" s="17">
        <f t="shared" si="1153"/>
        <v>501453.30582551117</v>
      </c>
      <c r="CH261" s="17">
        <f t="shared" si="1154"/>
        <v>14.400000000000006</v>
      </c>
      <c r="CI261" s="17">
        <f t="shared" si="1155"/>
        <v>-43.2</v>
      </c>
      <c r="CJ261" s="17">
        <f t="shared" si="1156"/>
        <v>16</v>
      </c>
      <c r="CK261" s="17">
        <f t="shared" si="1157"/>
        <v>90</v>
      </c>
      <c r="CL261" s="17">
        <f t="shared" si="1158"/>
        <v>71.46880726181422</v>
      </c>
      <c r="CM261" s="17">
        <f t="shared" si="1159"/>
        <v>24</v>
      </c>
      <c r="CN261" s="17">
        <f t="shared" si="1160"/>
        <v>50</v>
      </c>
      <c r="CO261" s="17">
        <f t="shared" si="1161"/>
        <v>65.062647806544774</v>
      </c>
      <c r="CP261" s="17">
        <f t="shared" si="1162"/>
        <v>6.4061594552694459</v>
      </c>
      <c r="CQ261" s="17">
        <f t="shared" si="1163"/>
        <v>0</v>
      </c>
      <c r="CR261" s="17">
        <f t="shared" si="1164"/>
        <v>100</v>
      </c>
      <c r="CS261" s="17">
        <f t="shared" si="1165"/>
        <v>26.404773030064671</v>
      </c>
      <c r="CT261" s="17">
        <f t="shared" si="1166"/>
        <v>24</v>
      </c>
      <c r="CU261" s="17">
        <f t="shared" si="1167"/>
        <v>50</v>
      </c>
      <c r="CV261" s="17">
        <f t="shared" si="1168"/>
        <v>65.062647806544774</v>
      </c>
      <c r="CW261" s="17">
        <f t="shared" si="1169"/>
        <v>-38.657874776480099</v>
      </c>
      <c r="CX261" s="17">
        <f t="shared" si="1107"/>
        <v>-3714.9373440000004</v>
      </c>
      <c r="CY261" s="17">
        <f t="shared" si="1107"/>
        <v>-3714.9373440000004</v>
      </c>
      <c r="CZ261" s="17">
        <f t="shared" si="1170"/>
        <v>238.45881600000007</v>
      </c>
      <c r="DA261" s="17">
        <f t="shared" si="1171"/>
        <v>-715.3764480000001</v>
      </c>
      <c r="DB261" s="17">
        <f t="shared" si="1172"/>
        <v>-26593.920000000002</v>
      </c>
      <c r="DC261" s="17">
        <f t="shared" si="1173"/>
        <v>3412</v>
      </c>
      <c r="DD261" s="17">
        <f t="shared" si="1174"/>
        <v>219.7280232</v>
      </c>
      <c r="DE261" s="17">
        <f t="shared" si="1175"/>
        <v>17496.000000000007</v>
      </c>
      <c r="DF261" s="17">
        <f t="shared" si="1176"/>
        <v>-2703.0928313548802</v>
      </c>
      <c r="DG261" s="17"/>
      <c r="DH261" s="17">
        <f t="shared" si="1177"/>
        <v>-10514.941939202587</v>
      </c>
      <c r="DI261" s="17">
        <f t="shared" si="1178"/>
        <v>-29573.274204007277</v>
      </c>
      <c r="DJ261" s="17">
        <f t="shared" si="1179"/>
        <v>-1523.0015527462326</v>
      </c>
      <c r="DK261" s="17">
        <f t="shared" si="1180"/>
        <v>2271.447090285008</v>
      </c>
      <c r="DL261" s="17">
        <f t="shared" si="1181"/>
        <v>-12361.139784154871</v>
      </c>
      <c r="DM261" s="17">
        <f t="shared" si="1182"/>
        <v>-39339.770605671089</v>
      </c>
      <c r="DN261" s="17">
        <f t="shared" si="1183"/>
        <v>-51700.910389825964</v>
      </c>
    </row>
    <row r="262" spans="3:120" ht="18.600000000000001">
      <c r="C262" s="13">
        <f>IF(D262&lt;&gt;"",COUNTA($D$10:D262),"")</f>
        <v>217</v>
      </c>
      <c r="D262" s="14" t="s">
        <v>212</v>
      </c>
      <c r="E262" s="14">
        <v>1.9</v>
      </c>
      <c r="F262" s="14">
        <v>2</v>
      </c>
      <c r="G262" s="14">
        <v>2.4</v>
      </c>
      <c r="H262" s="14">
        <v>2</v>
      </c>
      <c r="I262" s="14">
        <v>1</v>
      </c>
      <c r="J262" s="14">
        <v>1.75</v>
      </c>
      <c r="K262" s="14">
        <v>3</v>
      </c>
      <c r="L262" s="15">
        <v>0.1</v>
      </c>
      <c r="M262" s="15">
        <v>0</v>
      </c>
      <c r="N262" s="14">
        <v>24</v>
      </c>
      <c r="O262" s="14">
        <v>50</v>
      </c>
      <c r="P262" s="13">
        <v>45</v>
      </c>
      <c r="Q262" s="13">
        <v>85</v>
      </c>
      <c r="R262" s="13" t="s">
        <v>17</v>
      </c>
      <c r="S262" s="13">
        <v>120</v>
      </c>
      <c r="T262" s="13">
        <v>0</v>
      </c>
      <c r="U262" s="13">
        <v>100</v>
      </c>
      <c r="V262" s="13" t="str">
        <f t="shared" si="1108"/>
        <v>ISO 6</v>
      </c>
      <c r="W262" s="13">
        <f t="shared" si="1109"/>
        <v>120</v>
      </c>
      <c r="X262" s="16">
        <f t="shared" si="1110"/>
        <v>40.887999999999998</v>
      </c>
      <c r="Y262" s="16">
        <f t="shared" si="1111"/>
        <v>321.87033599999995</v>
      </c>
      <c r="Z262" s="16">
        <f t="shared" si="1112"/>
        <v>643.7406719999999</v>
      </c>
      <c r="AA262" s="16">
        <f t="shared" si="1113"/>
        <v>64.374067199999999</v>
      </c>
      <c r="AB262" s="16">
        <f t="shared" si="1114"/>
        <v>0</v>
      </c>
      <c r="AC262" s="16">
        <f t="shared" si="1115"/>
        <v>5.9219061445067043</v>
      </c>
      <c r="AD262" s="16">
        <f t="shared" si="1184"/>
        <v>2175</v>
      </c>
      <c r="AE262" s="16">
        <f t="shared" si="1117"/>
        <v>2175</v>
      </c>
      <c r="AF262" s="16">
        <f t="shared" si="1118"/>
        <v>14</v>
      </c>
      <c r="AG262" s="16">
        <f t="shared" si="1119"/>
        <v>5.5</v>
      </c>
      <c r="AH262" s="838" t="s">
        <v>85</v>
      </c>
      <c r="AI262" s="17">
        <f t="shared" si="1120"/>
        <v>4.5</v>
      </c>
      <c r="AJ262" s="17">
        <f t="shared" si="1121"/>
        <v>5.5</v>
      </c>
      <c r="AK262" s="891"/>
      <c r="AL262" s="18"/>
      <c r="AM262" s="889"/>
      <c r="AN262" s="891"/>
      <c r="AO262" s="888"/>
      <c r="AP262" s="891"/>
      <c r="AQ262" s="891"/>
      <c r="AR262" s="889"/>
      <c r="AS262" s="888"/>
      <c r="AT262" s="888"/>
      <c r="AU262" s="890"/>
      <c r="AV262" s="888"/>
      <c r="AW262" s="888"/>
      <c r="AX262" s="888"/>
      <c r="AY262" s="887"/>
      <c r="AZ262" s="888"/>
      <c r="BA262" s="17">
        <f t="shared" si="1122"/>
        <v>14.399999999999991</v>
      </c>
      <c r="BB262" s="17">
        <f t="shared" si="1123"/>
        <v>37.799999999999997</v>
      </c>
      <c r="BC262" s="17">
        <f t="shared" si="1124"/>
        <v>32</v>
      </c>
      <c r="BD262" s="17">
        <f t="shared" si="1125"/>
        <v>85</v>
      </c>
      <c r="BE262" s="17">
        <f t="shared" si="1126"/>
        <v>180.86341983910182</v>
      </c>
      <c r="BF262" s="17">
        <f t="shared" si="1127"/>
        <v>24</v>
      </c>
      <c r="BG262" s="17">
        <f t="shared" si="1128"/>
        <v>50</v>
      </c>
      <c r="BH262" s="17">
        <f t="shared" si="1129"/>
        <v>65.062647806544774</v>
      </c>
      <c r="BI262" s="17">
        <f t="shared" si="1130"/>
        <v>115.80077203255705</v>
      </c>
      <c r="BJ262" s="17">
        <f t="shared" si="1131"/>
        <v>45</v>
      </c>
      <c r="BK262" s="17">
        <f t="shared" si="1132"/>
        <v>85</v>
      </c>
      <c r="BL262" s="17">
        <f t="shared" si="1133"/>
        <v>380.54120080897206</v>
      </c>
      <c r="BM262" s="17">
        <f t="shared" si="1134"/>
        <v>24</v>
      </c>
      <c r="BN262" s="17">
        <f t="shared" si="1135"/>
        <v>50</v>
      </c>
      <c r="BO262" s="17">
        <f t="shared" si="1136"/>
        <v>65.062647806544774</v>
      </c>
      <c r="BP262" s="17">
        <f t="shared" si="1137"/>
        <v>315.4785530024273</v>
      </c>
      <c r="BQ262" s="17">
        <f t="shared" si="1138"/>
        <v>3426.2766719999991</v>
      </c>
      <c r="BR262" s="17">
        <f t="shared" si="1139"/>
        <v>1305.2482559999989</v>
      </c>
      <c r="BS262" s="17">
        <f t="shared" si="1140"/>
        <v>264.95423999999986</v>
      </c>
      <c r="BT262" s="17">
        <f t="shared" si="1141"/>
        <v>695.50487999999984</v>
      </c>
      <c r="BU262" s="17">
        <f t="shared" si="1142"/>
        <v>23269.68</v>
      </c>
      <c r="BV262" s="17">
        <f t="shared" si="1143"/>
        <v>3412</v>
      </c>
      <c r="BW262" s="17">
        <f t="shared" si="1144"/>
        <v>244.142248</v>
      </c>
      <c r="BX262" s="17">
        <f t="shared" si="1145"/>
        <v>17495.999999999989</v>
      </c>
      <c r="BY262" s="17">
        <f t="shared" si="1146"/>
        <v>2628.0069193727995</v>
      </c>
      <c r="BZ262" s="17"/>
      <c r="CA262" s="17">
        <f t="shared" si="1147"/>
        <v>85810.166416660228</v>
      </c>
      <c r="CB262" s="17">
        <f t="shared" si="1148"/>
        <v>241341.0930468569</v>
      </c>
      <c r="CC262" s="17">
        <f t="shared" si="1149"/>
        <v>13809.873548373173</v>
      </c>
      <c r="CD262" s="17">
        <f t="shared" si="1150"/>
        <v>124288.86193535852</v>
      </c>
      <c r="CE262" s="17">
        <f t="shared" si="1151"/>
        <v>50476.105839372787</v>
      </c>
      <c r="CF262" s="17">
        <f t="shared" si="1152"/>
        <v>465249.99494724884</v>
      </c>
      <c r="CG262" s="17">
        <f t="shared" si="1153"/>
        <v>515726.10078662162</v>
      </c>
      <c r="CH262" s="17">
        <f t="shared" si="1154"/>
        <v>14.400000000000006</v>
      </c>
      <c r="CI262" s="17">
        <f t="shared" si="1155"/>
        <v>-43.2</v>
      </c>
      <c r="CJ262" s="17">
        <f t="shared" si="1156"/>
        <v>16</v>
      </c>
      <c r="CK262" s="17">
        <f t="shared" si="1157"/>
        <v>90</v>
      </c>
      <c r="CL262" s="17">
        <f t="shared" si="1158"/>
        <v>71.46880726181422</v>
      </c>
      <c r="CM262" s="17">
        <f t="shared" si="1159"/>
        <v>24</v>
      </c>
      <c r="CN262" s="17">
        <f t="shared" si="1160"/>
        <v>50</v>
      </c>
      <c r="CO262" s="17">
        <f t="shared" si="1161"/>
        <v>65.062647806544774</v>
      </c>
      <c r="CP262" s="17">
        <f t="shared" si="1162"/>
        <v>6.4061594552694459</v>
      </c>
      <c r="CQ262" s="17">
        <f t="shared" si="1163"/>
        <v>0</v>
      </c>
      <c r="CR262" s="17">
        <f t="shared" si="1164"/>
        <v>100</v>
      </c>
      <c r="CS262" s="17">
        <f t="shared" si="1165"/>
        <v>26.404773030064671</v>
      </c>
      <c r="CT262" s="17">
        <f t="shared" si="1166"/>
        <v>24</v>
      </c>
      <c r="CU262" s="17">
        <f t="shared" si="1167"/>
        <v>50</v>
      </c>
      <c r="CV262" s="17">
        <f t="shared" si="1168"/>
        <v>65.062647806544774</v>
      </c>
      <c r="CW262" s="17">
        <f t="shared" si="1169"/>
        <v>-38.657874776480099</v>
      </c>
      <c r="CX262" s="17">
        <f t="shared" si="1107"/>
        <v>-3915.744768</v>
      </c>
      <c r="CY262" s="17">
        <f t="shared" si="1107"/>
        <v>-3915.744768</v>
      </c>
      <c r="CZ262" s="17">
        <f t="shared" si="1170"/>
        <v>264.95424000000008</v>
      </c>
      <c r="DA262" s="17">
        <f t="shared" si="1171"/>
        <v>-794.86271999999997</v>
      </c>
      <c r="DB262" s="17">
        <f t="shared" si="1172"/>
        <v>-26593.920000000002</v>
      </c>
      <c r="DC262" s="17">
        <f t="shared" si="1173"/>
        <v>3412</v>
      </c>
      <c r="DD262" s="17">
        <f t="shared" si="1174"/>
        <v>244.142248</v>
      </c>
      <c r="DE262" s="17">
        <f t="shared" si="1175"/>
        <v>17496.000000000007</v>
      </c>
      <c r="DF262" s="17">
        <f t="shared" si="1176"/>
        <v>-3003.4364792832002</v>
      </c>
      <c r="DG262" s="17"/>
      <c r="DH262" s="17">
        <f t="shared" si="1177"/>
        <v>-10514.941939202587</v>
      </c>
      <c r="DI262" s="17">
        <f t="shared" si="1178"/>
        <v>-29573.274204007277</v>
      </c>
      <c r="DJ262" s="17">
        <f t="shared" si="1179"/>
        <v>-1692.2239474958142</v>
      </c>
      <c r="DK262" s="17">
        <f t="shared" si="1180"/>
        <v>2523.8301003166753</v>
      </c>
      <c r="DL262" s="17">
        <f t="shared" si="1181"/>
        <v>-12890.867479283193</v>
      </c>
      <c r="DM262" s="17">
        <f t="shared" si="1182"/>
        <v>-39256.609990388999</v>
      </c>
      <c r="DN262" s="17">
        <f t="shared" si="1183"/>
        <v>-52147.477469672194</v>
      </c>
    </row>
    <row r="263" spans="3:120" ht="18.600000000000001">
      <c r="C263" s="13">
        <f>IF(D263&lt;&gt;"",COUNTA($D$10:D263),"")</f>
        <v>218</v>
      </c>
      <c r="D263" s="14" t="s">
        <v>213</v>
      </c>
      <c r="E263" s="14">
        <v>2.2999999999999998</v>
      </c>
      <c r="F263" s="14">
        <v>2.2000000000000002</v>
      </c>
      <c r="G263" s="14">
        <v>2.4</v>
      </c>
      <c r="H263" s="14">
        <v>2</v>
      </c>
      <c r="I263" s="14">
        <v>1</v>
      </c>
      <c r="J263" s="14">
        <v>1.75</v>
      </c>
      <c r="K263" s="14">
        <v>3</v>
      </c>
      <c r="L263" s="15">
        <v>0.1</v>
      </c>
      <c r="M263" s="15">
        <v>0</v>
      </c>
      <c r="N263" s="14">
        <v>24</v>
      </c>
      <c r="O263" s="14">
        <v>50</v>
      </c>
      <c r="P263" s="13">
        <v>45</v>
      </c>
      <c r="Q263" s="13">
        <v>85</v>
      </c>
      <c r="R263" s="13" t="s">
        <v>17</v>
      </c>
      <c r="S263" s="13">
        <v>120</v>
      </c>
      <c r="T263" s="13">
        <v>0</v>
      </c>
      <c r="U263" s="13">
        <v>100</v>
      </c>
      <c r="V263" s="13" t="str">
        <f t="shared" si="1108"/>
        <v>ISO 6</v>
      </c>
      <c r="W263" s="13">
        <f t="shared" si="1109"/>
        <v>120</v>
      </c>
      <c r="X263" s="16">
        <f t="shared" si="1110"/>
        <v>54.445599999999992</v>
      </c>
      <c r="Y263" s="16">
        <f t="shared" si="1111"/>
        <v>428.59576319999991</v>
      </c>
      <c r="Z263" s="16">
        <f t="shared" si="1112"/>
        <v>857.19152639999982</v>
      </c>
      <c r="AA263" s="16">
        <f t="shared" si="1113"/>
        <v>85.71915263999999</v>
      </c>
      <c r="AB263" s="16">
        <f t="shared" si="1114"/>
        <v>0</v>
      </c>
      <c r="AC263" s="16">
        <f t="shared" si="1115"/>
        <v>7.8854855503168197</v>
      </c>
      <c r="AD263" s="16">
        <f t="shared" si="1184"/>
        <v>2400</v>
      </c>
      <c r="AE263" s="16">
        <f t="shared" si="1117"/>
        <v>2400</v>
      </c>
      <c r="AF263" s="16">
        <f t="shared" si="1118"/>
        <v>14</v>
      </c>
      <c r="AG263" s="16">
        <f t="shared" si="1119"/>
        <v>6</v>
      </c>
      <c r="AH263" s="838" t="s">
        <v>85</v>
      </c>
      <c r="AI263" s="17">
        <f t="shared" si="1120"/>
        <v>4.5</v>
      </c>
      <c r="AJ263" s="17">
        <f t="shared" si="1121"/>
        <v>6</v>
      </c>
      <c r="AK263" s="891"/>
      <c r="AL263" s="18"/>
      <c r="AM263" s="889"/>
      <c r="AN263" s="891"/>
      <c r="AO263" s="888"/>
      <c r="AP263" s="891"/>
      <c r="AQ263" s="891"/>
      <c r="AR263" s="889"/>
      <c r="AS263" s="888"/>
      <c r="AT263" s="888"/>
      <c r="AU263" s="890"/>
      <c r="AV263" s="888"/>
      <c r="AW263" s="888"/>
      <c r="AX263" s="888"/>
      <c r="AY263" s="887"/>
      <c r="AZ263" s="888"/>
      <c r="BA263" s="17">
        <f t="shared" si="1122"/>
        <v>14.399999999999991</v>
      </c>
      <c r="BB263" s="17">
        <f t="shared" si="1123"/>
        <v>37.799999999999997</v>
      </c>
      <c r="BC263" s="17">
        <f t="shared" si="1124"/>
        <v>32</v>
      </c>
      <c r="BD263" s="17">
        <f t="shared" si="1125"/>
        <v>85</v>
      </c>
      <c r="BE263" s="17">
        <f t="shared" si="1126"/>
        <v>180.86341983910182</v>
      </c>
      <c r="BF263" s="17">
        <f t="shared" si="1127"/>
        <v>24</v>
      </c>
      <c r="BG263" s="17">
        <f t="shared" si="1128"/>
        <v>50</v>
      </c>
      <c r="BH263" s="17">
        <f t="shared" si="1129"/>
        <v>65.062647806544774</v>
      </c>
      <c r="BI263" s="17">
        <f t="shared" si="1130"/>
        <v>115.80077203255705</v>
      </c>
      <c r="BJ263" s="17">
        <f t="shared" si="1131"/>
        <v>45</v>
      </c>
      <c r="BK263" s="17">
        <f t="shared" si="1132"/>
        <v>85</v>
      </c>
      <c r="BL263" s="17">
        <f t="shared" si="1133"/>
        <v>380.54120080897206</v>
      </c>
      <c r="BM263" s="17">
        <f t="shared" si="1134"/>
        <v>24</v>
      </c>
      <c r="BN263" s="17">
        <f t="shared" si="1135"/>
        <v>50</v>
      </c>
      <c r="BO263" s="17">
        <f t="shared" si="1136"/>
        <v>65.062647806544774</v>
      </c>
      <c r="BP263" s="17">
        <f t="shared" si="1137"/>
        <v>315.4785530024273</v>
      </c>
      <c r="BQ263" s="17">
        <f t="shared" si="1138"/>
        <v>3953.3961599999993</v>
      </c>
      <c r="BR263" s="17">
        <f t="shared" si="1139"/>
        <v>1506.0556799999993</v>
      </c>
      <c r="BS263" s="17">
        <f t="shared" si="1140"/>
        <v>352.80748799999975</v>
      </c>
      <c r="BT263" s="17">
        <f t="shared" si="1141"/>
        <v>926.11965599999974</v>
      </c>
      <c r="BU263" s="17">
        <f t="shared" si="1142"/>
        <v>23269.68</v>
      </c>
      <c r="BV263" s="17">
        <f t="shared" si="1143"/>
        <v>3412</v>
      </c>
      <c r="BW263" s="17">
        <f t="shared" si="1144"/>
        <v>325.0946775999999</v>
      </c>
      <c r="BX263" s="17">
        <f t="shared" si="1145"/>
        <v>17495.999999999989</v>
      </c>
      <c r="BY263" s="17">
        <f t="shared" si="1146"/>
        <v>3499.3986873753597</v>
      </c>
      <c r="BZ263" s="17"/>
      <c r="CA263" s="17">
        <f t="shared" si="1147"/>
        <v>85810.166416660228</v>
      </c>
      <c r="CB263" s="17">
        <f t="shared" si="1148"/>
        <v>241341.0930468569</v>
      </c>
      <c r="CC263" s="17">
        <f t="shared" si="1149"/>
        <v>18388.936882833746</v>
      </c>
      <c r="CD263" s="17">
        <f t="shared" si="1150"/>
        <v>165500.43194550375</v>
      </c>
      <c r="CE263" s="17">
        <f t="shared" si="1151"/>
        <v>51955.569524975348</v>
      </c>
      <c r="CF263" s="17">
        <f t="shared" si="1152"/>
        <v>511040.62829185458</v>
      </c>
      <c r="CG263" s="17">
        <f t="shared" si="1153"/>
        <v>562996.1978168299</v>
      </c>
      <c r="CH263" s="17">
        <f t="shared" si="1154"/>
        <v>14.400000000000006</v>
      </c>
      <c r="CI263" s="17">
        <f t="shared" si="1155"/>
        <v>-43.2</v>
      </c>
      <c r="CJ263" s="17">
        <f t="shared" si="1156"/>
        <v>16</v>
      </c>
      <c r="CK263" s="17">
        <f t="shared" si="1157"/>
        <v>90</v>
      </c>
      <c r="CL263" s="17">
        <f t="shared" si="1158"/>
        <v>71.46880726181422</v>
      </c>
      <c r="CM263" s="17">
        <f t="shared" si="1159"/>
        <v>24</v>
      </c>
      <c r="CN263" s="17">
        <f t="shared" si="1160"/>
        <v>50</v>
      </c>
      <c r="CO263" s="17">
        <f t="shared" si="1161"/>
        <v>65.062647806544774</v>
      </c>
      <c r="CP263" s="17">
        <f t="shared" si="1162"/>
        <v>6.4061594552694459</v>
      </c>
      <c r="CQ263" s="17">
        <f t="shared" si="1163"/>
        <v>0</v>
      </c>
      <c r="CR263" s="17">
        <f t="shared" si="1164"/>
        <v>100</v>
      </c>
      <c r="CS263" s="17">
        <f t="shared" si="1165"/>
        <v>26.404773030064671</v>
      </c>
      <c r="CT263" s="17">
        <f t="shared" si="1166"/>
        <v>24</v>
      </c>
      <c r="CU263" s="17">
        <f t="shared" si="1167"/>
        <v>50</v>
      </c>
      <c r="CV263" s="17">
        <f t="shared" si="1168"/>
        <v>65.062647806544774</v>
      </c>
      <c r="CW263" s="17">
        <f t="shared" si="1169"/>
        <v>-38.657874776480099</v>
      </c>
      <c r="CX263" s="17">
        <f t="shared" si="1107"/>
        <v>-4518.1670400000012</v>
      </c>
      <c r="CY263" s="17">
        <f t="shared" si="1107"/>
        <v>-4518.1670400000012</v>
      </c>
      <c r="CZ263" s="17">
        <f t="shared" si="1170"/>
        <v>352.80748800000009</v>
      </c>
      <c r="DA263" s="17">
        <f t="shared" si="1171"/>
        <v>-1058.422464</v>
      </c>
      <c r="DB263" s="17">
        <f t="shared" si="1172"/>
        <v>-26593.920000000002</v>
      </c>
      <c r="DC263" s="17">
        <f t="shared" si="1173"/>
        <v>3412</v>
      </c>
      <c r="DD263" s="17">
        <f t="shared" si="1174"/>
        <v>325.0946775999999</v>
      </c>
      <c r="DE263" s="17">
        <f t="shared" si="1175"/>
        <v>17496.000000000007</v>
      </c>
      <c r="DF263" s="17">
        <f t="shared" si="1176"/>
        <v>-3999.3127855718403</v>
      </c>
      <c r="DG263" s="17"/>
      <c r="DH263" s="17">
        <f t="shared" si="1177"/>
        <v>-10514.941939202587</v>
      </c>
      <c r="DI263" s="17">
        <f t="shared" si="1178"/>
        <v>-29573.274204007277</v>
      </c>
      <c r="DJ263" s="17">
        <f t="shared" si="1179"/>
        <v>-2253.32978271811</v>
      </c>
      <c r="DK263" s="17">
        <f t="shared" si="1180"/>
        <v>3360.6790283164155</v>
      </c>
      <c r="DL263" s="17">
        <f t="shared" si="1181"/>
        <v>-14583.920123971839</v>
      </c>
      <c r="DM263" s="17">
        <f t="shared" si="1182"/>
        <v>-38980.866897611559</v>
      </c>
      <c r="DN263" s="17">
        <f t="shared" si="1183"/>
        <v>-53564.787021583397</v>
      </c>
    </row>
    <row r="264" spans="3:120" ht="18.600000000000001">
      <c r="C264" s="13">
        <f>IF(D264&lt;&gt;"",COUNTA($D$10:D264),"")</f>
        <v>219</v>
      </c>
      <c r="D264" s="14" t="s">
        <v>214</v>
      </c>
      <c r="E264" s="14">
        <v>2.2000000000000002</v>
      </c>
      <c r="F264" s="14">
        <v>2.8</v>
      </c>
      <c r="G264" s="14">
        <v>2.4</v>
      </c>
      <c r="H264" s="14">
        <v>2</v>
      </c>
      <c r="I264" s="14">
        <v>1</v>
      </c>
      <c r="J264" s="14">
        <v>1.75</v>
      </c>
      <c r="K264" s="14">
        <v>3</v>
      </c>
      <c r="L264" s="15">
        <v>0.1</v>
      </c>
      <c r="M264" s="15">
        <v>0</v>
      </c>
      <c r="N264" s="14">
        <v>24</v>
      </c>
      <c r="O264" s="14">
        <v>50</v>
      </c>
      <c r="P264" s="13">
        <v>45</v>
      </c>
      <c r="Q264" s="13">
        <v>85</v>
      </c>
      <c r="R264" s="13" t="s">
        <v>17</v>
      </c>
      <c r="S264" s="13">
        <v>120</v>
      </c>
      <c r="T264" s="13">
        <v>0</v>
      </c>
      <c r="U264" s="13">
        <v>100</v>
      </c>
      <c r="V264" s="13" t="str">
        <f t="shared" si="1108"/>
        <v>ISO 6</v>
      </c>
      <c r="W264" s="13">
        <f t="shared" si="1109"/>
        <v>120</v>
      </c>
      <c r="X264" s="16">
        <f t="shared" si="1110"/>
        <v>66.281599999999997</v>
      </c>
      <c r="Y264" s="16">
        <f t="shared" si="1111"/>
        <v>521.76875519999999</v>
      </c>
      <c r="Z264" s="16">
        <f t="shared" si="1112"/>
        <v>1043.5375104</v>
      </c>
      <c r="AA264" s="16">
        <f t="shared" si="1113"/>
        <v>104.35375104000001</v>
      </c>
      <c r="AB264" s="16">
        <f t="shared" si="1114"/>
        <v>0</v>
      </c>
      <c r="AC264" s="16">
        <f t="shared" si="1115"/>
        <v>9.5997215395161284</v>
      </c>
      <c r="AD264" s="16">
        <f t="shared" si="1184"/>
        <v>2575</v>
      </c>
      <c r="AE264" s="16">
        <f t="shared" si="1117"/>
        <v>2575</v>
      </c>
      <c r="AF264" s="16">
        <f t="shared" si="1118"/>
        <v>16</v>
      </c>
      <c r="AG264" s="16">
        <f t="shared" si="1119"/>
        <v>6.5</v>
      </c>
      <c r="AH264" s="838" t="s">
        <v>85</v>
      </c>
      <c r="AI264" s="17">
        <f t="shared" si="1120"/>
        <v>4.5</v>
      </c>
      <c r="AJ264" s="17">
        <f t="shared" si="1121"/>
        <v>6.5</v>
      </c>
      <c r="AK264" s="891"/>
      <c r="AL264" s="18"/>
      <c r="AM264" s="889"/>
      <c r="AN264" s="891"/>
      <c r="AO264" s="888"/>
      <c r="AP264" s="891"/>
      <c r="AQ264" s="891"/>
      <c r="AR264" s="889"/>
      <c r="AS264" s="888"/>
      <c r="AT264" s="888"/>
      <c r="AU264" s="890"/>
      <c r="AV264" s="888"/>
      <c r="AW264" s="888"/>
      <c r="AX264" s="888"/>
      <c r="AY264" s="887"/>
      <c r="AZ264" s="888"/>
      <c r="BA264" s="17">
        <f t="shared" si="1122"/>
        <v>14.399999999999991</v>
      </c>
      <c r="BB264" s="17">
        <f t="shared" si="1123"/>
        <v>37.799999999999997</v>
      </c>
      <c r="BC264" s="17">
        <f t="shared" si="1124"/>
        <v>32</v>
      </c>
      <c r="BD264" s="17">
        <f t="shared" si="1125"/>
        <v>85</v>
      </c>
      <c r="BE264" s="17">
        <f t="shared" si="1126"/>
        <v>180.86341983910182</v>
      </c>
      <c r="BF264" s="17">
        <f t="shared" si="1127"/>
        <v>24</v>
      </c>
      <c r="BG264" s="17">
        <f t="shared" si="1128"/>
        <v>50</v>
      </c>
      <c r="BH264" s="17">
        <f t="shared" si="1129"/>
        <v>65.062647806544774</v>
      </c>
      <c r="BI264" s="17">
        <f t="shared" si="1130"/>
        <v>115.80077203255705</v>
      </c>
      <c r="BJ264" s="17">
        <f t="shared" si="1131"/>
        <v>45</v>
      </c>
      <c r="BK264" s="17">
        <f t="shared" si="1132"/>
        <v>85</v>
      </c>
      <c r="BL264" s="17">
        <f t="shared" si="1133"/>
        <v>380.54120080897206</v>
      </c>
      <c r="BM264" s="17">
        <f t="shared" si="1134"/>
        <v>24</v>
      </c>
      <c r="BN264" s="17">
        <f t="shared" si="1135"/>
        <v>50</v>
      </c>
      <c r="BO264" s="17">
        <f t="shared" si="1136"/>
        <v>65.062647806544774</v>
      </c>
      <c r="BP264" s="17">
        <f t="shared" si="1137"/>
        <v>315.4785530024273</v>
      </c>
      <c r="BQ264" s="17">
        <f t="shared" si="1138"/>
        <v>4392.6624000000002</v>
      </c>
      <c r="BR264" s="17">
        <f t="shared" si="1139"/>
        <v>1673.3951999999992</v>
      </c>
      <c r="BS264" s="17">
        <f t="shared" si="1140"/>
        <v>429.50476799999973</v>
      </c>
      <c r="BT264" s="17">
        <f t="shared" si="1141"/>
        <v>1127.4500159999998</v>
      </c>
      <c r="BU264" s="17">
        <f t="shared" si="1142"/>
        <v>23269.68</v>
      </c>
      <c r="BV264" s="17">
        <f t="shared" si="1143"/>
        <v>3412</v>
      </c>
      <c r="BW264" s="17">
        <f t="shared" si="1144"/>
        <v>395.76743359999995</v>
      </c>
      <c r="BX264" s="17">
        <f t="shared" si="1145"/>
        <v>17495.999999999989</v>
      </c>
      <c r="BY264" s="17">
        <f t="shared" si="1146"/>
        <v>4260.1375324569599</v>
      </c>
      <c r="BZ264" s="17"/>
      <c r="CA264" s="17">
        <f t="shared" si="1147"/>
        <v>85810.166416660228</v>
      </c>
      <c r="CB264" s="17">
        <f t="shared" si="1148"/>
        <v>241341.0930468569</v>
      </c>
      <c r="CC264" s="17">
        <f t="shared" si="1149"/>
        <v>22386.531857362828</v>
      </c>
      <c r="CD264" s="17">
        <f t="shared" si="1150"/>
        <v>201478.78671626543</v>
      </c>
      <c r="CE264" s="17">
        <f t="shared" si="1151"/>
        <v>53226.247366056945</v>
      </c>
      <c r="CF264" s="17">
        <f t="shared" si="1152"/>
        <v>551016.57803714531</v>
      </c>
      <c r="CG264" s="17">
        <f t="shared" si="1153"/>
        <v>604242.82540320221</v>
      </c>
      <c r="CH264" s="17">
        <f t="shared" si="1154"/>
        <v>14.400000000000006</v>
      </c>
      <c r="CI264" s="17">
        <f t="shared" si="1155"/>
        <v>-43.2</v>
      </c>
      <c r="CJ264" s="17">
        <f t="shared" si="1156"/>
        <v>16</v>
      </c>
      <c r="CK264" s="17">
        <f t="shared" si="1157"/>
        <v>90</v>
      </c>
      <c r="CL264" s="17">
        <f t="shared" si="1158"/>
        <v>71.46880726181422</v>
      </c>
      <c r="CM264" s="17">
        <f t="shared" si="1159"/>
        <v>24</v>
      </c>
      <c r="CN264" s="17">
        <f t="shared" si="1160"/>
        <v>50</v>
      </c>
      <c r="CO264" s="17">
        <f t="shared" si="1161"/>
        <v>65.062647806544774</v>
      </c>
      <c r="CP264" s="17">
        <f t="shared" si="1162"/>
        <v>6.4061594552694459</v>
      </c>
      <c r="CQ264" s="17">
        <f t="shared" si="1163"/>
        <v>0</v>
      </c>
      <c r="CR264" s="17">
        <f t="shared" si="1164"/>
        <v>100</v>
      </c>
      <c r="CS264" s="17">
        <f t="shared" si="1165"/>
        <v>26.404773030064671</v>
      </c>
      <c r="CT264" s="17">
        <f t="shared" si="1166"/>
        <v>24</v>
      </c>
      <c r="CU264" s="17">
        <f t="shared" si="1167"/>
        <v>50</v>
      </c>
      <c r="CV264" s="17">
        <f t="shared" si="1168"/>
        <v>65.062647806544774</v>
      </c>
      <c r="CW264" s="17">
        <f t="shared" si="1169"/>
        <v>-38.657874776480099</v>
      </c>
      <c r="CX264" s="17">
        <f t="shared" si="1107"/>
        <v>-5020.1856000000007</v>
      </c>
      <c r="CY264" s="17">
        <f t="shared" si="1107"/>
        <v>-5020.1856000000007</v>
      </c>
      <c r="CZ264" s="17">
        <f t="shared" si="1170"/>
        <v>429.50476800000018</v>
      </c>
      <c r="DA264" s="17">
        <f t="shared" si="1171"/>
        <v>-1288.514304</v>
      </c>
      <c r="DB264" s="17">
        <f t="shared" si="1172"/>
        <v>-26593.920000000002</v>
      </c>
      <c r="DC264" s="17">
        <f t="shared" si="1173"/>
        <v>3412</v>
      </c>
      <c r="DD264" s="17">
        <f t="shared" si="1174"/>
        <v>395.76743359999995</v>
      </c>
      <c r="DE264" s="17">
        <f t="shared" si="1175"/>
        <v>17496.000000000007</v>
      </c>
      <c r="DF264" s="17">
        <f t="shared" si="1176"/>
        <v>-4868.7286085222404</v>
      </c>
      <c r="DG264" s="17"/>
      <c r="DH264" s="17">
        <f t="shared" si="1177"/>
        <v>-10514.941939202587</v>
      </c>
      <c r="DI264" s="17">
        <f t="shared" si="1178"/>
        <v>-29573.274204007277</v>
      </c>
      <c r="DJ264" s="17">
        <f t="shared" si="1179"/>
        <v>-2743.1840833090046</v>
      </c>
      <c r="DK264" s="17">
        <f t="shared" si="1180"/>
        <v>4091.2614257765063</v>
      </c>
      <c r="DL264" s="17">
        <f t="shared" si="1181"/>
        <v>-16038.076310922239</v>
      </c>
      <c r="DM264" s="17">
        <f t="shared" si="1182"/>
        <v>-38740.138800742359</v>
      </c>
      <c r="DN264" s="17">
        <f t="shared" si="1183"/>
        <v>-54778.215111664598</v>
      </c>
    </row>
    <row r="265" spans="3:120" ht="18.600000000000001">
      <c r="C265" s="13">
        <f>IF(D265&lt;&gt;"",COUNTA($D$10:D265),"")</f>
        <v>220</v>
      </c>
      <c r="D265" s="14" t="s">
        <v>215</v>
      </c>
      <c r="E265" s="14">
        <v>2.8</v>
      </c>
      <c r="F265" s="14">
        <v>2.4</v>
      </c>
      <c r="G265" s="14">
        <v>2.4</v>
      </c>
      <c r="H265" s="14">
        <v>2</v>
      </c>
      <c r="I265" s="14">
        <v>1</v>
      </c>
      <c r="J265" s="14">
        <v>1.75</v>
      </c>
      <c r="K265" s="14">
        <v>3</v>
      </c>
      <c r="L265" s="15">
        <v>0.1</v>
      </c>
      <c r="M265" s="15">
        <v>0</v>
      </c>
      <c r="N265" s="14">
        <v>24</v>
      </c>
      <c r="O265" s="14">
        <v>50</v>
      </c>
      <c r="P265" s="13">
        <v>45</v>
      </c>
      <c r="Q265" s="13">
        <v>85</v>
      </c>
      <c r="R265" s="13" t="s">
        <v>17</v>
      </c>
      <c r="S265" s="13">
        <v>120</v>
      </c>
      <c r="T265" s="13">
        <v>0</v>
      </c>
      <c r="U265" s="13">
        <v>100</v>
      </c>
      <c r="V265" s="13" t="str">
        <f t="shared" si="1108"/>
        <v>ISO 6</v>
      </c>
      <c r="W265" s="13">
        <f t="shared" si="1109"/>
        <v>120</v>
      </c>
      <c r="X265" s="16">
        <f t="shared" si="1110"/>
        <v>72.307199999999995</v>
      </c>
      <c r="Y265" s="16">
        <f t="shared" si="1111"/>
        <v>569.20227839999995</v>
      </c>
      <c r="Z265" s="16">
        <f t="shared" si="1112"/>
        <v>1138.4045567999999</v>
      </c>
      <c r="AA265" s="16">
        <f t="shared" si="1113"/>
        <v>113.84045567999999</v>
      </c>
      <c r="AB265" s="16">
        <f t="shared" si="1114"/>
        <v>0</v>
      </c>
      <c r="AC265" s="16">
        <f t="shared" si="1115"/>
        <v>10.472423497653956</v>
      </c>
      <c r="AD265" s="16">
        <f t="shared" si="1184"/>
        <v>2675</v>
      </c>
      <c r="AE265" s="16">
        <f t="shared" si="1117"/>
        <v>2675</v>
      </c>
      <c r="AF265" s="16">
        <f t="shared" si="1118"/>
        <v>16</v>
      </c>
      <c r="AG265" s="16">
        <f t="shared" si="1119"/>
        <v>7</v>
      </c>
      <c r="AH265" s="838" t="s">
        <v>85</v>
      </c>
      <c r="AI265" s="17">
        <f t="shared" si="1120"/>
        <v>4.5</v>
      </c>
      <c r="AJ265" s="17">
        <f t="shared" si="1121"/>
        <v>7</v>
      </c>
      <c r="AK265" s="891"/>
      <c r="AL265" s="18"/>
      <c r="AM265" s="889"/>
      <c r="AN265" s="891"/>
      <c r="AO265" s="888"/>
      <c r="AP265" s="891"/>
      <c r="AQ265" s="891"/>
      <c r="AR265" s="889"/>
      <c r="AS265" s="888"/>
      <c r="AT265" s="888"/>
      <c r="AU265" s="890"/>
      <c r="AV265" s="888"/>
      <c r="AW265" s="888"/>
      <c r="AX265" s="888"/>
      <c r="AY265" s="887"/>
      <c r="AZ265" s="888"/>
      <c r="BA265" s="17">
        <f t="shared" si="1122"/>
        <v>14.399999999999991</v>
      </c>
      <c r="BB265" s="17">
        <f t="shared" si="1123"/>
        <v>37.799999999999997</v>
      </c>
      <c r="BC265" s="17">
        <f t="shared" si="1124"/>
        <v>32</v>
      </c>
      <c r="BD265" s="17">
        <f t="shared" si="1125"/>
        <v>85</v>
      </c>
      <c r="BE265" s="17">
        <f t="shared" si="1126"/>
        <v>180.86341983910182</v>
      </c>
      <c r="BF265" s="17">
        <f t="shared" si="1127"/>
        <v>24</v>
      </c>
      <c r="BG265" s="17">
        <f t="shared" si="1128"/>
        <v>50</v>
      </c>
      <c r="BH265" s="17">
        <f t="shared" si="1129"/>
        <v>65.062647806544774</v>
      </c>
      <c r="BI265" s="17">
        <f t="shared" si="1130"/>
        <v>115.80077203255705</v>
      </c>
      <c r="BJ265" s="17">
        <f t="shared" si="1131"/>
        <v>45</v>
      </c>
      <c r="BK265" s="17">
        <f t="shared" si="1132"/>
        <v>85</v>
      </c>
      <c r="BL265" s="17">
        <f t="shared" si="1133"/>
        <v>380.54120080897206</v>
      </c>
      <c r="BM265" s="17">
        <f t="shared" si="1134"/>
        <v>24</v>
      </c>
      <c r="BN265" s="17">
        <f t="shared" si="1135"/>
        <v>50</v>
      </c>
      <c r="BO265" s="17">
        <f t="shared" si="1136"/>
        <v>65.062647806544774</v>
      </c>
      <c r="BP265" s="17">
        <f t="shared" si="1137"/>
        <v>315.4785530024273</v>
      </c>
      <c r="BQ265" s="17">
        <f t="shared" si="1138"/>
        <v>4568.368895999999</v>
      </c>
      <c r="BR265" s="17">
        <f t="shared" si="1139"/>
        <v>1740.331007999999</v>
      </c>
      <c r="BS265" s="17">
        <f t="shared" si="1140"/>
        <v>468.55065599999972</v>
      </c>
      <c r="BT265" s="17">
        <f t="shared" si="1141"/>
        <v>1229.9454719999999</v>
      </c>
      <c r="BU265" s="17">
        <f t="shared" si="1142"/>
        <v>23269.68</v>
      </c>
      <c r="BV265" s="17">
        <f t="shared" si="1143"/>
        <v>3412</v>
      </c>
      <c r="BW265" s="17">
        <f t="shared" si="1144"/>
        <v>431.74629119999997</v>
      </c>
      <c r="BX265" s="17">
        <f t="shared" si="1145"/>
        <v>17495.999999999989</v>
      </c>
      <c r="BY265" s="17">
        <f t="shared" si="1146"/>
        <v>4647.4227626803195</v>
      </c>
      <c r="BZ265" s="17"/>
      <c r="CA265" s="17">
        <f t="shared" si="1147"/>
        <v>85810.166416660228</v>
      </c>
      <c r="CB265" s="17">
        <f t="shared" si="1148"/>
        <v>241341.0930468569</v>
      </c>
      <c r="CC265" s="17">
        <f t="shared" si="1149"/>
        <v>24421.671117123082</v>
      </c>
      <c r="CD265" s="17">
        <f t="shared" si="1150"/>
        <v>219795.04005410775</v>
      </c>
      <c r="CE265" s="17">
        <f t="shared" si="1151"/>
        <v>53825.217949880309</v>
      </c>
      <c r="CF265" s="17">
        <f t="shared" si="1152"/>
        <v>571367.970634748</v>
      </c>
      <c r="CG265" s="17">
        <f t="shared" si="1153"/>
        <v>625193.18858462828</v>
      </c>
      <c r="CH265" s="17">
        <f t="shared" si="1154"/>
        <v>14.400000000000006</v>
      </c>
      <c r="CI265" s="17">
        <f t="shared" si="1155"/>
        <v>-43.2</v>
      </c>
      <c r="CJ265" s="17">
        <f t="shared" si="1156"/>
        <v>16</v>
      </c>
      <c r="CK265" s="17">
        <f t="shared" si="1157"/>
        <v>90</v>
      </c>
      <c r="CL265" s="17">
        <f t="shared" si="1158"/>
        <v>71.46880726181422</v>
      </c>
      <c r="CM265" s="17">
        <f t="shared" si="1159"/>
        <v>24</v>
      </c>
      <c r="CN265" s="17">
        <f t="shared" si="1160"/>
        <v>50</v>
      </c>
      <c r="CO265" s="17">
        <f t="shared" si="1161"/>
        <v>65.062647806544774</v>
      </c>
      <c r="CP265" s="17">
        <f t="shared" si="1162"/>
        <v>6.4061594552694459</v>
      </c>
      <c r="CQ265" s="17">
        <f t="shared" si="1163"/>
        <v>0</v>
      </c>
      <c r="CR265" s="17">
        <f t="shared" si="1164"/>
        <v>100</v>
      </c>
      <c r="CS265" s="17">
        <f t="shared" si="1165"/>
        <v>26.404773030064671</v>
      </c>
      <c r="CT265" s="17">
        <f t="shared" si="1166"/>
        <v>24</v>
      </c>
      <c r="CU265" s="17">
        <f t="shared" si="1167"/>
        <v>50</v>
      </c>
      <c r="CV265" s="17">
        <f t="shared" si="1168"/>
        <v>65.062647806544774</v>
      </c>
      <c r="CW265" s="17">
        <f t="shared" si="1169"/>
        <v>-38.657874776480099</v>
      </c>
      <c r="CX265" s="17">
        <f t="shared" si="1107"/>
        <v>-5220.9930240000003</v>
      </c>
      <c r="CY265" s="17">
        <f t="shared" si="1107"/>
        <v>-5220.9930240000003</v>
      </c>
      <c r="CZ265" s="17">
        <f t="shared" si="1170"/>
        <v>468.55065600000012</v>
      </c>
      <c r="DA265" s="17">
        <f t="shared" si="1171"/>
        <v>-1405.6519680000001</v>
      </c>
      <c r="DB265" s="17">
        <f t="shared" si="1172"/>
        <v>-26593.920000000002</v>
      </c>
      <c r="DC265" s="17">
        <f t="shared" si="1173"/>
        <v>3412</v>
      </c>
      <c r="DD265" s="17">
        <f t="shared" si="1174"/>
        <v>431.74629119999997</v>
      </c>
      <c r="DE265" s="17">
        <f t="shared" si="1175"/>
        <v>17496.000000000007</v>
      </c>
      <c r="DF265" s="17">
        <f t="shared" si="1176"/>
        <v>-5311.3403002060804</v>
      </c>
      <c r="DG265" s="17"/>
      <c r="DH265" s="17">
        <f t="shared" si="1177"/>
        <v>-10514.941939202587</v>
      </c>
      <c r="DI265" s="17">
        <f t="shared" si="1178"/>
        <v>-29573.274204007277</v>
      </c>
      <c r="DJ265" s="17">
        <f t="shared" si="1179"/>
        <v>-2992.5644545189134</v>
      </c>
      <c r="DK265" s="17">
        <f t="shared" si="1180"/>
        <v>4463.1942826652794</v>
      </c>
      <c r="DL265" s="17">
        <f t="shared" si="1181"/>
        <v>-16723.608345006072</v>
      </c>
      <c r="DM265" s="17">
        <f t="shared" si="1182"/>
        <v>-38617.586315063498</v>
      </c>
      <c r="DN265" s="17">
        <f t="shared" si="1183"/>
        <v>-55341.194660069566</v>
      </c>
    </row>
    <row r="266" spans="3:120">
      <c r="C266" s="19"/>
      <c r="D266" s="19"/>
      <c r="E266" s="19"/>
      <c r="F266" s="19"/>
      <c r="G266" s="19"/>
      <c r="H266" s="19"/>
      <c r="I266" s="19"/>
      <c r="J266" s="19"/>
      <c r="K266" s="19"/>
      <c r="L266" s="19"/>
      <c r="M266" s="19"/>
      <c r="N266" s="19"/>
      <c r="O266" s="19"/>
      <c r="P266" s="19"/>
      <c r="Q266" s="19"/>
      <c r="R266" s="19"/>
      <c r="S266" s="19"/>
      <c r="T266" s="19"/>
      <c r="U266" s="19"/>
      <c r="V266" s="19"/>
      <c r="W266" s="19"/>
      <c r="X266" s="20">
        <f>SUM(X250:X265)</f>
        <v>1144.1108000000002</v>
      </c>
      <c r="Y266" s="20">
        <f t="shared" ref="Y266:AG266" si="1185">SUM(Y250:Y265)</f>
        <v>9006.4402175999985</v>
      </c>
      <c r="Z266" s="20">
        <f t="shared" si="1185"/>
        <v>18012.880435199997</v>
      </c>
      <c r="AA266" s="20">
        <f t="shared" si="1185"/>
        <v>1801.2880435199995</v>
      </c>
      <c r="AB266" s="20">
        <f t="shared" si="1185"/>
        <v>0</v>
      </c>
      <c r="AC266" s="20">
        <f t="shared" si="1185"/>
        <v>165.70428430142042</v>
      </c>
      <c r="AD266" s="20">
        <f t="shared" si="1185"/>
        <v>42375</v>
      </c>
      <c r="AE266" s="20">
        <f t="shared" si="1185"/>
        <v>42375</v>
      </c>
      <c r="AF266" s="20">
        <f t="shared" si="1185"/>
        <v>260</v>
      </c>
      <c r="AG266" s="20">
        <f t="shared" si="1185"/>
        <v>108.5</v>
      </c>
      <c r="AH266" s="841"/>
      <c r="AI266" s="20">
        <f t="shared" ref="AI266:AJ266" si="1186">SUM(AI250:AI265)</f>
        <v>76.5</v>
      </c>
      <c r="AJ266" s="20">
        <f t="shared" si="1186"/>
        <v>108.5</v>
      </c>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2"/>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row>
    <row r="268" spans="3:120" ht="29.1">
      <c r="C268" s="8" t="str">
        <f>"Zoning Area  AHU - " &amp; INT((ROW()-8)/20)+1 &amp; "  " &amp;IF(AQ270&gt;0,"Air-Conditioning System " &amp; IF(AH270="D","(DX)",IF(AH270="C","(Chilled Water)","")),IF(AND(N270="Amb",AQ270=0),"Ventilation System","Refer"))</f>
        <v>Zoning Area  AHU - 14  Air-Conditioning System (Chilled Water)</v>
      </c>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39"/>
      <c r="AI268" s="8"/>
      <c r="AJ268" s="8"/>
      <c r="AK268" s="8"/>
      <c r="AL268" s="8"/>
      <c r="AM268" s="8"/>
      <c r="AN268" s="8"/>
      <c r="AO268" s="8"/>
      <c r="AP268" s="8"/>
      <c r="AQ268" s="8"/>
      <c r="AR268" s="8"/>
      <c r="AS268" s="9" t="s">
        <v>221</v>
      </c>
      <c r="AT268" s="10"/>
      <c r="AU268" s="10"/>
      <c r="AV268" s="11"/>
      <c r="AW268" s="9" t="s">
        <v>222</v>
      </c>
      <c r="AX268" s="10"/>
      <c r="AY268" s="10"/>
      <c r="AZ268" s="11"/>
      <c r="BA268" s="12" t="s">
        <v>483</v>
      </c>
      <c r="BB268" s="12"/>
      <c r="BC268" s="12"/>
      <c r="BD268" s="12"/>
      <c r="BE268" s="12"/>
      <c r="BF268" s="12"/>
      <c r="BG268" s="12"/>
      <c r="BH268" s="12"/>
      <c r="BI268" s="12"/>
      <c r="BJ268" s="12"/>
      <c r="BK268" s="12"/>
      <c r="BL268" s="12"/>
      <c r="BM268" s="12"/>
      <c r="BN268" s="12"/>
      <c r="BO268" s="12"/>
      <c r="BP268" s="12"/>
      <c r="BQ268" s="9" t="s">
        <v>484</v>
      </c>
      <c r="BR268" s="10"/>
      <c r="BS268" s="10"/>
      <c r="BT268" s="10"/>
      <c r="BU268" s="10"/>
      <c r="BV268" s="10"/>
      <c r="BW268" s="10"/>
      <c r="BX268" s="10"/>
      <c r="BY268" s="10"/>
      <c r="BZ268" s="11"/>
      <c r="CA268" s="9" t="s">
        <v>485</v>
      </c>
      <c r="CB268" s="10"/>
      <c r="CC268" s="10"/>
      <c r="CD268" s="10"/>
      <c r="CE268" s="9" t="s">
        <v>486</v>
      </c>
      <c r="CF268" s="10"/>
      <c r="CG268" s="11"/>
      <c r="CH268" s="12" t="s">
        <v>487</v>
      </c>
      <c r="CI268" s="12"/>
      <c r="CJ268" s="12"/>
      <c r="CK268" s="12"/>
      <c r="CL268" s="12"/>
      <c r="CM268" s="12"/>
      <c r="CN268" s="12"/>
      <c r="CO268" s="12"/>
      <c r="CP268" s="12"/>
      <c r="CQ268" s="12"/>
      <c r="CR268" s="12"/>
      <c r="CS268" s="12"/>
      <c r="CT268" s="12"/>
      <c r="CU268" s="12"/>
      <c r="CV268" s="12"/>
      <c r="CW268" s="12"/>
      <c r="CX268" s="9" t="s">
        <v>488</v>
      </c>
      <c r="CY268" s="10"/>
      <c r="CZ268" s="10"/>
      <c r="DA268" s="10"/>
      <c r="DB268" s="10"/>
      <c r="DC268" s="10"/>
      <c r="DD268" s="10"/>
      <c r="DE268" s="10"/>
      <c r="DF268" s="10"/>
      <c r="DG268" s="11"/>
      <c r="DH268" s="9" t="s">
        <v>489</v>
      </c>
      <c r="DI268" s="10"/>
      <c r="DJ268" s="10"/>
      <c r="DK268" s="10"/>
      <c r="DL268" s="9"/>
      <c r="DM268" s="10"/>
      <c r="DN268" s="11"/>
      <c r="DO268" s="1"/>
      <c r="DP268" s="1"/>
    </row>
    <row r="269" spans="3:120" ht="120" customHeight="1">
      <c r="C269" s="13">
        <f>IF(D269&lt;&gt;"",COUNTA($D$10:D269),"")</f>
        <v>221</v>
      </c>
      <c r="D269" s="5" t="s">
        <v>165</v>
      </c>
      <c r="E269" s="5" t="s">
        <v>166</v>
      </c>
      <c r="F269" s="5" t="s">
        <v>167</v>
      </c>
      <c r="G269" s="5" t="s">
        <v>168</v>
      </c>
      <c r="H269" s="5" t="s">
        <v>169</v>
      </c>
      <c r="I269" s="5" t="s">
        <v>170</v>
      </c>
      <c r="J269" s="5" t="s">
        <v>171</v>
      </c>
      <c r="K269" s="5" t="s">
        <v>172</v>
      </c>
      <c r="L269" s="5" t="s">
        <v>173</v>
      </c>
      <c r="M269" s="5" t="s">
        <v>174</v>
      </c>
      <c r="N269" s="5" t="s">
        <v>175</v>
      </c>
      <c r="O269" s="5" t="s">
        <v>176</v>
      </c>
      <c r="P269" s="5" t="s">
        <v>177</v>
      </c>
      <c r="Q269" s="5" t="s">
        <v>178</v>
      </c>
      <c r="R269" s="5" t="s">
        <v>199</v>
      </c>
      <c r="S269" s="5" t="s">
        <v>180</v>
      </c>
      <c r="T269" s="5" t="s">
        <v>223</v>
      </c>
      <c r="U269" s="5" t="s">
        <v>224</v>
      </c>
      <c r="V269" s="5" t="s">
        <v>199</v>
      </c>
      <c r="W269" s="5" t="s">
        <v>180</v>
      </c>
      <c r="X269" s="5" t="s">
        <v>225</v>
      </c>
      <c r="Y269" s="5" t="s">
        <v>226</v>
      </c>
      <c r="Z269" s="5" t="s">
        <v>227</v>
      </c>
      <c r="AA269" s="5" t="s">
        <v>228</v>
      </c>
      <c r="AB269" s="5" t="s">
        <v>229</v>
      </c>
      <c r="AC269" s="5" t="s">
        <v>230</v>
      </c>
      <c r="AD269" s="5" t="s">
        <v>231</v>
      </c>
      <c r="AE269" s="5" t="s">
        <v>232</v>
      </c>
      <c r="AF269" s="6" t="s">
        <v>233</v>
      </c>
      <c r="AG269" s="6" t="s">
        <v>234</v>
      </c>
      <c r="AH269" s="6" t="s">
        <v>235</v>
      </c>
      <c r="AI269" s="5" t="s">
        <v>236</v>
      </c>
      <c r="AJ269" s="5" t="s">
        <v>237</v>
      </c>
      <c r="AK269" s="5" t="s">
        <v>238</v>
      </c>
      <c r="AL269" s="5" t="s">
        <v>239</v>
      </c>
      <c r="AM269" s="5" t="s">
        <v>240</v>
      </c>
      <c r="AN269" s="5" t="s">
        <v>241</v>
      </c>
      <c r="AO269" s="5" t="s">
        <v>242</v>
      </c>
      <c r="AP269" s="5" t="s">
        <v>243</v>
      </c>
      <c r="AQ269" s="5" t="s">
        <v>244</v>
      </c>
      <c r="AR269" s="5" t="s">
        <v>245</v>
      </c>
      <c r="AS269" s="5" t="s">
        <v>246</v>
      </c>
      <c r="AT269" s="5" t="s">
        <v>247</v>
      </c>
      <c r="AU269" s="5" t="s">
        <v>248</v>
      </c>
      <c r="AV269" s="5" t="s">
        <v>249</v>
      </c>
      <c r="AW269" s="5" t="s">
        <v>250</v>
      </c>
      <c r="AX269" s="5" t="s">
        <v>251</v>
      </c>
      <c r="AY269" s="5" t="s">
        <v>252</v>
      </c>
      <c r="AZ269" s="5" t="s">
        <v>253</v>
      </c>
      <c r="BA269" s="5" t="s">
        <v>490</v>
      </c>
      <c r="BB269" s="5" t="s">
        <v>491</v>
      </c>
      <c r="BC269" s="5" t="s">
        <v>492</v>
      </c>
      <c r="BD269" s="5" t="s">
        <v>493</v>
      </c>
      <c r="BE269" s="5" t="s">
        <v>494</v>
      </c>
      <c r="BF269" s="5" t="s">
        <v>492</v>
      </c>
      <c r="BG269" s="5" t="s">
        <v>493</v>
      </c>
      <c r="BH269" s="5" t="s">
        <v>495</v>
      </c>
      <c r="BI269" s="5" t="s">
        <v>496</v>
      </c>
      <c r="BJ269" s="5" t="s">
        <v>492</v>
      </c>
      <c r="BK269" s="5" t="s">
        <v>493</v>
      </c>
      <c r="BL269" s="5" t="s">
        <v>497</v>
      </c>
      <c r="BM269" s="5" t="s">
        <v>492</v>
      </c>
      <c r="BN269" s="5" t="s">
        <v>493</v>
      </c>
      <c r="BO269" s="5" t="s">
        <v>495</v>
      </c>
      <c r="BP269" s="5" t="s">
        <v>498</v>
      </c>
      <c r="BQ269" s="5" t="s">
        <v>499</v>
      </c>
      <c r="BR269" s="5" t="s">
        <v>500</v>
      </c>
      <c r="BS269" s="5" t="s">
        <v>501</v>
      </c>
      <c r="BT269" s="5" t="s">
        <v>502</v>
      </c>
      <c r="BU269" s="5" t="s">
        <v>503</v>
      </c>
      <c r="BV269" s="5" t="s">
        <v>504</v>
      </c>
      <c r="BW269" s="5" t="s">
        <v>505</v>
      </c>
      <c r="BX269" s="5" t="s">
        <v>506</v>
      </c>
      <c r="BY269" s="5" t="s">
        <v>173</v>
      </c>
      <c r="BZ269" s="5" t="s">
        <v>174</v>
      </c>
      <c r="CA269" s="5" t="s">
        <v>503</v>
      </c>
      <c r="CB269" s="5" t="s">
        <v>507</v>
      </c>
      <c r="CC269" s="5" t="s">
        <v>173</v>
      </c>
      <c r="CD269" s="5" t="s">
        <v>508</v>
      </c>
      <c r="CE269" s="7" t="s">
        <v>509</v>
      </c>
      <c r="CF269" s="7" t="s">
        <v>510</v>
      </c>
      <c r="CG269" s="7" t="s">
        <v>511</v>
      </c>
      <c r="CH269" s="5" t="s">
        <v>512</v>
      </c>
      <c r="CI269" s="5" t="s">
        <v>513</v>
      </c>
      <c r="CJ269" s="5" t="s">
        <v>492</v>
      </c>
      <c r="CK269" s="5" t="s">
        <v>493</v>
      </c>
      <c r="CL269" s="5" t="s">
        <v>494</v>
      </c>
      <c r="CM269" s="5" t="s">
        <v>492</v>
      </c>
      <c r="CN269" s="5" t="s">
        <v>493</v>
      </c>
      <c r="CO269" s="5" t="s">
        <v>495</v>
      </c>
      <c r="CP269" s="5" t="s">
        <v>496</v>
      </c>
      <c r="CQ269" s="5" t="s">
        <v>492</v>
      </c>
      <c r="CR269" s="5" t="s">
        <v>493</v>
      </c>
      <c r="CS269" s="5" t="s">
        <v>497</v>
      </c>
      <c r="CT269" s="5" t="s">
        <v>492</v>
      </c>
      <c r="CU269" s="5" t="s">
        <v>493</v>
      </c>
      <c r="CV269" s="5" t="s">
        <v>495</v>
      </c>
      <c r="CW269" s="5" t="s">
        <v>498</v>
      </c>
      <c r="CX269" s="5" t="s">
        <v>499</v>
      </c>
      <c r="CY269" s="5" t="s">
        <v>500</v>
      </c>
      <c r="CZ269" s="5" t="s">
        <v>501</v>
      </c>
      <c r="DA269" s="5" t="s">
        <v>502</v>
      </c>
      <c r="DB269" s="5" t="s">
        <v>503</v>
      </c>
      <c r="DC269" s="5" t="s">
        <v>504</v>
      </c>
      <c r="DD269" s="5" t="s">
        <v>505</v>
      </c>
      <c r="DE269" s="5" t="s">
        <v>506</v>
      </c>
      <c r="DF269" s="5" t="s">
        <v>173</v>
      </c>
      <c r="DG269" s="5" t="s">
        <v>174</v>
      </c>
      <c r="DH269" s="5" t="s">
        <v>503</v>
      </c>
      <c r="DI269" s="5" t="s">
        <v>507</v>
      </c>
      <c r="DJ269" s="5" t="s">
        <v>173</v>
      </c>
      <c r="DK269" s="5" t="s">
        <v>508</v>
      </c>
      <c r="DL269" s="7" t="s">
        <v>509</v>
      </c>
      <c r="DM269" s="7" t="s">
        <v>510</v>
      </c>
      <c r="DN269" s="7" t="s">
        <v>511</v>
      </c>
      <c r="DO269" s="2"/>
      <c r="DP269" s="2"/>
    </row>
    <row r="270" spans="3:120" ht="18.600000000000001" customHeight="1">
      <c r="C270" s="13">
        <f>IF(D270&lt;&gt;"",COUNTA($D$10:D270),"")</f>
        <v>222</v>
      </c>
      <c r="D270" s="14" t="s">
        <v>200</v>
      </c>
      <c r="E270" s="14">
        <v>3</v>
      </c>
      <c r="F270" s="14">
        <v>3</v>
      </c>
      <c r="G270" s="14">
        <v>2.4</v>
      </c>
      <c r="H270" s="14">
        <v>1</v>
      </c>
      <c r="I270" s="14">
        <v>2</v>
      </c>
      <c r="J270" s="14">
        <v>1.75</v>
      </c>
      <c r="K270" s="14">
        <v>3</v>
      </c>
      <c r="L270" s="15">
        <v>0.1</v>
      </c>
      <c r="M270" s="15">
        <v>0</v>
      </c>
      <c r="N270" s="14">
        <v>24</v>
      </c>
      <c r="O270" s="14">
        <v>50</v>
      </c>
      <c r="P270" s="13">
        <v>45</v>
      </c>
      <c r="Q270" s="13">
        <v>85</v>
      </c>
      <c r="R270" s="13" t="s">
        <v>17</v>
      </c>
      <c r="S270" s="13">
        <v>120</v>
      </c>
      <c r="T270" s="13">
        <v>0</v>
      </c>
      <c r="U270" s="13">
        <v>100</v>
      </c>
      <c r="V270" s="13" t="str">
        <f>R270</f>
        <v>ISO 6</v>
      </c>
      <c r="W270" s="13">
        <f>S270</f>
        <v>120</v>
      </c>
      <c r="X270" s="16">
        <f>E270*F270*10.76</f>
        <v>96.84</v>
      </c>
      <c r="Y270" s="16">
        <f>X270*G270*3.28</f>
        <v>762.32447999999999</v>
      </c>
      <c r="Z270" s="16">
        <f>Y270*S270/60</f>
        <v>1524.64896</v>
      </c>
      <c r="AA270" s="16">
        <f>Z270*L270</f>
        <v>152.46489600000001</v>
      </c>
      <c r="AB270" s="16">
        <f>IF(N270="Amb",Z270,Z270*M270)</f>
        <v>0</v>
      </c>
      <c r="AC270" s="16">
        <f>IF(ISNUMBER(N270), (AA270*0.075*60/2.20462)*BP270/7000, "Ambient")</f>
        <v>14.025567184357984</v>
      </c>
      <c r="AD270" s="16">
        <f>IF(ISNUMBER(N270), CEILING(CF270/(0.68*BP270),25), "Ambient")</f>
        <v>2850</v>
      </c>
      <c r="AE270" s="16">
        <f>CEILING(MAX((Z270+AA270),AD270),25)</f>
        <v>2850</v>
      </c>
      <c r="AF270" s="16">
        <f>CEILING(IF(OR($R270="ISO 6",$R270="GRADE B",$R270="1K",$R270=1000),AE270*1/175,IF(OR($R270="ISO 5",$R270="GRADE A",$R270=100),AE270*1/100,IF(OR($R270="ISO 7",$R270="GRADE C",$R270="10K",$R270=10000),$AE270*1/250,IF(OR($R270="ISO 8",$R270="GRADE D",$R270="100K",$R270=100000),$AE270*1/250,IF(OR($R270="NC",$R270="20 Micron",$R270="5 Micron",$R270="N C"),$AE270*1/350,0))))),2)</f>
        <v>18</v>
      </c>
      <c r="AG270" s="16">
        <f>IF(ISNUMBER(N270), CEILING(MAX(AI270,AJ270),0.5), "Ambient")</f>
        <v>7.5</v>
      </c>
      <c r="AH270" s="838" t="s">
        <v>85</v>
      </c>
      <c r="AI270" s="17">
        <f>IF(ISNUMBER(N270), CEILING(CE270/12000,0.5), "Ambient")</f>
        <v>4.5</v>
      </c>
      <c r="AJ270" s="17">
        <f>IF(ISNUMBER(N270),CEILING(AE270/(IF(AH270="C",400,300)),0.5), "Ambient")</f>
        <v>7.5</v>
      </c>
      <c r="AK270" s="891">
        <f>CEILING(SUM(AE270:AE285),250)</f>
        <v>42500</v>
      </c>
      <c r="AL270" s="18" t="s">
        <v>254</v>
      </c>
      <c r="AM270" s="889">
        <v>150</v>
      </c>
      <c r="AN270" s="891">
        <f>IF(AK270&lt;=1300,200,IF(AK270&lt;=1600,225,IF(AK270&lt;=2100,250,IF(AK270&lt;=2700,280,IF(AK270&lt;=3450,315,IF(AK270&lt;=4250,355,IF(AK270&lt;=5250,400,IF(AK270&lt;=6750,450,IF(AK270&lt;=8500,500,IF(AK270&lt;=10750,560,IF(AK270&lt;=13500,630,IF(AK270&lt;=17000,710,IF(AK270&lt;=21500,800,IF(AK270&lt;=27000,900,IF(AK270&lt;=34000,1000,IF(AK270&lt;=43000,1120,IF(AK270&lt;=49000,1200,IF(AK270&lt;=68000,1450,"Refer"))))))))))))))))))</f>
        <v>1120</v>
      </c>
      <c r="AO270" s="888">
        <f>IF(AK270*AM270/(6356*0.7*0.9*1.1*25.4)&lt;=1,1,IF(AK270*AM270/(6356*0.7*0.9*1.1*25.4)&lt;=1.5,1.5,IF(AK270*AM270/(6356*0.7*0.9*1.1*25.4)&lt;=2,2,IF(AK270*AM270/(6356*0.7*0.9*1.1*25.4)&lt;=3,3,IF(AK270*AM270/(6356*0.7*0.9*1.1*25.4)&lt;=5,5,IF(AK270*AM270/(6356*0.7*0.9*1.1*25.4)&lt;=7.5,7.5,IF(AK270*AM270/(6356*0.7*0.9*1.1*25.4)&lt;=10,10,IF(AK270*AM270/(6356*0.7*0.9*1.1*25.4)&lt;=12.5,12.5,IF(AK270*AM270/(6356*0.7*0.9*1.1*25.4)&lt;=15,15,IF(AK270*AM270/(6356*0.7*0.9*1.1*25.4)&lt;=20,20,IF(AK270*AM270/(6356*0.7*0.9*1.1*25.4)&lt;=25,25,IF(AK270*AM270/(6356*0.7*0.9*1.1*25.4)&lt;=30,30,IF(AK270*AM270/(6356*0.7*0.9*1.1*25.4)&lt;=40,40,IF(AK270*AM270/(6356*0.7*0.9*1.1*25.4)&lt;=50,50,IF(AK270*AM270/(6356*0.7*0.9*1.1*25.4)&lt;=60,60,IF(AK270*AM270/(6356*0.7*0.9*1.1*25.4)&lt;=75,75,"Refer"))))))))))))))))</f>
        <v>60</v>
      </c>
      <c r="AP270" s="891">
        <f>IF(AND(AQ270=0, N270="Amb"), "Amb",IF((AL271-250)*(AL273-150)*10.76/(1000*1000) &gt;= MAX(AI286,AJ286), 4,IF((AL271-250)*(AL273-150)*10.76*1.5/(1000*1000) &gt;= MAX(AI286,AJ286), 6,IF((AL271-250)*(AL273-150)*10.76*2/(1000*1000) &gt;= MAX(AI286,AJ286), 8, 0))
 )
)</f>
        <v>4</v>
      </c>
      <c r="AQ270" s="891">
        <f>AG286</f>
        <v>108.5</v>
      </c>
      <c r="AR270" s="889">
        <f>_xlfn.SWITCH(TRIM(UPPER(R270)),"ISO 9", 3,"ISO 8", 4,"Grade D", 4,"Class 100,000", 4,"Class 100K", 4,"ISO 7", 3,"Grade C", 3,"Class 10,000", 3,"Class 10K", 3,"ISO 6", 3,"Class 1,000", 3,"Class 1K", 3,"ISO 5", 4,"Grade A", 4,"Grade B", 4,"Class 100", 4,"ISO 4", 3,"ISO 3", 4,"ISO 2", 4,"ISO 1", 4,"NCV20",1,"NCV-10",2,"NCV-5",3,"NCAC-10",1,"NCAC-5",2,"NCAC-1",3,3)</f>
        <v>3</v>
      </c>
      <c r="AS270" s="888">
        <f>MAX(AI286,AJ286)*24/6</f>
        <v>434</v>
      </c>
      <c r="AT270" s="888">
        <f>AS270*0.06309</f>
        <v>27.381059999999998</v>
      </c>
      <c r="AU270" s="890">
        <v>2</v>
      </c>
      <c r="AV270" s="888">
        <f>SQRT((4*AS270*0.00006309)/(3.14*AU270))*1000</f>
        <v>132.06121915647887</v>
      </c>
      <c r="AW270" s="888"/>
      <c r="AX270" s="888"/>
      <c r="AY270" s="887"/>
      <c r="AZ270" s="888"/>
      <c r="BA270" s="17">
        <f>-CONVERT(N270,"C","F")+CONVERT((N270+8),"C","F")</f>
        <v>14.399999999999991</v>
      </c>
      <c r="BB270" s="17">
        <f>CONVERT(P270,"C","F")-CONVERT(N270,"C","F")</f>
        <v>37.799999999999997</v>
      </c>
      <c r="BC270" s="17">
        <f>N270+8</f>
        <v>32</v>
      </c>
      <c r="BD270" s="17">
        <f>BG270+35</f>
        <v>85</v>
      </c>
      <c r="BE270" s="17">
        <f>0.622*7000*(BD270/100)*(6.1078*10^((7.5*BC270)/(237.3+BC270)))/(1013.25-(6.1078*10^((7.5*BC270)/(237.3+BC270)))*BD270/100)</f>
        <v>180.86341983910182</v>
      </c>
      <c r="BF270" s="17">
        <f>N270</f>
        <v>24</v>
      </c>
      <c r="BG270" s="17">
        <f>O270</f>
        <v>50</v>
      </c>
      <c r="BH270" s="17">
        <f>0.622*7000*(BG270/100)*(6.1078*10^((7.5*BF270)/(237.3+BF270)))/(1013.25-(6.1078*10^((7.5*BF270)/(237.3+BF270)))*BG270/100)</f>
        <v>65.062647806544774</v>
      </c>
      <c r="BI270" s="17">
        <f>BE270-BH270</f>
        <v>115.80077203255705</v>
      </c>
      <c r="BJ270" s="17">
        <f>P270</f>
        <v>45</v>
      </c>
      <c r="BK270" s="17">
        <f>Q270</f>
        <v>85</v>
      </c>
      <c r="BL270" s="17">
        <f>0.622*7000*(BK270/100)*(6.1078*10^((7.5*BJ270)/(237.3+BJ270)))/(1013.25-(6.1078*10^((7.5*BJ270)/(237.3+BJ270)))*BK270/100)</f>
        <v>380.54120080897206</v>
      </c>
      <c r="BM270" s="17">
        <f>N270</f>
        <v>24</v>
      </c>
      <c r="BN270" s="17">
        <f>BG270</f>
        <v>50</v>
      </c>
      <c r="BO270" s="17">
        <f>0.622*7000*(BN270/100)*(6.1078*10^((7.5*BM270)/(237.3+BM270)))/(1013.25-(6.1078*10^((7.5*BM270)/(237.3+BM270)))*BN270/100)</f>
        <v>65.062647806544774</v>
      </c>
      <c r="BP270" s="17">
        <f>BL270-BO270</f>
        <v>315.4785530024273</v>
      </c>
      <c r="BQ270" s="17">
        <f>($E270*$G270*10.76*2+$F270*$G270*2*10.76)*$BB270*0.45</f>
        <v>5271.1948799999991</v>
      </c>
      <c r="BR270" s="17">
        <f>($E270*$G270*10.76*2+$F270*$G270*2*10.76)*$BA270*0.45</f>
        <v>2008.0742399999988</v>
      </c>
      <c r="BS270" s="17">
        <f>($E270*$F270*10.76)*$BA270*0.45</f>
        <v>627.52319999999963</v>
      </c>
      <c r="BT270" s="17">
        <f>($E270*$F270*10.76)*$BB270*0.45</f>
        <v>1647.2483999999999</v>
      </c>
      <c r="BU270" s="17">
        <f>$H270*285*1.08*$BB270</f>
        <v>11634.84</v>
      </c>
      <c r="BV270" s="17">
        <f>$I270*1000*3.412</f>
        <v>6824</v>
      </c>
      <c r="BW270" s="17">
        <f>$J270*$X270*3.412</f>
        <v>578.23163999999997</v>
      </c>
      <c r="BX270" s="17">
        <f>$K270*1.08*375*$BA270</f>
        <v>17495.999999999989</v>
      </c>
      <c r="BY270" s="17">
        <f>($AA270+$AB270)*1.08*$BB270</f>
        <v>6224.2269143040003</v>
      </c>
      <c r="BZ270" s="17"/>
      <c r="CA270" s="17">
        <f>$H270*200*0.68*$BP270</f>
        <v>42905.083208330114</v>
      </c>
      <c r="CB270" s="17">
        <f>$K270*375*0.68*$BP270</f>
        <v>241341.0930468569</v>
      </c>
      <c r="CC270" s="17">
        <f>($AA270+$AB270)*0.68*$BP270</f>
        <v>32707.59524614699</v>
      </c>
      <c r="CD270" s="17">
        <f>($Z270-$AA270)*0.68*$BP270</f>
        <v>294368.3572153229</v>
      </c>
      <c r="CE270" s="17">
        <f>$BQ270+$BU270+$BV270+$BW270+$BX270+$BY270</f>
        <v>48028.493434303993</v>
      </c>
      <c r="CF270" s="17">
        <f>$CA270+$CB270+$CC270+$CD270</f>
        <v>611322.12871665694</v>
      </c>
      <c r="CG270" s="17">
        <f>$CE270+$CF270</f>
        <v>659350.62215096096</v>
      </c>
      <c r="CH270" s="17">
        <f>CONVERT(N270,"C","F")-CONVERT((N270-8),"C","F")</f>
        <v>14.400000000000006</v>
      </c>
      <c r="CI270" s="17">
        <f>CONVERT(T270,"C","F")-CONVERT(N270,"C","F")</f>
        <v>-43.2</v>
      </c>
      <c r="CJ270" s="17">
        <f>CM270-8</f>
        <v>16</v>
      </c>
      <c r="CK270" s="17">
        <f>O270+40</f>
        <v>90</v>
      </c>
      <c r="CL270" s="17">
        <f>0.622*7000*(CK270/100)*(6.1078*10^((7.5*CJ270)/(237.3+CJ270)))/(1013.25-(6.1078*10^((7.5*CJ270)/(237.3+CJ270)))*CK270/100)</f>
        <v>71.46880726181422</v>
      </c>
      <c r="CM270" s="17">
        <f>N270</f>
        <v>24</v>
      </c>
      <c r="CN270" s="17">
        <f>O270</f>
        <v>50</v>
      </c>
      <c r="CO270" s="17">
        <f>0.622*7000*(CN270/100)*(6.1078*10^((7.5*CM270)/(237.3+CM270)))/(1013.25-(6.1078*10^((7.5*CM270)/(237.3+CM270)))*CN270/100)</f>
        <v>65.062647806544774</v>
      </c>
      <c r="CP270" s="17">
        <f>CL270-CO270</f>
        <v>6.4061594552694459</v>
      </c>
      <c r="CQ270" s="17">
        <f>T270</f>
        <v>0</v>
      </c>
      <c r="CR270" s="17">
        <f>U270</f>
        <v>100</v>
      </c>
      <c r="CS270" s="17">
        <f>0.622*7000*(CR270/100)*(6.1078*10^((7.5*CQ270)/(237.3+CQ270)))/(1013.25-(6.1078*10^((7.5*CQ270)/(237.3+CQ270)))*CR270/100)</f>
        <v>26.404773030064671</v>
      </c>
      <c r="CT270" s="17">
        <f>CM270</f>
        <v>24</v>
      </c>
      <c r="CU270" s="17">
        <f>O270</f>
        <v>50</v>
      </c>
      <c r="CV270" s="17">
        <f>0.622*7000*(CU270/100)*(6.1078*10^((7.5*CT270)/(237.3+CT270)))/(1013.25-(6.1078*10^((7.5*CT270)/(237.3+CT270)))*CU270/100)</f>
        <v>65.062647806544774</v>
      </c>
      <c r="CW270" s="17">
        <f>CS270-CV270</f>
        <v>-38.657874776480099</v>
      </c>
      <c r="CX270" s="17">
        <f t="shared" ref="CX270:CY285" si="1187">($E270*$G270*10.76*2+$F270*$G270*2*10.76)*$CI270*0.45</f>
        <v>-6024.2227199999998</v>
      </c>
      <c r="CY270" s="17">
        <f t="shared" si="1187"/>
        <v>-6024.2227199999998</v>
      </c>
      <c r="CZ270" s="17">
        <f>($E270*$F270*10.76)*$CH270*0.45</f>
        <v>627.52320000000032</v>
      </c>
      <c r="DA270" s="17">
        <f>($E270*$F270*10.76)*$CI270*0.45</f>
        <v>-1882.5696000000003</v>
      </c>
      <c r="DB270" s="17">
        <f>$H270*285*1.08*$CI270</f>
        <v>-13296.960000000001</v>
      </c>
      <c r="DC270" s="17">
        <f>$I270*1000*3.412</f>
        <v>6824</v>
      </c>
      <c r="DD270" s="17">
        <f>$J270*$X270*3.412</f>
        <v>578.23163999999997</v>
      </c>
      <c r="DE270" s="17">
        <f>$K270*1.08*375*$CH270</f>
        <v>17496.000000000007</v>
      </c>
      <c r="DF270" s="17">
        <f>($AA270+$AB270)*1.08*$CI270</f>
        <v>-7113.4021877760015</v>
      </c>
      <c r="DG270" s="17"/>
      <c r="DH270" s="17">
        <f>$H270*200*0.68*CW270</f>
        <v>-5257.4709696012933</v>
      </c>
      <c r="DI270" s="17">
        <f>$K270*375*0.68*CW270</f>
        <v>-29573.274204007277</v>
      </c>
      <c r="DJ270" s="17">
        <f>(AA270+AB270)*0.68*CW270</f>
        <v>-4007.8988230164023</v>
      </c>
      <c r="DK270" s="17">
        <f>(Z270-AA270)*0.68*CP270</f>
        <v>5977.4923428552856</v>
      </c>
      <c r="DL270" s="17">
        <f>CX270+DA270+CZ270+DB270+DC270+DD270+DE270+DF270</f>
        <v>-2791.3996677759942</v>
      </c>
      <c r="DM270" s="17">
        <f>DH270+DI270+DJ270+DK270</f>
        <v>-32861.151653769688</v>
      </c>
      <c r="DN270" s="17">
        <f>DL270+DM270</f>
        <v>-35652.551321545681</v>
      </c>
    </row>
    <row r="271" spans="3:120" ht="18.600000000000001">
      <c r="C271" s="13">
        <f>IF(D271&lt;&gt;"",COUNTA($D$10:D271),"")</f>
        <v>223</v>
      </c>
      <c r="D271" s="14" t="s">
        <v>201</v>
      </c>
      <c r="E271" s="14">
        <v>1.8</v>
      </c>
      <c r="F271" s="14">
        <v>2.2000000000000002</v>
      </c>
      <c r="G271" s="14">
        <v>2.4</v>
      </c>
      <c r="H271" s="14">
        <v>2</v>
      </c>
      <c r="I271" s="14">
        <v>1</v>
      </c>
      <c r="J271" s="14">
        <v>1.75</v>
      </c>
      <c r="K271" s="14">
        <v>3</v>
      </c>
      <c r="L271" s="15">
        <v>0.1</v>
      </c>
      <c r="M271" s="15">
        <v>0</v>
      </c>
      <c r="N271" s="14">
        <v>24</v>
      </c>
      <c r="O271" s="14">
        <v>50</v>
      </c>
      <c r="P271" s="13">
        <v>45</v>
      </c>
      <c r="Q271" s="13">
        <v>85</v>
      </c>
      <c r="R271" s="13" t="s">
        <v>17</v>
      </c>
      <c r="S271" s="13">
        <v>120</v>
      </c>
      <c r="T271" s="13">
        <v>0</v>
      </c>
      <c r="U271" s="13">
        <v>100</v>
      </c>
      <c r="V271" s="13" t="str">
        <f t="shared" ref="V271:V285" si="1188">R271</f>
        <v>ISO 6</v>
      </c>
      <c r="W271" s="13">
        <f t="shared" ref="W271:W285" si="1189">S271</f>
        <v>120</v>
      </c>
      <c r="X271" s="16">
        <f t="shared" ref="X271:X285" si="1190">E271*F271*10.76</f>
        <v>42.6096</v>
      </c>
      <c r="Y271" s="16">
        <f t="shared" ref="Y271:Y285" si="1191">X271*G271*3.28</f>
        <v>335.4227712</v>
      </c>
      <c r="Z271" s="16">
        <f t="shared" ref="Z271:Z285" si="1192">Y271*S271/60</f>
        <v>670.8455424</v>
      </c>
      <c r="AA271" s="16">
        <f t="shared" ref="AA271:AA285" si="1193">Z271*L271</f>
        <v>67.084554240000003</v>
      </c>
      <c r="AB271" s="16">
        <f t="shared" ref="AB271:AB285" si="1194">IF(N271="Amb",Z271,Z271*M271)</f>
        <v>0</v>
      </c>
      <c r="AC271" s="16">
        <f t="shared" ref="AC271:AC285" si="1195">IF(ISNUMBER(N271), (AA271*0.075*60/2.20462)*BP271/7000, "Ambient")</f>
        <v>6.1712495611175129</v>
      </c>
      <c r="AD271" s="16">
        <f t="shared" ref="AD271:AD277" si="1196">IF(ISNUMBER(N271), CEILING(CF271/(0.68*BP271),25), "Ambient")</f>
        <v>2200</v>
      </c>
      <c r="AE271" s="16">
        <f t="shared" ref="AE271:AE285" si="1197">CEILING(MAX((Z271+AA271),AD271),25)</f>
        <v>2200</v>
      </c>
      <c r="AF271" s="16">
        <f t="shared" ref="AF271:AF285" si="1198">CEILING(IF(OR($R271="ISO 6",$R271="GRADE B",$R271="1K",$R271=1000),AE271*1/175,IF(OR($R271="ISO 5",$R271="GRADE A",$R271=100),AE271*1/100,IF(OR($R271="ISO 7",$R271="GRADE C",$R271="10K",$R271=10000),$AE271*1/250,IF(OR($R271="ISO 8",$R271="GRADE D",$R271="100K",$R271=100000),$AE271*1/250,IF(OR($R271="NC",$R271="20 Micron",$R271="5 Micron",$R271="N C"),$AE271*1/350,0))))),2)</f>
        <v>14</v>
      </c>
      <c r="AG271" s="16">
        <f t="shared" ref="AG271:AG285" si="1199">IF(ISNUMBER(N271), CEILING(MAX(AI271,AJ271),0.5), "Ambient")</f>
        <v>5.5</v>
      </c>
      <c r="AH271" s="838" t="s">
        <v>85</v>
      </c>
      <c r="AI271" s="17">
        <f t="shared" ref="AI271:AI285" si="1200">IF(ISNUMBER(N271), CEILING(CE271/12000,0.5), "Ambient")</f>
        <v>4.5</v>
      </c>
      <c r="AJ271" s="17">
        <f t="shared" ref="AJ271:AJ285" si="1201">IF(ISNUMBER(N271),CEILING(AE271/(IF(AH271="C",400,300)),0.5), "Ambient")</f>
        <v>5.5</v>
      </c>
      <c r="AK271" s="891"/>
      <c r="AL271" s="18">
        <f>IF(AK270&lt;=2000,950,(IF(AK270&lt;=3000,1150,(IF(AK270&lt;=8000,1550,(IF(AK270&lt;=10000,1750,(IF(AK270&lt;=18000,2050,(IF(AK270&lt;=32000,2900,(IF(AK270&lt;=40000,3600,4000)))))))))))))</f>
        <v>4000</v>
      </c>
      <c r="AM271" s="889"/>
      <c r="AN271" s="891"/>
      <c r="AO271" s="888"/>
      <c r="AP271" s="891"/>
      <c r="AQ271" s="891"/>
      <c r="AR271" s="889"/>
      <c r="AS271" s="888"/>
      <c r="AT271" s="888"/>
      <c r="AU271" s="890"/>
      <c r="AV271" s="888"/>
      <c r="AW271" s="888"/>
      <c r="AX271" s="888"/>
      <c r="AY271" s="887"/>
      <c r="AZ271" s="888"/>
      <c r="BA271" s="17">
        <f t="shared" ref="BA271:BA285" si="1202">-CONVERT(N271,"C","F")+CONVERT((N271+8),"C","F")</f>
        <v>14.399999999999991</v>
      </c>
      <c r="BB271" s="17">
        <f t="shared" ref="BB271:BB285" si="1203">CONVERT(P271,"C","F")-CONVERT(N271,"C","F")</f>
        <v>37.799999999999997</v>
      </c>
      <c r="BC271" s="17">
        <f t="shared" ref="BC271:BC285" si="1204">BF271+8</f>
        <v>32</v>
      </c>
      <c r="BD271" s="17">
        <f t="shared" ref="BD271:BD285" si="1205">BG271+35</f>
        <v>85</v>
      </c>
      <c r="BE271" s="17">
        <f t="shared" ref="BE271:BE285" si="1206">0.622*7000*(BD271/100)*(6.1078*10^((7.5*BC271)/(237.3+BC271)))/(1013.25-(6.1078*10^((7.5*BC271)/(237.3+BC271)))*BD271/100)</f>
        <v>180.86341983910182</v>
      </c>
      <c r="BF271" s="17">
        <f t="shared" ref="BF271:BF285" si="1207">N271</f>
        <v>24</v>
      </c>
      <c r="BG271" s="17">
        <f t="shared" ref="BG271:BG285" si="1208">O271</f>
        <v>50</v>
      </c>
      <c r="BH271" s="17">
        <f t="shared" ref="BH271:BH285" si="1209">0.622*7000*(BG271/100)*(6.1078*10^((7.5*BF271)/(237.3+BF271)))/(1013.25-(6.1078*10^((7.5*BF271)/(237.3+BF271)))*BG271/100)</f>
        <v>65.062647806544774</v>
      </c>
      <c r="BI271" s="17">
        <f t="shared" ref="BI271:BI285" si="1210">BE271-BH271</f>
        <v>115.80077203255705</v>
      </c>
      <c r="BJ271" s="17">
        <f t="shared" ref="BJ271:BJ285" si="1211">P271</f>
        <v>45</v>
      </c>
      <c r="BK271" s="17">
        <f t="shared" ref="BK271:BK285" si="1212">Q271</f>
        <v>85</v>
      </c>
      <c r="BL271" s="17">
        <f t="shared" ref="BL271:BL285" si="1213">0.622*7000*(BK271/100)*(6.1078*10^((7.5*BJ271)/(237.3+BJ271)))/(1013.25-(6.1078*10^((7.5*BJ271)/(237.3+BJ271)))*BK271/100)</f>
        <v>380.54120080897206</v>
      </c>
      <c r="BM271" s="17">
        <f t="shared" ref="BM271:BM285" si="1214">BF271</f>
        <v>24</v>
      </c>
      <c r="BN271" s="17">
        <f t="shared" ref="BN271:BN285" si="1215">BG271</f>
        <v>50</v>
      </c>
      <c r="BO271" s="17">
        <f t="shared" ref="BO271:BO285" si="1216">0.622*7000*(BN271/100)*(6.1078*10^((7.5*BM271)/(237.3+BM271)))/(1013.25-(6.1078*10^((7.5*BM271)/(237.3+BM271)))*BN271/100)</f>
        <v>65.062647806544774</v>
      </c>
      <c r="BP271" s="17">
        <f t="shared" ref="BP271:BP285" si="1217">BL271-BO271</f>
        <v>315.4785530024273</v>
      </c>
      <c r="BQ271" s="17">
        <f t="shared" ref="BQ271:BQ285" si="1218">(E271*G271*10.76*2+F271*G271*2*10.76)*BB271*0.45</f>
        <v>3514.1299199999999</v>
      </c>
      <c r="BR271" s="17">
        <f t="shared" ref="BR271:BR285" si="1219">(E271*G271*10.76*2+F271*G271*2*10.76)*BA271*0.45</f>
        <v>1338.7161599999993</v>
      </c>
      <c r="BS271" s="17">
        <f t="shared" ref="BS271:BS285" si="1220">(E271*F271*10.76)*BA271*0.45</f>
        <v>276.11020799999983</v>
      </c>
      <c r="BT271" s="17">
        <f t="shared" ref="BT271:BT285" si="1221">(E271*F271*10.76)*BB271*0.45</f>
        <v>724.78929599999992</v>
      </c>
      <c r="BU271" s="17">
        <f t="shared" ref="BU271:BU285" si="1222">H271*285*1.08*BB271</f>
        <v>23269.68</v>
      </c>
      <c r="BV271" s="17">
        <f t="shared" ref="BV271:BV285" si="1223">I271*1000*3.412</f>
        <v>3412</v>
      </c>
      <c r="BW271" s="17">
        <f t="shared" ref="BW271:BW285" si="1224">J271*X271*3.412</f>
        <v>254.42192159999999</v>
      </c>
      <c r="BX271" s="17">
        <f t="shared" ref="BX271:BX285" si="1225">K271*1.08*375*BA271</f>
        <v>17495.999999999989</v>
      </c>
      <c r="BY271" s="17">
        <f t="shared" ref="BY271:BY285" si="1226">(AA271+AB271)*1.08*BB271</f>
        <v>2738.65984229376</v>
      </c>
      <c r="BZ271" s="17"/>
      <c r="CA271" s="17">
        <f t="shared" ref="CA271:CA285" si="1227">H271*200*0.68*BP271</f>
        <v>85810.166416660228</v>
      </c>
      <c r="CB271" s="17">
        <f t="shared" ref="CB271:CB285" si="1228">K271*375*0.68*BP271</f>
        <v>241341.0930468569</v>
      </c>
      <c r="CC271" s="17">
        <f t="shared" ref="CC271:CC285" si="1229">(AA271+AB271)*0.68*BP271</f>
        <v>14391.341908304676</v>
      </c>
      <c r="CD271" s="17">
        <f t="shared" ref="CD271:CD285" si="1230">($Z271-$AA271)*0.68*$BP271</f>
        <v>129522.07717474207</v>
      </c>
      <c r="CE271" s="17">
        <f t="shared" ref="CE271:CE285" si="1231">$BQ271+$BU271+$BV271+$BW271+$BX271+$BY271</f>
        <v>50684.891683893751</v>
      </c>
      <c r="CF271" s="17">
        <f t="shared" ref="CF271:CF285" si="1232">$CA271+$CB271+$CC271+$CD271</f>
        <v>471064.67854656384</v>
      </c>
      <c r="CG271" s="17">
        <f t="shared" ref="CG271:CG285" si="1233">$CE271+$CF271</f>
        <v>521749.57023045758</v>
      </c>
      <c r="CH271" s="17">
        <f t="shared" ref="CH271:CH285" si="1234">CONVERT(N271,"C","F")-CONVERT((N271-8),"C","F")</f>
        <v>14.400000000000006</v>
      </c>
      <c r="CI271" s="17">
        <f t="shared" ref="CI271:CI285" si="1235">CONVERT(T271,"C","F")-CONVERT(N271,"C","F")</f>
        <v>-43.2</v>
      </c>
      <c r="CJ271" s="17">
        <f t="shared" ref="CJ271:CJ285" si="1236">CM271-8</f>
        <v>16</v>
      </c>
      <c r="CK271" s="17">
        <f t="shared" ref="CK271:CK285" si="1237">O271+40</f>
        <v>90</v>
      </c>
      <c r="CL271" s="17">
        <f t="shared" ref="CL271:CL285" si="1238">0.622*7000*(CK271/100)*(6.1078*10^((7.5*CJ271)/(237.3+CJ271)))/(1013.25-(6.1078*10^((7.5*CJ271)/(237.3+CJ271)))*CK271/100)</f>
        <v>71.46880726181422</v>
      </c>
      <c r="CM271" s="17">
        <f t="shared" ref="CM271:CM285" si="1239">N271</f>
        <v>24</v>
      </c>
      <c r="CN271" s="17">
        <f t="shared" ref="CN271:CN285" si="1240">O271</f>
        <v>50</v>
      </c>
      <c r="CO271" s="17">
        <f t="shared" ref="CO271:CO285" si="1241">0.622*7000*(CN271/100)*(6.1078*10^((7.5*CM271)/(237.3+CM271)))/(1013.25-(6.1078*10^((7.5*CM271)/(237.3+CM271)))*CN271/100)</f>
        <v>65.062647806544774</v>
      </c>
      <c r="CP271" s="17">
        <f t="shared" ref="CP271:CP285" si="1242">CL271-CO271</f>
        <v>6.4061594552694459</v>
      </c>
      <c r="CQ271" s="17">
        <f t="shared" ref="CQ271:CQ285" si="1243">T271</f>
        <v>0</v>
      </c>
      <c r="CR271" s="17">
        <f t="shared" ref="CR271:CR285" si="1244">U271</f>
        <v>100</v>
      </c>
      <c r="CS271" s="17">
        <f t="shared" ref="CS271:CS285" si="1245">0.622*7000*(CR271/100)*(6.1078*10^((7.5*CQ271)/(237.3+CQ271)))/(1013.25-(6.1078*10^((7.5*CQ271)/(237.3+CQ271)))*CR271/100)</f>
        <v>26.404773030064671</v>
      </c>
      <c r="CT271" s="17">
        <f t="shared" ref="CT271:CT285" si="1246">CM271</f>
        <v>24</v>
      </c>
      <c r="CU271" s="17">
        <f t="shared" ref="CU271:CU285" si="1247">O271</f>
        <v>50</v>
      </c>
      <c r="CV271" s="17">
        <f t="shared" ref="CV271:CV285" si="1248">0.622*7000*(CU271/100)*(6.1078*10^((7.5*CT271)/(237.3+CT271)))/(1013.25-(6.1078*10^((7.5*CT271)/(237.3+CT271)))*CU271/100)</f>
        <v>65.062647806544774</v>
      </c>
      <c r="CW271" s="17">
        <f t="shared" ref="CW271:CW285" si="1249">CS271-CV271</f>
        <v>-38.657874776480099</v>
      </c>
      <c r="CX271" s="17">
        <f t="shared" si="1187"/>
        <v>-4016.1484800000003</v>
      </c>
      <c r="CY271" s="17">
        <f t="shared" si="1187"/>
        <v>-4016.1484800000003</v>
      </c>
      <c r="CZ271" s="17">
        <f t="shared" ref="CZ271:CZ285" si="1250">($E271*$F271*10.76)*$CH271*0.45</f>
        <v>276.11020800000011</v>
      </c>
      <c r="DA271" s="17">
        <f t="shared" ref="DA271:DA285" si="1251">($E271*$F271*10.76)*$CI271*0.45</f>
        <v>-828.33062400000006</v>
      </c>
      <c r="DB271" s="17">
        <f t="shared" ref="DB271:DB285" si="1252">$H271*285*1.08*$CI271</f>
        <v>-26593.920000000002</v>
      </c>
      <c r="DC271" s="17">
        <f t="shared" ref="DC271:DC285" si="1253">$I271*1000*3.412</f>
        <v>3412</v>
      </c>
      <c r="DD271" s="17">
        <f t="shared" ref="DD271:DD285" si="1254">$J271*$X271*3.412</f>
        <v>254.42192159999999</v>
      </c>
      <c r="DE271" s="17">
        <f t="shared" ref="DE271:DE285" si="1255">$K271*1.08*375*$CH271</f>
        <v>17496.000000000007</v>
      </c>
      <c r="DF271" s="17">
        <f t="shared" ref="DF271:DF285" si="1256">($AA271+$AB271)*1.08*$CI271</f>
        <v>-3129.8969626214403</v>
      </c>
      <c r="DG271" s="17"/>
      <c r="DH271" s="17">
        <f t="shared" ref="DH271:DH285" si="1257">$H271*200*0.68*CW271</f>
        <v>-10514.941939202587</v>
      </c>
      <c r="DI271" s="17">
        <f t="shared" ref="DI271:DI285" si="1258">$K271*375*0.68*CW271</f>
        <v>-29573.274204007277</v>
      </c>
      <c r="DJ271" s="17">
        <f t="shared" ref="DJ271:DJ285" si="1259">(AA271+AB271)*0.68*CW271</f>
        <v>-1763.475482127217</v>
      </c>
      <c r="DK271" s="17">
        <f t="shared" ref="DK271:DK285" si="1260">(Z271-AA271)*0.68*CP271</f>
        <v>2630.0966308563256</v>
      </c>
      <c r="DL271" s="17">
        <f t="shared" ref="DL271:DL285" si="1261">CX271+DA271+CZ271+DB271+DC271+DD271+DE271+DF271</f>
        <v>-13129.763937021437</v>
      </c>
      <c r="DM271" s="17">
        <f t="shared" ref="DM271:DM285" si="1262">DH271+DI271+DJ271+DK271</f>
        <v>-39221.594994480751</v>
      </c>
      <c r="DN271" s="17">
        <f t="shared" ref="DN271:DN285" si="1263">DL271+DM271</f>
        <v>-52351.358931502189</v>
      </c>
    </row>
    <row r="272" spans="3:120" ht="18.600000000000001">
      <c r="C272" s="13">
        <f>IF(D272&lt;&gt;"",COUNTA($D$10:D272),"")</f>
        <v>224</v>
      </c>
      <c r="D272" s="14" t="s">
        <v>202</v>
      </c>
      <c r="E272" s="14">
        <v>1.5</v>
      </c>
      <c r="F272" s="14">
        <v>2.8</v>
      </c>
      <c r="G272" s="14">
        <v>2.4</v>
      </c>
      <c r="H272" s="14">
        <v>2</v>
      </c>
      <c r="I272" s="14">
        <v>3</v>
      </c>
      <c r="J272" s="14">
        <v>1.75</v>
      </c>
      <c r="K272" s="14">
        <v>3</v>
      </c>
      <c r="L272" s="15">
        <v>0.1</v>
      </c>
      <c r="M272" s="15">
        <v>0</v>
      </c>
      <c r="N272" s="14">
        <v>24</v>
      </c>
      <c r="O272" s="14">
        <v>50</v>
      </c>
      <c r="P272" s="13">
        <v>45</v>
      </c>
      <c r="Q272" s="13">
        <v>85</v>
      </c>
      <c r="R272" s="13" t="s">
        <v>17</v>
      </c>
      <c r="S272" s="13">
        <v>120</v>
      </c>
      <c r="T272" s="13">
        <v>0</v>
      </c>
      <c r="U272" s="13">
        <v>100</v>
      </c>
      <c r="V272" s="13" t="str">
        <f t="shared" si="1188"/>
        <v>ISO 6</v>
      </c>
      <c r="W272" s="13">
        <f t="shared" si="1189"/>
        <v>120</v>
      </c>
      <c r="X272" s="16">
        <f t="shared" si="1190"/>
        <v>45.191999999999993</v>
      </c>
      <c r="Y272" s="16">
        <f t="shared" si="1191"/>
        <v>355.75142399999993</v>
      </c>
      <c r="Z272" s="16">
        <f t="shared" si="1192"/>
        <v>711.50284799999986</v>
      </c>
      <c r="AA272" s="16">
        <f t="shared" si="1193"/>
        <v>71.150284799999994</v>
      </c>
      <c r="AB272" s="16">
        <f t="shared" si="1194"/>
        <v>0</v>
      </c>
      <c r="AC272" s="16">
        <f t="shared" si="1195"/>
        <v>6.5452646860337245</v>
      </c>
      <c r="AD272" s="16">
        <f t="shared" si="1196"/>
        <v>2250</v>
      </c>
      <c r="AE272" s="16">
        <f t="shared" si="1197"/>
        <v>2250</v>
      </c>
      <c r="AF272" s="16">
        <f t="shared" si="1198"/>
        <v>14</v>
      </c>
      <c r="AG272" s="16">
        <f t="shared" si="1199"/>
        <v>6</v>
      </c>
      <c r="AH272" s="838" t="s">
        <v>85</v>
      </c>
      <c r="AI272" s="17">
        <f t="shared" si="1200"/>
        <v>5</v>
      </c>
      <c r="AJ272" s="17">
        <f t="shared" si="1201"/>
        <v>6</v>
      </c>
      <c r="AK272" s="891"/>
      <c r="AL272" s="18" t="s">
        <v>255</v>
      </c>
      <c r="AM272" s="889"/>
      <c r="AN272" s="891"/>
      <c r="AO272" s="888"/>
      <c r="AP272" s="891"/>
      <c r="AQ272" s="891"/>
      <c r="AR272" s="889"/>
      <c r="AS272" s="888"/>
      <c r="AT272" s="888"/>
      <c r="AU272" s="890"/>
      <c r="AV272" s="888"/>
      <c r="AW272" s="888"/>
      <c r="AX272" s="888"/>
      <c r="AY272" s="887"/>
      <c r="AZ272" s="888"/>
      <c r="BA272" s="17">
        <f t="shared" si="1202"/>
        <v>14.399999999999991</v>
      </c>
      <c r="BB272" s="17">
        <f t="shared" si="1203"/>
        <v>37.799999999999997</v>
      </c>
      <c r="BC272" s="17">
        <f t="shared" si="1204"/>
        <v>32</v>
      </c>
      <c r="BD272" s="17">
        <f t="shared" si="1205"/>
        <v>85</v>
      </c>
      <c r="BE272" s="17">
        <f t="shared" si="1206"/>
        <v>180.86341983910182</v>
      </c>
      <c r="BF272" s="17">
        <f t="shared" si="1207"/>
        <v>24</v>
      </c>
      <c r="BG272" s="17">
        <f t="shared" si="1208"/>
        <v>50</v>
      </c>
      <c r="BH272" s="17">
        <f t="shared" si="1209"/>
        <v>65.062647806544774</v>
      </c>
      <c r="BI272" s="17">
        <f t="shared" si="1210"/>
        <v>115.80077203255705</v>
      </c>
      <c r="BJ272" s="17">
        <f t="shared" si="1211"/>
        <v>45</v>
      </c>
      <c r="BK272" s="17">
        <f t="shared" si="1212"/>
        <v>85</v>
      </c>
      <c r="BL272" s="17">
        <f t="shared" si="1213"/>
        <v>380.54120080897206</v>
      </c>
      <c r="BM272" s="17">
        <f t="shared" si="1214"/>
        <v>24</v>
      </c>
      <c r="BN272" s="17">
        <f t="shared" si="1215"/>
        <v>50</v>
      </c>
      <c r="BO272" s="17">
        <f t="shared" si="1216"/>
        <v>65.062647806544774</v>
      </c>
      <c r="BP272" s="17">
        <f t="shared" si="1217"/>
        <v>315.4785530024273</v>
      </c>
      <c r="BQ272" s="17">
        <f t="shared" si="1218"/>
        <v>3777.6896639999995</v>
      </c>
      <c r="BR272" s="17">
        <f t="shared" si="1219"/>
        <v>1439.1198719999991</v>
      </c>
      <c r="BS272" s="17">
        <f t="shared" si="1220"/>
        <v>292.84415999999976</v>
      </c>
      <c r="BT272" s="17">
        <f t="shared" si="1221"/>
        <v>768.71591999999987</v>
      </c>
      <c r="BU272" s="17">
        <f t="shared" si="1222"/>
        <v>23269.68</v>
      </c>
      <c r="BV272" s="17">
        <f t="shared" si="1223"/>
        <v>10236</v>
      </c>
      <c r="BW272" s="17">
        <f t="shared" si="1224"/>
        <v>269.84143199999994</v>
      </c>
      <c r="BX272" s="17">
        <f t="shared" si="1225"/>
        <v>17495.999999999989</v>
      </c>
      <c r="BY272" s="17">
        <f t="shared" si="1226"/>
        <v>2904.6392266751996</v>
      </c>
      <c r="BZ272" s="17"/>
      <c r="CA272" s="17">
        <f t="shared" si="1227"/>
        <v>85810.166416660228</v>
      </c>
      <c r="CB272" s="17">
        <f t="shared" si="1228"/>
        <v>241341.0930468569</v>
      </c>
      <c r="CC272" s="17">
        <f t="shared" si="1229"/>
        <v>15263.544448201927</v>
      </c>
      <c r="CD272" s="17">
        <f t="shared" si="1230"/>
        <v>137371.90003381731</v>
      </c>
      <c r="CE272" s="17">
        <f t="shared" si="1231"/>
        <v>57953.850322675185</v>
      </c>
      <c r="CF272" s="17">
        <f t="shared" si="1232"/>
        <v>479786.7039455364</v>
      </c>
      <c r="CG272" s="17">
        <f t="shared" si="1233"/>
        <v>537740.55426821159</v>
      </c>
      <c r="CH272" s="17">
        <f t="shared" si="1234"/>
        <v>14.400000000000006</v>
      </c>
      <c r="CI272" s="17">
        <f t="shared" si="1235"/>
        <v>-43.2</v>
      </c>
      <c r="CJ272" s="17">
        <f t="shared" si="1236"/>
        <v>16</v>
      </c>
      <c r="CK272" s="17">
        <f t="shared" si="1237"/>
        <v>90</v>
      </c>
      <c r="CL272" s="17">
        <f t="shared" si="1238"/>
        <v>71.46880726181422</v>
      </c>
      <c r="CM272" s="17">
        <f t="shared" si="1239"/>
        <v>24</v>
      </c>
      <c r="CN272" s="17">
        <f t="shared" si="1240"/>
        <v>50</v>
      </c>
      <c r="CO272" s="17">
        <f t="shared" si="1241"/>
        <v>65.062647806544774</v>
      </c>
      <c r="CP272" s="17">
        <f t="shared" si="1242"/>
        <v>6.4061594552694459</v>
      </c>
      <c r="CQ272" s="17">
        <f t="shared" si="1243"/>
        <v>0</v>
      </c>
      <c r="CR272" s="17">
        <f t="shared" si="1244"/>
        <v>100</v>
      </c>
      <c r="CS272" s="17">
        <f t="shared" si="1245"/>
        <v>26.404773030064671</v>
      </c>
      <c r="CT272" s="17">
        <f t="shared" si="1246"/>
        <v>24</v>
      </c>
      <c r="CU272" s="17">
        <f t="shared" si="1247"/>
        <v>50</v>
      </c>
      <c r="CV272" s="17">
        <f t="shared" si="1248"/>
        <v>65.062647806544774</v>
      </c>
      <c r="CW272" s="17">
        <f t="shared" si="1249"/>
        <v>-38.657874776480099</v>
      </c>
      <c r="CX272" s="17">
        <f t="shared" si="1187"/>
        <v>-4317.3596159999997</v>
      </c>
      <c r="CY272" s="17">
        <f t="shared" si="1187"/>
        <v>-4317.3596159999997</v>
      </c>
      <c r="CZ272" s="17">
        <f t="shared" si="1250"/>
        <v>292.8441600000001</v>
      </c>
      <c r="DA272" s="17">
        <f t="shared" si="1251"/>
        <v>-878.53247999999996</v>
      </c>
      <c r="DB272" s="17">
        <f t="shared" si="1252"/>
        <v>-26593.920000000002</v>
      </c>
      <c r="DC272" s="17">
        <f t="shared" si="1253"/>
        <v>10236</v>
      </c>
      <c r="DD272" s="17">
        <f t="shared" si="1254"/>
        <v>269.84143199999994</v>
      </c>
      <c r="DE272" s="17">
        <f t="shared" si="1255"/>
        <v>17496.000000000007</v>
      </c>
      <c r="DF272" s="17">
        <f t="shared" si="1256"/>
        <v>-3319.5876876288003</v>
      </c>
      <c r="DG272" s="17"/>
      <c r="DH272" s="17">
        <f t="shared" si="1257"/>
        <v>-10514.941939202587</v>
      </c>
      <c r="DI272" s="17">
        <f t="shared" si="1258"/>
        <v>-29573.274204007277</v>
      </c>
      <c r="DJ272" s="17">
        <f t="shared" si="1259"/>
        <v>-1870.3527840743209</v>
      </c>
      <c r="DK272" s="17">
        <f t="shared" si="1260"/>
        <v>2789.4964266657994</v>
      </c>
      <c r="DL272" s="17">
        <f t="shared" si="1261"/>
        <v>-6814.7141916287928</v>
      </c>
      <c r="DM272" s="17">
        <f t="shared" si="1262"/>
        <v>-39169.072500618386</v>
      </c>
      <c r="DN272" s="17">
        <f t="shared" si="1263"/>
        <v>-45983.78669224718</v>
      </c>
    </row>
    <row r="273" spans="3:120" ht="18.600000000000001">
      <c r="C273" s="13">
        <f>IF(D273&lt;&gt;"",COUNTA($D$10:D273),"")</f>
        <v>225</v>
      </c>
      <c r="D273" s="14" t="s">
        <v>203</v>
      </c>
      <c r="E273" s="14">
        <v>2.1</v>
      </c>
      <c r="F273" s="14">
        <v>3.5</v>
      </c>
      <c r="G273" s="14">
        <v>2.4</v>
      </c>
      <c r="H273" s="14">
        <v>0</v>
      </c>
      <c r="I273" s="14">
        <v>1</v>
      </c>
      <c r="J273" s="14">
        <v>1.75</v>
      </c>
      <c r="K273" s="14">
        <v>3</v>
      </c>
      <c r="L273" s="15">
        <v>0.1</v>
      </c>
      <c r="M273" s="15">
        <v>0</v>
      </c>
      <c r="N273" s="14">
        <v>24</v>
      </c>
      <c r="O273" s="14">
        <v>50</v>
      </c>
      <c r="P273" s="13">
        <v>45</v>
      </c>
      <c r="Q273" s="13">
        <v>85</v>
      </c>
      <c r="R273" s="13" t="s">
        <v>17</v>
      </c>
      <c r="S273" s="13">
        <v>120</v>
      </c>
      <c r="T273" s="13">
        <v>0</v>
      </c>
      <c r="U273" s="13">
        <v>100</v>
      </c>
      <c r="V273" s="13" t="str">
        <f t="shared" si="1188"/>
        <v>ISO 6</v>
      </c>
      <c r="W273" s="13">
        <f t="shared" si="1189"/>
        <v>120</v>
      </c>
      <c r="X273" s="16">
        <f t="shared" si="1190"/>
        <v>79.085999999999999</v>
      </c>
      <c r="Y273" s="16">
        <f t="shared" si="1191"/>
        <v>622.56499199999996</v>
      </c>
      <c r="Z273" s="16">
        <f t="shared" si="1192"/>
        <v>1245.1299839999999</v>
      </c>
      <c r="AA273" s="16">
        <f t="shared" si="1193"/>
        <v>124.5129984</v>
      </c>
      <c r="AB273" s="16">
        <f t="shared" si="1194"/>
        <v>0</v>
      </c>
      <c r="AC273" s="16">
        <f t="shared" si="1195"/>
        <v>11.454213200559018</v>
      </c>
      <c r="AD273" s="16">
        <f t="shared" si="1196"/>
        <v>2375</v>
      </c>
      <c r="AE273" s="16">
        <f t="shared" si="1197"/>
        <v>2375</v>
      </c>
      <c r="AF273" s="16">
        <f t="shared" si="1198"/>
        <v>14</v>
      </c>
      <c r="AG273" s="16">
        <f t="shared" si="1199"/>
        <v>6</v>
      </c>
      <c r="AH273" s="838" t="s">
        <v>85</v>
      </c>
      <c r="AI273" s="17">
        <f t="shared" si="1200"/>
        <v>3</v>
      </c>
      <c r="AJ273" s="17">
        <f t="shared" si="1201"/>
        <v>6</v>
      </c>
      <c r="AK273" s="891"/>
      <c r="AL273" s="18">
        <f>IF(AK270&lt;=2000,950,(IF(AK270&lt;=4000,1100,(IF(AK270&lt;=6000,1250,(IF(AK270&lt;=10000,1550,(IF(AK270&lt;=15000,1750,(IF(AK270&lt;=24000,2050,(IF(AK270&lt;=40000,2900,3600)))))))))))))</f>
        <v>3600</v>
      </c>
      <c r="AM273" s="889"/>
      <c r="AN273" s="891"/>
      <c r="AO273" s="888"/>
      <c r="AP273" s="891"/>
      <c r="AQ273" s="891"/>
      <c r="AR273" s="889"/>
      <c r="AS273" s="888"/>
      <c r="AT273" s="888"/>
      <c r="AU273" s="890"/>
      <c r="AV273" s="888"/>
      <c r="AW273" s="888"/>
      <c r="AX273" s="888"/>
      <c r="AY273" s="887"/>
      <c r="AZ273" s="888"/>
      <c r="BA273" s="17">
        <f t="shared" si="1202"/>
        <v>14.399999999999991</v>
      </c>
      <c r="BB273" s="17">
        <f t="shared" si="1203"/>
        <v>37.799999999999997</v>
      </c>
      <c r="BC273" s="17">
        <f t="shared" si="1204"/>
        <v>32</v>
      </c>
      <c r="BD273" s="17">
        <f t="shared" si="1205"/>
        <v>85</v>
      </c>
      <c r="BE273" s="17">
        <f t="shared" si="1206"/>
        <v>180.86341983910182</v>
      </c>
      <c r="BF273" s="17">
        <f t="shared" si="1207"/>
        <v>24</v>
      </c>
      <c r="BG273" s="17">
        <f t="shared" si="1208"/>
        <v>50</v>
      </c>
      <c r="BH273" s="17">
        <f t="shared" si="1209"/>
        <v>65.062647806544774</v>
      </c>
      <c r="BI273" s="17">
        <f t="shared" si="1210"/>
        <v>115.80077203255705</v>
      </c>
      <c r="BJ273" s="17">
        <f t="shared" si="1211"/>
        <v>45</v>
      </c>
      <c r="BK273" s="17">
        <f t="shared" si="1212"/>
        <v>85</v>
      </c>
      <c r="BL273" s="17">
        <f t="shared" si="1213"/>
        <v>380.54120080897206</v>
      </c>
      <c r="BM273" s="17">
        <f t="shared" si="1214"/>
        <v>24</v>
      </c>
      <c r="BN273" s="17">
        <f t="shared" si="1215"/>
        <v>50</v>
      </c>
      <c r="BO273" s="17">
        <f t="shared" si="1216"/>
        <v>65.062647806544774</v>
      </c>
      <c r="BP273" s="17">
        <f t="shared" si="1217"/>
        <v>315.4785530024273</v>
      </c>
      <c r="BQ273" s="17">
        <f t="shared" si="1218"/>
        <v>4919.7818879999995</v>
      </c>
      <c r="BR273" s="17">
        <f t="shared" si="1219"/>
        <v>1874.2026239999989</v>
      </c>
      <c r="BS273" s="17">
        <f t="shared" si="1220"/>
        <v>512.47727999999972</v>
      </c>
      <c r="BT273" s="17">
        <f t="shared" si="1221"/>
        <v>1345.2528599999998</v>
      </c>
      <c r="BU273" s="17">
        <f t="shared" si="1222"/>
        <v>0</v>
      </c>
      <c r="BV273" s="17">
        <f t="shared" si="1223"/>
        <v>3412</v>
      </c>
      <c r="BW273" s="17">
        <f t="shared" si="1224"/>
        <v>472.22250599999995</v>
      </c>
      <c r="BX273" s="17">
        <f t="shared" si="1225"/>
        <v>17495.999999999989</v>
      </c>
      <c r="BY273" s="17">
        <f t="shared" si="1226"/>
        <v>5083.1186466815998</v>
      </c>
      <c r="BZ273" s="17"/>
      <c r="CA273" s="17">
        <f t="shared" si="1227"/>
        <v>0</v>
      </c>
      <c r="CB273" s="17">
        <f t="shared" si="1228"/>
        <v>241341.0930468569</v>
      </c>
      <c r="CC273" s="17">
        <f t="shared" si="1229"/>
        <v>26711.202784353376</v>
      </c>
      <c r="CD273" s="17">
        <f t="shared" si="1230"/>
        <v>240400.82505918032</v>
      </c>
      <c r="CE273" s="17">
        <f t="shared" si="1231"/>
        <v>31383.123040681588</v>
      </c>
      <c r="CF273" s="17">
        <f t="shared" si="1232"/>
        <v>508453.12089039059</v>
      </c>
      <c r="CG273" s="17">
        <f t="shared" si="1233"/>
        <v>539836.24393107218</v>
      </c>
      <c r="CH273" s="17">
        <f t="shared" si="1234"/>
        <v>14.400000000000006</v>
      </c>
      <c r="CI273" s="17">
        <f t="shared" si="1235"/>
        <v>-43.2</v>
      </c>
      <c r="CJ273" s="17">
        <f t="shared" si="1236"/>
        <v>16</v>
      </c>
      <c r="CK273" s="17">
        <f t="shared" si="1237"/>
        <v>90</v>
      </c>
      <c r="CL273" s="17">
        <f t="shared" si="1238"/>
        <v>71.46880726181422</v>
      </c>
      <c r="CM273" s="17">
        <f t="shared" si="1239"/>
        <v>24</v>
      </c>
      <c r="CN273" s="17">
        <f t="shared" si="1240"/>
        <v>50</v>
      </c>
      <c r="CO273" s="17">
        <f t="shared" si="1241"/>
        <v>65.062647806544774</v>
      </c>
      <c r="CP273" s="17">
        <f t="shared" si="1242"/>
        <v>6.4061594552694459</v>
      </c>
      <c r="CQ273" s="17">
        <f t="shared" si="1243"/>
        <v>0</v>
      </c>
      <c r="CR273" s="17">
        <f t="shared" si="1244"/>
        <v>100</v>
      </c>
      <c r="CS273" s="17">
        <f t="shared" si="1245"/>
        <v>26.404773030064671</v>
      </c>
      <c r="CT273" s="17">
        <f t="shared" si="1246"/>
        <v>24</v>
      </c>
      <c r="CU273" s="17">
        <f t="shared" si="1247"/>
        <v>50</v>
      </c>
      <c r="CV273" s="17">
        <f t="shared" si="1248"/>
        <v>65.062647806544774</v>
      </c>
      <c r="CW273" s="17">
        <f t="shared" si="1249"/>
        <v>-38.657874776480099</v>
      </c>
      <c r="CX273" s="17">
        <f t="shared" si="1187"/>
        <v>-5622.6078720000005</v>
      </c>
      <c r="CY273" s="17">
        <f t="shared" si="1187"/>
        <v>-5622.6078720000005</v>
      </c>
      <c r="CZ273" s="17">
        <f t="shared" si="1250"/>
        <v>512.47728000000018</v>
      </c>
      <c r="DA273" s="17">
        <f t="shared" si="1251"/>
        <v>-1537.4318400000002</v>
      </c>
      <c r="DB273" s="17">
        <f t="shared" si="1252"/>
        <v>0</v>
      </c>
      <c r="DC273" s="17">
        <f t="shared" si="1253"/>
        <v>3412</v>
      </c>
      <c r="DD273" s="17">
        <f t="shared" si="1254"/>
        <v>472.22250599999995</v>
      </c>
      <c r="DE273" s="17">
        <f t="shared" si="1255"/>
        <v>17496.000000000007</v>
      </c>
      <c r="DF273" s="17">
        <f t="shared" si="1256"/>
        <v>-5809.2784533504</v>
      </c>
      <c r="DG273" s="17"/>
      <c r="DH273" s="17">
        <f t="shared" si="1257"/>
        <v>0</v>
      </c>
      <c r="DI273" s="17">
        <f t="shared" si="1258"/>
        <v>-29573.274204007277</v>
      </c>
      <c r="DJ273" s="17">
        <f t="shared" si="1259"/>
        <v>-3273.117372130062</v>
      </c>
      <c r="DK273" s="17">
        <f t="shared" si="1260"/>
        <v>4881.618746665149</v>
      </c>
      <c r="DL273" s="17">
        <f t="shared" si="1261"/>
        <v>8923.3816206496067</v>
      </c>
      <c r="DM273" s="17">
        <f t="shared" si="1262"/>
        <v>-27964.772829472186</v>
      </c>
      <c r="DN273" s="17">
        <f t="shared" si="1263"/>
        <v>-19041.391208822577</v>
      </c>
    </row>
    <row r="274" spans="3:120" ht="18.600000000000001">
      <c r="C274" s="13">
        <f>IF(D274&lt;&gt;"",COUNTA($D$10:D274),"")</f>
        <v>226</v>
      </c>
      <c r="D274" s="14" t="s">
        <v>204</v>
      </c>
      <c r="E274" s="14">
        <v>2.7</v>
      </c>
      <c r="F274" s="14">
        <v>4</v>
      </c>
      <c r="G274" s="14">
        <v>2.4</v>
      </c>
      <c r="H274" s="14">
        <v>2</v>
      </c>
      <c r="I274" s="14">
        <v>1</v>
      </c>
      <c r="J274" s="14">
        <v>1.75</v>
      </c>
      <c r="K274" s="14">
        <v>3</v>
      </c>
      <c r="L274" s="15">
        <v>0.1</v>
      </c>
      <c r="M274" s="15">
        <v>0</v>
      </c>
      <c r="N274" s="14">
        <v>24</v>
      </c>
      <c r="O274" s="14">
        <v>50</v>
      </c>
      <c r="P274" s="13">
        <v>45</v>
      </c>
      <c r="Q274" s="13">
        <v>85</v>
      </c>
      <c r="R274" s="13" t="s">
        <v>17</v>
      </c>
      <c r="S274" s="13">
        <v>120</v>
      </c>
      <c r="T274" s="13">
        <v>0</v>
      </c>
      <c r="U274" s="13">
        <v>100</v>
      </c>
      <c r="V274" s="13" t="str">
        <f t="shared" si="1188"/>
        <v>ISO 6</v>
      </c>
      <c r="W274" s="13">
        <f t="shared" si="1189"/>
        <v>120</v>
      </c>
      <c r="X274" s="16">
        <f t="shared" si="1190"/>
        <v>116.208</v>
      </c>
      <c r="Y274" s="16">
        <f t="shared" si="1191"/>
        <v>914.78937599999995</v>
      </c>
      <c r="Z274" s="16">
        <f t="shared" si="1192"/>
        <v>1829.5787519999999</v>
      </c>
      <c r="AA274" s="16">
        <f t="shared" si="1193"/>
        <v>182.95787519999999</v>
      </c>
      <c r="AB274" s="16">
        <f t="shared" si="1194"/>
        <v>0</v>
      </c>
      <c r="AC274" s="16">
        <f t="shared" si="1195"/>
        <v>16.830680621229575</v>
      </c>
      <c r="AD274" s="16">
        <f t="shared" si="1196"/>
        <v>3375</v>
      </c>
      <c r="AE274" s="16">
        <f t="shared" si="1197"/>
        <v>3375</v>
      </c>
      <c r="AF274" s="16">
        <f t="shared" si="1198"/>
        <v>20</v>
      </c>
      <c r="AG274" s="16">
        <f t="shared" si="1199"/>
        <v>8.5</v>
      </c>
      <c r="AH274" s="838" t="s">
        <v>85</v>
      </c>
      <c r="AI274" s="17">
        <f t="shared" si="1200"/>
        <v>5</v>
      </c>
      <c r="AJ274" s="17">
        <f t="shared" si="1201"/>
        <v>8.5</v>
      </c>
      <c r="AK274" s="891"/>
      <c r="AL274" s="18" t="s">
        <v>256</v>
      </c>
      <c r="AM274" s="889"/>
      <c r="AN274" s="891"/>
      <c r="AO274" s="888"/>
      <c r="AP274" s="891"/>
      <c r="AQ274" s="891"/>
      <c r="AR274" s="889"/>
      <c r="AS274" s="888"/>
      <c r="AT274" s="888"/>
      <c r="AU274" s="890"/>
      <c r="AV274" s="888"/>
      <c r="AW274" s="888"/>
      <c r="AX274" s="888"/>
      <c r="AY274" s="887"/>
      <c r="AZ274" s="888"/>
      <c r="BA274" s="17">
        <f t="shared" si="1202"/>
        <v>14.399999999999991</v>
      </c>
      <c r="BB274" s="17">
        <f t="shared" si="1203"/>
        <v>37.799999999999997</v>
      </c>
      <c r="BC274" s="17">
        <f t="shared" si="1204"/>
        <v>32</v>
      </c>
      <c r="BD274" s="17">
        <f t="shared" si="1205"/>
        <v>85</v>
      </c>
      <c r="BE274" s="17">
        <f t="shared" si="1206"/>
        <v>180.86341983910182</v>
      </c>
      <c r="BF274" s="17">
        <f t="shared" si="1207"/>
        <v>24</v>
      </c>
      <c r="BG274" s="17">
        <f t="shared" si="1208"/>
        <v>50</v>
      </c>
      <c r="BH274" s="17">
        <f t="shared" si="1209"/>
        <v>65.062647806544774</v>
      </c>
      <c r="BI274" s="17">
        <f t="shared" si="1210"/>
        <v>115.80077203255705</v>
      </c>
      <c r="BJ274" s="17">
        <f t="shared" si="1211"/>
        <v>45</v>
      </c>
      <c r="BK274" s="17">
        <f t="shared" si="1212"/>
        <v>85</v>
      </c>
      <c r="BL274" s="17">
        <f t="shared" si="1213"/>
        <v>380.54120080897206</v>
      </c>
      <c r="BM274" s="17">
        <f t="shared" si="1214"/>
        <v>24</v>
      </c>
      <c r="BN274" s="17">
        <f t="shared" si="1215"/>
        <v>50</v>
      </c>
      <c r="BO274" s="17">
        <f t="shared" si="1216"/>
        <v>65.062647806544774</v>
      </c>
      <c r="BP274" s="17">
        <f t="shared" si="1217"/>
        <v>315.4785530024273</v>
      </c>
      <c r="BQ274" s="17">
        <f t="shared" si="1218"/>
        <v>5886.1676159999997</v>
      </c>
      <c r="BR274" s="17">
        <f t="shared" si="1219"/>
        <v>2242.3495679999987</v>
      </c>
      <c r="BS274" s="17">
        <f t="shared" si="1220"/>
        <v>753.02783999999963</v>
      </c>
      <c r="BT274" s="17">
        <f t="shared" si="1221"/>
        <v>1976.6980799999997</v>
      </c>
      <c r="BU274" s="17">
        <f t="shared" si="1222"/>
        <v>23269.68</v>
      </c>
      <c r="BV274" s="17">
        <f t="shared" si="1223"/>
        <v>3412</v>
      </c>
      <c r="BW274" s="17">
        <f t="shared" si="1224"/>
        <v>693.87796800000001</v>
      </c>
      <c r="BX274" s="17">
        <f t="shared" si="1225"/>
        <v>17495.999999999989</v>
      </c>
      <c r="BY274" s="17">
        <f t="shared" si="1226"/>
        <v>7469.0722971647992</v>
      </c>
      <c r="BZ274" s="17"/>
      <c r="CA274" s="17">
        <f t="shared" si="1227"/>
        <v>85810.166416660228</v>
      </c>
      <c r="CB274" s="17">
        <f t="shared" si="1228"/>
        <v>241341.0930468569</v>
      </c>
      <c r="CC274" s="17">
        <f t="shared" si="1229"/>
        <v>39249.114295376385</v>
      </c>
      <c r="CD274" s="17">
        <f t="shared" si="1230"/>
        <v>353242.02865838748</v>
      </c>
      <c r="CE274" s="17">
        <f t="shared" si="1231"/>
        <v>58226.797881164784</v>
      </c>
      <c r="CF274" s="17">
        <f t="shared" si="1232"/>
        <v>719642.40241728094</v>
      </c>
      <c r="CG274" s="17">
        <f t="shared" si="1233"/>
        <v>777869.20029844576</v>
      </c>
      <c r="CH274" s="17">
        <f t="shared" si="1234"/>
        <v>14.400000000000006</v>
      </c>
      <c r="CI274" s="17">
        <f t="shared" si="1235"/>
        <v>-43.2</v>
      </c>
      <c r="CJ274" s="17">
        <f t="shared" si="1236"/>
        <v>16</v>
      </c>
      <c r="CK274" s="17">
        <f t="shared" si="1237"/>
        <v>90</v>
      </c>
      <c r="CL274" s="17">
        <f t="shared" si="1238"/>
        <v>71.46880726181422</v>
      </c>
      <c r="CM274" s="17">
        <f t="shared" si="1239"/>
        <v>24</v>
      </c>
      <c r="CN274" s="17">
        <f t="shared" si="1240"/>
        <v>50</v>
      </c>
      <c r="CO274" s="17">
        <f t="shared" si="1241"/>
        <v>65.062647806544774</v>
      </c>
      <c r="CP274" s="17">
        <f t="shared" si="1242"/>
        <v>6.4061594552694459</v>
      </c>
      <c r="CQ274" s="17">
        <f t="shared" si="1243"/>
        <v>0</v>
      </c>
      <c r="CR274" s="17">
        <f t="shared" si="1244"/>
        <v>100</v>
      </c>
      <c r="CS274" s="17">
        <f t="shared" si="1245"/>
        <v>26.404773030064671</v>
      </c>
      <c r="CT274" s="17">
        <f t="shared" si="1246"/>
        <v>24</v>
      </c>
      <c r="CU274" s="17">
        <f t="shared" si="1247"/>
        <v>50</v>
      </c>
      <c r="CV274" s="17">
        <f t="shared" si="1248"/>
        <v>65.062647806544774</v>
      </c>
      <c r="CW274" s="17">
        <f t="shared" si="1249"/>
        <v>-38.657874776480099</v>
      </c>
      <c r="CX274" s="17">
        <f t="shared" si="1187"/>
        <v>-6727.0487040000007</v>
      </c>
      <c r="CY274" s="17">
        <f t="shared" si="1187"/>
        <v>-6727.0487040000007</v>
      </c>
      <c r="CZ274" s="17">
        <f t="shared" si="1250"/>
        <v>753.02784000000031</v>
      </c>
      <c r="DA274" s="17">
        <f t="shared" si="1251"/>
        <v>-2259.0835200000006</v>
      </c>
      <c r="DB274" s="17">
        <f t="shared" si="1252"/>
        <v>-26593.920000000002</v>
      </c>
      <c r="DC274" s="17">
        <f t="shared" si="1253"/>
        <v>3412</v>
      </c>
      <c r="DD274" s="17">
        <f t="shared" si="1254"/>
        <v>693.87796800000001</v>
      </c>
      <c r="DE274" s="17">
        <f t="shared" si="1255"/>
        <v>17496.000000000007</v>
      </c>
      <c r="DF274" s="17">
        <f t="shared" si="1256"/>
        <v>-8536.0826253312007</v>
      </c>
      <c r="DG274" s="17"/>
      <c r="DH274" s="17">
        <f t="shared" si="1257"/>
        <v>-10514.941939202587</v>
      </c>
      <c r="DI274" s="17">
        <f t="shared" si="1258"/>
        <v>-29573.274204007277</v>
      </c>
      <c r="DJ274" s="17">
        <f t="shared" si="1259"/>
        <v>-4809.478587619682</v>
      </c>
      <c r="DK274" s="17">
        <f t="shared" si="1260"/>
        <v>7172.9908114263426</v>
      </c>
      <c r="DL274" s="17">
        <f t="shared" si="1261"/>
        <v>-21761.229041331197</v>
      </c>
      <c r="DM274" s="17">
        <f t="shared" si="1262"/>
        <v>-37724.703919403204</v>
      </c>
      <c r="DN274" s="17">
        <f t="shared" si="1263"/>
        <v>-59485.932960734397</v>
      </c>
    </row>
    <row r="275" spans="3:120" ht="18.600000000000001">
      <c r="C275" s="13">
        <f>IF(D275&lt;&gt;"",COUNTA($D$10:D275),"")</f>
        <v>227</v>
      </c>
      <c r="D275" s="14" t="s">
        <v>205</v>
      </c>
      <c r="E275" s="14">
        <v>3.8</v>
      </c>
      <c r="F275" s="14">
        <v>4.2</v>
      </c>
      <c r="G275" s="14">
        <v>2.4</v>
      </c>
      <c r="H275" s="14">
        <v>3</v>
      </c>
      <c r="I275" s="14">
        <v>3</v>
      </c>
      <c r="J275" s="14">
        <v>1.75</v>
      </c>
      <c r="K275" s="14">
        <v>3</v>
      </c>
      <c r="L275" s="15">
        <v>0.1</v>
      </c>
      <c r="M275" s="15">
        <v>0</v>
      </c>
      <c r="N275" s="14">
        <v>24</v>
      </c>
      <c r="O275" s="14">
        <v>50</v>
      </c>
      <c r="P275" s="13">
        <v>45</v>
      </c>
      <c r="Q275" s="13">
        <v>85</v>
      </c>
      <c r="R275" s="13" t="s">
        <v>17</v>
      </c>
      <c r="S275" s="13">
        <v>120</v>
      </c>
      <c r="T275" s="13">
        <v>0</v>
      </c>
      <c r="U275" s="13">
        <v>100</v>
      </c>
      <c r="V275" s="13" t="str">
        <f t="shared" si="1188"/>
        <v>ISO 6</v>
      </c>
      <c r="W275" s="13">
        <f t="shared" si="1189"/>
        <v>120</v>
      </c>
      <c r="X275" s="16">
        <f t="shared" si="1190"/>
        <v>171.72959999999998</v>
      </c>
      <c r="Y275" s="16">
        <f t="shared" si="1191"/>
        <v>1351.8554111999997</v>
      </c>
      <c r="Z275" s="16">
        <f t="shared" si="1192"/>
        <v>2703.7108223999994</v>
      </c>
      <c r="AA275" s="16">
        <f t="shared" si="1193"/>
        <v>270.37108223999996</v>
      </c>
      <c r="AB275" s="16">
        <f t="shared" si="1194"/>
        <v>0</v>
      </c>
      <c r="AC275" s="16">
        <f t="shared" si="1195"/>
        <v>24.872005806928151</v>
      </c>
      <c r="AD275" s="16">
        <f t="shared" si="1196"/>
        <v>4450</v>
      </c>
      <c r="AE275" s="16">
        <f t="shared" si="1197"/>
        <v>4450</v>
      </c>
      <c r="AF275" s="16">
        <f t="shared" si="1198"/>
        <v>26</v>
      </c>
      <c r="AG275" s="16">
        <f t="shared" si="1199"/>
        <v>11.5</v>
      </c>
      <c r="AH275" s="838" t="s">
        <v>85</v>
      </c>
      <c r="AI275" s="17">
        <f t="shared" si="1200"/>
        <v>7</v>
      </c>
      <c r="AJ275" s="17">
        <f t="shared" si="1201"/>
        <v>11.5</v>
      </c>
      <c r="AK275" s="891"/>
      <c r="AL275" s="18">
        <f>IF(AL279&lt;4000,AL279,AL279+400)</f>
        <v>5800</v>
      </c>
      <c r="AM275" s="889"/>
      <c r="AN275" s="891"/>
      <c r="AO275" s="888"/>
      <c r="AP275" s="891"/>
      <c r="AQ275" s="891"/>
      <c r="AR275" s="889"/>
      <c r="AS275" s="888"/>
      <c r="AT275" s="888"/>
      <c r="AU275" s="890"/>
      <c r="AV275" s="888"/>
      <c r="AW275" s="888"/>
      <c r="AX275" s="888"/>
      <c r="AY275" s="887"/>
      <c r="AZ275" s="888"/>
      <c r="BA275" s="17">
        <f t="shared" si="1202"/>
        <v>14.399999999999991</v>
      </c>
      <c r="BB275" s="17">
        <f t="shared" si="1203"/>
        <v>37.799999999999997</v>
      </c>
      <c r="BC275" s="17">
        <f t="shared" si="1204"/>
        <v>32</v>
      </c>
      <c r="BD275" s="17">
        <f t="shared" si="1205"/>
        <v>85</v>
      </c>
      <c r="BE275" s="17">
        <f t="shared" si="1206"/>
        <v>180.86341983910182</v>
      </c>
      <c r="BF275" s="17">
        <f t="shared" si="1207"/>
        <v>24</v>
      </c>
      <c r="BG275" s="17">
        <f t="shared" si="1208"/>
        <v>50</v>
      </c>
      <c r="BH275" s="17">
        <f t="shared" si="1209"/>
        <v>65.062647806544774</v>
      </c>
      <c r="BI275" s="17">
        <f t="shared" si="1210"/>
        <v>115.80077203255705</v>
      </c>
      <c r="BJ275" s="17">
        <f t="shared" si="1211"/>
        <v>45</v>
      </c>
      <c r="BK275" s="17">
        <f t="shared" si="1212"/>
        <v>85</v>
      </c>
      <c r="BL275" s="17">
        <f t="shared" si="1213"/>
        <v>380.54120080897206</v>
      </c>
      <c r="BM275" s="17">
        <f t="shared" si="1214"/>
        <v>24</v>
      </c>
      <c r="BN275" s="17">
        <f t="shared" si="1215"/>
        <v>50</v>
      </c>
      <c r="BO275" s="17">
        <f t="shared" si="1216"/>
        <v>65.062647806544774</v>
      </c>
      <c r="BP275" s="17">
        <f t="shared" si="1217"/>
        <v>315.4785530024273</v>
      </c>
      <c r="BQ275" s="17">
        <f t="shared" si="1218"/>
        <v>7028.2598399999997</v>
      </c>
      <c r="BR275" s="17">
        <f t="shared" si="1219"/>
        <v>2677.4323199999981</v>
      </c>
      <c r="BS275" s="17">
        <f t="shared" si="1220"/>
        <v>1112.8078079999991</v>
      </c>
      <c r="BT275" s="17">
        <f t="shared" si="1221"/>
        <v>2921.1204959999995</v>
      </c>
      <c r="BU275" s="17">
        <f t="shared" si="1222"/>
        <v>34904.520000000004</v>
      </c>
      <c r="BV275" s="17">
        <f t="shared" si="1223"/>
        <v>10236</v>
      </c>
      <c r="BW275" s="17">
        <f t="shared" si="1224"/>
        <v>1025.3974415999999</v>
      </c>
      <c r="BX275" s="17">
        <f t="shared" si="1225"/>
        <v>17495.999999999989</v>
      </c>
      <c r="BY275" s="17">
        <f t="shared" si="1226"/>
        <v>11037.62906136576</v>
      </c>
      <c r="BZ275" s="17"/>
      <c r="CA275" s="17">
        <f t="shared" si="1227"/>
        <v>128715.24962499036</v>
      </c>
      <c r="CB275" s="17">
        <f t="shared" si="1228"/>
        <v>241341.0930468569</v>
      </c>
      <c r="CC275" s="17">
        <f t="shared" si="1229"/>
        <v>58001.468903167319</v>
      </c>
      <c r="CD275" s="17">
        <f t="shared" si="1230"/>
        <v>522013.22012850584</v>
      </c>
      <c r="CE275" s="17">
        <f t="shared" si="1231"/>
        <v>81727.806342965749</v>
      </c>
      <c r="CF275" s="17">
        <f t="shared" si="1232"/>
        <v>950071.03170352045</v>
      </c>
      <c r="CG275" s="17">
        <f t="shared" si="1233"/>
        <v>1031798.8380464863</v>
      </c>
      <c r="CH275" s="17">
        <f t="shared" si="1234"/>
        <v>14.400000000000006</v>
      </c>
      <c r="CI275" s="17">
        <f t="shared" si="1235"/>
        <v>-43.2</v>
      </c>
      <c r="CJ275" s="17">
        <f t="shared" si="1236"/>
        <v>16</v>
      </c>
      <c r="CK275" s="17">
        <f t="shared" si="1237"/>
        <v>90</v>
      </c>
      <c r="CL275" s="17">
        <f t="shared" si="1238"/>
        <v>71.46880726181422</v>
      </c>
      <c r="CM275" s="17">
        <f t="shared" si="1239"/>
        <v>24</v>
      </c>
      <c r="CN275" s="17">
        <f t="shared" si="1240"/>
        <v>50</v>
      </c>
      <c r="CO275" s="17">
        <f t="shared" si="1241"/>
        <v>65.062647806544774</v>
      </c>
      <c r="CP275" s="17">
        <f t="shared" si="1242"/>
        <v>6.4061594552694459</v>
      </c>
      <c r="CQ275" s="17">
        <f t="shared" si="1243"/>
        <v>0</v>
      </c>
      <c r="CR275" s="17">
        <f t="shared" si="1244"/>
        <v>100</v>
      </c>
      <c r="CS275" s="17">
        <f t="shared" si="1245"/>
        <v>26.404773030064671</v>
      </c>
      <c r="CT275" s="17">
        <f t="shared" si="1246"/>
        <v>24</v>
      </c>
      <c r="CU275" s="17">
        <f t="shared" si="1247"/>
        <v>50</v>
      </c>
      <c r="CV275" s="17">
        <f t="shared" si="1248"/>
        <v>65.062647806544774</v>
      </c>
      <c r="CW275" s="17">
        <f t="shared" si="1249"/>
        <v>-38.657874776480099</v>
      </c>
      <c r="CX275" s="17">
        <f t="shared" si="1187"/>
        <v>-8032.2969600000006</v>
      </c>
      <c r="CY275" s="17">
        <f t="shared" si="1187"/>
        <v>-8032.2969600000006</v>
      </c>
      <c r="CZ275" s="17">
        <f t="shared" si="1250"/>
        <v>1112.8078080000003</v>
      </c>
      <c r="DA275" s="17">
        <f t="shared" si="1251"/>
        <v>-3338.4234240000001</v>
      </c>
      <c r="DB275" s="17">
        <f t="shared" si="1252"/>
        <v>-39890.880000000005</v>
      </c>
      <c r="DC275" s="17">
        <f t="shared" si="1253"/>
        <v>10236</v>
      </c>
      <c r="DD275" s="17">
        <f t="shared" si="1254"/>
        <v>1025.3974415999999</v>
      </c>
      <c r="DE275" s="17">
        <f t="shared" si="1255"/>
        <v>17496.000000000007</v>
      </c>
      <c r="DF275" s="17">
        <f t="shared" si="1256"/>
        <v>-12614.433212989441</v>
      </c>
      <c r="DG275" s="17"/>
      <c r="DH275" s="17">
        <f t="shared" si="1257"/>
        <v>-15772.412908803883</v>
      </c>
      <c r="DI275" s="17">
        <f t="shared" si="1258"/>
        <v>-29573.274204007277</v>
      </c>
      <c r="DJ275" s="17">
        <f t="shared" si="1259"/>
        <v>-7107.3405794824193</v>
      </c>
      <c r="DK275" s="17">
        <f t="shared" si="1260"/>
        <v>10600.086421330037</v>
      </c>
      <c r="DL275" s="17">
        <f t="shared" si="1261"/>
        <v>-34005.828347389441</v>
      </c>
      <c r="DM275" s="17">
        <f t="shared" si="1262"/>
        <v>-41852.941270963544</v>
      </c>
      <c r="DN275" s="17">
        <f t="shared" si="1263"/>
        <v>-75858.769618352992</v>
      </c>
    </row>
    <row r="276" spans="3:120" ht="18.600000000000001">
      <c r="C276" s="13">
        <f>IF(D276&lt;&gt;"",COUNTA($D$10:D276),"")</f>
        <v>228</v>
      </c>
      <c r="D276" s="14" t="s">
        <v>206</v>
      </c>
      <c r="E276" s="14">
        <v>3.1</v>
      </c>
      <c r="F276" s="14">
        <v>2.6</v>
      </c>
      <c r="G276" s="14">
        <v>2.4</v>
      </c>
      <c r="H276" s="14">
        <v>2</v>
      </c>
      <c r="I276" s="14">
        <v>1</v>
      </c>
      <c r="J276" s="14">
        <v>1.75</v>
      </c>
      <c r="K276" s="14">
        <v>3</v>
      </c>
      <c r="L276" s="15">
        <v>0.1</v>
      </c>
      <c r="M276" s="15">
        <v>0</v>
      </c>
      <c r="N276" s="14">
        <v>24</v>
      </c>
      <c r="O276" s="14">
        <v>50</v>
      </c>
      <c r="P276" s="13">
        <v>45</v>
      </c>
      <c r="Q276" s="13">
        <v>85</v>
      </c>
      <c r="R276" s="13" t="s">
        <v>17</v>
      </c>
      <c r="S276" s="13">
        <v>120</v>
      </c>
      <c r="T276" s="13">
        <v>0</v>
      </c>
      <c r="U276" s="13">
        <v>100</v>
      </c>
      <c r="V276" s="13" t="str">
        <f t="shared" si="1188"/>
        <v>ISO 6</v>
      </c>
      <c r="W276" s="13">
        <f t="shared" si="1189"/>
        <v>120</v>
      </c>
      <c r="X276" s="16">
        <f t="shared" si="1190"/>
        <v>86.7256</v>
      </c>
      <c r="Y276" s="16">
        <f t="shared" si="1191"/>
        <v>682.70392319999996</v>
      </c>
      <c r="Z276" s="16">
        <f t="shared" si="1192"/>
        <v>1365.4078463999999</v>
      </c>
      <c r="AA276" s="16">
        <f t="shared" si="1193"/>
        <v>136.54078464</v>
      </c>
      <c r="AB276" s="16">
        <f t="shared" si="1194"/>
        <v>0</v>
      </c>
      <c r="AC276" s="16">
        <f t="shared" si="1195"/>
        <v>12.560674611769482</v>
      </c>
      <c r="AD276" s="16">
        <f t="shared" si="1196"/>
        <v>2900</v>
      </c>
      <c r="AE276" s="16">
        <f t="shared" si="1197"/>
        <v>2900</v>
      </c>
      <c r="AF276" s="16">
        <f t="shared" si="1198"/>
        <v>18</v>
      </c>
      <c r="AG276" s="16">
        <f t="shared" si="1199"/>
        <v>7.5</v>
      </c>
      <c r="AH276" s="838" t="s">
        <v>85</v>
      </c>
      <c r="AI276" s="17">
        <f t="shared" si="1200"/>
        <v>5</v>
      </c>
      <c r="AJ276" s="17">
        <f t="shared" si="1201"/>
        <v>7.5</v>
      </c>
      <c r="AK276" s="891"/>
      <c r="AL276" s="18"/>
      <c r="AM276" s="889"/>
      <c r="AN276" s="891"/>
      <c r="AO276" s="888"/>
      <c r="AP276" s="891"/>
      <c r="AQ276" s="891"/>
      <c r="AR276" s="889"/>
      <c r="AS276" s="888"/>
      <c r="AT276" s="888"/>
      <c r="AU276" s="890"/>
      <c r="AV276" s="888"/>
      <c r="AW276" s="888"/>
      <c r="AX276" s="888"/>
      <c r="AY276" s="887"/>
      <c r="AZ276" s="888"/>
      <c r="BA276" s="17">
        <f t="shared" si="1202"/>
        <v>14.399999999999991</v>
      </c>
      <c r="BB276" s="17">
        <f t="shared" si="1203"/>
        <v>37.799999999999997</v>
      </c>
      <c r="BC276" s="17">
        <f t="shared" si="1204"/>
        <v>32</v>
      </c>
      <c r="BD276" s="17">
        <f t="shared" si="1205"/>
        <v>85</v>
      </c>
      <c r="BE276" s="17">
        <f t="shared" si="1206"/>
        <v>180.86341983910182</v>
      </c>
      <c r="BF276" s="17">
        <f t="shared" si="1207"/>
        <v>24</v>
      </c>
      <c r="BG276" s="17">
        <f t="shared" si="1208"/>
        <v>50</v>
      </c>
      <c r="BH276" s="17">
        <f t="shared" si="1209"/>
        <v>65.062647806544774</v>
      </c>
      <c r="BI276" s="17">
        <f t="shared" si="1210"/>
        <v>115.80077203255705</v>
      </c>
      <c r="BJ276" s="17">
        <f t="shared" si="1211"/>
        <v>45</v>
      </c>
      <c r="BK276" s="17">
        <f t="shared" si="1212"/>
        <v>85</v>
      </c>
      <c r="BL276" s="17">
        <f t="shared" si="1213"/>
        <v>380.54120080897206</v>
      </c>
      <c r="BM276" s="17">
        <f t="shared" si="1214"/>
        <v>24</v>
      </c>
      <c r="BN276" s="17">
        <f t="shared" si="1215"/>
        <v>50</v>
      </c>
      <c r="BO276" s="17">
        <f t="shared" si="1216"/>
        <v>65.062647806544774</v>
      </c>
      <c r="BP276" s="17">
        <f t="shared" si="1217"/>
        <v>315.4785530024273</v>
      </c>
      <c r="BQ276" s="17">
        <f t="shared" si="1218"/>
        <v>5007.6351359999999</v>
      </c>
      <c r="BR276" s="17">
        <f t="shared" si="1219"/>
        <v>1907.670527999999</v>
      </c>
      <c r="BS276" s="17">
        <f t="shared" si="1220"/>
        <v>561.98188799999969</v>
      </c>
      <c r="BT276" s="17">
        <f t="shared" si="1221"/>
        <v>1475.202456</v>
      </c>
      <c r="BU276" s="17">
        <f t="shared" si="1222"/>
        <v>23269.68</v>
      </c>
      <c r="BV276" s="17">
        <f t="shared" si="1223"/>
        <v>3412</v>
      </c>
      <c r="BW276" s="17">
        <f t="shared" si="1224"/>
        <v>517.83855759999994</v>
      </c>
      <c r="BX276" s="17">
        <f t="shared" si="1225"/>
        <v>17495.999999999989</v>
      </c>
      <c r="BY276" s="17">
        <f t="shared" si="1226"/>
        <v>5574.1409921433597</v>
      </c>
      <c r="BZ276" s="17"/>
      <c r="CA276" s="17">
        <f t="shared" si="1227"/>
        <v>85810.166416660228</v>
      </c>
      <c r="CB276" s="17">
        <f t="shared" si="1228"/>
        <v>241341.0930468569</v>
      </c>
      <c r="CC276" s="17">
        <f t="shared" si="1229"/>
        <v>29291.468631549415</v>
      </c>
      <c r="CD276" s="17">
        <f t="shared" si="1230"/>
        <v>263623.21768394468</v>
      </c>
      <c r="CE276" s="17">
        <f t="shared" si="1231"/>
        <v>55277.294685743349</v>
      </c>
      <c r="CF276" s="17">
        <f t="shared" si="1232"/>
        <v>620065.94577901112</v>
      </c>
      <c r="CG276" s="17">
        <f t="shared" si="1233"/>
        <v>675343.24046475452</v>
      </c>
      <c r="CH276" s="17">
        <f t="shared" si="1234"/>
        <v>14.400000000000006</v>
      </c>
      <c r="CI276" s="17">
        <f t="shared" si="1235"/>
        <v>-43.2</v>
      </c>
      <c r="CJ276" s="17">
        <f t="shared" si="1236"/>
        <v>16</v>
      </c>
      <c r="CK276" s="17">
        <f t="shared" si="1237"/>
        <v>90</v>
      </c>
      <c r="CL276" s="17">
        <f t="shared" si="1238"/>
        <v>71.46880726181422</v>
      </c>
      <c r="CM276" s="17">
        <f t="shared" si="1239"/>
        <v>24</v>
      </c>
      <c r="CN276" s="17">
        <f t="shared" si="1240"/>
        <v>50</v>
      </c>
      <c r="CO276" s="17">
        <f t="shared" si="1241"/>
        <v>65.062647806544774</v>
      </c>
      <c r="CP276" s="17">
        <f t="shared" si="1242"/>
        <v>6.4061594552694459</v>
      </c>
      <c r="CQ276" s="17">
        <f t="shared" si="1243"/>
        <v>0</v>
      </c>
      <c r="CR276" s="17">
        <f t="shared" si="1244"/>
        <v>100</v>
      </c>
      <c r="CS276" s="17">
        <f t="shared" si="1245"/>
        <v>26.404773030064671</v>
      </c>
      <c r="CT276" s="17">
        <f t="shared" si="1246"/>
        <v>24</v>
      </c>
      <c r="CU276" s="17">
        <f t="shared" si="1247"/>
        <v>50</v>
      </c>
      <c r="CV276" s="17">
        <f t="shared" si="1248"/>
        <v>65.062647806544774</v>
      </c>
      <c r="CW276" s="17">
        <f t="shared" si="1249"/>
        <v>-38.657874776480099</v>
      </c>
      <c r="CX276" s="17">
        <f t="shared" si="1187"/>
        <v>-5723.0115840000008</v>
      </c>
      <c r="CY276" s="17">
        <f t="shared" si="1187"/>
        <v>-5723.0115840000008</v>
      </c>
      <c r="CZ276" s="17">
        <f t="shared" si="1250"/>
        <v>561.98188800000014</v>
      </c>
      <c r="DA276" s="17">
        <f t="shared" si="1251"/>
        <v>-1685.9456640000001</v>
      </c>
      <c r="DB276" s="17">
        <f t="shared" si="1252"/>
        <v>-26593.920000000002</v>
      </c>
      <c r="DC276" s="17">
        <f t="shared" si="1253"/>
        <v>3412</v>
      </c>
      <c r="DD276" s="17">
        <f t="shared" si="1254"/>
        <v>517.83855759999994</v>
      </c>
      <c r="DE276" s="17">
        <f t="shared" si="1255"/>
        <v>17496.000000000007</v>
      </c>
      <c r="DF276" s="17">
        <f t="shared" si="1256"/>
        <v>-6370.4468481638405</v>
      </c>
      <c r="DG276" s="17"/>
      <c r="DH276" s="17">
        <f t="shared" si="1257"/>
        <v>-10514.941939202587</v>
      </c>
      <c r="DI276" s="17">
        <f t="shared" si="1258"/>
        <v>-29573.274204007277</v>
      </c>
      <c r="DJ276" s="17">
        <f t="shared" si="1259"/>
        <v>-3589.2960570569112</v>
      </c>
      <c r="DK276" s="17">
        <f t="shared" si="1260"/>
        <v>5353.1764759348434</v>
      </c>
      <c r="DL276" s="17">
        <f t="shared" si="1261"/>
        <v>-18385.503650563835</v>
      </c>
      <c r="DM276" s="17">
        <f t="shared" si="1262"/>
        <v>-38324.335724331933</v>
      </c>
      <c r="DN276" s="17">
        <f t="shared" si="1263"/>
        <v>-56709.839374895768</v>
      </c>
    </row>
    <row r="277" spans="3:120" ht="18.600000000000001">
      <c r="C277" s="13">
        <f>IF(D277&lt;&gt;"",COUNTA($D$10:D277),"")</f>
        <v>229</v>
      </c>
      <c r="D277" s="14" t="s">
        <v>207</v>
      </c>
      <c r="E277" s="14">
        <v>1.9</v>
      </c>
      <c r="F277" s="14">
        <v>2.4</v>
      </c>
      <c r="G277" s="14">
        <v>2.4</v>
      </c>
      <c r="H277" s="14">
        <v>3</v>
      </c>
      <c r="I277" s="14">
        <v>2</v>
      </c>
      <c r="J277" s="14">
        <v>1.75</v>
      </c>
      <c r="K277" s="14">
        <v>3</v>
      </c>
      <c r="L277" s="15">
        <v>0.1</v>
      </c>
      <c r="M277" s="15">
        <v>0</v>
      </c>
      <c r="N277" s="14">
        <v>24</v>
      </c>
      <c r="O277" s="14">
        <v>50</v>
      </c>
      <c r="P277" s="13">
        <v>45</v>
      </c>
      <c r="Q277" s="13">
        <v>85</v>
      </c>
      <c r="R277" s="13" t="s">
        <v>17</v>
      </c>
      <c r="S277" s="13">
        <v>120</v>
      </c>
      <c r="T277" s="13">
        <v>0</v>
      </c>
      <c r="U277" s="13">
        <v>100</v>
      </c>
      <c r="V277" s="13" t="str">
        <f t="shared" si="1188"/>
        <v>ISO 6</v>
      </c>
      <c r="W277" s="13">
        <f t="shared" si="1189"/>
        <v>120</v>
      </c>
      <c r="X277" s="16">
        <f t="shared" si="1190"/>
        <v>49.065599999999996</v>
      </c>
      <c r="Y277" s="16">
        <f t="shared" si="1191"/>
        <v>386.24440319999997</v>
      </c>
      <c r="Z277" s="16">
        <f t="shared" si="1192"/>
        <v>772.48880639999993</v>
      </c>
      <c r="AA277" s="16">
        <f t="shared" si="1193"/>
        <v>77.248880639999996</v>
      </c>
      <c r="AB277" s="16">
        <f t="shared" si="1194"/>
        <v>0</v>
      </c>
      <c r="AC277" s="16">
        <f t="shared" si="1195"/>
        <v>7.1062873734080432</v>
      </c>
      <c r="AD277" s="16">
        <f t="shared" si="1196"/>
        <v>2500</v>
      </c>
      <c r="AE277" s="16">
        <f t="shared" si="1197"/>
        <v>2500</v>
      </c>
      <c r="AF277" s="16">
        <f t="shared" si="1198"/>
        <v>16</v>
      </c>
      <c r="AG277" s="16">
        <f t="shared" si="1199"/>
        <v>6.5</v>
      </c>
      <c r="AH277" s="838" t="s">
        <v>85</v>
      </c>
      <c r="AI277" s="17">
        <f t="shared" si="1200"/>
        <v>6</v>
      </c>
      <c r="AJ277" s="17">
        <f t="shared" si="1201"/>
        <v>6.5</v>
      </c>
      <c r="AK277" s="891"/>
      <c r="AL277" s="18"/>
      <c r="AM277" s="889"/>
      <c r="AN277" s="891"/>
      <c r="AO277" s="888"/>
      <c r="AP277" s="891"/>
      <c r="AQ277" s="891"/>
      <c r="AR277" s="889"/>
      <c r="AS277" s="888"/>
      <c r="AT277" s="888"/>
      <c r="AU277" s="890"/>
      <c r="AV277" s="888"/>
      <c r="AW277" s="888"/>
      <c r="AX277" s="888"/>
      <c r="AY277" s="887"/>
      <c r="AZ277" s="888"/>
      <c r="BA277" s="17">
        <f t="shared" si="1202"/>
        <v>14.399999999999991</v>
      </c>
      <c r="BB277" s="17">
        <f t="shared" si="1203"/>
        <v>37.799999999999997</v>
      </c>
      <c r="BC277" s="17">
        <f t="shared" si="1204"/>
        <v>32</v>
      </c>
      <c r="BD277" s="17">
        <f t="shared" si="1205"/>
        <v>85</v>
      </c>
      <c r="BE277" s="17">
        <f t="shared" si="1206"/>
        <v>180.86341983910182</v>
      </c>
      <c r="BF277" s="17">
        <f t="shared" si="1207"/>
        <v>24</v>
      </c>
      <c r="BG277" s="17">
        <f t="shared" si="1208"/>
        <v>50</v>
      </c>
      <c r="BH277" s="17">
        <f t="shared" si="1209"/>
        <v>65.062647806544774</v>
      </c>
      <c r="BI277" s="17">
        <f t="shared" si="1210"/>
        <v>115.80077203255705</v>
      </c>
      <c r="BJ277" s="17">
        <f t="shared" si="1211"/>
        <v>45</v>
      </c>
      <c r="BK277" s="17">
        <f t="shared" si="1212"/>
        <v>85</v>
      </c>
      <c r="BL277" s="17">
        <f t="shared" si="1213"/>
        <v>380.54120080897206</v>
      </c>
      <c r="BM277" s="17">
        <f t="shared" si="1214"/>
        <v>24</v>
      </c>
      <c r="BN277" s="17">
        <f t="shared" si="1215"/>
        <v>50</v>
      </c>
      <c r="BO277" s="17">
        <f t="shared" si="1216"/>
        <v>65.062647806544774</v>
      </c>
      <c r="BP277" s="17">
        <f t="shared" si="1217"/>
        <v>315.4785530024273</v>
      </c>
      <c r="BQ277" s="17">
        <f t="shared" si="1218"/>
        <v>3777.6896639999995</v>
      </c>
      <c r="BR277" s="17">
        <f t="shared" si="1219"/>
        <v>1439.1198719999991</v>
      </c>
      <c r="BS277" s="17">
        <f t="shared" si="1220"/>
        <v>317.94508799999977</v>
      </c>
      <c r="BT277" s="17">
        <f t="shared" si="1221"/>
        <v>834.6058559999999</v>
      </c>
      <c r="BU277" s="17">
        <f t="shared" si="1222"/>
        <v>34904.520000000004</v>
      </c>
      <c r="BV277" s="17">
        <f t="shared" si="1223"/>
        <v>6824</v>
      </c>
      <c r="BW277" s="17">
        <f t="shared" si="1224"/>
        <v>292.97069759999994</v>
      </c>
      <c r="BX277" s="17">
        <f t="shared" si="1225"/>
        <v>17495.999999999989</v>
      </c>
      <c r="BY277" s="17">
        <f t="shared" si="1226"/>
        <v>3153.6083032473598</v>
      </c>
      <c r="BZ277" s="17"/>
      <c r="CA277" s="17">
        <f t="shared" si="1227"/>
        <v>128715.24962499036</v>
      </c>
      <c r="CB277" s="17">
        <f t="shared" si="1228"/>
        <v>241341.0930468569</v>
      </c>
      <c r="CC277" s="17">
        <f t="shared" si="1229"/>
        <v>16571.848258047805</v>
      </c>
      <c r="CD277" s="17">
        <f t="shared" si="1230"/>
        <v>149146.63432243024</v>
      </c>
      <c r="CE277" s="17">
        <f t="shared" si="1231"/>
        <v>66448.78866484735</v>
      </c>
      <c r="CF277" s="17">
        <f t="shared" si="1232"/>
        <v>535774.82525232527</v>
      </c>
      <c r="CG277" s="17">
        <f t="shared" si="1233"/>
        <v>602223.61391717265</v>
      </c>
      <c r="CH277" s="17">
        <f t="shared" si="1234"/>
        <v>14.400000000000006</v>
      </c>
      <c r="CI277" s="17">
        <f t="shared" si="1235"/>
        <v>-43.2</v>
      </c>
      <c r="CJ277" s="17">
        <f t="shared" si="1236"/>
        <v>16</v>
      </c>
      <c r="CK277" s="17">
        <f t="shared" si="1237"/>
        <v>90</v>
      </c>
      <c r="CL277" s="17">
        <f t="shared" si="1238"/>
        <v>71.46880726181422</v>
      </c>
      <c r="CM277" s="17">
        <f t="shared" si="1239"/>
        <v>24</v>
      </c>
      <c r="CN277" s="17">
        <f t="shared" si="1240"/>
        <v>50</v>
      </c>
      <c r="CO277" s="17">
        <f t="shared" si="1241"/>
        <v>65.062647806544774</v>
      </c>
      <c r="CP277" s="17">
        <f t="shared" si="1242"/>
        <v>6.4061594552694459</v>
      </c>
      <c r="CQ277" s="17">
        <f t="shared" si="1243"/>
        <v>0</v>
      </c>
      <c r="CR277" s="17">
        <f t="shared" si="1244"/>
        <v>100</v>
      </c>
      <c r="CS277" s="17">
        <f t="shared" si="1245"/>
        <v>26.404773030064671</v>
      </c>
      <c r="CT277" s="17">
        <f t="shared" si="1246"/>
        <v>24</v>
      </c>
      <c r="CU277" s="17">
        <f t="shared" si="1247"/>
        <v>50</v>
      </c>
      <c r="CV277" s="17">
        <f t="shared" si="1248"/>
        <v>65.062647806544774</v>
      </c>
      <c r="CW277" s="17">
        <f t="shared" si="1249"/>
        <v>-38.657874776480099</v>
      </c>
      <c r="CX277" s="17">
        <f t="shared" si="1187"/>
        <v>-4317.3596159999997</v>
      </c>
      <c r="CY277" s="17">
        <f t="shared" si="1187"/>
        <v>-4317.3596159999997</v>
      </c>
      <c r="CZ277" s="17">
        <f t="shared" si="1250"/>
        <v>317.94508800000011</v>
      </c>
      <c r="DA277" s="17">
        <f t="shared" si="1251"/>
        <v>-953.83526399999994</v>
      </c>
      <c r="DB277" s="17">
        <f t="shared" si="1252"/>
        <v>-39890.880000000005</v>
      </c>
      <c r="DC277" s="17">
        <f t="shared" si="1253"/>
        <v>6824</v>
      </c>
      <c r="DD277" s="17">
        <f t="shared" si="1254"/>
        <v>292.97069759999994</v>
      </c>
      <c r="DE277" s="17">
        <f t="shared" si="1255"/>
        <v>17496.000000000007</v>
      </c>
      <c r="DF277" s="17">
        <f t="shared" si="1256"/>
        <v>-3604.1237751398403</v>
      </c>
      <c r="DG277" s="17"/>
      <c r="DH277" s="17">
        <f t="shared" si="1257"/>
        <v>-15772.412908803883</v>
      </c>
      <c r="DI277" s="17">
        <f t="shared" si="1258"/>
        <v>-29573.274204007277</v>
      </c>
      <c r="DJ277" s="17">
        <f t="shared" si="1259"/>
        <v>-2030.6687369949768</v>
      </c>
      <c r="DK277" s="17">
        <f t="shared" si="1260"/>
        <v>3028.5961203800107</v>
      </c>
      <c r="DL277" s="17">
        <f t="shared" si="1261"/>
        <v>-23835.282869539838</v>
      </c>
      <c r="DM277" s="17">
        <f t="shared" si="1262"/>
        <v>-44347.759729426129</v>
      </c>
      <c r="DN277" s="17">
        <f t="shared" si="1263"/>
        <v>-68183.042598965971</v>
      </c>
    </row>
    <row r="278" spans="3:120" ht="18.600000000000001">
      <c r="C278" s="13">
        <f>IF(D278&lt;&gt;"",COUNTA($D$10:D278),"")</f>
        <v>230</v>
      </c>
      <c r="D278" s="14" t="s">
        <v>208</v>
      </c>
      <c r="E278" s="14">
        <v>3</v>
      </c>
      <c r="F278" s="14">
        <v>2.9</v>
      </c>
      <c r="G278" s="14">
        <v>2.4</v>
      </c>
      <c r="H278" s="14">
        <v>2</v>
      </c>
      <c r="I278" s="14">
        <v>1</v>
      </c>
      <c r="J278" s="14">
        <v>1.75</v>
      </c>
      <c r="K278" s="14">
        <v>3</v>
      </c>
      <c r="L278" s="15">
        <v>0.1</v>
      </c>
      <c r="M278" s="15">
        <v>0</v>
      </c>
      <c r="N278" s="14">
        <v>24</v>
      </c>
      <c r="O278" s="14">
        <v>50</v>
      </c>
      <c r="P278" s="13">
        <v>45</v>
      </c>
      <c r="Q278" s="13">
        <v>85</v>
      </c>
      <c r="R278" s="13" t="s">
        <v>17</v>
      </c>
      <c r="S278" s="13">
        <v>120</v>
      </c>
      <c r="T278" s="13">
        <v>0</v>
      </c>
      <c r="U278" s="13">
        <v>100</v>
      </c>
      <c r="V278" s="13" t="str">
        <f t="shared" si="1188"/>
        <v>ISO 6</v>
      </c>
      <c r="W278" s="13">
        <f t="shared" si="1189"/>
        <v>120</v>
      </c>
      <c r="X278" s="16">
        <f t="shared" si="1190"/>
        <v>93.611999999999995</v>
      </c>
      <c r="Y278" s="16">
        <f t="shared" si="1191"/>
        <v>736.91366399999993</v>
      </c>
      <c r="Z278" s="16">
        <f t="shared" si="1192"/>
        <v>1473.8273279999999</v>
      </c>
      <c r="AA278" s="16">
        <f t="shared" si="1193"/>
        <v>147.38273279999999</v>
      </c>
      <c r="AB278" s="16">
        <f t="shared" si="1194"/>
        <v>0</v>
      </c>
      <c r="AC278" s="16">
        <f t="shared" si="1195"/>
        <v>13.558048278212716</v>
      </c>
      <c r="AD278" s="16">
        <f>IF(ISNUMBER(N278), CEILING(CF278/(0.68*BP278),25), "Ambient")</f>
        <v>3000</v>
      </c>
      <c r="AE278" s="16">
        <f t="shared" si="1197"/>
        <v>3000</v>
      </c>
      <c r="AF278" s="16">
        <f t="shared" si="1198"/>
        <v>18</v>
      </c>
      <c r="AG278" s="16">
        <f t="shared" si="1199"/>
        <v>7.5</v>
      </c>
      <c r="AH278" s="838" t="s">
        <v>85</v>
      </c>
      <c r="AI278" s="17">
        <f t="shared" si="1200"/>
        <v>5</v>
      </c>
      <c r="AJ278" s="17">
        <f t="shared" si="1201"/>
        <v>7.5</v>
      </c>
      <c r="AK278" s="891"/>
      <c r="AL278" s="18"/>
      <c r="AM278" s="889"/>
      <c r="AN278" s="891"/>
      <c r="AO278" s="888"/>
      <c r="AP278" s="891"/>
      <c r="AQ278" s="891"/>
      <c r="AR278" s="889"/>
      <c r="AS278" s="888"/>
      <c r="AT278" s="888"/>
      <c r="AU278" s="890"/>
      <c r="AV278" s="888"/>
      <c r="AW278" s="888"/>
      <c r="AX278" s="888"/>
      <c r="AY278" s="887"/>
      <c r="AZ278" s="888"/>
      <c r="BA278" s="17">
        <f t="shared" si="1202"/>
        <v>14.399999999999991</v>
      </c>
      <c r="BB278" s="17">
        <f t="shared" si="1203"/>
        <v>37.799999999999997</v>
      </c>
      <c r="BC278" s="17">
        <f t="shared" si="1204"/>
        <v>32</v>
      </c>
      <c r="BD278" s="17">
        <f t="shared" si="1205"/>
        <v>85</v>
      </c>
      <c r="BE278" s="17">
        <f t="shared" si="1206"/>
        <v>180.86341983910182</v>
      </c>
      <c r="BF278" s="17">
        <f t="shared" si="1207"/>
        <v>24</v>
      </c>
      <c r="BG278" s="17">
        <f t="shared" si="1208"/>
        <v>50</v>
      </c>
      <c r="BH278" s="17">
        <f t="shared" si="1209"/>
        <v>65.062647806544774</v>
      </c>
      <c r="BI278" s="17">
        <f t="shared" si="1210"/>
        <v>115.80077203255705</v>
      </c>
      <c r="BJ278" s="17">
        <f t="shared" si="1211"/>
        <v>45</v>
      </c>
      <c r="BK278" s="17">
        <f t="shared" si="1212"/>
        <v>85</v>
      </c>
      <c r="BL278" s="17">
        <f t="shared" si="1213"/>
        <v>380.54120080897206</v>
      </c>
      <c r="BM278" s="17">
        <f t="shared" si="1214"/>
        <v>24</v>
      </c>
      <c r="BN278" s="17">
        <f t="shared" si="1215"/>
        <v>50</v>
      </c>
      <c r="BO278" s="17">
        <f t="shared" si="1216"/>
        <v>65.062647806544774</v>
      </c>
      <c r="BP278" s="17">
        <f t="shared" si="1217"/>
        <v>315.4785530024273</v>
      </c>
      <c r="BQ278" s="17">
        <f t="shared" si="1218"/>
        <v>5183.3416319999997</v>
      </c>
      <c r="BR278" s="17">
        <f t="shared" si="1219"/>
        <v>1974.6063359999991</v>
      </c>
      <c r="BS278" s="17">
        <f t="shared" si="1220"/>
        <v>606.60575999999958</v>
      </c>
      <c r="BT278" s="17">
        <f t="shared" si="1221"/>
        <v>1592.3401199999998</v>
      </c>
      <c r="BU278" s="17">
        <f t="shared" si="1222"/>
        <v>23269.68</v>
      </c>
      <c r="BV278" s="17">
        <f t="shared" si="1223"/>
        <v>3412</v>
      </c>
      <c r="BW278" s="17">
        <f t="shared" si="1224"/>
        <v>558.95725199999993</v>
      </c>
      <c r="BX278" s="17">
        <f t="shared" si="1225"/>
        <v>17495.999999999989</v>
      </c>
      <c r="BY278" s="17">
        <f t="shared" si="1226"/>
        <v>6016.7526838271997</v>
      </c>
      <c r="BZ278" s="17"/>
      <c r="CA278" s="17">
        <f t="shared" si="1227"/>
        <v>85810.166416660228</v>
      </c>
      <c r="CB278" s="17">
        <f t="shared" si="1228"/>
        <v>241341.0930468569</v>
      </c>
      <c r="CC278" s="17">
        <f t="shared" si="1229"/>
        <v>31617.34207127542</v>
      </c>
      <c r="CD278" s="17">
        <f t="shared" si="1230"/>
        <v>284556.07864147879</v>
      </c>
      <c r="CE278" s="17">
        <f t="shared" si="1231"/>
        <v>55936.731567827192</v>
      </c>
      <c r="CF278" s="17">
        <f t="shared" si="1232"/>
        <v>643324.68017627136</v>
      </c>
      <c r="CG278" s="17">
        <f t="shared" si="1233"/>
        <v>699261.41174409853</v>
      </c>
      <c r="CH278" s="17">
        <f t="shared" si="1234"/>
        <v>14.400000000000006</v>
      </c>
      <c r="CI278" s="17">
        <f t="shared" si="1235"/>
        <v>-43.2</v>
      </c>
      <c r="CJ278" s="17">
        <f t="shared" si="1236"/>
        <v>16</v>
      </c>
      <c r="CK278" s="17">
        <f t="shared" si="1237"/>
        <v>90</v>
      </c>
      <c r="CL278" s="17">
        <f t="shared" si="1238"/>
        <v>71.46880726181422</v>
      </c>
      <c r="CM278" s="17">
        <f t="shared" si="1239"/>
        <v>24</v>
      </c>
      <c r="CN278" s="17">
        <f t="shared" si="1240"/>
        <v>50</v>
      </c>
      <c r="CO278" s="17">
        <f t="shared" si="1241"/>
        <v>65.062647806544774</v>
      </c>
      <c r="CP278" s="17">
        <f t="shared" si="1242"/>
        <v>6.4061594552694459</v>
      </c>
      <c r="CQ278" s="17">
        <f t="shared" si="1243"/>
        <v>0</v>
      </c>
      <c r="CR278" s="17">
        <f t="shared" si="1244"/>
        <v>100</v>
      </c>
      <c r="CS278" s="17">
        <f t="shared" si="1245"/>
        <v>26.404773030064671</v>
      </c>
      <c r="CT278" s="17">
        <f t="shared" si="1246"/>
        <v>24</v>
      </c>
      <c r="CU278" s="17">
        <f t="shared" si="1247"/>
        <v>50</v>
      </c>
      <c r="CV278" s="17">
        <f t="shared" si="1248"/>
        <v>65.062647806544774</v>
      </c>
      <c r="CW278" s="17">
        <f t="shared" si="1249"/>
        <v>-38.657874776480099</v>
      </c>
      <c r="CX278" s="17">
        <f t="shared" si="1187"/>
        <v>-5923.8190080000013</v>
      </c>
      <c r="CY278" s="17">
        <f t="shared" si="1187"/>
        <v>-5923.8190080000013</v>
      </c>
      <c r="CZ278" s="17">
        <f t="shared" si="1250"/>
        <v>606.60576000000026</v>
      </c>
      <c r="DA278" s="17">
        <f t="shared" si="1251"/>
        <v>-1819.81728</v>
      </c>
      <c r="DB278" s="17">
        <f t="shared" si="1252"/>
        <v>-26593.920000000002</v>
      </c>
      <c r="DC278" s="17">
        <f t="shared" si="1253"/>
        <v>3412</v>
      </c>
      <c r="DD278" s="17">
        <f t="shared" si="1254"/>
        <v>558.95725199999993</v>
      </c>
      <c r="DE278" s="17">
        <f t="shared" si="1255"/>
        <v>17496.000000000007</v>
      </c>
      <c r="DF278" s="17">
        <f t="shared" si="1256"/>
        <v>-6876.2887815168006</v>
      </c>
      <c r="DG278" s="17"/>
      <c r="DH278" s="17">
        <f t="shared" si="1257"/>
        <v>-10514.941939202587</v>
      </c>
      <c r="DI278" s="17">
        <f t="shared" si="1258"/>
        <v>-29573.274204007277</v>
      </c>
      <c r="DJ278" s="17">
        <f t="shared" si="1259"/>
        <v>-3874.3021955825216</v>
      </c>
      <c r="DK278" s="17">
        <f t="shared" si="1260"/>
        <v>5778.2425980934422</v>
      </c>
      <c r="DL278" s="17">
        <f t="shared" si="1261"/>
        <v>-19140.282057516793</v>
      </c>
      <c r="DM278" s="17">
        <f t="shared" si="1262"/>
        <v>-38184.275740698948</v>
      </c>
      <c r="DN278" s="17">
        <f t="shared" si="1263"/>
        <v>-57324.557798215741</v>
      </c>
    </row>
    <row r="279" spans="3:120" ht="18.600000000000001">
      <c r="C279" s="13">
        <f>IF(D279&lt;&gt;"",COUNTA($D$10:D279),"")</f>
        <v>231</v>
      </c>
      <c r="D279" s="14" t="s">
        <v>209</v>
      </c>
      <c r="E279" s="14">
        <v>2.4</v>
      </c>
      <c r="F279" s="14">
        <v>2</v>
      </c>
      <c r="G279" s="14">
        <v>2.4</v>
      </c>
      <c r="H279" s="14">
        <v>2</v>
      </c>
      <c r="I279" s="14">
        <v>1</v>
      </c>
      <c r="J279" s="14">
        <v>1.75</v>
      </c>
      <c r="K279" s="14">
        <v>3</v>
      </c>
      <c r="L279" s="15">
        <v>0.1</v>
      </c>
      <c r="M279" s="15">
        <v>0</v>
      </c>
      <c r="N279" s="14">
        <v>24</v>
      </c>
      <c r="O279" s="14">
        <v>50</v>
      </c>
      <c r="P279" s="13">
        <v>45</v>
      </c>
      <c r="Q279" s="13">
        <v>85</v>
      </c>
      <c r="R279" s="13" t="s">
        <v>17</v>
      </c>
      <c r="S279" s="13">
        <v>120</v>
      </c>
      <c r="T279" s="13">
        <v>0</v>
      </c>
      <c r="U279" s="13">
        <v>100</v>
      </c>
      <c r="V279" s="13" t="str">
        <f t="shared" si="1188"/>
        <v>ISO 6</v>
      </c>
      <c r="W279" s="13">
        <f t="shared" si="1189"/>
        <v>120</v>
      </c>
      <c r="X279" s="16">
        <f t="shared" si="1190"/>
        <v>51.647999999999996</v>
      </c>
      <c r="Y279" s="16">
        <f t="shared" si="1191"/>
        <v>406.57305599999995</v>
      </c>
      <c r="Z279" s="16">
        <f t="shared" si="1192"/>
        <v>813.1461119999999</v>
      </c>
      <c r="AA279" s="16">
        <f t="shared" si="1193"/>
        <v>81.314611200000002</v>
      </c>
      <c r="AB279" s="16">
        <f t="shared" si="1194"/>
        <v>0</v>
      </c>
      <c r="AC279" s="16">
        <f t="shared" si="1195"/>
        <v>7.4803024983242565</v>
      </c>
      <c r="AD279" s="16">
        <f t="shared" ref="AD279:AD285" si="1264">IF(ISNUMBER(N279), CEILING(CF279/(0.68*BP279),25), "Ambient")</f>
        <v>2350</v>
      </c>
      <c r="AE279" s="16">
        <f t="shared" si="1197"/>
        <v>2350</v>
      </c>
      <c r="AF279" s="16">
        <f t="shared" si="1198"/>
        <v>14</v>
      </c>
      <c r="AG279" s="16">
        <f t="shared" si="1199"/>
        <v>6</v>
      </c>
      <c r="AH279" s="838" t="s">
        <v>85</v>
      </c>
      <c r="AI279" s="17">
        <f t="shared" si="1200"/>
        <v>4.5</v>
      </c>
      <c r="AJ279" s="17">
        <f t="shared" si="1201"/>
        <v>6</v>
      </c>
      <c r="AK279" s="891"/>
      <c r="AL279" s="174">
        <f>IF(AN270&lt;=315,1600,(IF(AN270=355,1650,(IF(AN270=400,1650,(IF(AN270=450,1700,(IF(AN270=500,1700,(IF(AN270=560,1800,(IF(AN270=630,2000,(IF(AN270=710,2200,2500)))))))))))))))+IF(AR270=2,1800,(IF(AR270=3,2300,(IF(AR270=4,3300,0)))))+IF(AP270&lt;=4,600,(IF(AP270&lt;=6,800,(IF(AP270&lt;=8,1000,1200)))))</f>
        <v>5400</v>
      </c>
      <c r="AM279" s="889"/>
      <c r="AN279" s="891"/>
      <c r="AO279" s="888"/>
      <c r="AP279" s="891"/>
      <c r="AQ279" s="891"/>
      <c r="AR279" s="889"/>
      <c r="AS279" s="888"/>
      <c r="AT279" s="888"/>
      <c r="AU279" s="890"/>
      <c r="AV279" s="888"/>
      <c r="AW279" s="888"/>
      <c r="AX279" s="888"/>
      <c r="AY279" s="887"/>
      <c r="AZ279" s="888"/>
      <c r="BA279" s="17">
        <f t="shared" si="1202"/>
        <v>14.399999999999991</v>
      </c>
      <c r="BB279" s="17">
        <f t="shared" si="1203"/>
        <v>37.799999999999997</v>
      </c>
      <c r="BC279" s="17">
        <f t="shared" si="1204"/>
        <v>32</v>
      </c>
      <c r="BD279" s="17">
        <f t="shared" si="1205"/>
        <v>85</v>
      </c>
      <c r="BE279" s="17">
        <f t="shared" si="1206"/>
        <v>180.86341983910182</v>
      </c>
      <c r="BF279" s="17">
        <f t="shared" si="1207"/>
        <v>24</v>
      </c>
      <c r="BG279" s="17">
        <f t="shared" si="1208"/>
        <v>50</v>
      </c>
      <c r="BH279" s="17">
        <f t="shared" si="1209"/>
        <v>65.062647806544774</v>
      </c>
      <c r="BI279" s="17">
        <f t="shared" si="1210"/>
        <v>115.80077203255705</v>
      </c>
      <c r="BJ279" s="17">
        <f t="shared" si="1211"/>
        <v>45</v>
      </c>
      <c r="BK279" s="17">
        <f t="shared" si="1212"/>
        <v>85</v>
      </c>
      <c r="BL279" s="17">
        <f t="shared" si="1213"/>
        <v>380.54120080897206</v>
      </c>
      <c r="BM279" s="17">
        <f t="shared" si="1214"/>
        <v>24</v>
      </c>
      <c r="BN279" s="17">
        <f t="shared" si="1215"/>
        <v>50</v>
      </c>
      <c r="BO279" s="17">
        <f t="shared" si="1216"/>
        <v>65.062647806544774</v>
      </c>
      <c r="BP279" s="17">
        <f t="shared" si="1217"/>
        <v>315.4785530024273</v>
      </c>
      <c r="BQ279" s="17">
        <f t="shared" si="1218"/>
        <v>3865.5429119999999</v>
      </c>
      <c r="BR279" s="17">
        <f t="shared" si="1219"/>
        <v>1472.5877759999992</v>
      </c>
      <c r="BS279" s="17">
        <f t="shared" si="1220"/>
        <v>334.67903999999976</v>
      </c>
      <c r="BT279" s="17">
        <f t="shared" si="1221"/>
        <v>878.53247999999996</v>
      </c>
      <c r="BU279" s="17">
        <f t="shared" si="1222"/>
        <v>23269.68</v>
      </c>
      <c r="BV279" s="17">
        <f t="shared" si="1223"/>
        <v>3412</v>
      </c>
      <c r="BW279" s="17">
        <f t="shared" si="1224"/>
        <v>308.39020799999997</v>
      </c>
      <c r="BX279" s="17">
        <f t="shared" si="1225"/>
        <v>17495.999999999989</v>
      </c>
      <c r="BY279" s="17">
        <f t="shared" si="1226"/>
        <v>3319.5876876287998</v>
      </c>
      <c r="BZ279" s="17"/>
      <c r="CA279" s="17">
        <f t="shared" si="1227"/>
        <v>85810.166416660228</v>
      </c>
      <c r="CB279" s="17">
        <f t="shared" si="1228"/>
        <v>241341.0930468569</v>
      </c>
      <c r="CC279" s="17">
        <f t="shared" si="1229"/>
        <v>17444.050797945059</v>
      </c>
      <c r="CD279" s="17">
        <f t="shared" si="1230"/>
        <v>156996.45718150554</v>
      </c>
      <c r="CE279" s="17">
        <f t="shared" si="1231"/>
        <v>51671.200807628797</v>
      </c>
      <c r="CF279" s="17">
        <f t="shared" si="1232"/>
        <v>501591.76744296774</v>
      </c>
      <c r="CG279" s="17">
        <f t="shared" si="1233"/>
        <v>553262.96825059655</v>
      </c>
      <c r="CH279" s="17">
        <f t="shared" si="1234"/>
        <v>14.400000000000006</v>
      </c>
      <c r="CI279" s="17">
        <f t="shared" si="1235"/>
        <v>-43.2</v>
      </c>
      <c r="CJ279" s="17">
        <f t="shared" si="1236"/>
        <v>16</v>
      </c>
      <c r="CK279" s="17">
        <f t="shared" si="1237"/>
        <v>90</v>
      </c>
      <c r="CL279" s="17">
        <f t="shared" si="1238"/>
        <v>71.46880726181422</v>
      </c>
      <c r="CM279" s="17">
        <f t="shared" si="1239"/>
        <v>24</v>
      </c>
      <c r="CN279" s="17">
        <f t="shared" si="1240"/>
        <v>50</v>
      </c>
      <c r="CO279" s="17">
        <f t="shared" si="1241"/>
        <v>65.062647806544774</v>
      </c>
      <c r="CP279" s="17">
        <f t="shared" si="1242"/>
        <v>6.4061594552694459</v>
      </c>
      <c r="CQ279" s="17">
        <f t="shared" si="1243"/>
        <v>0</v>
      </c>
      <c r="CR279" s="17">
        <f t="shared" si="1244"/>
        <v>100</v>
      </c>
      <c r="CS279" s="17">
        <f t="shared" si="1245"/>
        <v>26.404773030064671</v>
      </c>
      <c r="CT279" s="17">
        <f t="shared" si="1246"/>
        <v>24</v>
      </c>
      <c r="CU279" s="17">
        <f t="shared" si="1247"/>
        <v>50</v>
      </c>
      <c r="CV279" s="17">
        <f t="shared" si="1248"/>
        <v>65.062647806544774</v>
      </c>
      <c r="CW279" s="17">
        <f t="shared" si="1249"/>
        <v>-38.657874776480099</v>
      </c>
      <c r="CX279" s="17">
        <f t="shared" si="1187"/>
        <v>-4417.7633280000009</v>
      </c>
      <c r="CY279" s="17">
        <f t="shared" si="1187"/>
        <v>-4417.7633280000009</v>
      </c>
      <c r="CZ279" s="17">
        <f t="shared" si="1250"/>
        <v>334.67904000000016</v>
      </c>
      <c r="DA279" s="17">
        <f t="shared" si="1251"/>
        <v>-1004.0371200000001</v>
      </c>
      <c r="DB279" s="17">
        <f t="shared" si="1252"/>
        <v>-26593.920000000002</v>
      </c>
      <c r="DC279" s="17">
        <f t="shared" si="1253"/>
        <v>3412</v>
      </c>
      <c r="DD279" s="17">
        <f t="shared" si="1254"/>
        <v>308.39020799999997</v>
      </c>
      <c r="DE279" s="17">
        <f t="shared" si="1255"/>
        <v>17496.000000000007</v>
      </c>
      <c r="DF279" s="17">
        <f t="shared" si="1256"/>
        <v>-3793.8145001472003</v>
      </c>
      <c r="DG279" s="17"/>
      <c r="DH279" s="17">
        <f t="shared" si="1257"/>
        <v>-10514.941939202587</v>
      </c>
      <c r="DI279" s="17">
        <f t="shared" si="1258"/>
        <v>-29573.274204007277</v>
      </c>
      <c r="DJ279" s="17">
        <f t="shared" si="1259"/>
        <v>-2137.5460389420814</v>
      </c>
      <c r="DK279" s="17">
        <f t="shared" si="1260"/>
        <v>3187.9959161894853</v>
      </c>
      <c r="DL279" s="17">
        <f t="shared" si="1261"/>
        <v>-14258.465700147197</v>
      </c>
      <c r="DM279" s="17">
        <f t="shared" si="1262"/>
        <v>-39037.766265962462</v>
      </c>
      <c r="DN279" s="17">
        <f t="shared" si="1263"/>
        <v>-53296.231966109655</v>
      </c>
    </row>
    <row r="280" spans="3:120" ht="18.600000000000001">
      <c r="C280" s="13">
        <f>IF(D280&lt;&gt;"",COUNTA($D$10:D280),"")</f>
        <v>232</v>
      </c>
      <c r="D280" s="14" t="s">
        <v>210</v>
      </c>
      <c r="E280" s="14">
        <v>2.1</v>
      </c>
      <c r="F280" s="14">
        <v>1.8</v>
      </c>
      <c r="G280" s="14">
        <v>2.4</v>
      </c>
      <c r="H280" s="14">
        <v>2</v>
      </c>
      <c r="I280" s="14">
        <v>1</v>
      </c>
      <c r="J280" s="14">
        <v>1.75</v>
      </c>
      <c r="K280" s="14">
        <v>3</v>
      </c>
      <c r="L280" s="15">
        <v>0.1</v>
      </c>
      <c r="M280" s="15">
        <v>0</v>
      </c>
      <c r="N280" s="14">
        <v>24</v>
      </c>
      <c r="O280" s="14">
        <v>50</v>
      </c>
      <c r="P280" s="13">
        <v>45</v>
      </c>
      <c r="Q280" s="13">
        <v>85</v>
      </c>
      <c r="R280" s="13" t="s">
        <v>17</v>
      </c>
      <c r="S280" s="13">
        <v>120</v>
      </c>
      <c r="T280" s="13">
        <v>0</v>
      </c>
      <c r="U280" s="13">
        <v>100</v>
      </c>
      <c r="V280" s="13" t="str">
        <f t="shared" si="1188"/>
        <v>ISO 6</v>
      </c>
      <c r="W280" s="13">
        <f t="shared" si="1189"/>
        <v>120</v>
      </c>
      <c r="X280" s="16">
        <f t="shared" si="1190"/>
        <v>40.672800000000002</v>
      </c>
      <c r="Y280" s="16">
        <f t="shared" si="1191"/>
        <v>320.17628159999998</v>
      </c>
      <c r="Z280" s="16">
        <f t="shared" si="1192"/>
        <v>640.35256319999996</v>
      </c>
      <c r="AA280" s="16">
        <f t="shared" si="1193"/>
        <v>64.035256320000002</v>
      </c>
      <c r="AB280" s="16">
        <f t="shared" si="1194"/>
        <v>0</v>
      </c>
      <c r="AC280" s="16">
        <f t="shared" si="1195"/>
        <v>5.8907382174303526</v>
      </c>
      <c r="AD280" s="16">
        <f t="shared" si="1264"/>
        <v>2175</v>
      </c>
      <c r="AE280" s="16">
        <f t="shared" si="1197"/>
        <v>2175</v>
      </c>
      <c r="AF280" s="16">
        <f t="shared" si="1198"/>
        <v>14</v>
      </c>
      <c r="AG280" s="16">
        <f t="shared" si="1199"/>
        <v>5.5</v>
      </c>
      <c r="AH280" s="838" t="s">
        <v>85</v>
      </c>
      <c r="AI280" s="17">
        <f t="shared" si="1200"/>
        <v>4.5</v>
      </c>
      <c r="AJ280" s="17">
        <f t="shared" si="1201"/>
        <v>5.5</v>
      </c>
      <c r="AK280" s="891"/>
      <c r="AL280" s="18"/>
      <c r="AM280" s="889"/>
      <c r="AN280" s="891"/>
      <c r="AO280" s="888"/>
      <c r="AP280" s="891"/>
      <c r="AQ280" s="891"/>
      <c r="AR280" s="889"/>
      <c r="AS280" s="888"/>
      <c r="AT280" s="888"/>
      <c r="AU280" s="890"/>
      <c r="AV280" s="888"/>
      <c r="AW280" s="888"/>
      <c r="AX280" s="888"/>
      <c r="AY280" s="887"/>
      <c r="AZ280" s="888"/>
      <c r="BA280" s="17">
        <f t="shared" si="1202"/>
        <v>14.399999999999991</v>
      </c>
      <c r="BB280" s="17">
        <f t="shared" si="1203"/>
        <v>37.799999999999997</v>
      </c>
      <c r="BC280" s="17">
        <f t="shared" si="1204"/>
        <v>32</v>
      </c>
      <c r="BD280" s="17">
        <f t="shared" si="1205"/>
        <v>85</v>
      </c>
      <c r="BE280" s="17">
        <f t="shared" si="1206"/>
        <v>180.86341983910182</v>
      </c>
      <c r="BF280" s="17">
        <f t="shared" si="1207"/>
        <v>24</v>
      </c>
      <c r="BG280" s="17">
        <f t="shared" si="1208"/>
        <v>50</v>
      </c>
      <c r="BH280" s="17">
        <f t="shared" si="1209"/>
        <v>65.062647806544774</v>
      </c>
      <c r="BI280" s="17">
        <f t="shared" si="1210"/>
        <v>115.80077203255705</v>
      </c>
      <c r="BJ280" s="17">
        <f t="shared" si="1211"/>
        <v>45</v>
      </c>
      <c r="BK280" s="17">
        <f t="shared" si="1212"/>
        <v>85</v>
      </c>
      <c r="BL280" s="17">
        <f t="shared" si="1213"/>
        <v>380.54120080897206</v>
      </c>
      <c r="BM280" s="17">
        <f t="shared" si="1214"/>
        <v>24</v>
      </c>
      <c r="BN280" s="17">
        <f t="shared" si="1215"/>
        <v>50</v>
      </c>
      <c r="BO280" s="17">
        <f t="shared" si="1216"/>
        <v>65.062647806544774</v>
      </c>
      <c r="BP280" s="17">
        <f t="shared" si="1217"/>
        <v>315.4785530024273</v>
      </c>
      <c r="BQ280" s="17">
        <f t="shared" si="1218"/>
        <v>3426.2766719999995</v>
      </c>
      <c r="BR280" s="17">
        <f t="shared" si="1219"/>
        <v>1305.2482559999992</v>
      </c>
      <c r="BS280" s="17">
        <f t="shared" si="1220"/>
        <v>263.55974399999985</v>
      </c>
      <c r="BT280" s="17">
        <f t="shared" si="1221"/>
        <v>691.84432800000002</v>
      </c>
      <c r="BU280" s="17">
        <f t="shared" si="1222"/>
        <v>23269.68</v>
      </c>
      <c r="BV280" s="17">
        <f t="shared" si="1223"/>
        <v>3412</v>
      </c>
      <c r="BW280" s="17">
        <f t="shared" si="1224"/>
        <v>242.85728880000002</v>
      </c>
      <c r="BX280" s="17">
        <f t="shared" si="1225"/>
        <v>17495.999999999989</v>
      </c>
      <c r="BY280" s="17">
        <f t="shared" si="1226"/>
        <v>2614.1753040076801</v>
      </c>
      <c r="BZ280" s="17"/>
      <c r="CA280" s="17">
        <f t="shared" si="1227"/>
        <v>85810.166416660228</v>
      </c>
      <c r="CB280" s="17">
        <f t="shared" si="1228"/>
        <v>241341.0930468569</v>
      </c>
      <c r="CC280" s="17">
        <f t="shared" si="1229"/>
        <v>13737.190003381735</v>
      </c>
      <c r="CD280" s="17">
        <f t="shared" si="1230"/>
        <v>123634.7100304356</v>
      </c>
      <c r="CE280" s="17">
        <f t="shared" si="1231"/>
        <v>50460.989264807671</v>
      </c>
      <c r="CF280" s="17">
        <f t="shared" si="1232"/>
        <v>464523.15949733445</v>
      </c>
      <c r="CG280" s="17">
        <f t="shared" si="1233"/>
        <v>514984.14876214211</v>
      </c>
      <c r="CH280" s="17">
        <f t="shared" si="1234"/>
        <v>14.400000000000006</v>
      </c>
      <c r="CI280" s="17">
        <f t="shared" si="1235"/>
        <v>-43.2</v>
      </c>
      <c r="CJ280" s="17">
        <f t="shared" si="1236"/>
        <v>16</v>
      </c>
      <c r="CK280" s="17">
        <f t="shared" si="1237"/>
        <v>90</v>
      </c>
      <c r="CL280" s="17">
        <f t="shared" si="1238"/>
        <v>71.46880726181422</v>
      </c>
      <c r="CM280" s="17">
        <f t="shared" si="1239"/>
        <v>24</v>
      </c>
      <c r="CN280" s="17">
        <f t="shared" si="1240"/>
        <v>50</v>
      </c>
      <c r="CO280" s="17">
        <f t="shared" si="1241"/>
        <v>65.062647806544774</v>
      </c>
      <c r="CP280" s="17">
        <f t="shared" si="1242"/>
        <v>6.4061594552694459</v>
      </c>
      <c r="CQ280" s="17">
        <f t="shared" si="1243"/>
        <v>0</v>
      </c>
      <c r="CR280" s="17">
        <f t="shared" si="1244"/>
        <v>100</v>
      </c>
      <c r="CS280" s="17">
        <f t="shared" si="1245"/>
        <v>26.404773030064671</v>
      </c>
      <c r="CT280" s="17">
        <f t="shared" si="1246"/>
        <v>24</v>
      </c>
      <c r="CU280" s="17">
        <f t="shared" si="1247"/>
        <v>50</v>
      </c>
      <c r="CV280" s="17">
        <f t="shared" si="1248"/>
        <v>65.062647806544774</v>
      </c>
      <c r="CW280" s="17">
        <f t="shared" si="1249"/>
        <v>-38.657874776480099</v>
      </c>
      <c r="CX280" s="17">
        <f t="shared" si="1187"/>
        <v>-3915.744768</v>
      </c>
      <c r="CY280" s="17">
        <f t="shared" si="1187"/>
        <v>-3915.744768</v>
      </c>
      <c r="CZ280" s="17">
        <f t="shared" si="1250"/>
        <v>263.55974400000014</v>
      </c>
      <c r="DA280" s="17">
        <f t="shared" si="1251"/>
        <v>-790.67923200000007</v>
      </c>
      <c r="DB280" s="17">
        <f t="shared" si="1252"/>
        <v>-26593.920000000002</v>
      </c>
      <c r="DC280" s="17">
        <f t="shared" si="1253"/>
        <v>3412</v>
      </c>
      <c r="DD280" s="17">
        <f t="shared" si="1254"/>
        <v>242.85728880000002</v>
      </c>
      <c r="DE280" s="17">
        <f t="shared" si="1255"/>
        <v>17496.000000000007</v>
      </c>
      <c r="DF280" s="17">
        <f t="shared" si="1256"/>
        <v>-2987.6289188659202</v>
      </c>
      <c r="DG280" s="17"/>
      <c r="DH280" s="17">
        <f t="shared" si="1257"/>
        <v>-10514.941939202587</v>
      </c>
      <c r="DI280" s="17">
        <f t="shared" si="1258"/>
        <v>-29573.274204007277</v>
      </c>
      <c r="DJ280" s="17">
        <f t="shared" si="1259"/>
        <v>-1683.3175056668888</v>
      </c>
      <c r="DK280" s="17">
        <f t="shared" si="1260"/>
        <v>2510.5467839992198</v>
      </c>
      <c r="DL280" s="17">
        <f t="shared" si="1261"/>
        <v>-12873.555886065915</v>
      </c>
      <c r="DM280" s="17">
        <f t="shared" si="1262"/>
        <v>-39260.986864877537</v>
      </c>
      <c r="DN280" s="17">
        <f t="shared" si="1263"/>
        <v>-52134.542750943452</v>
      </c>
    </row>
    <row r="281" spans="3:120" ht="18.600000000000001">
      <c r="C281" s="13">
        <f>IF(D281&lt;&gt;"",COUNTA($D$10:D281),"")</f>
        <v>233</v>
      </c>
      <c r="D281" s="14" t="s">
        <v>211</v>
      </c>
      <c r="E281" s="14">
        <v>1.8</v>
      </c>
      <c r="F281" s="14">
        <v>1.9</v>
      </c>
      <c r="G281" s="14">
        <v>2.4</v>
      </c>
      <c r="H281" s="14">
        <v>2</v>
      </c>
      <c r="I281" s="14">
        <v>1</v>
      </c>
      <c r="J281" s="14">
        <v>1.75</v>
      </c>
      <c r="K281" s="14">
        <v>3</v>
      </c>
      <c r="L281" s="15">
        <v>0.1</v>
      </c>
      <c r="M281" s="15">
        <v>0</v>
      </c>
      <c r="N281" s="14">
        <v>24</v>
      </c>
      <c r="O281" s="14">
        <v>50</v>
      </c>
      <c r="P281" s="13">
        <v>45</v>
      </c>
      <c r="Q281" s="13">
        <v>85</v>
      </c>
      <c r="R281" s="13" t="s">
        <v>17</v>
      </c>
      <c r="S281" s="13">
        <v>120</v>
      </c>
      <c r="T281" s="13">
        <v>0</v>
      </c>
      <c r="U281" s="13">
        <v>100</v>
      </c>
      <c r="V281" s="13" t="str">
        <f t="shared" si="1188"/>
        <v>ISO 6</v>
      </c>
      <c r="W281" s="13">
        <f t="shared" si="1189"/>
        <v>120</v>
      </c>
      <c r="X281" s="16">
        <f t="shared" si="1190"/>
        <v>36.799199999999999</v>
      </c>
      <c r="Y281" s="16">
        <f t="shared" si="1191"/>
        <v>289.68330239999995</v>
      </c>
      <c r="Z281" s="16">
        <f t="shared" si="1192"/>
        <v>579.36660479999989</v>
      </c>
      <c r="AA281" s="16">
        <f t="shared" si="1193"/>
        <v>57.936660479999993</v>
      </c>
      <c r="AB281" s="16">
        <f t="shared" si="1194"/>
        <v>0</v>
      </c>
      <c r="AC281" s="16">
        <f t="shared" si="1195"/>
        <v>5.3297155300560322</v>
      </c>
      <c r="AD281" s="16">
        <f t="shared" si="1264"/>
        <v>2125</v>
      </c>
      <c r="AE281" s="16">
        <f t="shared" si="1197"/>
        <v>2125</v>
      </c>
      <c r="AF281" s="16">
        <f t="shared" si="1198"/>
        <v>14</v>
      </c>
      <c r="AG281" s="16">
        <f t="shared" si="1199"/>
        <v>5.5</v>
      </c>
      <c r="AH281" s="838" t="s">
        <v>85</v>
      </c>
      <c r="AI281" s="17">
        <f t="shared" si="1200"/>
        <v>4.5</v>
      </c>
      <c r="AJ281" s="17">
        <f t="shared" si="1201"/>
        <v>5.5</v>
      </c>
      <c r="AK281" s="891"/>
      <c r="AL281" s="18"/>
      <c r="AM281" s="889"/>
      <c r="AN281" s="891"/>
      <c r="AO281" s="888"/>
      <c r="AP281" s="891"/>
      <c r="AQ281" s="891"/>
      <c r="AR281" s="889"/>
      <c r="AS281" s="888"/>
      <c r="AT281" s="888"/>
      <c r="AU281" s="890"/>
      <c r="AV281" s="888"/>
      <c r="AW281" s="888"/>
      <c r="AX281" s="888"/>
      <c r="AY281" s="887"/>
      <c r="AZ281" s="888"/>
      <c r="BA281" s="17">
        <f t="shared" si="1202"/>
        <v>14.399999999999991</v>
      </c>
      <c r="BB281" s="17">
        <f t="shared" si="1203"/>
        <v>37.799999999999997</v>
      </c>
      <c r="BC281" s="17">
        <f t="shared" si="1204"/>
        <v>32</v>
      </c>
      <c r="BD281" s="17">
        <f t="shared" si="1205"/>
        <v>85</v>
      </c>
      <c r="BE281" s="17">
        <f t="shared" si="1206"/>
        <v>180.86341983910182</v>
      </c>
      <c r="BF281" s="17">
        <f t="shared" si="1207"/>
        <v>24</v>
      </c>
      <c r="BG281" s="17">
        <f t="shared" si="1208"/>
        <v>50</v>
      </c>
      <c r="BH281" s="17">
        <f t="shared" si="1209"/>
        <v>65.062647806544774</v>
      </c>
      <c r="BI281" s="17">
        <f t="shared" si="1210"/>
        <v>115.80077203255705</v>
      </c>
      <c r="BJ281" s="17">
        <f t="shared" si="1211"/>
        <v>45</v>
      </c>
      <c r="BK281" s="17">
        <f t="shared" si="1212"/>
        <v>85</v>
      </c>
      <c r="BL281" s="17">
        <f t="shared" si="1213"/>
        <v>380.54120080897206</v>
      </c>
      <c r="BM281" s="17">
        <f t="shared" si="1214"/>
        <v>24</v>
      </c>
      <c r="BN281" s="17">
        <f t="shared" si="1215"/>
        <v>50</v>
      </c>
      <c r="BO281" s="17">
        <f t="shared" si="1216"/>
        <v>65.062647806544774</v>
      </c>
      <c r="BP281" s="17">
        <f t="shared" si="1217"/>
        <v>315.4785530024273</v>
      </c>
      <c r="BQ281" s="17">
        <f t="shared" si="1218"/>
        <v>3250.5701760000002</v>
      </c>
      <c r="BR281" s="17">
        <f t="shared" si="1219"/>
        <v>1238.3124479999992</v>
      </c>
      <c r="BS281" s="17">
        <f t="shared" si="1220"/>
        <v>238.45881599999987</v>
      </c>
      <c r="BT281" s="17">
        <f t="shared" si="1221"/>
        <v>625.95439199999998</v>
      </c>
      <c r="BU281" s="17">
        <f t="shared" si="1222"/>
        <v>23269.68</v>
      </c>
      <c r="BV281" s="17">
        <f t="shared" si="1223"/>
        <v>3412</v>
      </c>
      <c r="BW281" s="17">
        <f t="shared" si="1224"/>
        <v>219.7280232</v>
      </c>
      <c r="BX281" s="17">
        <f t="shared" si="1225"/>
        <v>17495.999999999989</v>
      </c>
      <c r="BY281" s="17">
        <f t="shared" si="1226"/>
        <v>2365.2062274355198</v>
      </c>
      <c r="BZ281" s="17"/>
      <c r="CA281" s="17">
        <f t="shared" si="1227"/>
        <v>85810.166416660228</v>
      </c>
      <c r="CB281" s="17">
        <f t="shared" si="1228"/>
        <v>241341.0930468569</v>
      </c>
      <c r="CC281" s="17">
        <f t="shared" si="1229"/>
        <v>12428.886193535853</v>
      </c>
      <c r="CD281" s="17">
        <f t="shared" si="1230"/>
        <v>111859.97574182268</v>
      </c>
      <c r="CE281" s="17">
        <f t="shared" si="1231"/>
        <v>50013.184426635511</v>
      </c>
      <c r="CF281" s="17">
        <f t="shared" si="1232"/>
        <v>451440.12139887566</v>
      </c>
      <c r="CG281" s="17">
        <f t="shared" si="1233"/>
        <v>501453.30582551117</v>
      </c>
      <c r="CH281" s="17">
        <f t="shared" si="1234"/>
        <v>14.400000000000006</v>
      </c>
      <c r="CI281" s="17">
        <f t="shared" si="1235"/>
        <v>-43.2</v>
      </c>
      <c r="CJ281" s="17">
        <f t="shared" si="1236"/>
        <v>16</v>
      </c>
      <c r="CK281" s="17">
        <f t="shared" si="1237"/>
        <v>90</v>
      </c>
      <c r="CL281" s="17">
        <f t="shared" si="1238"/>
        <v>71.46880726181422</v>
      </c>
      <c r="CM281" s="17">
        <f t="shared" si="1239"/>
        <v>24</v>
      </c>
      <c r="CN281" s="17">
        <f t="shared" si="1240"/>
        <v>50</v>
      </c>
      <c r="CO281" s="17">
        <f t="shared" si="1241"/>
        <v>65.062647806544774</v>
      </c>
      <c r="CP281" s="17">
        <f t="shared" si="1242"/>
        <v>6.4061594552694459</v>
      </c>
      <c r="CQ281" s="17">
        <f t="shared" si="1243"/>
        <v>0</v>
      </c>
      <c r="CR281" s="17">
        <f t="shared" si="1244"/>
        <v>100</v>
      </c>
      <c r="CS281" s="17">
        <f t="shared" si="1245"/>
        <v>26.404773030064671</v>
      </c>
      <c r="CT281" s="17">
        <f t="shared" si="1246"/>
        <v>24</v>
      </c>
      <c r="CU281" s="17">
        <f t="shared" si="1247"/>
        <v>50</v>
      </c>
      <c r="CV281" s="17">
        <f t="shared" si="1248"/>
        <v>65.062647806544774</v>
      </c>
      <c r="CW281" s="17">
        <f t="shared" si="1249"/>
        <v>-38.657874776480099</v>
      </c>
      <c r="CX281" s="17">
        <f t="shared" si="1187"/>
        <v>-3714.9373440000004</v>
      </c>
      <c r="CY281" s="17">
        <f t="shared" si="1187"/>
        <v>-3714.9373440000004</v>
      </c>
      <c r="CZ281" s="17">
        <f t="shared" si="1250"/>
        <v>238.45881600000007</v>
      </c>
      <c r="DA281" s="17">
        <f t="shared" si="1251"/>
        <v>-715.3764480000001</v>
      </c>
      <c r="DB281" s="17">
        <f t="shared" si="1252"/>
        <v>-26593.920000000002</v>
      </c>
      <c r="DC281" s="17">
        <f t="shared" si="1253"/>
        <v>3412</v>
      </c>
      <c r="DD281" s="17">
        <f t="shared" si="1254"/>
        <v>219.7280232</v>
      </c>
      <c r="DE281" s="17">
        <f t="shared" si="1255"/>
        <v>17496.000000000007</v>
      </c>
      <c r="DF281" s="17">
        <f t="shared" si="1256"/>
        <v>-2703.0928313548802</v>
      </c>
      <c r="DG281" s="17"/>
      <c r="DH281" s="17">
        <f t="shared" si="1257"/>
        <v>-10514.941939202587</v>
      </c>
      <c r="DI281" s="17">
        <f t="shared" si="1258"/>
        <v>-29573.274204007277</v>
      </c>
      <c r="DJ281" s="17">
        <f t="shared" si="1259"/>
        <v>-1523.0015527462326</v>
      </c>
      <c r="DK281" s="17">
        <f t="shared" si="1260"/>
        <v>2271.447090285008</v>
      </c>
      <c r="DL281" s="17">
        <f t="shared" si="1261"/>
        <v>-12361.139784154871</v>
      </c>
      <c r="DM281" s="17">
        <f t="shared" si="1262"/>
        <v>-39339.770605671089</v>
      </c>
      <c r="DN281" s="17">
        <f t="shared" si="1263"/>
        <v>-51700.910389825964</v>
      </c>
    </row>
    <row r="282" spans="3:120" ht="18.600000000000001">
      <c r="C282" s="13">
        <f>IF(D282&lt;&gt;"",COUNTA($D$10:D282),"")</f>
        <v>234</v>
      </c>
      <c r="D282" s="14" t="s">
        <v>212</v>
      </c>
      <c r="E282" s="14">
        <v>1.9</v>
      </c>
      <c r="F282" s="14">
        <v>2</v>
      </c>
      <c r="G282" s="14">
        <v>2.4</v>
      </c>
      <c r="H282" s="14">
        <v>2</v>
      </c>
      <c r="I282" s="14">
        <v>1</v>
      </c>
      <c r="J282" s="14">
        <v>1.75</v>
      </c>
      <c r="K282" s="14">
        <v>3</v>
      </c>
      <c r="L282" s="15">
        <v>0.1</v>
      </c>
      <c r="M282" s="15">
        <v>0</v>
      </c>
      <c r="N282" s="14">
        <v>24</v>
      </c>
      <c r="O282" s="14">
        <v>50</v>
      </c>
      <c r="P282" s="13">
        <v>45</v>
      </c>
      <c r="Q282" s="13">
        <v>85</v>
      </c>
      <c r="R282" s="13" t="s">
        <v>17</v>
      </c>
      <c r="S282" s="13">
        <v>120</v>
      </c>
      <c r="T282" s="13">
        <v>0</v>
      </c>
      <c r="U282" s="13">
        <v>100</v>
      </c>
      <c r="V282" s="13" t="str">
        <f t="shared" si="1188"/>
        <v>ISO 6</v>
      </c>
      <c r="W282" s="13">
        <f t="shared" si="1189"/>
        <v>120</v>
      </c>
      <c r="X282" s="16">
        <f t="shared" si="1190"/>
        <v>40.887999999999998</v>
      </c>
      <c r="Y282" s="16">
        <f t="shared" si="1191"/>
        <v>321.87033599999995</v>
      </c>
      <c r="Z282" s="16">
        <f t="shared" si="1192"/>
        <v>643.7406719999999</v>
      </c>
      <c r="AA282" s="16">
        <f t="shared" si="1193"/>
        <v>64.374067199999999</v>
      </c>
      <c r="AB282" s="16">
        <f t="shared" si="1194"/>
        <v>0</v>
      </c>
      <c r="AC282" s="16">
        <f t="shared" si="1195"/>
        <v>5.9219061445067043</v>
      </c>
      <c r="AD282" s="16">
        <f t="shared" si="1264"/>
        <v>2175</v>
      </c>
      <c r="AE282" s="16">
        <f t="shared" si="1197"/>
        <v>2175</v>
      </c>
      <c r="AF282" s="16">
        <f t="shared" si="1198"/>
        <v>14</v>
      </c>
      <c r="AG282" s="16">
        <f t="shared" si="1199"/>
        <v>5.5</v>
      </c>
      <c r="AH282" s="838" t="s">
        <v>85</v>
      </c>
      <c r="AI282" s="17">
        <f t="shared" si="1200"/>
        <v>4.5</v>
      </c>
      <c r="AJ282" s="17">
        <f t="shared" si="1201"/>
        <v>5.5</v>
      </c>
      <c r="AK282" s="891"/>
      <c r="AL282" s="18"/>
      <c r="AM282" s="889"/>
      <c r="AN282" s="891"/>
      <c r="AO282" s="888"/>
      <c r="AP282" s="891"/>
      <c r="AQ282" s="891"/>
      <c r="AR282" s="889"/>
      <c r="AS282" s="888"/>
      <c r="AT282" s="888"/>
      <c r="AU282" s="890"/>
      <c r="AV282" s="888"/>
      <c r="AW282" s="888"/>
      <c r="AX282" s="888"/>
      <c r="AY282" s="887"/>
      <c r="AZ282" s="888"/>
      <c r="BA282" s="17">
        <f t="shared" si="1202"/>
        <v>14.399999999999991</v>
      </c>
      <c r="BB282" s="17">
        <f t="shared" si="1203"/>
        <v>37.799999999999997</v>
      </c>
      <c r="BC282" s="17">
        <f t="shared" si="1204"/>
        <v>32</v>
      </c>
      <c r="BD282" s="17">
        <f t="shared" si="1205"/>
        <v>85</v>
      </c>
      <c r="BE282" s="17">
        <f t="shared" si="1206"/>
        <v>180.86341983910182</v>
      </c>
      <c r="BF282" s="17">
        <f t="shared" si="1207"/>
        <v>24</v>
      </c>
      <c r="BG282" s="17">
        <f t="shared" si="1208"/>
        <v>50</v>
      </c>
      <c r="BH282" s="17">
        <f t="shared" si="1209"/>
        <v>65.062647806544774</v>
      </c>
      <c r="BI282" s="17">
        <f t="shared" si="1210"/>
        <v>115.80077203255705</v>
      </c>
      <c r="BJ282" s="17">
        <f t="shared" si="1211"/>
        <v>45</v>
      </c>
      <c r="BK282" s="17">
        <f t="shared" si="1212"/>
        <v>85</v>
      </c>
      <c r="BL282" s="17">
        <f t="shared" si="1213"/>
        <v>380.54120080897206</v>
      </c>
      <c r="BM282" s="17">
        <f t="shared" si="1214"/>
        <v>24</v>
      </c>
      <c r="BN282" s="17">
        <f t="shared" si="1215"/>
        <v>50</v>
      </c>
      <c r="BO282" s="17">
        <f t="shared" si="1216"/>
        <v>65.062647806544774</v>
      </c>
      <c r="BP282" s="17">
        <f t="shared" si="1217"/>
        <v>315.4785530024273</v>
      </c>
      <c r="BQ282" s="17">
        <f t="shared" si="1218"/>
        <v>3426.2766719999991</v>
      </c>
      <c r="BR282" s="17">
        <f t="shared" si="1219"/>
        <v>1305.2482559999989</v>
      </c>
      <c r="BS282" s="17">
        <f t="shared" si="1220"/>
        <v>264.95423999999986</v>
      </c>
      <c r="BT282" s="17">
        <f t="shared" si="1221"/>
        <v>695.50487999999984</v>
      </c>
      <c r="BU282" s="17">
        <f t="shared" si="1222"/>
        <v>23269.68</v>
      </c>
      <c r="BV282" s="17">
        <f t="shared" si="1223"/>
        <v>3412</v>
      </c>
      <c r="BW282" s="17">
        <f t="shared" si="1224"/>
        <v>244.142248</v>
      </c>
      <c r="BX282" s="17">
        <f t="shared" si="1225"/>
        <v>17495.999999999989</v>
      </c>
      <c r="BY282" s="17">
        <f t="shared" si="1226"/>
        <v>2628.0069193727995</v>
      </c>
      <c r="BZ282" s="17"/>
      <c r="CA282" s="17">
        <f t="shared" si="1227"/>
        <v>85810.166416660228</v>
      </c>
      <c r="CB282" s="17">
        <f t="shared" si="1228"/>
        <v>241341.0930468569</v>
      </c>
      <c r="CC282" s="17">
        <f t="shared" si="1229"/>
        <v>13809.873548373173</v>
      </c>
      <c r="CD282" s="17">
        <f t="shared" si="1230"/>
        <v>124288.86193535852</v>
      </c>
      <c r="CE282" s="17">
        <f t="shared" si="1231"/>
        <v>50476.105839372787</v>
      </c>
      <c r="CF282" s="17">
        <f t="shared" si="1232"/>
        <v>465249.99494724884</v>
      </c>
      <c r="CG282" s="17">
        <f t="shared" si="1233"/>
        <v>515726.10078662162</v>
      </c>
      <c r="CH282" s="17">
        <f t="shared" si="1234"/>
        <v>14.400000000000006</v>
      </c>
      <c r="CI282" s="17">
        <f t="shared" si="1235"/>
        <v>-43.2</v>
      </c>
      <c r="CJ282" s="17">
        <f t="shared" si="1236"/>
        <v>16</v>
      </c>
      <c r="CK282" s="17">
        <f t="shared" si="1237"/>
        <v>90</v>
      </c>
      <c r="CL282" s="17">
        <f t="shared" si="1238"/>
        <v>71.46880726181422</v>
      </c>
      <c r="CM282" s="17">
        <f t="shared" si="1239"/>
        <v>24</v>
      </c>
      <c r="CN282" s="17">
        <f t="shared" si="1240"/>
        <v>50</v>
      </c>
      <c r="CO282" s="17">
        <f t="shared" si="1241"/>
        <v>65.062647806544774</v>
      </c>
      <c r="CP282" s="17">
        <f t="shared" si="1242"/>
        <v>6.4061594552694459</v>
      </c>
      <c r="CQ282" s="17">
        <f t="shared" si="1243"/>
        <v>0</v>
      </c>
      <c r="CR282" s="17">
        <f t="shared" si="1244"/>
        <v>100</v>
      </c>
      <c r="CS282" s="17">
        <f t="shared" si="1245"/>
        <v>26.404773030064671</v>
      </c>
      <c r="CT282" s="17">
        <f t="shared" si="1246"/>
        <v>24</v>
      </c>
      <c r="CU282" s="17">
        <f t="shared" si="1247"/>
        <v>50</v>
      </c>
      <c r="CV282" s="17">
        <f t="shared" si="1248"/>
        <v>65.062647806544774</v>
      </c>
      <c r="CW282" s="17">
        <f t="shared" si="1249"/>
        <v>-38.657874776480099</v>
      </c>
      <c r="CX282" s="17">
        <f t="shared" si="1187"/>
        <v>-3915.744768</v>
      </c>
      <c r="CY282" s="17">
        <f t="shared" si="1187"/>
        <v>-3915.744768</v>
      </c>
      <c r="CZ282" s="17">
        <f t="shared" si="1250"/>
        <v>264.95424000000008</v>
      </c>
      <c r="DA282" s="17">
        <f t="shared" si="1251"/>
        <v>-794.86271999999997</v>
      </c>
      <c r="DB282" s="17">
        <f t="shared" si="1252"/>
        <v>-26593.920000000002</v>
      </c>
      <c r="DC282" s="17">
        <f t="shared" si="1253"/>
        <v>3412</v>
      </c>
      <c r="DD282" s="17">
        <f t="shared" si="1254"/>
        <v>244.142248</v>
      </c>
      <c r="DE282" s="17">
        <f t="shared" si="1255"/>
        <v>17496.000000000007</v>
      </c>
      <c r="DF282" s="17">
        <f t="shared" si="1256"/>
        <v>-3003.4364792832002</v>
      </c>
      <c r="DG282" s="17"/>
      <c r="DH282" s="17">
        <f t="shared" si="1257"/>
        <v>-10514.941939202587</v>
      </c>
      <c r="DI282" s="17">
        <f t="shared" si="1258"/>
        <v>-29573.274204007277</v>
      </c>
      <c r="DJ282" s="17">
        <f t="shared" si="1259"/>
        <v>-1692.2239474958142</v>
      </c>
      <c r="DK282" s="17">
        <f t="shared" si="1260"/>
        <v>2523.8301003166753</v>
      </c>
      <c r="DL282" s="17">
        <f t="shared" si="1261"/>
        <v>-12890.867479283193</v>
      </c>
      <c r="DM282" s="17">
        <f t="shared" si="1262"/>
        <v>-39256.609990388999</v>
      </c>
      <c r="DN282" s="17">
        <f t="shared" si="1263"/>
        <v>-52147.477469672194</v>
      </c>
    </row>
    <row r="283" spans="3:120" ht="18.600000000000001">
      <c r="C283" s="13">
        <f>IF(D283&lt;&gt;"",COUNTA($D$10:D283),"")</f>
        <v>235</v>
      </c>
      <c r="D283" s="14" t="s">
        <v>213</v>
      </c>
      <c r="E283" s="14">
        <v>2.2999999999999998</v>
      </c>
      <c r="F283" s="14">
        <v>2.2000000000000002</v>
      </c>
      <c r="G283" s="14">
        <v>2.4</v>
      </c>
      <c r="H283" s="14">
        <v>2</v>
      </c>
      <c r="I283" s="14">
        <v>1</v>
      </c>
      <c r="J283" s="14">
        <v>1.75</v>
      </c>
      <c r="K283" s="14">
        <v>3</v>
      </c>
      <c r="L283" s="15">
        <v>0.1</v>
      </c>
      <c r="M283" s="15">
        <v>0</v>
      </c>
      <c r="N283" s="14">
        <v>24</v>
      </c>
      <c r="O283" s="14">
        <v>50</v>
      </c>
      <c r="P283" s="13">
        <v>45</v>
      </c>
      <c r="Q283" s="13">
        <v>85</v>
      </c>
      <c r="R283" s="13" t="s">
        <v>17</v>
      </c>
      <c r="S283" s="13">
        <v>120</v>
      </c>
      <c r="T283" s="13">
        <v>0</v>
      </c>
      <c r="U283" s="13">
        <v>100</v>
      </c>
      <c r="V283" s="13" t="str">
        <f t="shared" si="1188"/>
        <v>ISO 6</v>
      </c>
      <c r="W283" s="13">
        <f t="shared" si="1189"/>
        <v>120</v>
      </c>
      <c r="X283" s="16">
        <f t="shared" si="1190"/>
        <v>54.445599999999992</v>
      </c>
      <c r="Y283" s="16">
        <f t="shared" si="1191"/>
        <v>428.59576319999991</v>
      </c>
      <c r="Z283" s="16">
        <f t="shared" si="1192"/>
        <v>857.19152639999982</v>
      </c>
      <c r="AA283" s="16">
        <f t="shared" si="1193"/>
        <v>85.71915263999999</v>
      </c>
      <c r="AB283" s="16">
        <f t="shared" si="1194"/>
        <v>0</v>
      </c>
      <c r="AC283" s="16">
        <f t="shared" si="1195"/>
        <v>7.8854855503168197</v>
      </c>
      <c r="AD283" s="16">
        <f t="shared" si="1264"/>
        <v>2400</v>
      </c>
      <c r="AE283" s="16">
        <f t="shared" si="1197"/>
        <v>2400</v>
      </c>
      <c r="AF283" s="16">
        <f t="shared" si="1198"/>
        <v>14</v>
      </c>
      <c r="AG283" s="16">
        <f t="shared" si="1199"/>
        <v>6</v>
      </c>
      <c r="AH283" s="838" t="s">
        <v>85</v>
      </c>
      <c r="AI283" s="17">
        <f t="shared" si="1200"/>
        <v>4.5</v>
      </c>
      <c r="AJ283" s="17">
        <f t="shared" si="1201"/>
        <v>6</v>
      </c>
      <c r="AK283" s="891"/>
      <c r="AL283" s="18"/>
      <c r="AM283" s="889"/>
      <c r="AN283" s="891"/>
      <c r="AO283" s="888"/>
      <c r="AP283" s="891"/>
      <c r="AQ283" s="891"/>
      <c r="AR283" s="889"/>
      <c r="AS283" s="888"/>
      <c r="AT283" s="888"/>
      <c r="AU283" s="890"/>
      <c r="AV283" s="888"/>
      <c r="AW283" s="888"/>
      <c r="AX283" s="888"/>
      <c r="AY283" s="887"/>
      <c r="AZ283" s="888"/>
      <c r="BA283" s="17">
        <f t="shared" si="1202"/>
        <v>14.399999999999991</v>
      </c>
      <c r="BB283" s="17">
        <f t="shared" si="1203"/>
        <v>37.799999999999997</v>
      </c>
      <c r="BC283" s="17">
        <f t="shared" si="1204"/>
        <v>32</v>
      </c>
      <c r="BD283" s="17">
        <f t="shared" si="1205"/>
        <v>85</v>
      </c>
      <c r="BE283" s="17">
        <f t="shared" si="1206"/>
        <v>180.86341983910182</v>
      </c>
      <c r="BF283" s="17">
        <f t="shared" si="1207"/>
        <v>24</v>
      </c>
      <c r="BG283" s="17">
        <f t="shared" si="1208"/>
        <v>50</v>
      </c>
      <c r="BH283" s="17">
        <f t="shared" si="1209"/>
        <v>65.062647806544774</v>
      </c>
      <c r="BI283" s="17">
        <f t="shared" si="1210"/>
        <v>115.80077203255705</v>
      </c>
      <c r="BJ283" s="17">
        <f t="shared" si="1211"/>
        <v>45</v>
      </c>
      <c r="BK283" s="17">
        <f t="shared" si="1212"/>
        <v>85</v>
      </c>
      <c r="BL283" s="17">
        <f t="shared" si="1213"/>
        <v>380.54120080897206</v>
      </c>
      <c r="BM283" s="17">
        <f t="shared" si="1214"/>
        <v>24</v>
      </c>
      <c r="BN283" s="17">
        <f t="shared" si="1215"/>
        <v>50</v>
      </c>
      <c r="BO283" s="17">
        <f t="shared" si="1216"/>
        <v>65.062647806544774</v>
      </c>
      <c r="BP283" s="17">
        <f t="shared" si="1217"/>
        <v>315.4785530024273</v>
      </c>
      <c r="BQ283" s="17">
        <f t="shared" si="1218"/>
        <v>3953.3961599999993</v>
      </c>
      <c r="BR283" s="17">
        <f t="shared" si="1219"/>
        <v>1506.0556799999993</v>
      </c>
      <c r="BS283" s="17">
        <f t="shared" si="1220"/>
        <v>352.80748799999975</v>
      </c>
      <c r="BT283" s="17">
        <f t="shared" si="1221"/>
        <v>926.11965599999974</v>
      </c>
      <c r="BU283" s="17">
        <f t="shared" si="1222"/>
        <v>23269.68</v>
      </c>
      <c r="BV283" s="17">
        <f t="shared" si="1223"/>
        <v>3412</v>
      </c>
      <c r="BW283" s="17">
        <f t="shared" si="1224"/>
        <v>325.0946775999999</v>
      </c>
      <c r="BX283" s="17">
        <f t="shared" si="1225"/>
        <v>17495.999999999989</v>
      </c>
      <c r="BY283" s="17">
        <f t="shared" si="1226"/>
        <v>3499.3986873753597</v>
      </c>
      <c r="BZ283" s="17"/>
      <c r="CA283" s="17">
        <f t="shared" si="1227"/>
        <v>85810.166416660228</v>
      </c>
      <c r="CB283" s="17">
        <f t="shared" si="1228"/>
        <v>241341.0930468569</v>
      </c>
      <c r="CC283" s="17">
        <f t="shared" si="1229"/>
        <v>18388.936882833746</v>
      </c>
      <c r="CD283" s="17">
        <f t="shared" si="1230"/>
        <v>165500.43194550375</v>
      </c>
      <c r="CE283" s="17">
        <f t="shared" si="1231"/>
        <v>51955.569524975348</v>
      </c>
      <c r="CF283" s="17">
        <f t="shared" si="1232"/>
        <v>511040.62829185458</v>
      </c>
      <c r="CG283" s="17">
        <f t="shared" si="1233"/>
        <v>562996.1978168299</v>
      </c>
      <c r="CH283" s="17">
        <f t="shared" si="1234"/>
        <v>14.400000000000006</v>
      </c>
      <c r="CI283" s="17">
        <f t="shared" si="1235"/>
        <v>-43.2</v>
      </c>
      <c r="CJ283" s="17">
        <f t="shared" si="1236"/>
        <v>16</v>
      </c>
      <c r="CK283" s="17">
        <f t="shared" si="1237"/>
        <v>90</v>
      </c>
      <c r="CL283" s="17">
        <f t="shared" si="1238"/>
        <v>71.46880726181422</v>
      </c>
      <c r="CM283" s="17">
        <f t="shared" si="1239"/>
        <v>24</v>
      </c>
      <c r="CN283" s="17">
        <f t="shared" si="1240"/>
        <v>50</v>
      </c>
      <c r="CO283" s="17">
        <f t="shared" si="1241"/>
        <v>65.062647806544774</v>
      </c>
      <c r="CP283" s="17">
        <f t="shared" si="1242"/>
        <v>6.4061594552694459</v>
      </c>
      <c r="CQ283" s="17">
        <f t="shared" si="1243"/>
        <v>0</v>
      </c>
      <c r="CR283" s="17">
        <f t="shared" si="1244"/>
        <v>100</v>
      </c>
      <c r="CS283" s="17">
        <f t="shared" si="1245"/>
        <v>26.404773030064671</v>
      </c>
      <c r="CT283" s="17">
        <f t="shared" si="1246"/>
        <v>24</v>
      </c>
      <c r="CU283" s="17">
        <f t="shared" si="1247"/>
        <v>50</v>
      </c>
      <c r="CV283" s="17">
        <f t="shared" si="1248"/>
        <v>65.062647806544774</v>
      </c>
      <c r="CW283" s="17">
        <f t="shared" si="1249"/>
        <v>-38.657874776480099</v>
      </c>
      <c r="CX283" s="17">
        <f t="shared" si="1187"/>
        <v>-4518.1670400000012</v>
      </c>
      <c r="CY283" s="17">
        <f t="shared" si="1187"/>
        <v>-4518.1670400000012</v>
      </c>
      <c r="CZ283" s="17">
        <f t="shared" si="1250"/>
        <v>352.80748800000009</v>
      </c>
      <c r="DA283" s="17">
        <f t="shared" si="1251"/>
        <v>-1058.422464</v>
      </c>
      <c r="DB283" s="17">
        <f t="shared" si="1252"/>
        <v>-26593.920000000002</v>
      </c>
      <c r="DC283" s="17">
        <f t="shared" si="1253"/>
        <v>3412</v>
      </c>
      <c r="DD283" s="17">
        <f t="shared" si="1254"/>
        <v>325.0946775999999</v>
      </c>
      <c r="DE283" s="17">
        <f t="shared" si="1255"/>
        <v>17496.000000000007</v>
      </c>
      <c r="DF283" s="17">
        <f t="shared" si="1256"/>
        <v>-3999.3127855718403</v>
      </c>
      <c r="DG283" s="17"/>
      <c r="DH283" s="17">
        <f t="shared" si="1257"/>
        <v>-10514.941939202587</v>
      </c>
      <c r="DI283" s="17">
        <f t="shared" si="1258"/>
        <v>-29573.274204007277</v>
      </c>
      <c r="DJ283" s="17">
        <f t="shared" si="1259"/>
        <v>-2253.32978271811</v>
      </c>
      <c r="DK283" s="17">
        <f t="shared" si="1260"/>
        <v>3360.6790283164155</v>
      </c>
      <c r="DL283" s="17">
        <f t="shared" si="1261"/>
        <v>-14583.920123971839</v>
      </c>
      <c r="DM283" s="17">
        <f t="shared" si="1262"/>
        <v>-38980.866897611559</v>
      </c>
      <c r="DN283" s="17">
        <f t="shared" si="1263"/>
        <v>-53564.787021583397</v>
      </c>
    </row>
    <row r="284" spans="3:120" ht="18.600000000000001">
      <c r="C284" s="13">
        <f>IF(D284&lt;&gt;"",COUNTA($D$10:D284),"")</f>
        <v>236</v>
      </c>
      <c r="D284" s="14" t="s">
        <v>214</v>
      </c>
      <c r="E284" s="14">
        <v>2.2000000000000002</v>
      </c>
      <c r="F284" s="14">
        <v>2.8</v>
      </c>
      <c r="G284" s="14">
        <v>2.4</v>
      </c>
      <c r="H284" s="14">
        <v>2</v>
      </c>
      <c r="I284" s="14">
        <v>1</v>
      </c>
      <c r="J284" s="14">
        <v>1.75</v>
      </c>
      <c r="K284" s="14">
        <v>3</v>
      </c>
      <c r="L284" s="15">
        <v>0.1</v>
      </c>
      <c r="M284" s="15">
        <v>0</v>
      </c>
      <c r="N284" s="14">
        <v>24</v>
      </c>
      <c r="O284" s="14">
        <v>50</v>
      </c>
      <c r="P284" s="13">
        <v>45</v>
      </c>
      <c r="Q284" s="13">
        <v>85</v>
      </c>
      <c r="R284" s="13" t="s">
        <v>17</v>
      </c>
      <c r="S284" s="13">
        <v>120</v>
      </c>
      <c r="T284" s="13">
        <v>0</v>
      </c>
      <c r="U284" s="13">
        <v>100</v>
      </c>
      <c r="V284" s="13" t="str">
        <f t="shared" si="1188"/>
        <v>ISO 6</v>
      </c>
      <c r="W284" s="13">
        <f t="shared" si="1189"/>
        <v>120</v>
      </c>
      <c r="X284" s="16">
        <f t="shared" si="1190"/>
        <v>66.281599999999997</v>
      </c>
      <c r="Y284" s="16">
        <f t="shared" si="1191"/>
        <v>521.76875519999999</v>
      </c>
      <c r="Z284" s="16">
        <f t="shared" si="1192"/>
        <v>1043.5375104</v>
      </c>
      <c r="AA284" s="16">
        <f t="shared" si="1193"/>
        <v>104.35375104000001</v>
      </c>
      <c r="AB284" s="16">
        <f t="shared" si="1194"/>
        <v>0</v>
      </c>
      <c r="AC284" s="16">
        <f t="shared" si="1195"/>
        <v>9.5997215395161284</v>
      </c>
      <c r="AD284" s="16">
        <f t="shared" si="1264"/>
        <v>2575</v>
      </c>
      <c r="AE284" s="16">
        <f t="shared" si="1197"/>
        <v>2575</v>
      </c>
      <c r="AF284" s="16">
        <f t="shared" si="1198"/>
        <v>16</v>
      </c>
      <c r="AG284" s="16">
        <f t="shared" si="1199"/>
        <v>6.5</v>
      </c>
      <c r="AH284" s="838" t="s">
        <v>85</v>
      </c>
      <c r="AI284" s="17">
        <f t="shared" si="1200"/>
        <v>4.5</v>
      </c>
      <c r="AJ284" s="17">
        <f t="shared" si="1201"/>
        <v>6.5</v>
      </c>
      <c r="AK284" s="891"/>
      <c r="AL284" s="18"/>
      <c r="AM284" s="889"/>
      <c r="AN284" s="891"/>
      <c r="AO284" s="888"/>
      <c r="AP284" s="891"/>
      <c r="AQ284" s="891"/>
      <c r="AR284" s="889"/>
      <c r="AS284" s="888"/>
      <c r="AT284" s="888"/>
      <c r="AU284" s="890"/>
      <c r="AV284" s="888"/>
      <c r="AW284" s="888"/>
      <c r="AX284" s="888"/>
      <c r="AY284" s="887"/>
      <c r="AZ284" s="888"/>
      <c r="BA284" s="17">
        <f t="shared" si="1202"/>
        <v>14.399999999999991</v>
      </c>
      <c r="BB284" s="17">
        <f t="shared" si="1203"/>
        <v>37.799999999999997</v>
      </c>
      <c r="BC284" s="17">
        <f t="shared" si="1204"/>
        <v>32</v>
      </c>
      <c r="BD284" s="17">
        <f t="shared" si="1205"/>
        <v>85</v>
      </c>
      <c r="BE284" s="17">
        <f t="shared" si="1206"/>
        <v>180.86341983910182</v>
      </c>
      <c r="BF284" s="17">
        <f t="shared" si="1207"/>
        <v>24</v>
      </c>
      <c r="BG284" s="17">
        <f t="shared" si="1208"/>
        <v>50</v>
      </c>
      <c r="BH284" s="17">
        <f t="shared" si="1209"/>
        <v>65.062647806544774</v>
      </c>
      <c r="BI284" s="17">
        <f t="shared" si="1210"/>
        <v>115.80077203255705</v>
      </c>
      <c r="BJ284" s="17">
        <f t="shared" si="1211"/>
        <v>45</v>
      </c>
      <c r="BK284" s="17">
        <f t="shared" si="1212"/>
        <v>85</v>
      </c>
      <c r="BL284" s="17">
        <f t="shared" si="1213"/>
        <v>380.54120080897206</v>
      </c>
      <c r="BM284" s="17">
        <f t="shared" si="1214"/>
        <v>24</v>
      </c>
      <c r="BN284" s="17">
        <f t="shared" si="1215"/>
        <v>50</v>
      </c>
      <c r="BO284" s="17">
        <f t="shared" si="1216"/>
        <v>65.062647806544774</v>
      </c>
      <c r="BP284" s="17">
        <f t="shared" si="1217"/>
        <v>315.4785530024273</v>
      </c>
      <c r="BQ284" s="17">
        <f t="shared" si="1218"/>
        <v>4392.6624000000002</v>
      </c>
      <c r="BR284" s="17">
        <f t="shared" si="1219"/>
        <v>1673.3951999999992</v>
      </c>
      <c r="BS284" s="17">
        <f t="shared" si="1220"/>
        <v>429.50476799999973</v>
      </c>
      <c r="BT284" s="17">
        <f t="shared" si="1221"/>
        <v>1127.4500159999998</v>
      </c>
      <c r="BU284" s="17">
        <f t="shared" si="1222"/>
        <v>23269.68</v>
      </c>
      <c r="BV284" s="17">
        <f t="shared" si="1223"/>
        <v>3412</v>
      </c>
      <c r="BW284" s="17">
        <f t="shared" si="1224"/>
        <v>395.76743359999995</v>
      </c>
      <c r="BX284" s="17">
        <f t="shared" si="1225"/>
        <v>17495.999999999989</v>
      </c>
      <c r="BY284" s="17">
        <f t="shared" si="1226"/>
        <v>4260.1375324569599</v>
      </c>
      <c r="BZ284" s="17"/>
      <c r="CA284" s="17">
        <f t="shared" si="1227"/>
        <v>85810.166416660228</v>
      </c>
      <c r="CB284" s="17">
        <f t="shared" si="1228"/>
        <v>241341.0930468569</v>
      </c>
      <c r="CC284" s="17">
        <f t="shared" si="1229"/>
        <v>22386.531857362828</v>
      </c>
      <c r="CD284" s="17">
        <f t="shared" si="1230"/>
        <v>201478.78671626543</v>
      </c>
      <c r="CE284" s="17">
        <f t="shared" si="1231"/>
        <v>53226.247366056945</v>
      </c>
      <c r="CF284" s="17">
        <f t="shared" si="1232"/>
        <v>551016.57803714531</v>
      </c>
      <c r="CG284" s="17">
        <f t="shared" si="1233"/>
        <v>604242.82540320221</v>
      </c>
      <c r="CH284" s="17">
        <f t="shared" si="1234"/>
        <v>14.400000000000006</v>
      </c>
      <c r="CI284" s="17">
        <f t="shared" si="1235"/>
        <v>-43.2</v>
      </c>
      <c r="CJ284" s="17">
        <f t="shared" si="1236"/>
        <v>16</v>
      </c>
      <c r="CK284" s="17">
        <f t="shared" si="1237"/>
        <v>90</v>
      </c>
      <c r="CL284" s="17">
        <f t="shared" si="1238"/>
        <v>71.46880726181422</v>
      </c>
      <c r="CM284" s="17">
        <f t="shared" si="1239"/>
        <v>24</v>
      </c>
      <c r="CN284" s="17">
        <f t="shared" si="1240"/>
        <v>50</v>
      </c>
      <c r="CO284" s="17">
        <f t="shared" si="1241"/>
        <v>65.062647806544774</v>
      </c>
      <c r="CP284" s="17">
        <f t="shared" si="1242"/>
        <v>6.4061594552694459</v>
      </c>
      <c r="CQ284" s="17">
        <f t="shared" si="1243"/>
        <v>0</v>
      </c>
      <c r="CR284" s="17">
        <f t="shared" si="1244"/>
        <v>100</v>
      </c>
      <c r="CS284" s="17">
        <f t="shared" si="1245"/>
        <v>26.404773030064671</v>
      </c>
      <c r="CT284" s="17">
        <f t="shared" si="1246"/>
        <v>24</v>
      </c>
      <c r="CU284" s="17">
        <f t="shared" si="1247"/>
        <v>50</v>
      </c>
      <c r="CV284" s="17">
        <f t="shared" si="1248"/>
        <v>65.062647806544774</v>
      </c>
      <c r="CW284" s="17">
        <f t="shared" si="1249"/>
        <v>-38.657874776480099</v>
      </c>
      <c r="CX284" s="17">
        <f t="shared" si="1187"/>
        <v>-5020.1856000000007</v>
      </c>
      <c r="CY284" s="17">
        <f t="shared" si="1187"/>
        <v>-5020.1856000000007</v>
      </c>
      <c r="CZ284" s="17">
        <f t="shared" si="1250"/>
        <v>429.50476800000018</v>
      </c>
      <c r="DA284" s="17">
        <f t="shared" si="1251"/>
        <v>-1288.514304</v>
      </c>
      <c r="DB284" s="17">
        <f t="shared" si="1252"/>
        <v>-26593.920000000002</v>
      </c>
      <c r="DC284" s="17">
        <f t="shared" si="1253"/>
        <v>3412</v>
      </c>
      <c r="DD284" s="17">
        <f t="shared" si="1254"/>
        <v>395.76743359999995</v>
      </c>
      <c r="DE284" s="17">
        <f t="shared" si="1255"/>
        <v>17496.000000000007</v>
      </c>
      <c r="DF284" s="17">
        <f t="shared" si="1256"/>
        <v>-4868.7286085222404</v>
      </c>
      <c r="DG284" s="17"/>
      <c r="DH284" s="17">
        <f t="shared" si="1257"/>
        <v>-10514.941939202587</v>
      </c>
      <c r="DI284" s="17">
        <f t="shared" si="1258"/>
        <v>-29573.274204007277</v>
      </c>
      <c r="DJ284" s="17">
        <f t="shared" si="1259"/>
        <v>-2743.1840833090046</v>
      </c>
      <c r="DK284" s="17">
        <f t="shared" si="1260"/>
        <v>4091.2614257765063</v>
      </c>
      <c r="DL284" s="17">
        <f t="shared" si="1261"/>
        <v>-16038.076310922239</v>
      </c>
      <c r="DM284" s="17">
        <f t="shared" si="1262"/>
        <v>-38740.138800742359</v>
      </c>
      <c r="DN284" s="17">
        <f t="shared" si="1263"/>
        <v>-54778.215111664598</v>
      </c>
    </row>
    <row r="285" spans="3:120" ht="18.600000000000001">
      <c r="C285" s="13">
        <f>IF(D285&lt;&gt;"",COUNTA($D$10:D285),"")</f>
        <v>237</v>
      </c>
      <c r="D285" s="14" t="s">
        <v>215</v>
      </c>
      <c r="E285" s="14">
        <v>2.8</v>
      </c>
      <c r="F285" s="14">
        <v>2.4</v>
      </c>
      <c r="G285" s="14">
        <v>2.4</v>
      </c>
      <c r="H285" s="14">
        <v>2</v>
      </c>
      <c r="I285" s="14">
        <v>1</v>
      </c>
      <c r="J285" s="14">
        <v>1.75</v>
      </c>
      <c r="K285" s="14">
        <v>3</v>
      </c>
      <c r="L285" s="15">
        <v>0.1</v>
      </c>
      <c r="M285" s="15">
        <v>0</v>
      </c>
      <c r="N285" s="14">
        <v>24</v>
      </c>
      <c r="O285" s="14">
        <v>50</v>
      </c>
      <c r="P285" s="13">
        <v>45</v>
      </c>
      <c r="Q285" s="13">
        <v>85</v>
      </c>
      <c r="R285" s="13" t="s">
        <v>17</v>
      </c>
      <c r="S285" s="13">
        <v>120</v>
      </c>
      <c r="T285" s="13">
        <v>0</v>
      </c>
      <c r="U285" s="13">
        <v>100</v>
      </c>
      <c r="V285" s="13" t="str">
        <f t="shared" si="1188"/>
        <v>ISO 6</v>
      </c>
      <c r="W285" s="13">
        <f t="shared" si="1189"/>
        <v>120</v>
      </c>
      <c r="X285" s="16">
        <f t="shared" si="1190"/>
        <v>72.307199999999995</v>
      </c>
      <c r="Y285" s="16">
        <f t="shared" si="1191"/>
        <v>569.20227839999995</v>
      </c>
      <c r="Z285" s="16">
        <f t="shared" si="1192"/>
        <v>1138.4045567999999</v>
      </c>
      <c r="AA285" s="16">
        <f t="shared" si="1193"/>
        <v>113.84045567999999</v>
      </c>
      <c r="AB285" s="16">
        <f t="shared" si="1194"/>
        <v>0</v>
      </c>
      <c r="AC285" s="16">
        <f t="shared" si="1195"/>
        <v>10.472423497653956</v>
      </c>
      <c r="AD285" s="16">
        <f t="shared" si="1264"/>
        <v>2675</v>
      </c>
      <c r="AE285" s="16">
        <f t="shared" si="1197"/>
        <v>2675</v>
      </c>
      <c r="AF285" s="16">
        <f t="shared" si="1198"/>
        <v>16</v>
      </c>
      <c r="AG285" s="16">
        <f t="shared" si="1199"/>
        <v>7</v>
      </c>
      <c r="AH285" s="838" t="s">
        <v>85</v>
      </c>
      <c r="AI285" s="17">
        <f t="shared" si="1200"/>
        <v>4.5</v>
      </c>
      <c r="AJ285" s="17">
        <f t="shared" si="1201"/>
        <v>7</v>
      </c>
      <c r="AK285" s="891"/>
      <c r="AL285" s="18"/>
      <c r="AM285" s="889"/>
      <c r="AN285" s="891"/>
      <c r="AO285" s="888"/>
      <c r="AP285" s="891"/>
      <c r="AQ285" s="891"/>
      <c r="AR285" s="889"/>
      <c r="AS285" s="888"/>
      <c r="AT285" s="888"/>
      <c r="AU285" s="890"/>
      <c r="AV285" s="888"/>
      <c r="AW285" s="888"/>
      <c r="AX285" s="888"/>
      <c r="AY285" s="887"/>
      <c r="AZ285" s="888"/>
      <c r="BA285" s="17">
        <f t="shared" si="1202"/>
        <v>14.399999999999991</v>
      </c>
      <c r="BB285" s="17">
        <f t="shared" si="1203"/>
        <v>37.799999999999997</v>
      </c>
      <c r="BC285" s="17">
        <f t="shared" si="1204"/>
        <v>32</v>
      </c>
      <c r="BD285" s="17">
        <f t="shared" si="1205"/>
        <v>85</v>
      </c>
      <c r="BE285" s="17">
        <f t="shared" si="1206"/>
        <v>180.86341983910182</v>
      </c>
      <c r="BF285" s="17">
        <f t="shared" si="1207"/>
        <v>24</v>
      </c>
      <c r="BG285" s="17">
        <f t="shared" si="1208"/>
        <v>50</v>
      </c>
      <c r="BH285" s="17">
        <f t="shared" si="1209"/>
        <v>65.062647806544774</v>
      </c>
      <c r="BI285" s="17">
        <f t="shared" si="1210"/>
        <v>115.80077203255705</v>
      </c>
      <c r="BJ285" s="17">
        <f t="shared" si="1211"/>
        <v>45</v>
      </c>
      <c r="BK285" s="17">
        <f t="shared" si="1212"/>
        <v>85</v>
      </c>
      <c r="BL285" s="17">
        <f t="shared" si="1213"/>
        <v>380.54120080897206</v>
      </c>
      <c r="BM285" s="17">
        <f t="shared" si="1214"/>
        <v>24</v>
      </c>
      <c r="BN285" s="17">
        <f t="shared" si="1215"/>
        <v>50</v>
      </c>
      <c r="BO285" s="17">
        <f t="shared" si="1216"/>
        <v>65.062647806544774</v>
      </c>
      <c r="BP285" s="17">
        <f t="shared" si="1217"/>
        <v>315.4785530024273</v>
      </c>
      <c r="BQ285" s="17">
        <f t="shared" si="1218"/>
        <v>4568.368895999999</v>
      </c>
      <c r="BR285" s="17">
        <f t="shared" si="1219"/>
        <v>1740.331007999999</v>
      </c>
      <c r="BS285" s="17">
        <f t="shared" si="1220"/>
        <v>468.55065599999972</v>
      </c>
      <c r="BT285" s="17">
        <f t="shared" si="1221"/>
        <v>1229.9454719999999</v>
      </c>
      <c r="BU285" s="17">
        <f t="shared" si="1222"/>
        <v>23269.68</v>
      </c>
      <c r="BV285" s="17">
        <f t="shared" si="1223"/>
        <v>3412</v>
      </c>
      <c r="BW285" s="17">
        <f t="shared" si="1224"/>
        <v>431.74629119999997</v>
      </c>
      <c r="BX285" s="17">
        <f t="shared" si="1225"/>
        <v>17495.999999999989</v>
      </c>
      <c r="BY285" s="17">
        <f t="shared" si="1226"/>
        <v>4647.4227626803195</v>
      </c>
      <c r="BZ285" s="17"/>
      <c r="CA285" s="17">
        <f t="shared" si="1227"/>
        <v>85810.166416660228</v>
      </c>
      <c r="CB285" s="17">
        <f t="shared" si="1228"/>
        <v>241341.0930468569</v>
      </c>
      <c r="CC285" s="17">
        <f t="shared" si="1229"/>
        <v>24421.671117123082</v>
      </c>
      <c r="CD285" s="17">
        <f t="shared" si="1230"/>
        <v>219795.04005410775</v>
      </c>
      <c r="CE285" s="17">
        <f t="shared" si="1231"/>
        <v>53825.217949880309</v>
      </c>
      <c r="CF285" s="17">
        <f t="shared" si="1232"/>
        <v>571367.970634748</v>
      </c>
      <c r="CG285" s="17">
        <f t="shared" si="1233"/>
        <v>625193.18858462828</v>
      </c>
      <c r="CH285" s="17">
        <f t="shared" si="1234"/>
        <v>14.400000000000006</v>
      </c>
      <c r="CI285" s="17">
        <f t="shared" si="1235"/>
        <v>-43.2</v>
      </c>
      <c r="CJ285" s="17">
        <f t="shared" si="1236"/>
        <v>16</v>
      </c>
      <c r="CK285" s="17">
        <f t="shared" si="1237"/>
        <v>90</v>
      </c>
      <c r="CL285" s="17">
        <f t="shared" si="1238"/>
        <v>71.46880726181422</v>
      </c>
      <c r="CM285" s="17">
        <f t="shared" si="1239"/>
        <v>24</v>
      </c>
      <c r="CN285" s="17">
        <f t="shared" si="1240"/>
        <v>50</v>
      </c>
      <c r="CO285" s="17">
        <f t="shared" si="1241"/>
        <v>65.062647806544774</v>
      </c>
      <c r="CP285" s="17">
        <f t="shared" si="1242"/>
        <v>6.4061594552694459</v>
      </c>
      <c r="CQ285" s="17">
        <f t="shared" si="1243"/>
        <v>0</v>
      </c>
      <c r="CR285" s="17">
        <f t="shared" si="1244"/>
        <v>100</v>
      </c>
      <c r="CS285" s="17">
        <f t="shared" si="1245"/>
        <v>26.404773030064671</v>
      </c>
      <c r="CT285" s="17">
        <f t="shared" si="1246"/>
        <v>24</v>
      </c>
      <c r="CU285" s="17">
        <f t="shared" si="1247"/>
        <v>50</v>
      </c>
      <c r="CV285" s="17">
        <f t="shared" si="1248"/>
        <v>65.062647806544774</v>
      </c>
      <c r="CW285" s="17">
        <f t="shared" si="1249"/>
        <v>-38.657874776480099</v>
      </c>
      <c r="CX285" s="17">
        <f t="shared" si="1187"/>
        <v>-5220.9930240000003</v>
      </c>
      <c r="CY285" s="17">
        <f t="shared" si="1187"/>
        <v>-5220.9930240000003</v>
      </c>
      <c r="CZ285" s="17">
        <f t="shared" si="1250"/>
        <v>468.55065600000012</v>
      </c>
      <c r="DA285" s="17">
        <f t="shared" si="1251"/>
        <v>-1405.6519680000001</v>
      </c>
      <c r="DB285" s="17">
        <f t="shared" si="1252"/>
        <v>-26593.920000000002</v>
      </c>
      <c r="DC285" s="17">
        <f t="shared" si="1253"/>
        <v>3412</v>
      </c>
      <c r="DD285" s="17">
        <f t="shared" si="1254"/>
        <v>431.74629119999997</v>
      </c>
      <c r="DE285" s="17">
        <f t="shared" si="1255"/>
        <v>17496.000000000007</v>
      </c>
      <c r="DF285" s="17">
        <f t="shared" si="1256"/>
        <v>-5311.3403002060804</v>
      </c>
      <c r="DG285" s="17"/>
      <c r="DH285" s="17">
        <f t="shared" si="1257"/>
        <v>-10514.941939202587</v>
      </c>
      <c r="DI285" s="17">
        <f t="shared" si="1258"/>
        <v>-29573.274204007277</v>
      </c>
      <c r="DJ285" s="17">
        <f t="shared" si="1259"/>
        <v>-2992.5644545189134</v>
      </c>
      <c r="DK285" s="17">
        <f t="shared" si="1260"/>
        <v>4463.1942826652794</v>
      </c>
      <c r="DL285" s="17">
        <f t="shared" si="1261"/>
        <v>-16723.608345006072</v>
      </c>
      <c r="DM285" s="17">
        <f t="shared" si="1262"/>
        <v>-38617.586315063498</v>
      </c>
      <c r="DN285" s="17">
        <f t="shared" si="1263"/>
        <v>-55341.194660069566</v>
      </c>
    </row>
    <row r="286" spans="3:120">
      <c r="C286" s="19"/>
      <c r="D286" s="19"/>
      <c r="E286" s="19"/>
      <c r="F286" s="19"/>
      <c r="G286" s="19"/>
      <c r="H286" s="19"/>
      <c r="I286" s="19"/>
      <c r="J286" s="19"/>
      <c r="K286" s="19"/>
      <c r="L286" s="19"/>
      <c r="M286" s="19"/>
      <c r="N286" s="19"/>
      <c r="O286" s="19"/>
      <c r="P286" s="19"/>
      <c r="Q286" s="19"/>
      <c r="R286" s="19"/>
      <c r="S286" s="19"/>
      <c r="T286" s="19"/>
      <c r="U286" s="19"/>
      <c r="V286" s="19"/>
      <c r="W286" s="19"/>
      <c r="X286" s="20">
        <f>SUM(X270:X285)</f>
        <v>1144.1108000000002</v>
      </c>
      <c r="Y286" s="20">
        <f t="shared" ref="Y286:AG286" si="1265">SUM(Y270:Y285)</f>
        <v>9006.4402175999985</v>
      </c>
      <c r="Z286" s="20">
        <f t="shared" si="1265"/>
        <v>18012.880435199997</v>
      </c>
      <c r="AA286" s="20">
        <f t="shared" si="1265"/>
        <v>1801.2880435199995</v>
      </c>
      <c r="AB286" s="20">
        <f t="shared" si="1265"/>
        <v>0</v>
      </c>
      <c r="AC286" s="20">
        <f t="shared" si="1265"/>
        <v>165.70428430142042</v>
      </c>
      <c r="AD286" s="20">
        <f t="shared" si="1265"/>
        <v>42375</v>
      </c>
      <c r="AE286" s="20">
        <f t="shared" si="1265"/>
        <v>42375</v>
      </c>
      <c r="AF286" s="20">
        <f t="shared" si="1265"/>
        <v>260</v>
      </c>
      <c r="AG286" s="20">
        <f t="shared" si="1265"/>
        <v>108.5</v>
      </c>
      <c r="AH286" s="841"/>
      <c r="AI286" s="20">
        <f t="shared" ref="AI286:AJ286" si="1266">SUM(AI270:AI285)</f>
        <v>76.5</v>
      </c>
      <c r="AJ286" s="20">
        <f t="shared" si="1266"/>
        <v>108.5</v>
      </c>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2"/>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row>
    <row r="288" spans="3:120" ht="29.1">
      <c r="C288" s="8" t="str">
        <f>"Zoning Area  AHU - " &amp; INT((ROW()-8)/20)+1 &amp; "  " &amp;IF(AQ290&gt;0,"Air-Conditioning System " &amp; IF(AH290="D","(DX)",IF(AH290="C","(Chilled Water)","")),IF(AND(N290="Amb",AQ290=0),"Ventilation System","Refer"))</f>
        <v>Zoning Area  AHU - 15  Air-Conditioning System (Chilled Water)</v>
      </c>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39"/>
      <c r="AI288" s="8"/>
      <c r="AJ288" s="8"/>
      <c r="AK288" s="8"/>
      <c r="AL288" s="8"/>
      <c r="AM288" s="8"/>
      <c r="AN288" s="8"/>
      <c r="AO288" s="8"/>
      <c r="AP288" s="8"/>
      <c r="AQ288" s="8"/>
      <c r="AR288" s="8"/>
      <c r="AS288" s="9" t="s">
        <v>221</v>
      </c>
      <c r="AT288" s="10"/>
      <c r="AU288" s="10"/>
      <c r="AV288" s="11"/>
      <c r="AW288" s="9" t="s">
        <v>222</v>
      </c>
      <c r="AX288" s="10"/>
      <c r="AY288" s="10"/>
      <c r="AZ288" s="11"/>
      <c r="BA288" s="12" t="s">
        <v>483</v>
      </c>
      <c r="BB288" s="12"/>
      <c r="BC288" s="12"/>
      <c r="BD288" s="12"/>
      <c r="BE288" s="12"/>
      <c r="BF288" s="12"/>
      <c r="BG288" s="12"/>
      <c r="BH288" s="12"/>
      <c r="BI288" s="12"/>
      <c r="BJ288" s="12"/>
      <c r="BK288" s="12"/>
      <c r="BL288" s="12"/>
      <c r="BM288" s="12"/>
      <c r="BN288" s="12"/>
      <c r="BO288" s="12"/>
      <c r="BP288" s="12"/>
      <c r="BQ288" s="9" t="s">
        <v>484</v>
      </c>
      <c r="BR288" s="10"/>
      <c r="BS288" s="10"/>
      <c r="BT288" s="10"/>
      <c r="BU288" s="10"/>
      <c r="BV288" s="10"/>
      <c r="BW288" s="10"/>
      <c r="BX288" s="10"/>
      <c r="BY288" s="10"/>
      <c r="BZ288" s="11"/>
      <c r="CA288" s="9" t="s">
        <v>485</v>
      </c>
      <c r="CB288" s="10"/>
      <c r="CC288" s="10"/>
      <c r="CD288" s="10"/>
      <c r="CE288" s="9" t="s">
        <v>486</v>
      </c>
      <c r="CF288" s="10"/>
      <c r="CG288" s="11"/>
      <c r="CH288" s="12" t="s">
        <v>487</v>
      </c>
      <c r="CI288" s="12"/>
      <c r="CJ288" s="12"/>
      <c r="CK288" s="12"/>
      <c r="CL288" s="12"/>
      <c r="CM288" s="12"/>
      <c r="CN288" s="12"/>
      <c r="CO288" s="12"/>
      <c r="CP288" s="12"/>
      <c r="CQ288" s="12"/>
      <c r="CR288" s="12"/>
      <c r="CS288" s="12"/>
      <c r="CT288" s="12"/>
      <c r="CU288" s="12"/>
      <c r="CV288" s="12"/>
      <c r="CW288" s="12"/>
      <c r="CX288" s="9" t="s">
        <v>488</v>
      </c>
      <c r="CY288" s="10"/>
      <c r="CZ288" s="10"/>
      <c r="DA288" s="10"/>
      <c r="DB288" s="10"/>
      <c r="DC288" s="10"/>
      <c r="DD288" s="10"/>
      <c r="DE288" s="10"/>
      <c r="DF288" s="10"/>
      <c r="DG288" s="11"/>
      <c r="DH288" s="9" t="s">
        <v>489</v>
      </c>
      <c r="DI288" s="10"/>
      <c r="DJ288" s="10"/>
      <c r="DK288" s="10"/>
      <c r="DL288" s="9"/>
      <c r="DM288" s="10"/>
      <c r="DN288" s="11"/>
      <c r="DO288" s="1"/>
      <c r="DP288" s="1"/>
    </row>
    <row r="289" spans="3:120" ht="120" customHeight="1">
      <c r="C289" s="13">
        <f>IF(D289&lt;&gt;"",COUNTA($D$10:D289),"")</f>
        <v>238</v>
      </c>
      <c r="D289" s="5" t="s">
        <v>165</v>
      </c>
      <c r="E289" s="5" t="s">
        <v>166</v>
      </c>
      <c r="F289" s="5" t="s">
        <v>167</v>
      </c>
      <c r="G289" s="5" t="s">
        <v>168</v>
      </c>
      <c r="H289" s="5" t="s">
        <v>169</v>
      </c>
      <c r="I289" s="5" t="s">
        <v>170</v>
      </c>
      <c r="J289" s="5" t="s">
        <v>171</v>
      </c>
      <c r="K289" s="5" t="s">
        <v>172</v>
      </c>
      <c r="L289" s="5" t="s">
        <v>173</v>
      </c>
      <c r="M289" s="5" t="s">
        <v>174</v>
      </c>
      <c r="N289" s="5" t="s">
        <v>175</v>
      </c>
      <c r="O289" s="5" t="s">
        <v>176</v>
      </c>
      <c r="P289" s="5" t="s">
        <v>177</v>
      </c>
      <c r="Q289" s="5" t="s">
        <v>178</v>
      </c>
      <c r="R289" s="5" t="s">
        <v>199</v>
      </c>
      <c r="S289" s="5" t="s">
        <v>180</v>
      </c>
      <c r="T289" s="5" t="s">
        <v>223</v>
      </c>
      <c r="U289" s="5" t="s">
        <v>224</v>
      </c>
      <c r="V289" s="5" t="s">
        <v>199</v>
      </c>
      <c r="W289" s="5" t="s">
        <v>180</v>
      </c>
      <c r="X289" s="5" t="s">
        <v>225</v>
      </c>
      <c r="Y289" s="5" t="s">
        <v>226</v>
      </c>
      <c r="Z289" s="5" t="s">
        <v>227</v>
      </c>
      <c r="AA289" s="5" t="s">
        <v>228</v>
      </c>
      <c r="AB289" s="5" t="s">
        <v>229</v>
      </c>
      <c r="AC289" s="5" t="s">
        <v>230</v>
      </c>
      <c r="AD289" s="5" t="s">
        <v>231</v>
      </c>
      <c r="AE289" s="5" t="s">
        <v>232</v>
      </c>
      <c r="AF289" s="6" t="s">
        <v>233</v>
      </c>
      <c r="AG289" s="6" t="s">
        <v>234</v>
      </c>
      <c r="AH289" s="6" t="s">
        <v>235</v>
      </c>
      <c r="AI289" s="5" t="s">
        <v>236</v>
      </c>
      <c r="AJ289" s="5" t="s">
        <v>237</v>
      </c>
      <c r="AK289" s="5" t="s">
        <v>238</v>
      </c>
      <c r="AL289" s="5" t="s">
        <v>239</v>
      </c>
      <c r="AM289" s="5" t="s">
        <v>240</v>
      </c>
      <c r="AN289" s="5" t="s">
        <v>241</v>
      </c>
      <c r="AO289" s="5" t="s">
        <v>242</v>
      </c>
      <c r="AP289" s="5" t="s">
        <v>243</v>
      </c>
      <c r="AQ289" s="5" t="s">
        <v>244</v>
      </c>
      <c r="AR289" s="5" t="s">
        <v>245</v>
      </c>
      <c r="AS289" s="5" t="s">
        <v>246</v>
      </c>
      <c r="AT289" s="5" t="s">
        <v>247</v>
      </c>
      <c r="AU289" s="5" t="s">
        <v>248</v>
      </c>
      <c r="AV289" s="5" t="s">
        <v>249</v>
      </c>
      <c r="AW289" s="5" t="s">
        <v>250</v>
      </c>
      <c r="AX289" s="5" t="s">
        <v>251</v>
      </c>
      <c r="AY289" s="5" t="s">
        <v>252</v>
      </c>
      <c r="AZ289" s="5" t="s">
        <v>253</v>
      </c>
      <c r="BA289" s="5" t="s">
        <v>490</v>
      </c>
      <c r="BB289" s="5" t="s">
        <v>491</v>
      </c>
      <c r="BC289" s="5" t="s">
        <v>492</v>
      </c>
      <c r="BD289" s="5" t="s">
        <v>493</v>
      </c>
      <c r="BE289" s="5" t="s">
        <v>494</v>
      </c>
      <c r="BF289" s="5" t="s">
        <v>492</v>
      </c>
      <c r="BG289" s="5" t="s">
        <v>493</v>
      </c>
      <c r="BH289" s="5" t="s">
        <v>495</v>
      </c>
      <c r="BI289" s="5" t="s">
        <v>496</v>
      </c>
      <c r="BJ289" s="5" t="s">
        <v>492</v>
      </c>
      <c r="BK289" s="5" t="s">
        <v>493</v>
      </c>
      <c r="BL289" s="5" t="s">
        <v>497</v>
      </c>
      <c r="BM289" s="5" t="s">
        <v>492</v>
      </c>
      <c r="BN289" s="5" t="s">
        <v>493</v>
      </c>
      <c r="BO289" s="5" t="s">
        <v>495</v>
      </c>
      <c r="BP289" s="5" t="s">
        <v>498</v>
      </c>
      <c r="BQ289" s="5" t="s">
        <v>499</v>
      </c>
      <c r="BR289" s="5" t="s">
        <v>500</v>
      </c>
      <c r="BS289" s="5" t="s">
        <v>501</v>
      </c>
      <c r="BT289" s="5" t="s">
        <v>502</v>
      </c>
      <c r="BU289" s="5" t="s">
        <v>503</v>
      </c>
      <c r="BV289" s="5" t="s">
        <v>504</v>
      </c>
      <c r="BW289" s="5" t="s">
        <v>505</v>
      </c>
      <c r="BX289" s="5" t="s">
        <v>506</v>
      </c>
      <c r="BY289" s="5" t="s">
        <v>173</v>
      </c>
      <c r="BZ289" s="5" t="s">
        <v>174</v>
      </c>
      <c r="CA289" s="5" t="s">
        <v>503</v>
      </c>
      <c r="CB289" s="5" t="s">
        <v>507</v>
      </c>
      <c r="CC289" s="5" t="s">
        <v>173</v>
      </c>
      <c r="CD289" s="5" t="s">
        <v>508</v>
      </c>
      <c r="CE289" s="7" t="s">
        <v>509</v>
      </c>
      <c r="CF289" s="7" t="s">
        <v>510</v>
      </c>
      <c r="CG289" s="7" t="s">
        <v>511</v>
      </c>
      <c r="CH289" s="5" t="s">
        <v>512</v>
      </c>
      <c r="CI289" s="5" t="s">
        <v>513</v>
      </c>
      <c r="CJ289" s="5" t="s">
        <v>492</v>
      </c>
      <c r="CK289" s="5" t="s">
        <v>493</v>
      </c>
      <c r="CL289" s="5" t="s">
        <v>494</v>
      </c>
      <c r="CM289" s="5" t="s">
        <v>492</v>
      </c>
      <c r="CN289" s="5" t="s">
        <v>493</v>
      </c>
      <c r="CO289" s="5" t="s">
        <v>495</v>
      </c>
      <c r="CP289" s="5" t="s">
        <v>496</v>
      </c>
      <c r="CQ289" s="5" t="s">
        <v>492</v>
      </c>
      <c r="CR289" s="5" t="s">
        <v>493</v>
      </c>
      <c r="CS289" s="5" t="s">
        <v>497</v>
      </c>
      <c r="CT289" s="5" t="s">
        <v>492</v>
      </c>
      <c r="CU289" s="5" t="s">
        <v>493</v>
      </c>
      <c r="CV289" s="5" t="s">
        <v>495</v>
      </c>
      <c r="CW289" s="5" t="s">
        <v>498</v>
      </c>
      <c r="CX289" s="5" t="s">
        <v>499</v>
      </c>
      <c r="CY289" s="5" t="s">
        <v>500</v>
      </c>
      <c r="CZ289" s="5" t="s">
        <v>501</v>
      </c>
      <c r="DA289" s="5" t="s">
        <v>502</v>
      </c>
      <c r="DB289" s="5" t="s">
        <v>503</v>
      </c>
      <c r="DC289" s="5" t="s">
        <v>504</v>
      </c>
      <c r="DD289" s="5" t="s">
        <v>505</v>
      </c>
      <c r="DE289" s="5" t="s">
        <v>506</v>
      </c>
      <c r="DF289" s="5" t="s">
        <v>173</v>
      </c>
      <c r="DG289" s="5" t="s">
        <v>174</v>
      </c>
      <c r="DH289" s="5" t="s">
        <v>503</v>
      </c>
      <c r="DI289" s="5" t="s">
        <v>507</v>
      </c>
      <c r="DJ289" s="5" t="s">
        <v>173</v>
      </c>
      <c r="DK289" s="5" t="s">
        <v>508</v>
      </c>
      <c r="DL289" s="7" t="s">
        <v>509</v>
      </c>
      <c r="DM289" s="7" t="s">
        <v>510</v>
      </c>
      <c r="DN289" s="7" t="s">
        <v>511</v>
      </c>
      <c r="DO289" s="2"/>
      <c r="DP289" s="2"/>
    </row>
    <row r="290" spans="3:120" ht="18.600000000000001" customHeight="1">
      <c r="C290" s="13">
        <f>IF(D290&lt;&gt;"",COUNTA($D$10:D290),"")</f>
        <v>239</v>
      </c>
      <c r="D290" s="14" t="s">
        <v>200</v>
      </c>
      <c r="E290" s="14">
        <v>3</v>
      </c>
      <c r="F290" s="14">
        <v>3</v>
      </c>
      <c r="G290" s="14">
        <v>2.4</v>
      </c>
      <c r="H290" s="14">
        <v>1</v>
      </c>
      <c r="I290" s="14">
        <v>2</v>
      </c>
      <c r="J290" s="14">
        <v>1.75</v>
      </c>
      <c r="K290" s="14">
        <v>3</v>
      </c>
      <c r="L290" s="15">
        <v>0.1</v>
      </c>
      <c r="M290" s="15">
        <v>0</v>
      </c>
      <c r="N290" s="14">
        <v>24</v>
      </c>
      <c r="O290" s="14">
        <v>50</v>
      </c>
      <c r="P290" s="13">
        <v>45</v>
      </c>
      <c r="Q290" s="13">
        <v>85</v>
      </c>
      <c r="R290" s="13" t="s">
        <v>17</v>
      </c>
      <c r="S290" s="13">
        <v>120</v>
      </c>
      <c r="T290" s="13">
        <v>0</v>
      </c>
      <c r="U290" s="13">
        <v>100</v>
      </c>
      <c r="V290" s="13" t="str">
        <f>R290</f>
        <v>ISO 6</v>
      </c>
      <c r="W290" s="13">
        <f>S290</f>
        <v>120</v>
      </c>
      <c r="X290" s="16">
        <f>E290*F290*10.76</f>
        <v>96.84</v>
      </c>
      <c r="Y290" s="16">
        <f>X290*G290*3.28</f>
        <v>762.32447999999999</v>
      </c>
      <c r="Z290" s="16">
        <f>Y290*S290/60</f>
        <v>1524.64896</v>
      </c>
      <c r="AA290" s="16">
        <f>Z290*L290</f>
        <v>152.46489600000001</v>
      </c>
      <c r="AB290" s="16">
        <f>IF(N290="Amb",Z290,Z290*M290)</f>
        <v>0</v>
      </c>
      <c r="AC290" s="16">
        <f>IF(ISNUMBER(N290), (AA290*0.075*60/2.20462)*BP290/7000, "Ambient")</f>
        <v>14.025567184357984</v>
      </c>
      <c r="AD290" s="16">
        <f>IF(ISNUMBER(N290), CEILING(CF290/(0.68*BP290),25), "Ambient")</f>
        <v>2850</v>
      </c>
      <c r="AE290" s="16">
        <f>CEILING(MAX((Z290+AA290),AD290),25)</f>
        <v>2850</v>
      </c>
      <c r="AF290" s="16">
        <f>CEILING(IF(OR($R290="ISO 6",$R290="GRADE B",$R290="1K",$R290=1000),AE290*1/175,IF(OR($R290="ISO 5",$R290="GRADE A",$R290=100),AE290*1/100,IF(OR($R290="ISO 7",$R290="GRADE C",$R290="10K",$R290=10000),$AE290*1/250,IF(OR($R290="ISO 8",$R290="GRADE D",$R290="100K",$R290=100000),$AE290*1/250,IF(OR($R290="NC",$R290="20 Micron",$R290="5 Micron",$R290="N C"),$AE290*1/350,0))))),2)</f>
        <v>18</v>
      </c>
      <c r="AG290" s="16">
        <f>IF(ISNUMBER(N290), CEILING(MAX(AI290,AJ290),0.5), "Ambient")</f>
        <v>7.5</v>
      </c>
      <c r="AH290" s="838" t="s">
        <v>85</v>
      </c>
      <c r="AI290" s="17">
        <f>IF(ISNUMBER(N290), CEILING(CE290/12000,0.5), "Ambient")</f>
        <v>4.5</v>
      </c>
      <c r="AJ290" s="17">
        <f>IF(ISNUMBER(N290),CEILING(AE290/(IF(AH290="C",400,300)),0.5), "Ambient")</f>
        <v>7.5</v>
      </c>
      <c r="AK290" s="891">
        <f>CEILING(SUM(AE290:AE305),250)</f>
        <v>42500</v>
      </c>
      <c r="AL290" s="18" t="s">
        <v>254</v>
      </c>
      <c r="AM290" s="889">
        <v>150</v>
      </c>
      <c r="AN290" s="891">
        <f>IF(AK290&lt;=1300,200,IF(AK290&lt;=1600,225,IF(AK290&lt;=2100,250,IF(AK290&lt;=2700,280,IF(AK290&lt;=3450,315,IF(AK290&lt;=4250,355,IF(AK290&lt;=5250,400,IF(AK290&lt;=6750,450,IF(AK290&lt;=8500,500,IF(AK290&lt;=10750,560,IF(AK290&lt;=13500,630,IF(AK290&lt;=17000,710,IF(AK290&lt;=21500,800,IF(AK290&lt;=27000,900,IF(AK290&lt;=34000,1000,IF(AK290&lt;=43000,1120,IF(AK290&lt;=49000,1200,IF(AK290&lt;=68000,1450,"Refer"))))))))))))))))))</f>
        <v>1120</v>
      </c>
      <c r="AO290" s="888">
        <f>IF(AK290*AM290/(6356*0.7*0.9*1.1*25.4)&lt;=1,1,IF(AK290*AM290/(6356*0.7*0.9*1.1*25.4)&lt;=1.5,1.5,IF(AK290*AM290/(6356*0.7*0.9*1.1*25.4)&lt;=2,2,IF(AK290*AM290/(6356*0.7*0.9*1.1*25.4)&lt;=3,3,IF(AK290*AM290/(6356*0.7*0.9*1.1*25.4)&lt;=5,5,IF(AK290*AM290/(6356*0.7*0.9*1.1*25.4)&lt;=7.5,7.5,IF(AK290*AM290/(6356*0.7*0.9*1.1*25.4)&lt;=10,10,IF(AK290*AM290/(6356*0.7*0.9*1.1*25.4)&lt;=12.5,12.5,IF(AK290*AM290/(6356*0.7*0.9*1.1*25.4)&lt;=15,15,IF(AK290*AM290/(6356*0.7*0.9*1.1*25.4)&lt;=20,20,IF(AK290*AM290/(6356*0.7*0.9*1.1*25.4)&lt;=25,25,IF(AK290*AM290/(6356*0.7*0.9*1.1*25.4)&lt;=30,30,IF(AK290*AM290/(6356*0.7*0.9*1.1*25.4)&lt;=40,40,IF(AK290*AM290/(6356*0.7*0.9*1.1*25.4)&lt;=50,50,IF(AK290*AM290/(6356*0.7*0.9*1.1*25.4)&lt;=60,60,IF(AK290*AM290/(6356*0.7*0.9*1.1*25.4)&lt;=75,75,"Refer"))))))))))))))))</f>
        <v>60</v>
      </c>
      <c r="AP290" s="891">
        <f>IF(AND(AQ290=0, N290="Amb"), "Amb",IF((AL291-250)*(AL293-150)*10.76/(1000*1000) &gt;= MAX(AI306,AJ306), 4,IF((AL291-250)*(AL293-150)*10.76*1.5/(1000*1000) &gt;= MAX(AI306,AJ306), 6,IF((AL291-250)*(AL293-150)*10.76*2/(1000*1000) &gt;= MAX(AI306,AJ306), 8, 0))
 )
)</f>
        <v>4</v>
      </c>
      <c r="AQ290" s="891">
        <f>AG306</f>
        <v>108.5</v>
      </c>
      <c r="AR290" s="889">
        <f>_xlfn.SWITCH(TRIM(UPPER(R290)),"ISO 9", 3,"ISO 8", 4,"Grade D", 4,"Class 100,000", 4,"Class 100K", 4,"ISO 7", 3,"Grade C", 3,"Class 10,000", 3,"Class 10K", 3,"ISO 6", 3,"Class 1,000", 3,"Class 1K", 3,"ISO 5", 4,"Grade A", 4,"Grade B", 4,"Class 100", 4,"ISO 4", 3,"ISO 3", 4,"ISO 2", 4,"ISO 1", 4,"NCV20",1,"NCV-10",2,"NCV-5",3,"NCAC-10",1,"NCAC-5",2,"NCAC-1",3,3)</f>
        <v>3</v>
      </c>
      <c r="AS290" s="888">
        <f>MAX(AI306,AJ306)*24/6</f>
        <v>434</v>
      </c>
      <c r="AT290" s="888">
        <f>AS290*0.06309</f>
        <v>27.381059999999998</v>
      </c>
      <c r="AU290" s="890">
        <v>2</v>
      </c>
      <c r="AV290" s="888">
        <f>SQRT((4*AS290*0.00006309)/(3.14*AU290))*1000</f>
        <v>132.06121915647887</v>
      </c>
      <c r="AW290" s="888"/>
      <c r="AX290" s="888"/>
      <c r="AY290" s="887"/>
      <c r="AZ290" s="888"/>
      <c r="BA290" s="17">
        <f>-CONVERT(N290,"C","F")+CONVERT((N290+8),"C","F")</f>
        <v>14.399999999999991</v>
      </c>
      <c r="BB290" s="17">
        <f>CONVERT(P290,"C","F")-CONVERT(N290,"C","F")</f>
        <v>37.799999999999997</v>
      </c>
      <c r="BC290" s="17">
        <f>N290+8</f>
        <v>32</v>
      </c>
      <c r="BD290" s="17">
        <f>BG290+35</f>
        <v>85</v>
      </c>
      <c r="BE290" s="17">
        <f>0.622*7000*(BD290/100)*(6.1078*10^((7.5*BC290)/(237.3+BC290)))/(1013.25-(6.1078*10^((7.5*BC290)/(237.3+BC290)))*BD290/100)</f>
        <v>180.86341983910182</v>
      </c>
      <c r="BF290" s="17">
        <f>N290</f>
        <v>24</v>
      </c>
      <c r="BG290" s="17">
        <f>O290</f>
        <v>50</v>
      </c>
      <c r="BH290" s="17">
        <f>0.622*7000*(BG290/100)*(6.1078*10^((7.5*BF290)/(237.3+BF290)))/(1013.25-(6.1078*10^((7.5*BF290)/(237.3+BF290)))*BG290/100)</f>
        <v>65.062647806544774</v>
      </c>
      <c r="BI290" s="17">
        <f>BE290-BH290</f>
        <v>115.80077203255705</v>
      </c>
      <c r="BJ290" s="17">
        <f>P290</f>
        <v>45</v>
      </c>
      <c r="BK290" s="17">
        <f>Q290</f>
        <v>85</v>
      </c>
      <c r="BL290" s="17">
        <f>0.622*7000*(BK290/100)*(6.1078*10^((7.5*BJ290)/(237.3+BJ290)))/(1013.25-(6.1078*10^((7.5*BJ290)/(237.3+BJ290)))*BK290/100)</f>
        <v>380.54120080897206</v>
      </c>
      <c r="BM290" s="17">
        <f>N290</f>
        <v>24</v>
      </c>
      <c r="BN290" s="17">
        <f>BG290</f>
        <v>50</v>
      </c>
      <c r="BO290" s="17">
        <f>0.622*7000*(BN290/100)*(6.1078*10^((7.5*BM290)/(237.3+BM290)))/(1013.25-(6.1078*10^((7.5*BM290)/(237.3+BM290)))*BN290/100)</f>
        <v>65.062647806544774</v>
      </c>
      <c r="BP290" s="17">
        <f>BL290-BO290</f>
        <v>315.4785530024273</v>
      </c>
      <c r="BQ290" s="17">
        <f>($E290*$G290*10.76*2+$F290*$G290*2*10.76)*$BB290*0.45</f>
        <v>5271.1948799999991</v>
      </c>
      <c r="BR290" s="17">
        <f>($E290*$G290*10.76*2+$F290*$G290*2*10.76)*$BA290*0.45</f>
        <v>2008.0742399999988</v>
      </c>
      <c r="BS290" s="17">
        <f>($E290*$F290*10.76)*$BA290*0.45</f>
        <v>627.52319999999963</v>
      </c>
      <c r="BT290" s="17">
        <f>($E290*$F290*10.76)*$BB290*0.45</f>
        <v>1647.2483999999999</v>
      </c>
      <c r="BU290" s="17">
        <f>$H290*285*1.08*$BB290</f>
        <v>11634.84</v>
      </c>
      <c r="BV290" s="17">
        <f>$I290*1000*3.412</f>
        <v>6824</v>
      </c>
      <c r="BW290" s="17">
        <f>$J290*$X290*3.412</f>
        <v>578.23163999999997</v>
      </c>
      <c r="BX290" s="17">
        <f>$K290*1.08*375*$BA290</f>
        <v>17495.999999999989</v>
      </c>
      <c r="BY290" s="17">
        <f>($AA290+$AB290)*1.08*$BB290</f>
        <v>6224.2269143040003</v>
      </c>
      <c r="BZ290" s="17"/>
      <c r="CA290" s="17">
        <f>$H290*200*0.68*$BP290</f>
        <v>42905.083208330114</v>
      </c>
      <c r="CB290" s="17">
        <f>$K290*375*0.68*$BP290</f>
        <v>241341.0930468569</v>
      </c>
      <c r="CC290" s="17">
        <f>($AA290+$AB290)*0.68*$BP290</f>
        <v>32707.59524614699</v>
      </c>
      <c r="CD290" s="17">
        <f>($Z290-$AA290)*0.68*$BP290</f>
        <v>294368.3572153229</v>
      </c>
      <c r="CE290" s="17">
        <f>$BQ290+$BU290+$BV290+$BW290+$BX290+$BY290</f>
        <v>48028.493434303993</v>
      </c>
      <c r="CF290" s="17">
        <f>$CA290+$CB290+$CC290+$CD290</f>
        <v>611322.12871665694</v>
      </c>
      <c r="CG290" s="17">
        <f>$CE290+$CF290</f>
        <v>659350.62215096096</v>
      </c>
      <c r="CH290" s="17">
        <f>CONVERT(N290,"C","F")-CONVERT((N290-8),"C","F")</f>
        <v>14.400000000000006</v>
      </c>
      <c r="CI290" s="17">
        <f>CONVERT(T290,"C","F")-CONVERT(N290,"C","F")</f>
        <v>-43.2</v>
      </c>
      <c r="CJ290" s="17">
        <f>CM290-8</f>
        <v>16</v>
      </c>
      <c r="CK290" s="17">
        <f>O290+40</f>
        <v>90</v>
      </c>
      <c r="CL290" s="17">
        <f>0.622*7000*(CK290/100)*(6.1078*10^((7.5*CJ290)/(237.3+CJ290)))/(1013.25-(6.1078*10^((7.5*CJ290)/(237.3+CJ290)))*CK290/100)</f>
        <v>71.46880726181422</v>
      </c>
      <c r="CM290" s="17">
        <f>N290</f>
        <v>24</v>
      </c>
      <c r="CN290" s="17">
        <f>O290</f>
        <v>50</v>
      </c>
      <c r="CO290" s="17">
        <f>0.622*7000*(CN290/100)*(6.1078*10^((7.5*CM290)/(237.3+CM290)))/(1013.25-(6.1078*10^((7.5*CM290)/(237.3+CM290)))*CN290/100)</f>
        <v>65.062647806544774</v>
      </c>
      <c r="CP290" s="17">
        <f>CL290-CO290</f>
        <v>6.4061594552694459</v>
      </c>
      <c r="CQ290" s="17">
        <f>T290</f>
        <v>0</v>
      </c>
      <c r="CR290" s="17">
        <f>U290</f>
        <v>100</v>
      </c>
      <c r="CS290" s="17">
        <f>0.622*7000*(CR290/100)*(6.1078*10^((7.5*CQ290)/(237.3+CQ290)))/(1013.25-(6.1078*10^((7.5*CQ290)/(237.3+CQ290)))*CR290/100)</f>
        <v>26.404773030064671</v>
      </c>
      <c r="CT290" s="17">
        <f>CM290</f>
        <v>24</v>
      </c>
      <c r="CU290" s="17">
        <f>O290</f>
        <v>50</v>
      </c>
      <c r="CV290" s="17">
        <f>0.622*7000*(CU290/100)*(6.1078*10^((7.5*CT290)/(237.3+CT290)))/(1013.25-(6.1078*10^((7.5*CT290)/(237.3+CT290)))*CU290/100)</f>
        <v>65.062647806544774</v>
      </c>
      <c r="CW290" s="17">
        <f>CS290-CV290</f>
        <v>-38.657874776480099</v>
      </c>
      <c r="CX290" s="17">
        <f t="shared" ref="CX290:CY305" si="1267">($E290*$G290*10.76*2+$F290*$G290*2*10.76)*$CI290*0.45</f>
        <v>-6024.2227199999998</v>
      </c>
      <c r="CY290" s="17">
        <f t="shared" si="1267"/>
        <v>-6024.2227199999998</v>
      </c>
      <c r="CZ290" s="17">
        <f>($E290*$F290*10.76)*$CH290*0.45</f>
        <v>627.52320000000032</v>
      </c>
      <c r="DA290" s="17">
        <f>($E290*$F290*10.76)*$CI290*0.45</f>
        <v>-1882.5696000000003</v>
      </c>
      <c r="DB290" s="17">
        <f>$H290*285*1.08*$CI290</f>
        <v>-13296.960000000001</v>
      </c>
      <c r="DC290" s="17">
        <f>$I290*1000*3.412</f>
        <v>6824</v>
      </c>
      <c r="DD290" s="17">
        <f>$J290*$X290*3.412</f>
        <v>578.23163999999997</v>
      </c>
      <c r="DE290" s="17">
        <f>$K290*1.08*375*$CH290</f>
        <v>17496.000000000007</v>
      </c>
      <c r="DF290" s="17">
        <f>($AA290+$AB290)*1.08*$CI290</f>
        <v>-7113.4021877760015</v>
      </c>
      <c r="DG290" s="17"/>
      <c r="DH290" s="17">
        <f>$H290*200*0.68*CW290</f>
        <v>-5257.4709696012933</v>
      </c>
      <c r="DI290" s="17">
        <f>$K290*375*0.68*CW290</f>
        <v>-29573.274204007277</v>
      </c>
      <c r="DJ290" s="17">
        <f>(AA290+AB290)*0.68*CW290</f>
        <v>-4007.8988230164023</v>
      </c>
      <c r="DK290" s="17">
        <f>(Z290-AA290)*0.68*CP290</f>
        <v>5977.4923428552856</v>
      </c>
      <c r="DL290" s="17">
        <f>CX290+DA290+CZ290+DB290+DC290+DD290+DE290+DF290</f>
        <v>-2791.3996677759942</v>
      </c>
      <c r="DM290" s="17">
        <f>DH290+DI290+DJ290+DK290</f>
        <v>-32861.151653769688</v>
      </c>
      <c r="DN290" s="17">
        <f>DL290+DM290</f>
        <v>-35652.551321545681</v>
      </c>
    </row>
    <row r="291" spans="3:120" ht="18.600000000000001">
      <c r="C291" s="13">
        <f>IF(D291&lt;&gt;"",COUNTA($D$10:D291),"")</f>
        <v>240</v>
      </c>
      <c r="D291" s="14" t="s">
        <v>201</v>
      </c>
      <c r="E291" s="14">
        <v>1.8</v>
      </c>
      <c r="F291" s="14">
        <v>2.2000000000000002</v>
      </c>
      <c r="G291" s="14">
        <v>2.4</v>
      </c>
      <c r="H291" s="14">
        <v>2</v>
      </c>
      <c r="I291" s="14">
        <v>1</v>
      </c>
      <c r="J291" s="14">
        <v>1.75</v>
      </c>
      <c r="K291" s="14">
        <v>3</v>
      </c>
      <c r="L291" s="15">
        <v>0.1</v>
      </c>
      <c r="M291" s="15">
        <v>0</v>
      </c>
      <c r="N291" s="14">
        <v>24</v>
      </c>
      <c r="O291" s="14">
        <v>50</v>
      </c>
      <c r="P291" s="13">
        <v>45</v>
      </c>
      <c r="Q291" s="13">
        <v>85</v>
      </c>
      <c r="R291" s="13" t="s">
        <v>17</v>
      </c>
      <c r="S291" s="13">
        <v>120</v>
      </c>
      <c r="T291" s="13">
        <v>0</v>
      </c>
      <c r="U291" s="13">
        <v>100</v>
      </c>
      <c r="V291" s="13" t="str">
        <f t="shared" ref="V291:V305" si="1268">R291</f>
        <v>ISO 6</v>
      </c>
      <c r="W291" s="13">
        <f t="shared" ref="W291:W305" si="1269">S291</f>
        <v>120</v>
      </c>
      <c r="X291" s="16">
        <f t="shared" ref="X291:X305" si="1270">E291*F291*10.76</f>
        <v>42.6096</v>
      </c>
      <c r="Y291" s="16">
        <f t="shared" ref="Y291:Y305" si="1271">X291*G291*3.28</f>
        <v>335.4227712</v>
      </c>
      <c r="Z291" s="16">
        <f t="shared" ref="Z291:Z305" si="1272">Y291*S291/60</f>
        <v>670.8455424</v>
      </c>
      <c r="AA291" s="16">
        <f t="shared" ref="AA291:AA305" si="1273">Z291*L291</f>
        <v>67.084554240000003</v>
      </c>
      <c r="AB291" s="16">
        <f t="shared" ref="AB291:AB305" si="1274">IF(N291="Amb",Z291,Z291*M291)</f>
        <v>0</v>
      </c>
      <c r="AC291" s="16">
        <f t="shared" ref="AC291:AC305" si="1275">IF(ISNUMBER(N291), (AA291*0.075*60/2.20462)*BP291/7000, "Ambient")</f>
        <v>6.1712495611175129</v>
      </c>
      <c r="AD291" s="16">
        <f t="shared" ref="AD291:AD297" si="1276">IF(ISNUMBER(N291), CEILING(CF291/(0.68*BP291),25), "Ambient")</f>
        <v>2200</v>
      </c>
      <c r="AE291" s="16">
        <f t="shared" ref="AE291:AE305" si="1277">CEILING(MAX((Z291+AA291),AD291),25)</f>
        <v>2200</v>
      </c>
      <c r="AF291" s="16">
        <f t="shared" ref="AF291:AF305" si="1278">CEILING(IF(OR($R291="ISO 6",$R291="GRADE B",$R291="1K",$R291=1000),AE291*1/175,IF(OR($R291="ISO 5",$R291="GRADE A",$R291=100),AE291*1/100,IF(OR($R291="ISO 7",$R291="GRADE C",$R291="10K",$R291=10000),$AE291*1/250,IF(OR($R291="ISO 8",$R291="GRADE D",$R291="100K",$R291=100000),$AE291*1/250,IF(OR($R291="NC",$R291="20 Micron",$R291="5 Micron",$R291="N C"),$AE291*1/350,0))))),2)</f>
        <v>14</v>
      </c>
      <c r="AG291" s="16">
        <f t="shared" ref="AG291:AG305" si="1279">IF(ISNUMBER(N291), CEILING(MAX(AI291,AJ291),0.5), "Ambient")</f>
        <v>5.5</v>
      </c>
      <c r="AH291" s="838" t="s">
        <v>85</v>
      </c>
      <c r="AI291" s="17">
        <f t="shared" ref="AI291:AI305" si="1280">IF(ISNUMBER(N291), CEILING(CE291/12000,0.5), "Ambient")</f>
        <v>4.5</v>
      </c>
      <c r="AJ291" s="17">
        <f t="shared" ref="AJ291:AJ305" si="1281">IF(ISNUMBER(N291),CEILING(AE291/(IF(AH291="C",400,300)),0.5), "Ambient")</f>
        <v>5.5</v>
      </c>
      <c r="AK291" s="891"/>
      <c r="AL291" s="18">
        <f>IF(AK290&lt;=2000,950,(IF(AK290&lt;=3000,1150,(IF(AK290&lt;=8000,1550,(IF(AK290&lt;=10000,1750,(IF(AK290&lt;=18000,2050,(IF(AK290&lt;=32000,2900,(IF(AK290&lt;=40000,3600,4000)))))))))))))</f>
        <v>4000</v>
      </c>
      <c r="AM291" s="889"/>
      <c r="AN291" s="891"/>
      <c r="AO291" s="888"/>
      <c r="AP291" s="891"/>
      <c r="AQ291" s="891"/>
      <c r="AR291" s="889"/>
      <c r="AS291" s="888"/>
      <c r="AT291" s="888"/>
      <c r="AU291" s="890"/>
      <c r="AV291" s="888"/>
      <c r="AW291" s="888"/>
      <c r="AX291" s="888"/>
      <c r="AY291" s="887"/>
      <c r="AZ291" s="888"/>
      <c r="BA291" s="17">
        <f t="shared" ref="BA291:BA305" si="1282">-CONVERT(N291,"C","F")+CONVERT((N291+8),"C","F")</f>
        <v>14.399999999999991</v>
      </c>
      <c r="BB291" s="17">
        <f t="shared" ref="BB291:BB305" si="1283">CONVERT(P291,"C","F")-CONVERT(N291,"C","F")</f>
        <v>37.799999999999997</v>
      </c>
      <c r="BC291" s="17">
        <f t="shared" ref="BC291:BC305" si="1284">BF291+8</f>
        <v>32</v>
      </c>
      <c r="BD291" s="17">
        <f t="shared" ref="BD291:BD305" si="1285">BG291+35</f>
        <v>85</v>
      </c>
      <c r="BE291" s="17">
        <f t="shared" ref="BE291:BE305" si="1286">0.622*7000*(BD291/100)*(6.1078*10^((7.5*BC291)/(237.3+BC291)))/(1013.25-(6.1078*10^((7.5*BC291)/(237.3+BC291)))*BD291/100)</f>
        <v>180.86341983910182</v>
      </c>
      <c r="BF291" s="17">
        <f t="shared" ref="BF291:BF305" si="1287">N291</f>
        <v>24</v>
      </c>
      <c r="BG291" s="17">
        <f t="shared" ref="BG291:BG305" si="1288">O291</f>
        <v>50</v>
      </c>
      <c r="BH291" s="17">
        <f t="shared" ref="BH291:BH305" si="1289">0.622*7000*(BG291/100)*(6.1078*10^((7.5*BF291)/(237.3+BF291)))/(1013.25-(6.1078*10^((7.5*BF291)/(237.3+BF291)))*BG291/100)</f>
        <v>65.062647806544774</v>
      </c>
      <c r="BI291" s="17">
        <f t="shared" ref="BI291:BI305" si="1290">BE291-BH291</f>
        <v>115.80077203255705</v>
      </c>
      <c r="BJ291" s="17">
        <f t="shared" ref="BJ291:BJ305" si="1291">P291</f>
        <v>45</v>
      </c>
      <c r="BK291" s="17">
        <f t="shared" ref="BK291:BK305" si="1292">Q291</f>
        <v>85</v>
      </c>
      <c r="BL291" s="17">
        <f t="shared" ref="BL291:BL305" si="1293">0.622*7000*(BK291/100)*(6.1078*10^((7.5*BJ291)/(237.3+BJ291)))/(1013.25-(6.1078*10^((7.5*BJ291)/(237.3+BJ291)))*BK291/100)</f>
        <v>380.54120080897206</v>
      </c>
      <c r="BM291" s="17">
        <f t="shared" ref="BM291:BM305" si="1294">BF291</f>
        <v>24</v>
      </c>
      <c r="BN291" s="17">
        <f t="shared" ref="BN291:BN305" si="1295">BG291</f>
        <v>50</v>
      </c>
      <c r="BO291" s="17">
        <f t="shared" ref="BO291:BO305" si="1296">0.622*7000*(BN291/100)*(6.1078*10^((7.5*BM291)/(237.3+BM291)))/(1013.25-(6.1078*10^((7.5*BM291)/(237.3+BM291)))*BN291/100)</f>
        <v>65.062647806544774</v>
      </c>
      <c r="BP291" s="17">
        <f t="shared" ref="BP291:BP305" si="1297">BL291-BO291</f>
        <v>315.4785530024273</v>
      </c>
      <c r="BQ291" s="17">
        <f t="shared" ref="BQ291:BQ305" si="1298">(E291*G291*10.76*2+F291*G291*2*10.76)*BB291*0.45</f>
        <v>3514.1299199999999</v>
      </c>
      <c r="BR291" s="17">
        <f t="shared" ref="BR291:BR305" si="1299">(E291*G291*10.76*2+F291*G291*2*10.76)*BA291*0.45</f>
        <v>1338.7161599999993</v>
      </c>
      <c r="BS291" s="17">
        <f t="shared" ref="BS291:BS305" si="1300">(E291*F291*10.76)*BA291*0.45</f>
        <v>276.11020799999983</v>
      </c>
      <c r="BT291" s="17">
        <f t="shared" ref="BT291:BT305" si="1301">(E291*F291*10.76)*BB291*0.45</f>
        <v>724.78929599999992</v>
      </c>
      <c r="BU291" s="17">
        <f t="shared" ref="BU291:BU305" si="1302">H291*285*1.08*BB291</f>
        <v>23269.68</v>
      </c>
      <c r="BV291" s="17">
        <f t="shared" ref="BV291:BV305" si="1303">I291*1000*3.412</f>
        <v>3412</v>
      </c>
      <c r="BW291" s="17">
        <f t="shared" ref="BW291:BW305" si="1304">J291*X291*3.412</f>
        <v>254.42192159999999</v>
      </c>
      <c r="BX291" s="17">
        <f t="shared" ref="BX291:BX305" si="1305">K291*1.08*375*BA291</f>
        <v>17495.999999999989</v>
      </c>
      <c r="BY291" s="17">
        <f t="shared" ref="BY291:BY305" si="1306">(AA291+AB291)*1.08*BB291</f>
        <v>2738.65984229376</v>
      </c>
      <c r="BZ291" s="17"/>
      <c r="CA291" s="17">
        <f t="shared" ref="CA291:CA305" si="1307">H291*200*0.68*BP291</f>
        <v>85810.166416660228</v>
      </c>
      <c r="CB291" s="17">
        <f t="shared" ref="CB291:CB305" si="1308">K291*375*0.68*BP291</f>
        <v>241341.0930468569</v>
      </c>
      <c r="CC291" s="17">
        <f t="shared" ref="CC291:CC305" si="1309">(AA291+AB291)*0.68*BP291</f>
        <v>14391.341908304676</v>
      </c>
      <c r="CD291" s="17">
        <f t="shared" ref="CD291:CD305" si="1310">($Z291-$AA291)*0.68*$BP291</f>
        <v>129522.07717474207</v>
      </c>
      <c r="CE291" s="17">
        <f t="shared" ref="CE291:CE305" si="1311">$BQ291+$BU291+$BV291+$BW291+$BX291+$BY291</f>
        <v>50684.891683893751</v>
      </c>
      <c r="CF291" s="17">
        <f t="shared" ref="CF291:CF305" si="1312">$CA291+$CB291+$CC291+$CD291</f>
        <v>471064.67854656384</v>
      </c>
      <c r="CG291" s="17">
        <f t="shared" ref="CG291:CG305" si="1313">$CE291+$CF291</f>
        <v>521749.57023045758</v>
      </c>
      <c r="CH291" s="17">
        <f t="shared" ref="CH291:CH305" si="1314">CONVERT(N291,"C","F")-CONVERT((N291-8),"C","F")</f>
        <v>14.400000000000006</v>
      </c>
      <c r="CI291" s="17">
        <f t="shared" ref="CI291:CI305" si="1315">CONVERT(T291,"C","F")-CONVERT(N291,"C","F")</f>
        <v>-43.2</v>
      </c>
      <c r="CJ291" s="17">
        <f t="shared" ref="CJ291:CJ305" si="1316">CM291-8</f>
        <v>16</v>
      </c>
      <c r="CK291" s="17">
        <f t="shared" ref="CK291:CK305" si="1317">O291+40</f>
        <v>90</v>
      </c>
      <c r="CL291" s="17">
        <f t="shared" ref="CL291:CL305" si="1318">0.622*7000*(CK291/100)*(6.1078*10^((7.5*CJ291)/(237.3+CJ291)))/(1013.25-(6.1078*10^((7.5*CJ291)/(237.3+CJ291)))*CK291/100)</f>
        <v>71.46880726181422</v>
      </c>
      <c r="CM291" s="17">
        <f t="shared" ref="CM291:CM305" si="1319">N291</f>
        <v>24</v>
      </c>
      <c r="CN291" s="17">
        <f t="shared" ref="CN291:CN305" si="1320">O291</f>
        <v>50</v>
      </c>
      <c r="CO291" s="17">
        <f t="shared" ref="CO291:CO305" si="1321">0.622*7000*(CN291/100)*(6.1078*10^((7.5*CM291)/(237.3+CM291)))/(1013.25-(6.1078*10^((7.5*CM291)/(237.3+CM291)))*CN291/100)</f>
        <v>65.062647806544774</v>
      </c>
      <c r="CP291" s="17">
        <f t="shared" ref="CP291:CP305" si="1322">CL291-CO291</f>
        <v>6.4061594552694459</v>
      </c>
      <c r="CQ291" s="17">
        <f t="shared" ref="CQ291:CQ305" si="1323">T291</f>
        <v>0</v>
      </c>
      <c r="CR291" s="17">
        <f t="shared" ref="CR291:CR305" si="1324">U291</f>
        <v>100</v>
      </c>
      <c r="CS291" s="17">
        <f t="shared" ref="CS291:CS305" si="1325">0.622*7000*(CR291/100)*(6.1078*10^((7.5*CQ291)/(237.3+CQ291)))/(1013.25-(6.1078*10^((7.5*CQ291)/(237.3+CQ291)))*CR291/100)</f>
        <v>26.404773030064671</v>
      </c>
      <c r="CT291" s="17">
        <f t="shared" ref="CT291:CT305" si="1326">CM291</f>
        <v>24</v>
      </c>
      <c r="CU291" s="17">
        <f t="shared" ref="CU291:CU305" si="1327">O291</f>
        <v>50</v>
      </c>
      <c r="CV291" s="17">
        <f t="shared" ref="CV291:CV305" si="1328">0.622*7000*(CU291/100)*(6.1078*10^((7.5*CT291)/(237.3+CT291)))/(1013.25-(6.1078*10^((7.5*CT291)/(237.3+CT291)))*CU291/100)</f>
        <v>65.062647806544774</v>
      </c>
      <c r="CW291" s="17">
        <f t="shared" ref="CW291:CW305" si="1329">CS291-CV291</f>
        <v>-38.657874776480099</v>
      </c>
      <c r="CX291" s="17">
        <f t="shared" si="1267"/>
        <v>-4016.1484800000003</v>
      </c>
      <c r="CY291" s="17">
        <f t="shared" si="1267"/>
        <v>-4016.1484800000003</v>
      </c>
      <c r="CZ291" s="17">
        <f t="shared" ref="CZ291:CZ305" si="1330">($E291*$F291*10.76)*$CH291*0.45</f>
        <v>276.11020800000011</v>
      </c>
      <c r="DA291" s="17">
        <f t="shared" ref="DA291:DA305" si="1331">($E291*$F291*10.76)*$CI291*0.45</f>
        <v>-828.33062400000006</v>
      </c>
      <c r="DB291" s="17">
        <f t="shared" ref="DB291:DB305" si="1332">$H291*285*1.08*$CI291</f>
        <v>-26593.920000000002</v>
      </c>
      <c r="DC291" s="17">
        <f t="shared" ref="DC291:DC305" si="1333">$I291*1000*3.412</f>
        <v>3412</v>
      </c>
      <c r="DD291" s="17">
        <f t="shared" ref="DD291:DD305" si="1334">$J291*$X291*3.412</f>
        <v>254.42192159999999</v>
      </c>
      <c r="DE291" s="17">
        <f t="shared" ref="DE291:DE305" si="1335">$K291*1.08*375*$CH291</f>
        <v>17496.000000000007</v>
      </c>
      <c r="DF291" s="17">
        <f t="shared" ref="DF291:DF305" si="1336">($AA291+$AB291)*1.08*$CI291</f>
        <v>-3129.8969626214403</v>
      </c>
      <c r="DG291" s="17"/>
      <c r="DH291" s="17">
        <f t="shared" ref="DH291:DH305" si="1337">$H291*200*0.68*CW291</f>
        <v>-10514.941939202587</v>
      </c>
      <c r="DI291" s="17">
        <f t="shared" ref="DI291:DI305" si="1338">$K291*375*0.68*CW291</f>
        <v>-29573.274204007277</v>
      </c>
      <c r="DJ291" s="17">
        <f t="shared" ref="DJ291:DJ305" si="1339">(AA291+AB291)*0.68*CW291</f>
        <v>-1763.475482127217</v>
      </c>
      <c r="DK291" s="17">
        <f t="shared" ref="DK291:DK305" si="1340">(Z291-AA291)*0.68*CP291</f>
        <v>2630.0966308563256</v>
      </c>
      <c r="DL291" s="17">
        <f t="shared" ref="DL291:DL305" si="1341">CX291+DA291+CZ291+DB291+DC291+DD291+DE291+DF291</f>
        <v>-13129.763937021437</v>
      </c>
      <c r="DM291" s="17">
        <f t="shared" ref="DM291:DM305" si="1342">DH291+DI291+DJ291+DK291</f>
        <v>-39221.594994480751</v>
      </c>
      <c r="DN291" s="17">
        <f t="shared" ref="DN291:DN305" si="1343">DL291+DM291</f>
        <v>-52351.358931502189</v>
      </c>
    </row>
    <row r="292" spans="3:120" ht="18.600000000000001">
      <c r="C292" s="13">
        <f>IF(D292&lt;&gt;"",COUNTA($D$10:D292),"")</f>
        <v>241</v>
      </c>
      <c r="D292" s="14" t="s">
        <v>202</v>
      </c>
      <c r="E292" s="14">
        <v>1.5</v>
      </c>
      <c r="F292" s="14">
        <v>2.8</v>
      </c>
      <c r="G292" s="14">
        <v>2.4</v>
      </c>
      <c r="H292" s="14">
        <v>2</v>
      </c>
      <c r="I292" s="14">
        <v>3</v>
      </c>
      <c r="J292" s="14">
        <v>1.75</v>
      </c>
      <c r="K292" s="14">
        <v>3</v>
      </c>
      <c r="L292" s="15">
        <v>0.1</v>
      </c>
      <c r="M292" s="15">
        <v>0</v>
      </c>
      <c r="N292" s="14">
        <v>24</v>
      </c>
      <c r="O292" s="14">
        <v>50</v>
      </c>
      <c r="P292" s="13">
        <v>45</v>
      </c>
      <c r="Q292" s="13">
        <v>85</v>
      </c>
      <c r="R292" s="13" t="s">
        <v>17</v>
      </c>
      <c r="S292" s="13">
        <v>120</v>
      </c>
      <c r="T292" s="13">
        <v>0</v>
      </c>
      <c r="U292" s="13">
        <v>100</v>
      </c>
      <c r="V292" s="13" t="str">
        <f t="shared" si="1268"/>
        <v>ISO 6</v>
      </c>
      <c r="W292" s="13">
        <f t="shared" si="1269"/>
        <v>120</v>
      </c>
      <c r="X292" s="16">
        <f t="shared" si="1270"/>
        <v>45.191999999999993</v>
      </c>
      <c r="Y292" s="16">
        <f t="shared" si="1271"/>
        <v>355.75142399999993</v>
      </c>
      <c r="Z292" s="16">
        <f t="shared" si="1272"/>
        <v>711.50284799999986</v>
      </c>
      <c r="AA292" s="16">
        <f t="shared" si="1273"/>
        <v>71.150284799999994</v>
      </c>
      <c r="AB292" s="16">
        <f t="shared" si="1274"/>
        <v>0</v>
      </c>
      <c r="AC292" s="16">
        <f t="shared" si="1275"/>
        <v>6.5452646860337245</v>
      </c>
      <c r="AD292" s="16">
        <f t="shared" si="1276"/>
        <v>2250</v>
      </c>
      <c r="AE292" s="16">
        <f t="shared" si="1277"/>
        <v>2250</v>
      </c>
      <c r="AF292" s="16">
        <f t="shared" si="1278"/>
        <v>14</v>
      </c>
      <c r="AG292" s="16">
        <f t="shared" si="1279"/>
        <v>6</v>
      </c>
      <c r="AH292" s="838" t="s">
        <v>85</v>
      </c>
      <c r="AI292" s="17">
        <f t="shared" si="1280"/>
        <v>5</v>
      </c>
      <c r="AJ292" s="17">
        <f t="shared" si="1281"/>
        <v>6</v>
      </c>
      <c r="AK292" s="891"/>
      <c r="AL292" s="18" t="s">
        <v>255</v>
      </c>
      <c r="AM292" s="889"/>
      <c r="AN292" s="891"/>
      <c r="AO292" s="888"/>
      <c r="AP292" s="891"/>
      <c r="AQ292" s="891"/>
      <c r="AR292" s="889"/>
      <c r="AS292" s="888"/>
      <c r="AT292" s="888"/>
      <c r="AU292" s="890"/>
      <c r="AV292" s="888"/>
      <c r="AW292" s="888"/>
      <c r="AX292" s="888"/>
      <c r="AY292" s="887"/>
      <c r="AZ292" s="888"/>
      <c r="BA292" s="17">
        <f t="shared" si="1282"/>
        <v>14.399999999999991</v>
      </c>
      <c r="BB292" s="17">
        <f t="shared" si="1283"/>
        <v>37.799999999999997</v>
      </c>
      <c r="BC292" s="17">
        <f t="shared" si="1284"/>
        <v>32</v>
      </c>
      <c r="BD292" s="17">
        <f t="shared" si="1285"/>
        <v>85</v>
      </c>
      <c r="BE292" s="17">
        <f t="shared" si="1286"/>
        <v>180.86341983910182</v>
      </c>
      <c r="BF292" s="17">
        <f t="shared" si="1287"/>
        <v>24</v>
      </c>
      <c r="BG292" s="17">
        <f t="shared" si="1288"/>
        <v>50</v>
      </c>
      <c r="BH292" s="17">
        <f t="shared" si="1289"/>
        <v>65.062647806544774</v>
      </c>
      <c r="BI292" s="17">
        <f t="shared" si="1290"/>
        <v>115.80077203255705</v>
      </c>
      <c r="BJ292" s="17">
        <f t="shared" si="1291"/>
        <v>45</v>
      </c>
      <c r="BK292" s="17">
        <f t="shared" si="1292"/>
        <v>85</v>
      </c>
      <c r="BL292" s="17">
        <f t="shared" si="1293"/>
        <v>380.54120080897206</v>
      </c>
      <c r="BM292" s="17">
        <f t="shared" si="1294"/>
        <v>24</v>
      </c>
      <c r="BN292" s="17">
        <f t="shared" si="1295"/>
        <v>50</v>
      </c>
      <c r="BO292" s="17">
        <f t="shared" si="1296"/>
        <v>65.062647806544774</v>
      </c>
      <c r="BP292" s="17">
        <f t="shared" si="1297"/>
        <v>315.4785530024273</v>
      </c>
      <c r="BQ292" s="17">
        <f t="shared" si="1298"/>
        <v>3777.6896639999995</v>
      </c>
      <c r="BR292" s="17">
        <f t="shared" si="1299"/>
        <v>1439.1198719999991</v>
      </c>
      <c r="BS292" s="17">
        <f t="shared" si="1300"/>
        <v>292.84415999999976</v>
      </c>
      <c r="BT292" s="17">
        <f t="shared" si="1301"/>
        <v>768.71591999999987</v>
      </c>
      <c r="BU292" s="17">
        <f t="shared" si="1302"/>
        <v>23269.68</v>
      </c>
      <c r="BV292" s="17">
        <f t="shared" si="1303"/>
        <v>10236</v>
      </c>
      <c r="BW292" s="17">
        <f t="shared" si="1304"/>
        <v>269.84143199999994</v>
      </c>
      <c r="BX292" s="17">
        <f t="shared" si="1305"/>
        <v>17495.999999999989</v>
      </c>
      <c r="BY292" s="17">
        <f t="shared" si="1306"/>
        <v>2904.6392266751996</v>
      </c>
      <c r="BZ292" s="17"/>
      <c r="CA292" s="17">
        <f t="shared" si="1307"/>
        <v>85810.166416660228</v>
      </c>
      <c r="CB292" s="17">
        <f t="shared" si="1308"/>
        <v>241341.0930468569</v>
      </c>
      <c r="CC292" s="17">
        <f t="shared" si="1309"/>
        <v>15263.544448201927</v>
      </c>
      <c r="CD292" s="17">
        <f t="shared" si="1310"/>
        <v>137371.90003381731</v>
      </c>
      <c r="CE292" s="17">
        <f t="shared" si="1311"/>
        <v>57953.850322675185</v>
      </c>
      <c r="CF292" s="17">
        <f t="shared" si="1312"/>
        <v>479786.7039455364</v>
      </c>
      <c r="CG292" s="17">
        <f t="shared" si="1313"/>
        <v>537740.55426821159</v>
      </c>
      <c r="CH292" s="17">
        <f t="shared" si="1314"/>
        <v>14.400000000000006</v>
      </c>
      <c r="CI292" s="17">
        <f t="shared" si="1315"/>
        <v>-43.2</v>
      </c>
      <c r="CJ292" s="17">
        <f t="shared" si="1316"/>
        <v>16</v>
      </c>
      <c r="CK292" s="17">
        <f t="shared" si="1317"/>
        <v>90</v>
      </c>
      <c r="CL292" s="17">
        <f t="shared" si="1318"/>
        <v>71.46880726181422</v>
      </c>
      <c r="CM292" s="17">
        <f t="shared" si="1319"/>
        <v>24</v>
      </c>
      <c r="CN292" s="17">
        <f t="shared" si="1320"/>
        <v>50</v>
      </c>
      <c r="CO292" s="17">
        <f t="shared" si="1321"/>
        <v>65.062647806544774</v>
      </c>
      <c r="CP292" s="17">
        <f t="shared" si="1322"/>
        <v>6.4061594552694459</v>
      </c>
      <c r="CQ292" s="17">
        <f t="shared" si="1323"/>
        <v>0</v>
      </c>
      <c r="CR292" s="17">
        <f t="shared" si="1324"/>
        <v>100</v>
      </c>
      <c r="CS292" s="17">
        <f t="shared" si="1325"/>
        <v>26.404773030064671</v>
      </c>
      <c r="CT292" s="17">
        <f t="shared" si="1326"/>
        <v>24</v>
      </c>
      <c r="CU292" s="17">
        <f t="shared" si="1327"/>
        <v>50</v>
      </c>
      <c r="CV292" s="17">
        <f t="shared" si="1328"/>
        <v>65.062647806544774</v>
      </c>
      <c r="CW292" s="17">
        <f t="shared" si="1329"/>
        <v>-38.657874776480099</v>
      </c>
      <c r="CX292" s="17">
        <f t="shared" si="1267"/>
        <v>-4317.3596159999997</v>
      </c>
      <c r="CY292" s="17">
        <f t="shared" si="1267"/>
        <v>-4317.3596159999997</v>
      </c>
      <c r="CZ292" s="17">
        <f t="shared" si="1330"/>
        <v>292.8441600000001</v>
      </c>
      <c r="DA292" s="17">
        <f t="shared" si="1331"/>
        <v>-878.53247999999996</v>
      </c>
      <c r="DB292" s="17">
        <f t="shared" si="1332"/>
        <v>-26593.920000000002</v>
      </c>
      <c r="DC292" s="17">
        <f t="shared" si="1333"/>
        <v>10236</v>
      </c>
      <c r="DD292" s="17">
        <f t="shared" si="1334"/>
        <v>269.84143199999994</v>
      </c>
      <c r="DE292" s="17">
        <f t="shared" si="1335"/>
        <v>17496.000000000007</v>
      </c>
      <c r="DF292" s="17">
        <f t="shared" si="1336"/>
        <v>-3319.5876876288003</v>
      </c>
      <c r="DG292" s="17"/>
      <c r="DH292" s="17">
        <f t="shared" si="1337"/>
        <v>-10514.941939202587</v>
      </c>
      <c r="DI292" s="17">
        <f t="shared" si="1338"/>
        <v>-29573.274204007277</v>
      </c>
      <c r="DJ292" s="17">
        <f t="shared" si="1339"/>
        <v>-1870.3527840743209</v>
      </c>
      <c r="DK292" s="17">
        <f t="shared" si="1340"/>
        <v>2789.4964266657994</v>
      </c>
      <c r="DL292" s="17">
        <f t="shared" si="1341"/>
        <v>-6814.7141916287928</v>
      </c>
      <c r="DM292" s="17">
        <f t="shared" si="1342"/>
        <v>-39169.072500618386</v>
      </c>
      <c r="DN292" s="17">
        <f t="shared" si="1343"/>
        <v>-45983.78669224718</v>
      </c>
    </row>
    <row r="293" spans="3:120" ht="18.600000000000001">
      <c r="C293" s="13">
        <f>IF(D293&lt;&gt;"",COUNTA($D$10:D293),"")</f>
        <v>242</v>
      </c>
      <c r="D293" s="14" t="s">
        <v>203</v>
      </c>
      <c r="E293" s="14">
        <v>2.1</v>
      </c>
      <c r="F293" s="14">
        <v>3.5</v>
      </c>
      <c r="G293" s="14">
        <v>2.4</v>
      </c>
      <c r="H293" s="14">
        <v>0</v>
      </c>
      <c r="I293" s="14">
        <v>1</v>
      </c>
      <c r="J293" s="14">
        <v>1.75</v>
      </c>
      <c r="K293" s="14">
        <v>3</v>
      </c>
      <c r="L293" s="15">
        <v>0.1</v>
      </c>
      <c r="M293" s="15">
        <v>0</v>
      </c>
      <c r="N293" s="14">
        <v>24</v>
      </c>
      <c r="O293" s="14">
        <v>50</v>
      </c>
      <c r="P293" s="13">
        <v>45</v>
      </c>
      <c r="Q293" s="13">
        <v>85</v>
      </c>
      <c r="R293" s="13" t="s">
        <v>17</v>
      </c>
      <c r="S293" s="13">
        <v>120</v>
      </c>
      <c r="T293" s="13">
        <v>0</v>
      </c>
      <c r="U293" s="13">
        <v>100</v>
      </c>
      <c r="V293" s="13" t="str">
        <f t="shared" si="1268"/>
        <v>ISO 6</v>
      </c>
      <c r="W293" s="13">
        <f t="shared" si="1269"/>
        <v>120</v>
      </c>
      <c r="X293" s="16">
        <f t="shared" si="1270"/>
        <v>79.085999999999999</v>
      </c>
      <c r="Y293" s="16">
        <f t="shared" si="1271"/>
        <v>622.56499199999996</v>
      </c>
      <c r="Z293" s="16">
        <f t="shared" si="1272"/>
        <v>1245.1299839999999</v>
      </c>
      <c r="AA293" s="16">
        <f t="shared" si="1273"/>
        <v>124.5129984</v>
      </c>
      <c r="AB293" s="16">
        <f t="shared" si="1274"/>
        <v>0</v>
      </c>
      <c r="AC293" s="16">
        <f t="shared" si="1275"/>
        <v>11.454213200559018</v>
      </c>
      <c r="AD293" s="16">
        <f t="shared" si="1276"/>
        <v>2375</v>
      </c>
      <c r="AE293" s="16">
        <f t="shared" si="1277"/>
        <v>2375</v>
      </c>
      <c r="AF293" s="16">
        <f t="shared" si="1278"/>
        <v>14</v>
      </c>
      <c r="AG293" s="16">
        <f t="shared" si="1279"/>
        <v>6</v>
      </c>
      <c r="AH293" s="838" t="s">
        <v>85</v>
      </c>
      <c r="AI293" s="17">
        <f t="shared" si="1280"/>
        <v>3</v>
      </c>
      <c r="AJ293" s="17">
        <f t="shared" si="1281"/>
        <v>6</v>
      </c>
      <c r="AK293" s="891"/>
      <c r="AL293" s="18">
        <f>IF(AK290&lt;=2000,950,(IF(AK290&lt;=4000,1100,(IF(AK290&lt;=6000,1250,(IF(AK290&lt;=10000,1550,(IF(AK290&lt;=15000,1750,(IF(AK290&lt;=24000,2050,(IF(AK290&lt;=40000,2900,3600)))))))))))))</f>
        <v>3600</v>
      </c>
      <c r="AM293" s="889"/>
      <c r="AN293" s="891"/>
      <c r="AO293" s="888"/>
      <c r="AP293" s="891"/>
      <c r="AQ293" s="891"/>
      <c r="AR293" s="889"/>
      <c r="AS293" s="888"/>
      <c r="AT293" s="888"/>
      <c r="AU293" s="890"/>
      <c r="AV293" s="888"/>
      <c r="AW293" s="888"/>
      <c r="AX293" s="888"/>
      <c r="AY293" s="887"/>
      <c r="AZ293" s="888"/>
      <c r="BA293" s="17">
        <f t="shared" si="1282"/>
        <v>14.399999999999991</v>
      </c>
      <c r="BB293" s="17">
        <f t="shared" si="1283"/>
        <v>37.799999999999997</v>
      </c>
      <c r="BC293" s="17">
        <f t="shared" si="1284"/>
        <v>32</v>
      </c>
      <c r="BD293" s="17">
        <f t="shared" si="1285"/>
        <v>85</v>
      </c>
      <c r="BE293" s="17">
        <f t="shared" si="1286"/>
        <v>180.86341983910182</v>
      </c>
      <c r="BF293" s="17">
        <f t="shared" si="1287"/>
        <v>24</v>
      </c>
      <c r="BG293" s="17">
        <f t="shared" si="1288"/>
        <v>50</v>
      </c>
      <c r="BH293" s="17">
        <f t="shared" si="1289"/>
        <v>65.062647806544774</v>
      </c>
      <c r="BI293" s="17">
        <f t="shared" si="1290"/>
        <v>115.80077203255705</v>
      </c>
      <c r="BJ293" s="17">
        <f t="shared" si="1291"/>
        <v>45</v>
      </c>
      <c r="BK293" s="17">
        <f t="shared" si="1292"/>
        <v>85</v>
      </c>
      <c r="BL293" s="17">
        <f t="shared" si="1293"/>
        <v>380.54120080897206</v>
      </c>
      <c r="BM293" s="17">
        <f t="shared" si="1294"/>
        <v>24</v>
      </c>
      <c r="BN293" s="17">
        <f t="shared" si="1295"/>
        <v>50</v>
      </c>
      <c r="BO293" s="17">
        <f t="shared" si="1296"/>
        <v>65.062647806544774</v>
      </c>
      <c r="BP293" s="17">
        <f t="shared" si="1297"/>
        <v>315.4785530024273</v>
      </c>
      <c r="BQ293" s="17">
        <f t="shared" si="1298"/>
        <v>4919.7818879999995</v>
      </c>
      <c r="BR293" s="17">
        <f t="shared" si="1299"/>
        <v>1874.2026239999989</v>
      </c>
      <c r="BS293" s="17">
        <f t="shared" si="1300"/>
        <v>512.47727999999972</v>
      </c>
      <c r="BT293" s="17">
        <f t="shared" si="1301"/>
        <v>1345.2528599999998</v>
      </c>
      <c r="BU293" s="17">
        <f t="shared" si="1302"/>
        <v>0</v>
      </c>
      <c r="BV293" s="17">
        <f t="shared" si="1303"/>
        <v>3412</v>
      </c>
      <c r="BW293" s="17">
        <f t="shared" si="1304"/>
        <v>472.22250599999995</v>
      </c>
      <c r="BX293" s="17">
        <f t="shared" si="1305"/>
        <v>17495.999999999989</v>
      </c>
      <c r="BY293" s="17">
        <f t="shared" si="1306"/>
        <v>5083.1186466815998</v>
      </c>
      <c r="BZ293" s="17"/>
      <c r="CA293" s="17">
        <f t="shared" si="1307"/>
        <v>0</v>
      </c>
      <c r="CB293" s="17">
        <f t="shared" si="1308"/>
        <v>241341.0930468569</v>
      </c>
      <c r="CC293" s="17">
        <f t="shared" si="1309"/>
        <v>26711.202784353376</v>
      </c>
      <c r="CD293" s="17">
        <f t="shared" si="1310"/>
        <v>240400.82505918032</v>
      </c>
      <c r="CE293" s="17">
        <f t="shared" si="1311"/>
        <v>31383.123040681588</v>
      </c>
      <c r="CF293" s="17">
        <f t="shared" si="1312"/>
        <v>508453.12089039059</v>
      </c>
      <c r="CG293" s="17">
        <f t="shared" si="1313"/>
        <v>539836.24393107218</v>
      </c>
      <c r="CH293" s="17">
        <f t="shared" si="1314"/>
        <v>14.400000000000006</v>
      </c>
      <c r="CI293" s="17">
        <f t="shared" si="1315"/>
        <v>-43.2</v>
      </c>
      <c r="CJ293" s="17">
        <f t="shared" si="1316"/>
        <v>16</v>
      </c>
      <c r="CK293" s="17">
        <f t="shared" si="1317"/>
        <v>90</v>
      </c>
      <c r="CL293" s="17">
        <f t="shared" si="1318"/>
        <v>71.46880726181422</v>
      </c>
      <c r="CM293" s="17">
        <f t="shared" si="1319"/>
        <v>24</v>
      </c>
      <c r="CN293" s="17">
        <f t="shared" si="1320"/>
        <v>50</v>
      </c>
      <c r="CO293" s="17">
        <f t="shared" si="1321"/>
        <v>65.062647806544774</v>
      </c>
      <c r="CP293" s="17">
        <f t="shared" si="1322"/>
        <v>6.4061594552694459</v>
      </c>
      <c r="CQ293" s="17">
        <f t="shared" si="1323"/>
        <v>0</v>
      </c>
      <c r="CR293" s="17">
        <f t="shared" si="1324"/>
        <v>100</v>
      </c>
      <c r="CS293" s="17">
        <f t="shared" si="1325"/>
        <v>26.404773030064671</v>
      </c>
      <c r="CT293" s="17">
        <f t="shared" si="1326"/>
        <v>24</v>
      </c>
      <c r="CU293" s="17">
        <f t="shared" si="1327"/>
        <v>50</v>
      </c>
      <c r="CV293" s="17">
        <f t="shared" si="1328"/>
        <v>65.062647806544774</v>
      </c>
      <c r="CW293" s="17">
        <f t="shared" si="1329"/>
        <v>-38.657874776480099</v>
      </c>
      <c r="CX293" s="17">
        <f t="shared" si="1267"/>
        <v>-5622.6078720000005</v>
      </c>
      <c r="CY293" s="17">
        <f t="shared" si="1267"/>
        <v>-5622.6078720000005</v>
      </c>
      <c r="CZ293" s="17">
        <f t="shared" si="1330"/>
        <v>512.47728000000018</v>
      </c>
      <c r="DA293" s="17">
        <f t="shared" si="1331"/>
        <v>-1537.4318400000002</v>
      </c>
      <c r="DB293" s="17">
        <f t="shared" si="1332"/>
        <v>0</v>
      </c>
      <c r="DC293" s="17">
        <f t="shared" si="1333"/>
        <v>3412</v>
      </c>
      <c r="DD293" s="17">
        <f t="shared" si="1334"/>
        <v>472.22250599999995</v>
      </c>
      <c r="DE293" s="17">
        <f t="shared" si="1335"/>
        <v>17496.000000000007</v>
      </c>
      <c r="DF293" s="17">
        <f t="shared" si="1336"/>
        <v>-5809.2784533504</v>
      </c>
      <c r="DG293" s="17"/>
      <c r="DH293" s="17">
        <f t="shared" si="1337"/>
        <v>0</v>
      </c>
      <c r="DI293" s="17">
        <f t="shared" si="1338"/>
        <v>-29573.274204007277</v>
      </c>
      <c r="DJ293" s="17">
        <f t="shared" si="1339"/>
        <v>-3273.117372130062</v>
      </c>
      <c r="DK293" s="17">
        <f t="shared" si="1340"/>
        <v>4881.618746665149</v>
      </c>
      <c r="DL293" s="17">
        <f t="shared" si="1341"/>
        <v>8923.3816206496067</v>
      </c>
      <c r="DM293" s="17">
        <f t="shared" si="1342"/>
        <v>-27964.772829472186</v>
      </c>
      <c r="DN293" s="17">
        <f t="shared" si="1343"/>
        <v>-19041.391208822577</v>
      </c>
    </row>
    <row r="294" spans="3:120" ht="18.600000000000001">
      <c r="C294" s="13">
        <f>IF(D294&lt;&gt;"",COUNTA($D$10:D294),"")</f>
        <v>243</v>
      </c>
      <c r="D294" s="14" t="s">
        <v>204</v>
      </c>
      <c r="E294" s="14">
        <v>2.7</v>
      </c>
      <c r="F294" s="14">
        <v>4</v>
      </c>
      <c r="G294" s="14">
        <v>2.4</v>
      </c>
      <c r="H294" s="14">
        <v>2</v>
      </c>
      <c r="I294" s="14">
        <v>1</v>
      </c>
      <c r="J294" s="14">
        <v>1.75</v>
      </c>
      <c r="K294" s="14">
        <v>3</v>
      </c>
      <c r="L294" s="15">
        <v>0.1</v>
      </c>
      <c r="M294" s="15">
        <v>0</v>
      </c>
      <c r="N294" s="14">
        <v>24</v>
      </c>
      <c r="O294" s="14">
        <v>50</v>
      </c>
      <c r="P294" s="13">
        <v>45</v>
      </c>
      <c r="Q294" s="13">
        <v>85</v>
      </c>
      <c r="R294" s="13" t="s">
        <v>17</v>
      </c>
      <c r="S294" s="13">
        <v>120</v>
      </c>
      <c r="T294" s="13">
        <v>0</v>
      </c>
      <c r="U294" s="13">
        <v>100</v>
      </c>
      <c r="V294" s="13" t="str">
        <f t="shared" si="1268"/>
        <v>ISO 6</v>
      </c>
      <c r="W294" s="13">
        <f t="shared" si="1269"/>
        <v>120</v>
      </c>
      <c r="X294" s="16">
        <f t="shared" si="1270"/>
        <v>116.208</v>
      </c>
      <c r="Y294" s="16">
        <f t="shared" si="1271"/>
        <v>914.78937599999995</v>
      </c>
      <c r="Z294" s="16">
        <f t="shared" si="1272"/>
        <v>1829.5787519999999</v>
      </c>
      <c r="AA294" s="16">
        <f t="shared" si="1273"/>
        <v>182.95787519999999</v>
      </c>
      <c r="AB294" s="16">
        <f t="shared" si="1274"/>
        <v>0</v>
      </c>
      <c r="AC294" s="16">
        <f t="shared" si="1275"/>
        <v>16.830680621229575</v>
      </c>
      <c r="AD294" s="16">
        <f t="shared" si="1276"/>
        <v>3375</v>
      </c>
      <c r="AE294" s="16">
        <f t="shared" si="1277"/>
        <v>3375</v>
      </c>
      <c r="AF294" s="16">
        <f t="shared" si="1278"/>
        <v>20</v>
      </c>
      <c r="AG294" s="16">
        <f t="shared" si="1279"/>
        <v>8.5</v>
      </c>
      <c r="AH294" s="838" t="s">
        <v>85</v>
      </c>
      <c r="AI294" s="17">
        <f t="shared" si="1280"/>
        <v>5</v>
      </c>
      <c r="AJ294" s="17">
        <f t="shared" si="1281"/>
        <v>8.5</v>
      </c>
      <c r="AK294" s="891"/>
      <c r="AL294" s="18" t="s">
        <v>256</v>
      </c>
      <c r="AM294" s="889"/>
      <c r="AN294" s="891"/>
      <c r="AO294" s="888"/>
      <c r="AP294" s="891"/>
      <c r="AQ294" s="891"/>
      <c r="AR294" s="889"/>
      <c r="AS294" s="888"/>
      <c r="AT294" s="888"/>
      <c r="AU294" s="890"/>
      <c r="AV294" s="888"/>
      <c r="AW294" s="888"/>
      <c r="AX294" s="888"/>
      <c r="AY294" s="887"/>
      <c r="AZ294" s="888"/>
      <c r="BA294" s="17">
        <f t="shared" si="1282"/>
        <v>14.399999999999991</v>
      </c>
      <c r="BB294" s="17">
        <f t="shared" si="1283"/>
        <v>37.799999999999997</v>
      </c>
      <c r="BC294" s="17">
        <f t="shared" si="1284"/>
        <v>32</v>
      </c>
      <c r="BD294" s="17">
        <f t="shared" si="1285"/>
        <v>85</v>
      </c>
      <c r="BE294" s="17">
        <f t="shared" si="1286"/>
        <v>180.86341983910182</v>
      </c>
      <c r="BF294" s="17">
        <f t="shared" si="1287"/>
        <v>24</v>
      </c>
      <c r="BG294" s="17">
        <f t="shared" si="1288"/>
        <v>50</v>
      </c>
      <c r="BH294" s="17">
        <f t="shared" si="1289"/>
        <v>65.062647806544774</v>
      </c>
      <c r="BI294" s="17">
        <f t="shared" si="1290"/>
        <v>115.80077203255705</v>
      </c>
      <c r="BJ294" s="17">
        <f t="shared" si="1291"/>
        <v>45</v>
      </c>
      <c r="BK294" s="17">
        <f t="shared" si="1292"/>
        <v>85</v>
      </c>
      <c r="BL294" s="17">
        <f t="shared" si="1293"/>
        <v>380.54120080897206</v>
      </c>
      <c r="BM294" s="17">
        <f t="shared" si="1294"/>
        <v>24</v>
      </c>
      <c r="BN294" s="17">
        <f t="shared" si="1295"/>
        <v>50</v>
      </c>
      <c r="BO294" s="17">
        <f t="shared" si="1296"/>
        <v>65.062647806544774</v>
      </c>
      <c r="BP294" s="17">
        <f t="shared" si="1297"/>
        <v>315.4785530024273</v>
      </c>
      <c r="BQ294" s="17">
        <f t="shared" si="1298"/>
        <v>5886.1676159999997</v>
      </c>
      <c r="BR294" s="17">
        <f t="shared" si="1299"/>
        <v>2242.3495679999987</v>
      </c>
      <c r="BS294" s="17">
        <f t="shared" si="1300"/>
        <v>753.02783999999963</v>
      </c>
      <c r="BT294" s="17">
        <f t="shared" si="1301"/>
        <v>1976.6980799999997</v>
      </c>
      <c r="BU294" s="17">
        <f t="shared" si="1302"/>
        <v>23269.68</v>
      </c>
      <c r="BV294" s="17">
        <f t="shared" si="1303"/>
        <v>3412</v>
      </c>
      <c r="BW294" s="17">
        <f t="shared" si="1304"/>
        <v>693.87796800000001</v>
      </c>
      <c r="BX294" s="17">
        <f t="shared" si="1305"/>
        <v>17495.999999999989</v>
      </c>
      <c r="BY294" s="17">
        <f t="shared" si="1306"/>
        <v>7469.0722971647992</v>
      </c>
      <c r="BZ294" s="17"/>
      <c r="CA294" s="17">
        <f t="shared" si="1307"/>
        <v>85810.166416660228</v>
      </c>
      <c r="CB294" s="17">
        <f t="shared" si="1308"/>
        <v>241341.0930468569</v>
      </c>
      <c r="CC294" s="17">
        <f t="shared" si="1309"/>
        <v>39249.114295376385</v>
      </c>
      <c r="CD294" s="17">
        <f t="shared" si="1310"/>
        <v>353242.02865838748</v>
      </c>
      <c r="CE294" s="17">
        <f t="shared" si="1311"/>
        <v>58226.797881164784</v>
      </c>
      <c r="CF294" s="17">
        <f t="shared" si="1312"/>
        <v>719642.40241728094</v>
      </c>
      <c r="CG294" s="17">
        <f t="shared" si="1313"/>
        <v>777869.20029844576</v>
      </c>
      <c r="CH294" s="17">
        <f t="shared" si="1314"/>
        <v>14.400000000000006</v>
      </c>
      <c r="CI294" s="17">
        <f t="shared" si="1315"/>
        <v>-43.2</v>
      </c>
      <c r="CJ294" s="17">
        <f t="shared" si="1316"/>
        <v>16</v>
      </c>
      <c r="CK294" s="17">
        <f t="shared" si="1317"/>
        <v>90</v>
      </c>
      <c r="CL294" s="17">
        <f t="shared" si="1318"/>
        <v>71.46880726181422</v>
      </c>
      <c r="CM294" s="17">
        <f t="shared" si="1319"/>
        <v>24</v>
      </c>
      <c r="CN294" s="17">
        <f t="shared" si="1320"/>
        <v>50</v>
      </c>
      <c r="CO294" s="17">
        <f t="shared" si="1321"/>
        <v>65.062647806544774</v>
      </c>
      <c r="CP294" s="17">
        <f t="shared" si="1322"/>
        <v>6.4061594552694459</v>
      </c>
      <c r="CQ294" s="17">
        <f t="shared" si="1323"/>
        <v>0</v>
      </c>
      <c r="CR294" s="17">
        <f t="shared" si="1324"/>
        <v>100</v>
      </c>
      <c r="CS294" s="17">
        <f t="shared" si="1325"/>
        <v>26.404773030064671</v>
      </c>
      <c r="CT294" s="17">
        <f t="shared" si="1326"/>
        <v>24</v>
      </c>
      <c r="CU294" s="17">
        <f t="shared" si="1327"/>
        <v>50</v>
      </c>
      <c r="CV294" s="17">
        <f t="shared" si="1328"/>
        <v>65.062647806544774</v>
      </c>
      <c r="CW294" s="17">
        <f t="shared" si="1329"/>
        <v>-38.657874776480099</v>
      </c>
      <c r="CX294" s="17">
        <f t="shared" si="1267"/>
        <v>-6727.0487040000007</v>
      </c>
      <c r="CY294" s="17">
        <f t="shared" si="1267"/>
        <v>-6727.0487040000007</v>
      </c>
      <c r="CZ294" s="17">
        <f t="shared" si="1330"/>
        <v>753.02784000000031</v>
      </c>
      <c r="DA294" s="17">
        <f t="shared" si="1331"/>
        <v>-2259.0835200000006</v>
      </c>
      <c r="DB294" s="17">
        <f t="shared" si="1332"/>
        <v>-26593.920000000002</v>
      </c>
      <c r="DC294" s="17">
        <f t="shared" si="1333"/>
        <v>3412</v>
      </c>
      <c r="DD294" s="17">
        <f t="shared" si="1334"/>
        <v>693.87796800000001</v>
      </c>
      <c r="DE294" s="17">
        <f t="shared" si="1335"/>
        <v>17496.000000000007</v>
      </c>
      <c r="DF294" s="17">
        <f t="shared" si="1336"/>
        <v>-8536.0826253312007</v>
      </c>
      <c r="DG294" s="17"/>
      <c r="DH294" s="17">
        <f t="shared" si="1337"/>
        <v>-10514.941939202587</v>
      </c>
      <c r="DI294" s="17">
        <f t="shared" si="1338"/>
        <v>-29573.274204007277</v>
      </c>
      <c r="DJ294" s="17">
        <f t="shared" si="1339"/>
        <v>-4809.478587619682</v>
      </c>
      <c r="DK294" s="17">
        <f t="shared" si="1340"/>
        <v>7172.9908114263426</v>
      </c>
      <c r="DL294" s="17">
        <f t="shared" si="1341"/>
        <v>-21761.229041331197</v>
      </c>
      <c r="DM294" s="17">
        <f t="shared" si="1342"/>
        <v>-37724.703919403204</v>
      </c>
      <c r="DN294" s="17">
        <f t="shared" si="1343"/>
        <v>-59485.932960734397</v>
      </c>
    </row>
    <row r="295" spans="3:120" ht="18.600000000000001">
      <c r="C295" s="13">
        <f>IF(D295&lt;&gt;"",COUNTA($D$10:D295),"")</f>
        <v>244</v>
      </c>
      <c r="D295" s="14" t="s">
        <v>205</v>
      </c>
      <c r="E295" s="14">
        <v>3.8</v>
      </c>
      <c r="F295" s="14">
        <v>4.2</v>
      </c>
      <c r="G295" s="14">
        <v>2.4</v>
      </c>
      <c r="H295" s="14">
        <v>3</v>
      </c>
      <c r="I295" s="14">
        <v>3</v>
      </c>
      <c r="J295" s="14">
        <v>1.75</v>
      </c>
      <c r="K295" s="14">
        <v>3</v>
      </c>
      <c r="L295" s="15">
        <v>0.1</v>
      </c>
      <c r="M295" s="15">
        <v>0</v>
      </c>
      <c r="N295" s="14">
        <v>24</v>
      </c>
      <c r="O295" s="14">
        <v>50</v>
      </c>
      <c r="P295" s="13">
        <v>45</v>
      </c>
      <c r="Q295" s="13">
        <v>85</v>
      </c>
      <c r="R295" s="13" t="s">
        <v>17</v>
      </c>
      <c r="S295" s="13">
        <v>120</v>
      </c>
      <c r="T295" s="13">
        <v>0</v>
      </c>
      <c r="U295" s="13">
        <v>100</v>
      </c>
      <c r="V295" s="13" t="str">
        <f t="shared" si="1268"/>
        <v>ISO 6</v>
      </c>
      <c r="W295" s="13">
        <f t="shared" si="1269"/>
        <v>120</v>
      </c>
      <c r="X295" s="16">
        <f t="shared" si="1270"/>
        <v>171.72959999999998</v>
      </c>
      <c r="Y295" s="16">
        <f t="shared" si="1271"/>
        <v>1351.8554111999997</v>
      </c>
      <c r="Z295" s="16">
        <f t="shared" si="1272"/>
        <v>2703.7108223999994</v>
      </c>
      <c r="AA295" s="16">
        <f t="shared" si="1273"/>
        <v>270.37108223999996</v>
      </c>
      <c r="AB295" s="16">
        <f t="shared" si="1274"/>
        <v>0</v>
      </c>
      <c r="AC295" s="16">
        <f t="shared" si="1275"/>
        <v>24.872005806928151</v>
      </c>
      <c r="AD295" s="16">
        <f t="shared" si="1276"/>
        <v>4450</v>
      </c>
      <c r="AE295" s="16">
        <f t="shared" si="1277"/>
        <v>4450</v>
      </c>
      <c r="AF295" s="16">
        <f t="shared" si="1278"/>
        <v>26</v>
      </c>
      <c r="AG295" s="16">
        <f t="shared" si="1279"/>
        <v>11.5</v>
      </c>
      <c r="AH295" s="838" t="s">
        <v>85</v>
      </c>
      <c r="AI295" s="17">
        <f t="shared" si="1280"/>
        <v>7</v>
      </c>
      <c r="AJ295" s="17">
        <f t="shared" si="1281"/>
        <v>11.5</v>
      </c>
      <c r="AK295" s="891"/>
      <c r="AL295" s="18">
        <f>IF(AL299&lt;4000,AL299,AL299+400)</f>
        <v>5800</v>
      </c>
      <c r="AM295" s="889"/>
      <c r="AN295" s="891"/>
      <c r="AO295" s="888"/>
      <c r="AP295" s="891"/>
      <c r="AQ295" s="891"/>
      <c r="AR295" s="889"/>
      <c r="AS295" s="888"/>
      <c r="AT295" s="888"/>
      <c r="AU295" s="890"/>
      <c r="AV295" s="888"/>
      <c r="AW295" s="888"/>
      <c r="AX295" s="888"/>
      <c r="AY295" s="887"/>
      <c r="AZ295" s="888"/>
      <c r="BA295" s="17">
        <f t="shared" si="1282"/>
        <v>14.399999999999991</v>
      </c>
      <c r="BB295" s="17">
        <f t="shared" si="1283"/>
        <v>37.799999999999997</v>
      </c>
      <c r="BC295" s="17">
        <f t="shared" si="1284"/>
        <v>32</v>
      </c>
      <c r="BD295" s="17">
        <f t="shared" si="1285"/>
        <v>85</v>
      </c>
      <c r="BE295" s="17">
        <f t="shared" si="1286"/>
        <v>180.86341983910182</v>
      </c>
      <c r="BF295" s="17">
        <f t="shared" si="1287"/>
        <v>24</v>
      </c>
      <c r="BG295" s="17">
        <f t="shared" si="1288"/>
        <v>50</v>
      </c>
      <c r="BH295" s="17">
        <f t="shared" si="1289"/>
        <v>65.062647806544774</v>
      </c>
      <c r="BI295" s="17">
        <f t="shared" si="1290"/>
        <v>115.80077203255705</v>
      </c>
      <c r="BJ295" s="17">
        <f t="shared" si="1291"/>
        <v>45</v>
      </c>
      <c r="BK295" s="17">
        <f t="shared" si="1292"/>
        <v>85</v>
      </c>
      <c r="BL295" s="17">
        <f t="shared" si="1293"/>
        <v>380.54120080897206</v>
      </c>
      <c r="BM295" s="17">
        <f t="shared" si="1294"/>
        <v>24</v>
      </c>
      <c r="BN295" s="17">
        <f t="shared" si="1295"/>
        <v>50</v>
      </c>
      <c r="BO295" s="17">
        <f t="shared" si="1296"/>
        <v>65.062647806544774</v>
      </c>
      <c r="BP295" s="17">
        <f t="shared" si="1297"/>
        <v>315.4785530024273</v>
      </c>
      <c r="BQ295" s="17">
        <f t="shared" si="1298"/>
        <v>7028.2598399999997</v>
      </c>
      <c r="BR295" s="17">
        <f t="shared" si="1299"/>
        <v>2677.4323199999981</v>
      </c>
      <c r="BS295" s="17">
        <f t="shared" si="1300"/>
        <v>1112.8078079999991</v>
      </c>
      <c r="BT295" s="17">
        <f t="shared" si="1301"/>
        <v>2921.1204959999995</v>
      </c>
      <c r="BU295" s="17">
        <f t="shared" si="1302"/>
        <v>34904.520000000004</v>
      </c>
      <c r="BV295" s="17">
        <f t="shared" si="1303"/>
        <v>10236</v>
      </c>
      <c r="BW295" s="17">
        <f t="shared" si="1304"/>
        <v>1025.3974415999999</v>
      </c>
      <c r="BX295" s="17">
        <f t="shared" si="1305"/>
        <v>17495.999999999989</v>
      </c>
      <c r="BY295" s="17">
        <f t="shared" si="1306"/>
        <v>11037.62906136576</v>
      </c>
      <c r="BZ295" s="17"/>
      <c r="CA295" s="17">
        <f t="shared" si="1307"/>
        <v>128715.24962499036</v>
      </c>
      <c r="CB295" s="17">
        <f t="shared" si="1308"/>
        <v>241341.0930468569</v>
      </c>
      <c r="CC295" s="17">
        <f t="shared" si="1309"/>
        <v>58001.468903167319</v>
      </c>
      <c r="CD295" s="17">
        <f t="shared" si="1310"/>
        <v>522013.22012850584</v>
      </c>
      <c r="CE295" s="17">
        <f t="shared" si="1311"/>
        <v>81727.806342965749</v>
      </c>
      <c r="CF295" s="17">
        <f t="shared" si="1312"/>
        <v>950071.03170352045</v>
      </c>
      <c r="CG295" s="17">
        <f t="shared" si="1313"/>
        <v>1031798.8380464863</v>
      </c>
      <c r="CH295" s="17">
        <f t="shared" si="1314"/>
        <v>14.400000000000006</v>
      </c>
      <c r="CI295" s="17">
        <f t="shared" si="1315"/>
        <v>-43.2</v>
      </c>
      <c r="CJ295" s="17">
        <f t="shared" si="1316"/>
        <v>16</v>
      </c>
      <c r="CK295" s="17">
        <f t="shared" si="1317"/>
        <v>90</v>
      </c>
      <c r="CL295" s="17">
        <f t="shared" si="1318"/>
        <v>71.46880726181422</v>
      </c>
      <c r="CM295" s="17">
        <f t="shared" si="1319"/>
        <v>24</v>
      </c>
      <c r="CN295" s="17">
        <f t="shared" si="1320"/>
        <v>50</v>
      </c>
      <c r="CO295" s="17">
        <f t="shared" si="1321"/>
        <v>65.062647806544774</v>
      </c>
      <c r="CP295" s="17">
        <f t="shared" si="1322"/>
        <v>6.4061594552694459</v>
      </c>
      <c r="CQ295" s="17">
        <f t="shared" si="1323"/>
        <v>0</v>
      </c>
      <c r="CR295" s="17">
        <f t="shared" si="1324"/>
        <v>100</v>
      </c>
      <c r="CS295" s="17">
        <f t="shared" si="1325"/>
        <v>26.404773030064671</v>
      </c>
      <c r="CT295" s="17">
        <f t="shared" si="1326"/>
        <v>24</v>
      </c>
      <c r="CU295" s="17">
        <f t="shared" si="1327"/>
        <v>50</v>
      </c>
      <c r="CV295" s="17">
        <f t="shared" si="1328"/>
        <v>65.062647806544774</v>
      </c>
      <c r="CW295" s="17">
        <f t="shared" si="1329"/>
        <v>-38.657874776480099</v>
      </c>
      <c r="CX295" s="17">
        <f t="shared" si="1267"/>
        <v>-8032.2969600000006</v>
      </c>
      <c r="CY295" s="17">
        <f t="shared" si="1267"/>
        <v>-8032.2969600000006</v>
      </c>
      <c r="CZ295" s="17">
        <f t="shared" si="1330"/>
        <v>1112.8078080000003</v>
      </c>
      <c r="DA295" s="17">
        <f t="shared" si="1331"/>
        <v>-3338.4234240000001</v>
      </c>
      <c r="DB295" s="17">
        <f t="shared" si="1332"/>
        <v>-39890.880000000005</v>
      </c>
      <c r="DC295" s="17">
        <f t="shared" si="1333"/>
        <v>10236</v>
      </c>
      <c r="DD295" s="17">
        <f t="shared" si="1334"/>
        <v>1025.3974415999999</v>
      </c>
      <c r="DE295" s="17">
        <f t="shared" si="1335"/>
        <v>17496.000000000007</v>
      </c>
      <c r="DF295" s="17">
        <f t="shared" si="1336"/>
        <v>-12614.433212989441</v>
      </c>
      <c r="DG295" s="17"/>
      <c r="DH295" s="17">
        <f t="shared" si="1337"/>
        <v>-15772.412908803883</v>
      </c>
      <c r="DI295" s="17">
        <f t="shared" si="1338"/>
        <v>-29573.274204007277</v>
      </c>
      <c r="DJ295" s="17">
        <f t="shared" si="1339"/>
        <v>-7107.3405794824193</v>
      </c>
      <c r="DK295" s="17">
        <f t="shared" si="1340"/>
        <v>10600.086421330037</v>
      </c>
      <c r="DL295" s="17">
        <f t="shared" si="1341"/>
        <v>-34005.828347389441</v>
      </c>
      <c r="DM295" s="17">
        <f t="shared" si="1342"/>
        <v>-41852.941270963544</v>
      </c>
      <c r="DN295" s="17">
        <f t="shared" si="1343"/>
        <v>-75858.769618352992</v>
      </c>
    </row>
    <row r="296" spans="3:120" ht="18.600000000000001">
      <c r="C296" s="13">
        <f>IF(D296&lt;&gt;"",COUNTA($D$10:D296),"")</f>
        <v>245</v>
      </c>
      <c r="D296" s="14" t="s">
        <v>206</v>
      </c>
      <c r="E296" s="14">
        <v>3.1</v>
      </c>
      <c r="F296" s="14">
        <v>2.6</v>
      </c>
      <c r="G296" s="14">
        <v>2.4</v>
      </c>
      <c r="H296" s="14">
        <v>2</v>
      </c>
      <c r="I296" s="14">
        <v>1</v>
      </c>
      <c r="J296" s="14">
        <v>1.75</v>
      </c>
      <c r="K296" s="14">
        <v>3</v>
      </c>
      <c r="L296" s="15">
        <v>0.1</v>
      </c>
      <c r="M296" s="15">
        <v>0</v>
      </c>
      <c r="N296" s="14">
        <v>24</v>
      </c>
      <c r="O296" s="14">
        <v>50</v>
      </c>
      <c r="P296" s="13">
        <v>45</v>
      </c>
      <c r="Q296" s="13">
        <v>85</v>
      </c>
      <c r="R296" s="13" t="s">
        <v>17</v>
      </c>
      <c r="S296" s="13">
        <v>120</v>
      </c>
      <c r="T296" s="13">
        <v>0</v>
      </c>
      <c r="U296" s="13">
        <v>100</v>
      </c>
      <c r="V296" s="13" t="str">
        <f t="shared" si="1268"/>
        <v>ISO 6</v>
      </c>
      <c r="W296" s="13">
        <f t="shared" si="1269"/>
        <v>120</v>
      </c>
      <c r="X296" s="16">
        <f t="shared" si="1270"/>
        <v>86.7256</v>
      </c>
      <c r="Y296" s="16">
        <f t="shared" si="1271"/>
        <v>682.70392319999996</v>
      </c>
      <c r="Z296" s="16">
        <f t="shared" si="1272"/>
        <v>1365.4078463999999</v>
      </c>
      <c r="AA296" s="16">
        <f t="shared" si="1273"/>
        <v>136.54078464</v>
      </c>
      <c r="AB296" s="16">
        <f t="shared" si="1274"/>
        <v>0</v>
      </c>
      <c r="AC296" s="16">
        <f t="shared" si="1275"/>
        <v>12.560674611769482</v>
      </c>
      <c r="AD296" s="16">
        <f t="shared" si="1276"/>
        <v>2900</v>
      </c>
      <c r="AE296" s="16">
        <f t="shared" si="1277"/>
        <v>2900</v>
      </c>
      <c r="AF296" s="16">
        <f t="shared" si="1278"/>
        <v>18</v>
      </c>
      <c r="AG296" s="16">
        <f t="shared" si="1279"/>
        <v>7.5</v>
      </c>
      <c r="AH296" s="838" t="s">
        <v>85</v>
      </c>
      <c r="AI296" s="17">
        <f t="shared" si="1280"/>
        <v>5</v>
      </c>
      <c r="AJ296" s="17">
        <f t="shared" si="1281"/>
        <v>7.5</v>
      </c>
      <c r="AK296" s="891"/>
      <c r="AL296" s="18"/>
      <c r="AM296" s="889"/>
      <c r="AN296" s="891"/>
      <c r="AO296" s="888"/>
      <c r="AP296" s="891"/>
      <c r="AQ296" s="891"/>
      <c r="AR296" s="889"/>
      <c r="AS296" s="888"/>
      <c r="AT296" s="888"/>
      <c r="AU296" s="890"/>
      <c r="AV296" s="888"/>
      <c r="AW296" s="888"/>
      <c r="AX296" s="888"/>
      <c r="AY296" s="887"/>
      <c r="AZ296" s="888"/>
      <c r="BA296" s="17">
        <f t="shared" si="1282"/>
        <v>14.399999999999991</v>
      </c>
      <c r="BB296" s="17">
        <f t="shared" si="1283"/>
        <v>37.799999999999997</v>
      </c>
      <c r="BC296" s="17">
        <f t="shared" si="1284"/>
        <v>32</v>
      </c>
      <c r="BD296" s="17">
        <f t="shared" si="1285"/>
        <v>85</v>
      </c>
      <c r="BE296" s="17">
        <f t="shared" si="1286"/>
        <v>180.86341983910182</v>
      </c>
      <c r="BF296" s="17">
        <f t="shared" si="1287"/>
        <v>24</v>
      </c>
      <c r="BG296" s="17">
        <f t="shared" si="1288"/>
        <v>50</v>
      </c>
      <c r="BH296" s="17">
        <f t="shared" si="1289"/>
        <v>65.062647806544774</v>
      </c>
      <c r="BI296" s="17">
        <f t="shared" si="1290"/>
        <v>115.80077203255705</v>
      </c>
      <c r="BJ296" s="17">
        <f t="shared" si="1291"/>
        <v>45</v>
      </c>
      <c r="BK296" s="17">
        <f t="shared" si="1292"/>
        <v>85</v>
      </c>
      <c r="BL296" s="17">
        <f t="shared" si="1293"/>
        <v>380.54120080897206</v>
      </c>
      <c r="BM296" s="17">
        <f t="shared" si="1294"/>
        <v>24</v>
      </c>
      <c r="BN296" s="17">
        <f t="shared" si="1295"/>
        <v>50</v>
      </c>
      <c r="BO296" s="17">
        <f t="shared" si="1296"/>
        <v>65.062647806544774</v>
      </c>
      <c r="BP296" s="17">
        <f t="shared" si="1297"/>
        <v>315.4785530024273</v>
      </c>
      <c r="BQ296" s="17">
        <f t="shared" si="1298"/>
        <v>5007.6351359999999</v>
      </c>
      <c r="BR296" s="17">
        <f t="shared" si="1299"/>
        <v>1907.670527999999</v>
      </c>
      <c r="BS296" s="17">
        <f t="shared" si="1300"/>
        <v>561.98188799999969</v>
      </c>
      <c r="BT296" s="17">
        <f t="shared" si="1301"/>
        <v>1475.202456</v>
      </c>
      <c r="BU296" s="17">
        <f t="shared" si="1302"/>
        <v>23269.68</v>
      </c>
      <c r="BV296" s="17">
        <f t="shared" si="1303"/>
        <v>3412</v>
      </c>
      <c r="BW296" s="17">
        <f t="shared" si="1304"/>
        <v>517.83855759999994</v>
      </c>
      <c r="BX296" s="17">
        <f t="shared" si="1305"/>
        <v>17495.999999999989</v>
      </c>
      <c r="BY296" s="17">
        <f t="shared" si="1306"/>
        <v>5574.1409921433597</v>
      </c>
      <c r="BZ296" s="17"/>
      <c r="CA296" s="17">
        <f t="shared" si="1307"/>
        <v>85810.166416660228</v>
      </c>
      <c r="CB296" s="17">
        <f t="shared" si="1308"/>
        <v>241341.0930468569</v>
      </c>
      <c r="CC296" s="17">
        <f t="shared" si="1309"/>
        <v>29291.468631549415</v>
      </c>
      <c r="CD296" s="17">
        <f t="shared" si="1310"/>
        <v>263623.21768394468</v>
      </c>
      <c r="CE296" s="17">
        <f t="shared" si="1311"/>
        <v>55277.294685743349</v>
      </c>
      <c r="CF296" s="17">
        <f t="shared" si="1312"/>
        <v>620065.94577901112</v>
      </c>
      <c r="CG296" s="17">
        <f t="shared" si="1313"/>
        <v>675343.24046475452</v>
      </c>
      <c r="CH296" s="17">
        <f t="shared" si="1314"/>
        <v>14.400000000000006</v>
      </c>
      <c r="CI296" s="17">
        <f t="shared" si="1315"/>
        <v>-43.2</v>
      </c>
      <c r="CJ296" s="17">
        <f t="shared" si="1316"/>
        <v>16</v>
      </c>
      <c r="CK296" s="17">
        <f t="shared" si="1317"/>
        <v>90</v>
      </c>
      <c r="CL296" s="17">
        <f t="shared" si="1318"/>
        <v>71.46880726181422</v>
      </c>
      <c r="CM296" s="17">
        <f t="shared" si="1319"/>
        <v>24</v>
      </c>
      <c r="CN296" s="17">
        <f t="shared" si="1320"/>
        <v>50</v>
      </c>
      <c r="CO296" s="17">
        <f t="shared" si="1321"/>
        <v>65.062647806544774</v>
      </c>
      <c r="CP296" s="17">
        <f t="shared" si="1322"/>
        <v>6.4061594552694459</v>
      </c>
      <c r="CQ296" s="17">
        <f t="shared" si="1323"/>
        <v>0</v>
      </c>
      <c r="CR296" s="17">
        <f t="shared" si="1324"/>
        <v>100</v>
      </c>
      <c r="CS296" s="17">
        <f t="shared" si="1325"/>
        <v>26.404773030064671</v>
      </c>
      <c r="CT296" s="17">
        <f t="shared" si="1326"/>
        <v>24</v>
      </c>
      <c r="CU296" s="17">
        <f t="shared" si="1327"/>
        <v>50</v>
      </c>
      <c r="CV296" s="17">
        <f t="shared" si="1328"/>
        <v>65.062647806544774</v>
      </c>
      <c r="CW296" s="17">
        <f t="shared" si="1329"/>
        <v>-38.657874776480099</v>
      </c>
      <c r="CX296" s="17">
        <f t="shared" si="1267"/>
        <v>-5723.0115840000008</v>
      </c>
      <c r="CY296" s="17">
        <f t="shared" si="1267"/>
        <v>-5723.0115840000008</v>
      </c>
      <c r="CZ296" s="17">
        <f t="shared" si="1330"/>
        <v>561.98188800000014</v>
      </c>
      <c r="DA296" s="17">
        <f t="shared" si="1331"/>
        <v>-1685.9456640000001</v>
      </c>
      <c r="DB296" s="17">
        <f t="shared" si="1332"/>
        <v>-26593.920000000002</v>
      </c>
      <c r="DC296" s="17">
        <f t="shared" si="1333"/>
        <v>3412</v>
      </c>
      <c r="DD296" s="17">
        <f t="shared" si="1334"/>
        <v>517.83855759999994</v>
      </c>
      <c r="DE296" s="17">
        <f t="shared" si="1335"/>
        <v>17496.000000000007</v>
      </c>
      <c r="DF296" s="17">
        <f t="shared" si="1336"/>
        <v>-6370.4468481638405</v>
      </c>
      <c r="DG296" s="17"/>
      <c r="DH296" s="17">
        <f t="shared" si="1337"/>
        <v>-10514.941939202587</v>
      </c>
      <c r="DI296" s="17">
        <f t="shared" si="1338"/>
        <v>-29573.274204007277</v>
      </c>
      <c r="DJ296" s="17">
        <f t="shared" si="1339"/>
        <v>-3589.2960570569112</v>
      </c>
      <c r="DK296" s="17">
        <f t="shared" si="1340"/>
        <v>5353.1764759348434</v>
      </c>
      <c r="DL296" s="17">
        <f t="shared" si="1341"/>
        <v>-18385.503650563835</v>
      </c>
      <c r="DM296" s="17">
        <f t="shared" si="1342"/>
        <v>-38324.335724331933</v>
      </c>
      <c r="DN296" s="17">
        <f t="shared" si="1343"/>
        <v>-56709.839374895768</v>
      </c>
    </row>
    <row r="297" spans="3:120" ht="18.600000000000001">
      <c r="C297" s="13">
        <f>IF(D297&lt;&gt;"",COUNTA($D$10:D297),"")</f>
        <v>246</v>
      </c>
      <c r="D297" s="14" t="s">
        <v>207</v>
      </c>
      <c r="E297" s="14">
        <v>1.9</v>
      </c>
      <c r="F297" s="14">
        <v>2.4</v>
      </c>
      <c r="G297" s="14">
        <v>2.4</v>
      </c>
      <c r="H297" s="14">
        <v>3</v>
      </c>
      <c r="I297" s="14">
        <v>2</v>
      </c>
      <c r="J297" s="14">
        <v>1.75</v>
      </c>
      <c r="K297" s="14">
        <v>3</v>
      </c>
      <c r="L297" s="15">
        <v>0.1</v>
      </c>
      <c r="M297" s="15">
        <v>0</v>
      </c>
      <c r="N297" s="14">
        <v>24</v>
      </c>
      <c r="O297" s="14">
        <v>50</v>
      </c>
      <c r="P297" s="13">
        <v>45</v>
      </c>
      <c r="Q297" s="13">
        <v>85</v>
      </c>
      <c r="R297" s="13" t="s">
        <v>17</v>
      </c>
      <c r="S297" s="13">
        <v>120</v>
      </c>
      <c r="T297" s="13">
        <v>0</v>
      </c>
      <c r="U297" s="13">
        <v>100</v>
      </c>
      <c r="V297" s="13" t="str">
        <f t="shared" si="1268"/>
        <v>ISO 6</v>
      </c>
      <c r="W297" s="13">
        <f t="shared" si="1269"/>
        <v>120</v>
      </c>
      <c r="X297" s="16">
        <f t="shared" si="1270"/>
        <v>49.065599999999996</v>
      </c>
      <c r="Y297" s="16">
        <f t="shared" si="1271"/>
        <v>386.24440319999997</v>
      </c>
      <c r="Z297" s="16">
        <f t="shared" si="1272"/>
        <v>772.48880639999993</v>
      </c>
      <c r="AA297" s="16">
        <f t="shared" si="1273"/>
        <v>77.248880639999996</v>
      </c>
      <c r="AB297" s="16">
        <f t="shared" si="1274"/>
        <v>0</v>
      </c>
      <c r="AC297" s="16">
        <f t="shared" si="1275"/>
        <v>7.1062873734080432</v>
      </c>
      <c r="AD297" s="16">
        <f t="shared" si="1276"/>
        <v>2500</v>
      </c>
      <c r="AE297" s="16">
        <f t="shared" si="1277"/>
        <v>2500</v>
      </c>
      <c r="AF297" s="16">
        <f t="shared" si="1278"/>
        <v>16</v>
      </c>
      <c r="AG297" s="16">
        <f t="shared" si="1279"/>
        <v>6.5</v>
      </c>
      <c r="AH297" s="838" t="s">
        <v>85</v>
      </c>
      <c r="AI297" s="17">
        <f t="shared" si="1280"/>
        <v>6</v>
      </c>
      <c r="AJ297" s="17">
        <f t="shared" si="1281"/>
        <v>6.5</v>
      </c>
      <c r="AK297" s="891"/>
      <c r="AL297" s="18"/>
      <c r="AM297" s="889"/>
      <c r="AN297" s="891"/>
      <c r="AO297" s="888"/>
      <c r="AP297" s="891"/>
      <c r="AQ297" s="891"/>
      <c r="AR297" s="889"/>
      <c r="AS297" s="888"/>
      <c r="AT297" s="888"/>
      <c r="AU297" s="890"/>
      <c r="AV297" s="888"/>
      <c r="AW297" s="888"/>
      <c r="AX297" s="888"/>
      <c r="AY297" s="887"/>
      <c r="AZ297" s="888"/>
      <c r="BA297" s="17">
        <f t="shared" si="1282"/>
        <v>14.399999999999991</v>
      </c>
      <c r="BB297" s="17">
        <f t="shared" si="1283"/>
        <v>37.799999999999997</v>
      </c>
      <c r="BC297" s="17">
        <f t="shared" si="1284"/>
        <v>32</v>
      </c>
      <c r="BD297" s="17">
        <f t="shared" si="1285"/>
        <v>85</v>
      </c>
      <c r="BE297" s="17">
        <f t="shared" si="1286"/>
        <v>180.86341983910182</v>
      </c>
      <c r="BF297" s="17">
        <f t="shared" si="1287"/>
        <v>24</v>
      </c>
      <c r="BG297" s="17">
        <f t="shared" si="1288"/>
        <v>50</v>
      </c>
      <c r="BH297" s="17">
        <f t="shared" si="1289"/>
        <v>65.062647806544774</v>
      </c>
      <c r="BI297" s="17">
        <f t="shared" si="1290"/>
        <v>115.80077203255705</v>
      </c>
      <c r="BJ297" s="17">
        <f t="shared" si="1291"/>
        <v>45</v>
      </c>
      <c r="BK297" s="17">
        <f t="shared" si="1292"/>
        <v>85</v>
      </c>
      <c r="BL297" s="17">
        <f t="shared" si="1293"/>
        <v>380.54120080897206</v>
      </c>
      <c r="BM297" s="17">
        <f t="shared" si="1294"/>
        <v>24</v>
      </c>
      <c r="BN297" s="17">
        <f t="shared" si="1295"/>
        <v>50</v>
      </c>
      <c r="BO297" s="17">
        <f t="shared" si="1296"/>
        <v>65.062647806544774</v>
      </c>
      <c r="BP297" s="17">
        <f t="shared" si="1297"/>
        <v>315.4785530024273</v>
      </c>
      <c r="BQ297" s="17">
        <f t="shared" si="1298"/>
        <v>3777.6896639999995</v>
      </c>
      <c r="BR297" s="17">
        <f t="shared" si="1299"/>
        <v>1439.1198719999991</v>
      </c>
      <c r="BS297" s="17">
        <f t="shared" si="1300"/>
        <v>317.94508799999977</v>
      </c>
      <c r="BT297" s="17">
        <f t="shared" si="1301"/>
        <v>834.6058559999999</v>
      </c>
      <c r="BU297" s="17">
        <f t="shared" si="1302"/>
        <v>34904.520000000004</v>
      </c>
      <c r="BV297" s="17">
        <f t="shared" si="1303"/>
        <v>6824</v>
      </c>
      <c r="BW297" s="17">
        <f t="shared" si="1304"/>
        <v>292.97069759999994</v>
      </c>
      <c r="BX297" s="17">
        <f t="shared" si="1305"/>
        <v>17495.999999999989</v>
      </c>
      <c r="BY297" s="17">
        <f t="shared" si="1306"/>
        <v>3153.6083032473598</v>
      </c>
      <c r="BZ297" s="17"/>
      <c r="CA297" s="17">
        <f t="shared" si="1307"/>
        <v>128715.24962499036</v>
      </c>
      <c r="CB297" s="17">
        <f t="shared" si="1308"/>
        <v>241341.0930468569</v>
      </c>
      <c r="CC297" s="17">
        <f t="shared" si="1309"/>
        <v>16571.848258047805</v>
      </c>
      <c r="CD297" s="17">
        <f t="shared" si="1310"/>
        <v>149146.63432243024</v>
      </c>
      <c r="CE297" s="17">
        <f t="shared" si="1311"/>
        <v>66448.78866484735</v>
      </c>
      <c r="CF297" s="17">
        <f t="shared" si="1312"/>
        <v>535774.82525232527</v>
      </c>
      <c r="CG297" s="17">
        <f t="shared" si="1313"/>
        <v>602223.61391717265</v>
      </c>
      <c r="CH297" s="17">
        <f t="shared" si="1314"/>
        <v>14.400000000000006</v>
      </c>
      <c r="CI297" s="17">
        <f t="shared" si="1315"/>
        <v>-43.2</v>
      </c>
      <c r="CJ297" s="17">
        <f t="shared" si="1316"/>
        <v>16</v>
      </c>
      <c r="CK297" s="17">
        <f t="shared" si="1317"/>
        <v>90</v>
      </c>
      <c r="CL297" s="17">
        <f t="shared" si="1318"/>
        <v>71.46880726181422</v>
      </c>
      <c r="CM297" s="17">
        <f t="shared" si="1319"/>
        <v>24</v>
      </c>
      <c r="CN297" s="17">
        <f t="shared" si="1320"/>
        <v>50</v>
      </c>
      <c r="CO297" s="17">
        <f t="shared" si="1321"/>
        <v>65.062647806544774</v>
      </c>
      <c r="CP297" s="17">
        <f t="shared" si="1322"/>
        <v>6.4061594552694459</v>
      </c>
      <c r="CQ297" s="17">
        <f t="shared" si="1323"/>
        <v>0</v>
      </c>
      <c r="CR297" s="17">
        <f t="shared" si="1324"/>
        <v>100</v>
      </c>
      <c r="CS297" s="17">
        <f t="shared" si="1325"/>
        <v>26.404773030064671</v>
      </c>
      <c r="CT297" s="17">
        <f t="shared" si="1326"/>
        <v>24</v>
      </c>
      <c r="CU297" s="17">
        <f t="shared" si="1327"/>
        <v>50</v>
      </c>
      <c r="CV297" s="17">
        <f t="shared" si="1328"/>
        <v>65.062647806544774</v>
      </c>
      <c r="CW297" s="17">
        <f t="shared" si="1329"/>
        <v>-38.657874776480099</v>
      </c>
      <c r="CX297" s="17">
        <f t="shared" si="1267"/>
        <v>-4317.3596159999997</v>
      </c>
      <c r="CY297" s="17">
        <f t="shared" si="1267"/>
        <v>-4317.3596159999997</v>
      </c>
      <c r="CZ297" s="17">
        <f t="shared" si="1330"/>
        <v>317.94508800000011</v>
      </c>
      <c r="DA297" s="17">
        <f t="shared" si="1331"/>
        <v>-953.83526399999994</v>
      </c>
      <c r="DB297" s="17">
        <f t="shared" si="1332"/>
        <v>-39890.880000000005</v>
      </c>
      <c r="DC297" s="17">
        <f t="shared" si="1333"/>
        <v>6824</v>
      </c>
      <c r="DD297" s="17">
        <f t="shared" si="1334"/>
        <v>292.97069759999994</v>
      </c>
      <c r="DE297" s="17">
        <f t="shared" si="1335"/>
        <v>17496.000000000007</v>
      </c>
      <c r="DF297" s="17">
        <f t="shared" si="1336"/>
        <v>-3604.1237751398403</v>
      </c>
      <c r="DG297" s="17"/>
      <c r="DH297" s="17">
        <f t="shared" si="1337"/>
        <v>-15772.412908803883</v>
      </c>
      <c r="DI297" s="17">
        <f t="shared" si="1338"/>
        <v>-29573.274204007277</v>
      </c>
      <c r="DJ297" s="17">
        <f t="shared" si="1339"/>
        <v>-2030.6687369949768</v>
      </c>
      <c r="DK297" s="17">
        <f t="shared" si="1340"/>
        <v>3028.5961203800107</v>
      </c>
      <c r="DL297" s="17">
        <f t="shared" si="1341"/>
        <v>-23835.282869539838</v>
      </c>
      <c r="DM297" s="17">
        <f t="shared" si="1342"/>
        <v>-44347.759729426129</v>
      </c>
      <c r="DN297" s="17">
        <f t="shared" si="1343"/>
        <v>-68183.042598965971</v>
      </c>
    </row>
    <row r="298" spans="3:120" ht="18.600000000000001">
      <c r="C298" s="13">
        <f>IF(D298&lt;&gt;"",COUNTA($D$10:D298),"")</f>
        <v>247</v>
      </c>
      <c r="D298" s="14" t="s">
        <v>208</v>
      </c>
      <c r="E298" s="14">
        <v>3</v>
      </c>
      <c r="F298" s="14">
        <v>2.9</v>
      </c>
      <c r="G298" s="14">
        <v>2.4</v>
      </c>
      <c r="H298" s="14">
        <v>2</v>
      </c>
      <c r="I298" s="14">
        <v>1</v>
      </c>
      <c r="J298" s="14">
        <v>1.75</v>
      </c>
      <c r="K298" s="14">
        <v>3</v>
      </c>
      <c r="L298" s="15">
        <v>0.1</v>
      </c>
      <c r="M298" s="15">
        <v>0</v>
      </c>
      <c r="N298" s="14">
        <v>24</v>
      </c>
      <c r="O298" s="14">
        <v>50</v>
      </c>
      <c r="P298" s="13">
        <v>45</v>
      </c>
      <c r="Q298" s="13">
        <v>85</v>
      </c>
      <c r="R298" s="13" t="s">
        <v>17</v>
      </c>
      <c r="S298" s="13">
        <v>120</v>
      </c>
      <c r="T298" s="13">
        <v>0</v>
      </c>
      <c r="U298" s="13">
        <v>100</v>
      </c>
      <c r="V298" s="13" t="str">
        <f t="shared" si="1268"/>
        <v>ISO 6</v>
      </c>
      <c r="W298" s="13">
        <f t="shared" si="1269"/>
        <v>120</v>
      </c>
      <c r="X298" s="16">
        <f t="shared" si="1270"/>
        <v>93.611999999999995</v>
      </c>
      <c r="Y298" s="16">
        <f t="shared" si="1271"/>
        <v>736.91366399999993</v>
      </c>
      <c r="Z298" s="16">
        <f t="shared" si="1272"/>
        <v>1473.8273279999999</v>
      </c>
      <c r="AA298" s="16">
        <f t="shared" si="1273"/>
        <v>147.38273279999999</v>
      </c>
      <c r="AB298" s="16">
        <f t="shared" si="1274"/>
        <v>0</v>
      </c>
      <c r="AC298" s="16">
        <f t="shared" si="1275"/>
        <v>13.558048278212716</v>
      </c>
      <c r="AD298" s="16">
        <f>IF(ISNUMBER(N298), CEILING(CF298/(0.68*BP298),25), "Ambient")</f>
        <v>3000</v>
      </c>
      <c r="AE298" s="16">
        <f t="shared" si="1277"/>
        <v>3000</v>
      </c>
      <c r="AF298" s="16">
        <f t="shared" si="1278"/>
        <v>18</v>
      </c>
      <c r="AG298" s="16">
        <f t="shared" si="1279"/>
        <v>7.5</v>
      </c>
      <c r="AH298" s="838" t="s">
        <v>85</v>
      </c>
      <c r="AI298" s="17">
        <f t="shared" si="1280"/>
        <v>5</v>
      </c>
      <c r="AJ298" s="17">
        <f t="shared" si="1281"/>
        <v>7.5</v>
      </c>
      <c r="AK298" s="891"/>
      <c r="AL298" s="18"/>
      <c r="AM298" s="889"/>
      <c r="AN298" s="891"/>
      <c r="AO298" s="888"/>
      <c r="AP298" s="891"/>
      <c r="AQ298" s="891"/>
      <c r="AR298" s="889"/>
      <c r="AS298" s="888"/>
      <c r="AT298" s="888"/>
      <c r="AU298" s="890"/>
      <c r="AV298" s="888"/>
      <c r="AW298" s="888"/>
      <c r="AX298" s="888"/>
      <c r="AY298" s="887"/>
      <c r="AZ298" s="888"/>
      <c r="BA298" s="17">
        <f t="shared" si="1282"/>
        <v>14.399999999999991</v>
      </c>
      <c r="BB298" s="17">
        <f t="shared" si="1283"/>
        <v>37.799999999999997</v>
      </c>
      <c r="BC298" s="17">
        <f t="shared" si="1284"/>
        <v>32</v>
      </c>
      <c r="BD298" s="17">
        <f t="shared" si="1285"/>
        <v>85</v>
      </c>
      <c r="BE298" s="17">
        <f t="shared" si="1286"/>
        <v>180.86341983910182</v>
      </c>
      <c r="BF298" s="17">
        <f t="shared" si="1287"/>
        <v>24</v>
      </c>
      <c r="BG298" s="17">
        <f t="shared" si="1288"/>
        <v>50</v>
      </c>
      <c r="BH298" s="17">
        <f t="shared" si="1289"/>
        <v>65.062647806544774</v>
      </c>
      <c r="BI298" s="17">
        <f t="shared" si="1290"/>
        <v>115.80077203255705</v>
      </c>
      <c r="BJ298" s="17">
        <f t="shared" si="1291"/>
        <v>45</v>
      </c>
      <c r="BK298" s="17">
        <f t="shared" si="1292"/>
        <v>85</v>
      </c>
      <c r="BL298" s="17">
        <f t="shared" si="1293"/>
        <v>380.54120080897206</v>
      </c>
      <c r="BM298" s="17">
        <f t="shared" si="1294"/>
        <v>24</v>
      </c>
      <c r="BN298" s="17">
        <f t="shared" si="1295"/>
        <v>50</v>
      </c>
      <c r="BO298" s="17">
        <f t="shared" si="1296"/>
        <v>65.062647806544774</v>
      </c>
      <c r="BP298" s="17">
        <f t="shared" si="1297"/>
        <v>315.4785530024273</v>
      </c>
      <c r="BQ298" s="17">
        <f t="shared" si="1298"/>
        <v>5183.3416319999997</v>
      </c>
      <c r="BR298" s="17">
        <f t="shared" si="1299"/>
        <v>1974.6063359999991</v>
      </c>
      <c r="BS298" s="17">
        <f t="shared" si="1300"/>
        <v>606.60575999999958</v>
      </c>
      <c r="BT298" s="17">
        <f t="shared" si="1301"/>
        <v>1592.3401199999998</v>
      </c>
      <c r="BU298" s="17">
        <f t="shared" si="1302"/>
        <v>23269.68</v>
      </c>
      <c r="BV298" s="17">
        <f t="shared" si="1303"/>
        <v>3412</v>
      </c>
      <c r="BW298" s="17">
        <f t="shared" si="1304"/>
        <v>558.95725199999993</v>
      </c>
      <c r="BX298" s="17">
        <f t="shared" si="1305"/>
        <v>17495.999999999989</v>
      </c>
      <c r="BY298" s="17">
        <f t="shared" si="1306"/>
        <v>6016.7526838271997</v>
      </c>
      <c r="BZ298" s="17"/>
      <c r="CA298" s="17">
        <f t="shared" si="1307"/>
        <v>85810.166416660228</v>
      </c>
      <c r="CB298" s="17">
        <f t="shared" si="1308"/>
        <v>241341.0930468569</v>
      </c>
      <c r="CC298" s="17">
        <f t="shared" si="1309"/>
        <v>31617.34207127542</v>
      </c>
      <c r="CD298" s="17">
        <f t="shared" si="1310"/>
        <v>284556.07864147879</v>
      </c>
      <c r="CE298" s="17">
        <f t="shared" si="1311"/>
        <v>55936.731567827192</v>
      </c>
      <c r="CF298" s="17">
        <f t="shared" si="1312"/>
        <v>643324.68017627136</v>
      </c>
      <c r="CG298" s="17">
        <f t="shared" si="1313"/>
        <v>699261.41174409853</v>
      </c>
      <c r="CH298" s="17">
        <f t="shared" si="1314"/>
        <v>14.400000000000006</v>
      </c>
      <c r="CI298" s="17">
        <f t="shared" si="1315"/>
        <v>-43.2</v>
      </c>
      <c r="CJ298" s="17">
        <f t="shared" si="1316"/>
        <v>16</v>
      </c>
      <c r="CK298" s="17">
        <f t="shared" si="1317"/>
        <v>90</v>
      </c>
      <c r="CL298" s="17">
        <f t="shared" si="1318"/>
        <v>71.46880726181422</v>
      </c>
      <c r="CM298" s="17">
        <f t="shared" si="1319"/>
        <v>24</v>
      </c>
      <c r="CN298" s="17">
        <f t="shared" si="1320"/>
        <v>50</v>
      </c>
      <c r="CO298" s="17">
        <f t="shared" si="1321"/>
        <v>65.062647806544774</v>
      </c>
      <c r="CP298" s="17">
        <f t="shared" si="1322"/>
        <v>6.4061594552694459</v>
      </c>
      <c r="CQ298" s="17">
        <f t="shared" si="1323"/>
        <v>0</v>
      </c>
      <c r="CR298" s="17">
        <f t="shared" si="1324"/>
        <v>100</v>
      </c>
      <c r="CS298" s="17">
        <f t="shared" si="1325"/>
        <v>26.404773030064671</v>
      </c>
      <c r="CT298" s="17">
        <f t="shared" si="1326"/>
        <v>24</v>
      </c>
      <c r="CU298" s="17">
        <f t="shared" si="1327"/>
        <v>50</v>
      </c>
      <c r="CV298" s="17">
        <f t="shared" si="1328"/>
        <v>65.062647806544774</v>
      </c>
      <c r="CW298" s="17">
        <f t="shared" si="1329"/>
        <v>-38.657874776480099</v>
      </c>
      <c r="CX298" s="17">
        <f t="shared" si="1267"/>
        <v>-5923.8190080000013</v>
      </c>
      <c r="CY298" s="17">
        <f t="shared" si="1267"/>
        <v>-5923.8190080000013</v>
      </c>
      <c r="CZ298" s="17">
        <f t="shared" si="1330"/>
        <v>606.60576000000026</v>
      </c>
      <c r="DA298" s="17">
        <f t="shared" si="1331"/>
        <v>-1819.81728</v>
      </c>
      <c r="DB298" s="17">
        <f t="shared" si="1332"/>
        <v>-26593.920000000002</v>
      </c>
      <c r="DC298" s="17">
        <f t="shared" si="1333"/>
        <v>3412</v>
      </c>
      <c r="DD298" s="17">
        <f t="shared" si="1334"/>
        <v>558.95725199999993</v>
      </c>
      <c r="DE298" s="17">
        <f t="shared" si="1335"/>
        <v>17496.000000000007</v>
      </c>
      <c r="DF298" s="17">
        <f t="shared" si="1336"/>
        <v>-6876.2887815168006</v>
      </c>
      <c r="DG298" s="17"/>
      <c r="DH298" s="17">
        <f t="shared" si="1337"/>
        <v>-10514.941939202587</v>
      </c>
      <c r="DI298" s="17">
        <f t="shared" si="1338"/>
        <v>-29573.274204007277</v>
      </c>
      <c r="DJ298" s="17">
        <f t="shared" si="1339"/>
        <v>-3874.3021955825216</v>
      </c>
      <c r="DK298" s="17">
        <f t="shared" si="1340"/>
        <v>5778.2425980934422</v>
      </c>
      <c r="DL298" s="17">
        <f t="shared" si="1341"/>
        <v>-19140.282057516793</v>
      </c>
      <c r="DM298" s="17">
        <f t="shared" si="1342"/>
        <v>-38184.275740698948</v>
      </c>
      <c r="DN298" s="17">
        <f t="shared" si="1343"/>
        <v>-57324.557798215741</v>
      </c>
    </row>
    <row r="299" spans="3:120" ht="18.600000000000001">
      <c r="C299" s="13">
        <f>IF(D299&lt;&gt;"",COUNTA($D$10:D299),"")</f>
        <v>248</v>
      </c>
      <c r="D299" s="14" t="s">
        <v>209</v>
      </c>
      <c r="E299" s="14">
        <v>2.4</v>
      </c>
      <c r="F299" s="14">
        <v>2</v>
      </c>
      <c r="G299" s="14">
        <v>2.4</v>
      </c>
      <c r="H299" s="14">
        <v>2</v>
      </c>
      <c r="I299" s="14">
        <v>1</v>
      </c>
      <c r="J299" s="14">
        <v>1.75</v>
      </c>
      <c r="K299" s="14">
        <v>3</v>
      </c>
      <c r="L299" s="15">
        <v>0.1</v>
      </c>
      <c r="M299" s="15">
        <v>0</v>
      </c>
      <c r="N299" s="14">
        <v>24</v>
      </c>
      <c r="O299" s="14">
        <v>50</v>
      </c>
      <c r="P299" s="13">
        <v>45</v>
      </c>
      <c r="Q299" s="13">
        <v>85</v>
      </c>
      <c r="R299" s="13" t="s">
        <v>17</v>
      </c>
      <c r="S299" s="13">
        <v>120</v>
      </c>
      <c r="T299" s="13">
        <v>0</v>
      </c>
      <c r="U299" s="13">
        <v>100</v>
      </c>
      <c r="V299" s="13" t="str">
        <f t="shared" si="1268"/>
        <v>ISO 6</v>
      </c>
      <c r="W299" s="13">
        <f t="shared" si="1269"/>
        <v>120</v>
      </c>
      <c r="X299" s="16">
        <f t="shared" si="1270"/>
        <v>51.647999999999996</v>
      </c>
      <c r="Y299" s="16">
        <f t="shared" si="1271"/>
        <v>406.57305599999995</v>
      </c>
      <c r="Z299" s="16">
        <f t="shared" si="1272"/>
        <v>813.1461119999999</v>
      </c>
      <c r="AA299" s="16">
        <f t="shared" si="1273"/>
        <v>81.314611200000002</v>
      </c>
      <c r="AB299" s="16">
        <f t="shared" si="1274"/>
        <v>0</v>
      </c>
      <c r="AC299" s="16">
        <f t="shared" si="1275"/>
        <v>7.4803024983242565</v>
      </c>
      <c r="AD299" s="16">
        <f t="shared" ref="AD299:AD305" si="1344">IF(ISNUMBER(N299), CEILING(CF299/(0.68*BP299),25), "Ambient")</f>
        <v>2350</v>
      </c>
      <c r="AE299" s="16">
        <f t="shared" si="1277"/>
        <v>2350</v>
      </c>
      <c r="AF299" s="16">
        <f t="shared" si="1278"/>
        <v>14</v>
      </c>
      <c r="AG299" s="16">
        <f t="shared" si="1279"/>
        <v>6</v>
      </c>
      <c r="AH299" s="838" t="s">
        <v>85</v>
      </c>
      <c r="AI299" s="17">
        <f t="shared" si="1280"/>
        <v>4.5</v>
      </c>
      <c r="AJ299" s="17">
        <f t="shared" si="1281"/>
        <v>6</v>
      </c>
      <c r="AK299" s="891"/>
      <c r="AL299" s="174">
        <f>IF(AN290&lt;=315,1600,(IF(AN290=355,1650,(IF(AN290=400,1650,(IF(AN290=450,1700,(IF(AN290=500,1700,(IF(AN290=560,1800,(IF(AN290=630,2000,(IF(AN290=710,2200,2500)))))))))))))))+IF(AR290=2,1800,(IF(AR290=3,2300,(IF(AR290=4,3300,0)))))+IF(AP290&lt;=4,600,(IF(AP290&lt;=6,800,(IF(AP290&lt;=8,1000,1200)))))</f>
        <v>5400</v>
      </c>
      <c r="AM299" s="889"/>
      <c r="AN299" s="891"/>
      <c r="AO299" s="888"/>
      <c r="AP299" s="891"/>
      <c r="AQ299" s="891"/>
      <c r="AR299" s="889"/>
      <c r="AS299" s="888"/>
      <c r="AT299" s="888"/>
      <c r="AU299" s="890"/>
      <c r="AV299" s="888"/>
      <c r="AW299" s="888"/>
      <c r="AX299" s="888"/>
      <c r="AY299" s="887"/>
      <c r="AZ299" s="888"/>
      <c r="BA299" s="17">
        <f t="shared" si="1282"/>
        <v>14.399999999999991</v>
      </c>
      <c r="BB299" s="17">
        <f t="shared" si="1283"/>
        <v>37.799999999999997</v>
      </c>
      <c r="BC299" s="17">
        <f t="shared" si="1284"/>
        <v>32</v>
      </c>
      <c r="BD299" s="17">
        <f t="shared" si="1285"/>
        <v>85</v>
      </c>
      <c r="BE299" s="17">
        <f t="shared" si="1286"/>
        <v>180.86341983910182</v>
      </c>
      <c r="BF299" s="17">
        <f t="shared" si="1287"/>
        <v>24</v>
      </c>
      <c r="BG299" s="17">
        <f t="shared" si="1288"/>
        <v>50</v>
      </c>
      <c r="BH299" s="17">
        <f t="shared" si="1289"/>
        <v>65.062647806544774</v>
      </c>
      <c r="BI299" s="17">
        <f t="shared" si="1290"/>
        <v>115.80077203255705</v>
      </c>
      <c r="BJ299" s="17">
        <f t="shared" si="1291"/>
        <v>45</v>
      </c>
      <c r="BK299" s="17">
        <f t="shared" si="1292"/>
        <v>85</v>
      </c>
      <c r="BL299" s="17">
        <f t="shared" si="1293"/>
        <v>380.54120080897206</v>
      </c>
      <c r="BM299" s="17">
        <f t="shared" si="1294"/>
        <v>24</v>
      </c>
      <c r="BN299" s="17">
        <f t="shared" si="1295"/>
        <v>50</v>
      </c>
      <c r="BO299" s="17">
        <f t="shared" si="1296"/>
        <v>65.062647806544774</v>
      </c>
      <c r="BP299" s="17">
        <f t="shared" si="1297"/>
        <v>315.4785530024273</v>
      </c>
      <c r="BQ299" s="17">
        <f t="shared" si="1298"/>
        <v>3865.5429119999999</v>
      </c>
      <c r="BR299" s="17">
        <f t="shared" si="1299"/>
        <v>1472.5877759999992</v>
      </c>
      <c r="BS299" s="17">
        <f t="shared" si="1300"/>
        <v>334.67903999999976</v>
      </c>
      <c r="BT299" s="17">
        <f t="shared" si="1301"/>
        <v>878.53247999999996</v>
      </c>
      <c r="BU299" s="17">
        <f t="shared" si="1302"/>
        <v>23269.68</v>
      </c>
      <c r="BV299" s="17">
        <f t="shared" si="1303"/>
        <v>3412</v>
      </c>
      <c r="BW299" s="17">
        <f t="shared" si="1304"/>
        <v>308.39020799999997</v>
      </c>
      <c r="BX299" s="17">
        <f t="shared" si="1305"/>
        <v>17495.999999999989</v>
      </c>
      <c r="BY299" s="17">
        <f t="shared" si="1306"/>
        <v>3319.5876876287998</v>
      </c>
      <c r="BZ299" s="17"/>
      <c r="CA299" s="17">
        <f t="shared" si="1307"/>
        <v>85810.166416660228</v>
      </c>
      <c r="CB299" s="17">
        <f t="shared" si="1308"/>
        <v>241341.0930468569</v>
      </c>
      <c r="CC299" s="17">
        <f t="shared" si="1309"/>
        <v>17444.050797945059</v>
      </c>
      <c r="CD299" s="17">
        <f t="shared" si="1310"/>
        <v>156996.45718150554</v>
      </c>
      <c r="CE299" s="17">
        <f t="shared" si="1311"/>
        <v>51671.200807628797</v>
      </c>
      <c r="CF299" s="17">
        <f t="shared" si="1312"/>
        <v>501591.76744296774</v>
      </c>
      <c r="CG299" s="17">
        <f t="shared" si="1313"/>
        <v>553262.96825059655</v>
      </c>
      <c r="CH299" s="17">
        <f t="shared" si="1314"/>
        <v>14.400000000000006</v>
      </c>
      <c r="CI299" s="17">
        <f t="shared" si="1315"/>
        <v>-43.2</v>
      </c>
      <c r="CJ299" s="17">
        <f t="shared" si="1316"/>
        <v>16</v>
      </c>
      <c r="CK299" s="17">
        <f t="shared" si="1317"/>
        <v>90</v>
      </c>
      <c r="CL299" s="17">
        <f t="shared" si="1318"/>
        <v>71.46880726181422</v>
      </c>
      <c r="CM299" s="17">
        <f t="shared" si="1319"/>
        <v>24</v>
      </c>
      <c r="CN299" s="17">
        <f t="shared" si="1320"/>
        <v>50</v>
      </c>
      <c r="CO299" s="17">
        <f t="shared" si="1321"/>
        <v>65.062647806544774</v>
      </c>
      <c r="CP299" s="17">
        <f t="shared" si="1322"/>
        <v>6.4061594552694459</v>
      </c>
      <c r="CQ299" s="17">
        <f t="shared" si="1323"/>
        <v>0</v>
      </c>
      <c r="CR299" s="17">
        <f t="shared" si="1324"/>
        <v>100</v>
      </c>
      <c r="CS299" s="17">
        <f t="shared" si="1325"/>
        <v>26.404773030064671</v>
      </c>
      <c r="CT299" s="17">
        <f t="shared" si="1326"/>
        <v>24</v>
      </c>
      <c r="CU299" s="17">
        <f t="shared" si="1327"/>
        <v>50</v>
      </c>
      <c r="CV299" s="17">
        <f t="shared" si="1328"/>
        <v>65.062647806544774</v>
      </c>
      <c r="CW299" s="17">
        <f t="shared" si="1329"/>
        <v>-38.657874776480099</v>
      </c>
      <c r="CX299" s="17">
        <f t="shared" si="1267"/>
        <v>-4417.7633280000009</v>
      </c>
      <c r="CY299" s="17">
        <f t="shared" si="1267"/>
        <v>-4417.7633280000009</v>
      </c>
      <c r="CZ299" s="17">
        <f t="shared" si="1330"/>
        <v>334.67904000000016</v>
      </c>
      <c r="DA299" s="17">
        <f t="shared" si="1331"/>
        <v>-1004.0371200000001</v>
      </c>
      <c r="DB299" s="17">
        <f t="shared" si="1332"/>
        <v>-26593.920000000002</v>
      </c>
      <c r="DC299" s="17">
        <f t="shared" si="1333"/>
        <v>3412</v>
      </c>
      <c r="DD299" s="17">
        <f t="shared" si="1334"/>
        <v>308.39020799999997</v>
      </c>
      <c r="DE299" s="17">
        <f t="shared" si="1335"/>
        <v>17496.000000000007</v>
      </c>
      <c r="DF299" s="17">
        <f t="shared" si="1336"/>
        <v>-3793.8145001472003</v>
      </c>
      <c r="DG299" s="17"/>
      <c r="DH299" s="17">
        <f t="shared" si="1337"/>
        <v>-10514.941939202587</v>
      </c>
      <c r="DI299" s="17">
        <f t="shared" si="1338"/>
        <v>-29573.274204007277</v>
      </c>
      <c r="DJ299" s="17">
        <f t="shared" si="1339"/>
        <v>-2137.5460389420814</v>
      </c>
      <c r="DK299" s="17">
        <f t="shared" si="1340"/>
        <v>3187.9959161894853</v>
      </c>
      <c r="DL299" s="17">
        <f t="shared" si="1341"/>
        <v>-14258.465700147197</v>
      </c>
      <c r="DM299" s="17">
        <f t="shared" si="1342"/>
        <v>-39037.766265962462</v>
      </c>
      <c r="DN299" s="17">
        <f t="shared" si="1343"/>
        <v>-53296.231966109655</v>
      </c>
    </row>
    <row r="300" spans="3:120" ht="18.600000000000001">
      <c r="C300" s="13">
        <f>IF(D300&lt;&gt;"",COUNTA($D$10:D300),"")</f>
        <v>249</v>
      </c>
      <c r="D300" s="14" t="s">
        <v>210</v>
      </c>
      <c r="E300" s="14">
        <v>2.1</v>
      </c>
      <c r="F300" s="14">
        <v>1.8</v>
      </c>
      <c r="G300" s="14">
        <v>2.4</v>
      </c>
      <c r="H300" s="14">
        <v>2</v>
      </c>
      <c r="I300" s="14">
        <v>1</v>
      </c>
      <c r="J300" s="14">
        <v>1.75</v>
      </c>
      <c r="K300" s="14">
        <v>3</v>
      </c>
      <c r="L300" s="15">
        <v>0.1</v>
      </c>
      <c r="M300" s="15">
        <v>0</v>
      </c>
      <c r="N300" s="14">
        <v>24</v>
      </c>
      <c r="O300" s="14">
        <v>50</v>
      </c>
      <c r="P300" s="13">
        <v>45</v>
      </c>
      <c r="Q300" s="13">
        <v>85</v>
      </c>
      <c r="R300" s="13" t="s">
        <v>17</v>
      </c>
      <c r="S300" s="13">
        <v>120</v>
      </c>
      <c r="T300" s="13">
        <v>0</v>
      </c>
      <c r="U300" s="13">
        <v>100</v>
      </c>
      <c r="V300" s="13" t="str">
        <f t="shared" si="1268"/>
        <v>ISO 6</v>
      </c>
      <c r="W300" s="13">
        <f t="shared" si="1269"/>
        <v>120</v>
      </c>
      <c r="X300" s="16">
        <f t="shared" si="1270"/>
        <v>40.672800000000002</v>
      </c>
      <c r="Y300" s="16">
        <f t="shared" si="1271"/>
        <v>320.17628159999998</v>
      </c>
      <c r="Z300" s="16">
        <f t="shared" si="1272"/>
        <v>640.35256319999996</v>
      </c>
      <c r="AA300" s="16">
        <f t="shared" si="1273"/>
        <v>64.035256320000002</v>
      </c>
      <c r="AB300" s="16">
        <f t="shared" si="1274"/>
        <v>0</v>
      </c>
      <c r="AC300" s="16">
        <f t="shared" si="1275"/>
        <v>5.8907382174303526</v>
      </c>
      <c r="AD300" s="16">
        <f t="shared" si="1344"/>
        <v>2175</v>
      </c>
      <c r="AE300" s="16">
        <f t="shared" si="1277"/>
        <v>2175</v>
      </c>
      <c r="AF300" s="16">
        <f t="shared" si="1278"/>
        <v>14</v>
      </c>
      <c r="AG300" s="16">
        <f t="shared" si="1279"/>
        <v>5.5</v>
      </c>
      <c r="AH300" s="838" t="s">
        <v>85</v>
      </c>
      <c r="AI300" s="17">
        <f t="shared" si="1280"/>
        <v>4.5</v>
      </c>
      <c r="AJ300" s="17">
        <f t="shared" si="1281"/>
        <v>5.5</v>
      </c>
      <c r="AK300" s="891"/>
      <c r="AL300" s="18"/>
      <c r="AM300" s="889"/>
      <c r="AN300" s="891"/>
      <c r="AO300" s="888"/>
      <c r="AP300" s="891"/>
      <c r="AQ300" s="891"/>
      <c r="AR300" s="889"/>
      <c r="AS300" s="888"/>
      <c r="AT300" s="888"/>
      <c r="AU300" s="890"/>
      <c r="AV300" s="888"/>
      <c r="AW300" s="888"/>
      <c r="AX300" s="888"/>
      <c r="AY300" s="887"/>
      <c r="AZ300" s="888"/>
      <c r="BA300" s="17">
        <f t="shared" si="1282"/>
        <v>14.399999999999991</v>
      </c>
      <c r="BB300" s="17">
        <f t="shared" si="1283"/>
        <v>37.799999999999997</v>
      </c>
      <c r="BC300" s="17">
        <f t="shared" si="1284"/>
        <v>32</v>
      </c>
      <c r="BD300" s="17">
        <f t="shared" si="1285"/>
        <v>85</v>
      </c>
      <c r="BE300" s="17">
        <f t="shared" si="1286"/>
        <v>180.86341983910182</v>
      </c>
      <c r="BF300" s="17">
        <f t="shared" si="1287"/>
        <v>24</v>
      </c>
      <c r="BG300" s="17">
        <f t="shared" si="1288"/>
        <v>50</v>
      </c>
      <c r="BH300" s="17">
        <f t="shared" si="1289"/>
        <v>65.062647806544774</v>
      </c>
      <c r="BI300" s="17">
        <f t="shared" si="1290"/>
        <v>115.80077203255705</v>
      </c>
      <c r="BJ300" s="17">
        <f t="shared" si="1291"/>
        <v>45</v>
      </c>
      <c r="BK300" s="17">
        <f t="shared" si="1292"/>
        <v>85</v>
      </c>
      <c r="BL300" s="17">
        <f t="shared" si="1293"/>
        <v>380.54120080897206</v>
      </c>
      <c r="BM300" s="17">
        <f t="shared" si="1294"/>
        <v>24</v>
      </c>
      <c r="BN300" s="17">
        <f t="shared" si="1295"/>
        <v>50</v>
      </c>
      <c r="BO300" s="17">
        <f t="shared" si="1296"/>
        <v>65.062647806544774</v>
      </c>
      <c r="BP300" s="17">
        <f t="shared" si="1297"/>
        <v>315.4785530024273</v>
      </c>
      <c r="BQ300" s="17">
        <f t="shared" si="1298"/>
        <v>3426.2766719999995</v>
      </c>
      <c r="BR300" s="17">
        <f t="shared" si="1299"/>
        <v>1305.2482559999992</v>
      </c>
      <c r="BS300" s="17">
        <f t="shared" si="1300"/>
        <v>263.55974399999985</v>
      </c>
      <c r="BT300" s="17">
        <f t="shared" si="1301"/>
        <v>691.84432800000002</v>
      </c>
      <c r="BU300" s="17">
        <f t="shared" si="1302"/>
        <v>23269.68</v>
      </c>
      <c r="BV300" s="17">
        <f t="shared" si="1303"/>
        <v>3412</v>
      </c>
      <c r="BW300" s="17">
        <f t="shared" si="1304"/>
        <v>242.85728880000002</v>
      </c>
      <c r="BX300" s="17">
        <f t="shared" si="1305"/>
        <v>17495.999999999989</v>
      </c>
      <c r="BY300" s="17">
        <f t="shared" si="1306"/>
        <v>2614.1753040076801</v>
      </c>
      <c r="BZ300" s="17"/>
      <c r="CA300" s="17">
        <f t="shared" si="1307"/>
        <v>85810.166416660228</v>
      </c>
      <c r="CB300" s="17">
        <f t="shared" si="1308"/>
        <v>241341.0930468569</v>
      </c>
      <c r="CC300" s="17">
        <f t="shared" si="1309"/>
        <v>13737.190003381735</v>
      </c>
      <c r="CD300" s="17">
        <f t="shared" si="1310"/>
        <v>123634.7100304356</v>
      </c>
      <c r="CE300" s="17">
        <f t="shared" si="1311"/>
        <v>50460.989264807671</v>
      </c>
      <c r="CF300" s="17">
        <f t="shared" si="1312"/>
        <v>464523.15949733445</v>
      </c>
      <c r="CG300" s="17">
        <f t="shared" si="1313"/>
        <v>514984.14876214211</v>
      </c>
      <c r="CH300" s="17">
        <f t="shared" si="1314"/>
        <v>14.400000000000006</v>
      </c>
      <c r="CI300" s="17">
        <f t="shared" si="1315"/>
        <v>-43.2</v>
      </c>
      <c r="CJ300" s="17">
        <f t="shared" si="1316"/>
        <v>16</v>
      </c>
      <c r="CK300" s="17">
        <f t="shared" si="1317"/>
        <v>90</v>
      </c>
      <c r="CL300" s="17">
        <f t="shared" si="1318"/>
        <v>71.46880726181422</v>
      </c>
      <c r="CM300" s="17">
        <f t="shared" si="1319"/>
        <v>24</v>
      </c>
      <c r="CN300" s="17">
        <f t="shared" si="1320"/>
        <v>50</v>
      </c>
      <c r="CO300" s="17">
        <f t="shared" si="1321"/>
        <v>65.062647806544774</v>
      </c>
      <c r="CP300" s="17">
        <f t="shared" si="1322"/>
        <v>6.4061594552694459</v>
      </c>
      <c r="CQ300" s="17">
        <f t="shared" si="1323"/>
        <v>0</v>
      </c>
      <c r="CR300" s="17">
        <f t="shared" si="1324"/>
        <v>100</v>
      </c>
      <c r="CS300" s="17">
        <f t="shared" si="1325"/>
        <v>26.404773030064671</v>
      </c>
      <c r="CT300" s="17">
        <f t="shared" si="1326"/>
        <v>24</v>
      </c>
      <c r="CU300" s="17">
        <f t="shared" si="1327"/>
        <v>50</v>
      </c>
      <c r="CV300" s="17">
        <f t="shared" si="1328"/>
        <v>65.062647806544774</v>
      </c>
      <c r="CW300" s="17">
        <f t="shared" si="1329"/>
        <v>-38.657874776480099</v>
      </c>
      <c r="CX300" s="17">
        <f t="shared" si="1267"/>
        <v>-3915.744768</v>
      </c>
      <c r="CY300" s="17">
        <f t="shared" si="1267"/>
        <v>-3915.744768</v>
      </c>
      <c r="CZ300" s="17">
        <f t="shared" si="1330"/>
        <v>263.55974400000014</v>
      </c>
      <c r="DA300" s="17">
        <f t="shared" si="1331"/>
        <v>-790.67923200000007</v>
      </c>
      <c r="DB300" s="17">
        <f t="shared" si="1332"/>
        <v>-26593.920000000002</v>
      </c>
      <c r="DC300" s="17">
        <f t="shared" si="1333"/>
        <v>3412</v>
      </c>
      <c r="DD300" s="17">
        <f t="shared" si="1334"/>
        <v>242.85728880000002</v>
      </c>
      <c r="DE300" s="17">
        <f t="shared" si="1335"/>
        <v>17496.000000000007</v>
      </c>
      <c r="DF300" s="17">
        <f t="shared" si="1336"/>
        <v>-2987.6289188659202</v>
      </c>
      <c r="DG300" s="17"/>
      <c r="DH300" s="17">
        <f t="shared" si="1337"/>
        <v>-10514.941939202587</v>
      </c>
      <c r="DI300" s="17">
        <f t="shared" si="1338"/>
        <v>-29573.274204007277</v>
      </c>
      <c r="DJ300" s="17">
        <f t="shared" si="1339"/>
        <v>-1683.3175056668888</v>
      </c>
      <c r="DK300" s="17">
        <f t="shared" si="1340"/>
        <v>2510.5467839992198</v>
      </c>
      <c r="DL300" s="17">
        <f t="shared" si="1341"/>
        <v>-12873.555886065915</v>
      </c>
      <c r="DM300" s="17">
        <f t="shared" si="1342"/>
        <v>-39260.986864877537</v>
      </c>
      <c r="DN300" s="17">
        <f t="shared" si="1343"/>
        <v>-52134.542750943452</v>
      </c>
    </row>
    <row r="301" spans="3:120" ht="18.600000000000001">
      <c r="C301" s="13">
        <f>IF(D301&lt;&gt;"",COUNTA($D$10:D301),"")</f>
        <v>250</v>
      </c>
      <c r="D301" s="14" t="s">
        <v>211</v>
      </c>
      <c r="E301" s="14">
        <v>1.8</v>
      </c>
      <c r="F301" s="14">
        <v>1.9</v>
      </c>
      <c r="G301" s="14">
        <v>2.4</v>
      </c>
      <c r="H301" s="14">
        <v>2</v>
      </c>
      <c r="I301" s="14">
        <v>1</v>
      </c>
      <c r="J301" s="14">
        <v>1.75</v>
      </c>
      <c r="K301" s="14">
        <v>3</v>
      </c>
      <c r="L301" s="15">
        <v>0.1</v>
      </c>
      <c r="M301" s="15">
        <v>0</v>
      </c>
      <c r="N301" s="14">
        <v>24</v>
      </c>
      <c r="O301" s="14">
        <v>50</v>
      </c>
      <c r="P301" s="13">
        <v>45</v>
      </c>
      <c r="Q301" s="13">
        <v>85</v>
      </c>
      <c r="R301" s="13" t="s">
        <v>17</v>
      </c>
      <c r="S301" s="13">
        <v>120</v>
      </c>
      <c r="T301" s="13">
        <v>0</v>
      </c>
      <c r="U301" s="13">
        <v>100</v>
      </c>
      <c r="V301" s="13" t="str">
        <f t="shared" si="1268"/>
        <v>ISO 6</v>
      </c>
      <c r="W301" s="13">
        <f t="shared" si="1269"/>
        <v>120</v>
      </c>
      <c r="X301" s="16">
        <f t="shared" si="1270"/>
        <v>36.799199999999999</v>
      </c>
      <c r="Y301" s="16">
        <f t="shared" si="1271"/>
        <v>289.68330239999995</v>
      </c>
      <c r="Z301" s="16">
        <f t="shared" si="1272"/>
        <v>579.36660479999989</v>
      </c>
      <c r="AA301" s="16">
        <f t="shared" si="1273"/>
        <v>57.936660479999993</v>
      </c>
      <c r="AB301" s="16">
        <f t="shared" si="1274"/>
        <v>0</v>
      </c>
      <c r="AC301" s="16">
        <f t="shared" si="1275"/>
        <v>5.3297155300560322</v>
      </c>
      <c r="AD301" s="16">
        <f t="shared" si="1344"/>
        <v>2125</v>
      </c>
      <c r="AE301" s="16">
        <f t="shared" si="1277"/>
        <v>2125</v>
      </c>
      <c r="AF301" s="16">
        <f t="shared" si="1278"/>
        <v>14</v>
      </c>
      <c r="AG301" s="16">
        <f t="shared" si="1279"/>
        <v>5.5</v>
      </c>
      <c r="AH301" s="838" t="s">
        <v>85</v>
      </c>
      <c r="AI301" s="17">
        <f t="shared" si="1280"/>
        <v>4.5</v>
      </c>
      <c r="AJ301" s="17">
        <f t="shared" si="1281"/>
        <v>5.5</v>
      </c>
      <c r="AK301" s="891"/>
      <c r="AL301" s="18"/>
      <c r="AM301" s="889"/>
      <c r="AN301" s="891"/>
      <c r="AO301" s="888"/>
      <c r="AP301" s="891"/>
      <c r="AQ301" s="891"/>
      <c r="AR301" s="889"/>
      <c r="AS301" s="888"/>
      <c r="AT301" s="888"/>
      <c r="AU301" s="890"/>
      <c r="AV301" s="888"/>
      <c r="AW301" s="888"/>
      <c r="AX301" s="888"/>
      <c r="AY301" s="887"/>
      <c r="AZ301" s="888"/>
      <c r="BA301" s="17">
        <f t="shared" si="1282"/>
        <v>14.399999999999991</v>
      </c>
      <c r="BB301" s="17">
        <f t="shared" si="1283"/>
        <v>37.799999999999997</v>
      </c>
      <c r="BC301" s="17">
        <f t="shared" si="1284"/>
        <v>32</v>
      </c>
      <c r="BD301" s="17">
        <f t="shared" si="1285"/>
        <v>85</v>
      </c>
      <c r="BE301" s="17">
        <f t="shared" si="1286"/>
        <v>180.86341983910182</v>
      </c>
      <c r="BF301" s="17">
        <f t="shared" si="1287"/>
        <v>24</v>
      </c>
      <c r="BG301" s="17">
        <f t="shared" si="1288"/>
        <v>50</v>
      </c>
      <c r="BH301" s="17">
        <f t="shared" si="1289"/>
        <v>65.062647806544774</v>
      </c>
      <c r="BI301" s="17">
        <f t="shared" si="1290"/>
        <v>115.80077203255705</v>
      </c>
      <c r="BJ301" s="17">
        <f t="shared" si="1291"/>
        <v>45</v>
      </c>
      <c r="BK301" s="17">
        <f t="shared" si="1292"/>
        <v>85</v>
      </c>
      <c r="BL301" s="17">
        <f t="shared" si="1293"/>
        <v>380.54120080897206</v>
      </c>
      <c r="BM301" s="17">
        <f t="shared" si="1294"/>
        <v>24</v>
      </c>
      <c r="BN301" s="17">
        <f t="shared" si="1295"/>
        <v>50</v>
      </c>
      <c r="BO301" s="17">
        <f t="shared" si="1296"/>
        <v>65.062647806544774</v>
      </c>
      <c r="BP301" s="17">
        <f t="shared" si="1297"/>
        <v>315.4785530024273</v>
      </c>
      <c r="BQ301" s="17">
        <f t="shared" si="1298"/>
        <v>3250.5701760000002</v>
      </c>
      <c r="BR301" s="17">
        <f t="shared" si="1299"/>
        <v>1238.3124479999992</v>
      </c>
      <c r="BS301" s="17">
        <f t="shared" si="1300"/>
        <v>238.45881599999987</v>
      </c>
      <c r="BT301" s="17">
        <f t="shared" si="1301"/>
        <v>625.95439199999998</v>
      </c>
      <c r="BU301" s="17">
        <f t="shared" si="1302"/>
        <v>23269.68</v>
      </c>
      <c r="BV301" s="17">
        <f t="shared" si="1303"/>
        <v>3412</v>
      </c>
      <c r="BW301" s="17">
        <f t="shared" si="1304"/>
        <v>219.7280232</v>
      </c>
      <c r="BX301" s="17">
        <f t="shared" si="1305"/>
        <v>17495.999999999989</v>
      </c>
      <c r="BY301" s="17">
        <f t="shared" si="1306"/>
        <v>2365.2062274355198</v>
      </c>
      <c r="BZ301" s="17"/>
      <c r="CA301" s="17">
        <f t="shared" si="1307"/>
        <v>85810.166416660228</v>
      </c>
      <c r="CB301" s="17">
        <f t="shared" si="1308"/>
        <v>241341.0930468569</v>
      </c>
      <c r="CC301" s="17">
        <f t="shared" si="1309"/>
        <v>12428.886193535853</v>
      </c>
      <c r="CD301" s="17">
        <f t="shared" si="1310"/>
        <v>111859.97574182268</v>
      </c>
      <c r="CE301" s="17">
        <f t="shared" si="1311"/>
        <v>50013.184426635511</v>
      </c>
      <c r="CF301" s="17">
        <f t="shared" si="1312"/>
        <v>451440.12139887566</v>
      </c>
      <c r="CG301" s="17">
        <f t="shared" si="1313"/>
        <v>501453.30582551117</v>
      </c>
      <c r="CH301" s="17">
        <f t="shared" si="1314"/>
        <v>14.400000000000006</v>
      </c>
      <c r="CI301" s="17">
        <f t="shared" si="1315"/>
        <v>-43.2</v>
      </c>
      <c r="CJ301" s="17">
        <f t="shared" si="1316"/>
        <v>16</v>
      </c>
      <c r="CK301" s="17">
        <f t="shared" si="1317"/>
        <v>90</v>
      </c>
      <c r="CL301" s="17">
        <f t="shared" si="1318"/>
        <v>71.46880726181422</v>
      </c>
      <c r="CM301" s="17">
        <f t="shared" si="1319"/>
        <v>24</v>
      </c>
      <c r="CN301" s="17">
        <f t="shared" si="1320"/>
        <v>50</v>
      </c>
      <c r="CO301" s="17">
        <f t="shared" si="1321"/>
        <v>65.062647806544774</v>
      </c>
      <c r="CP301" s="17">
        <f t="shared" si="1322"/>
        <v>6.4061594552694459</v>
      </c>
      <c r="CQ301" s="17">
        <f t="shared" si="1323"/>
        <v>0</v>
      </c>
      <c r="CR301" s="17">
        <f t="shared" si="1324"/>
        <v>100</v>
      </c>
      <c r="CS301" s="17">
        <f t="shared" si="1325"/>
        <v>26.404773030064671</v>
      </c>
      <c r="CT301" s="17">
        <f t="shared" si="1326"/>
        <v>24</v>
      </c>
      <c r="CU301" s="17">
        <f t="shared" si="1327"/>
        <v>50</v>
      </c>
      <c r="CV301" s="17">
        <f t="shared" si="1328"/>
        <v>65.062647806544774</v>
      </c>
      <c r="CW301" s="17">
        <f t="shared" si="1329"/>
        <v>-38.657874776480099</v>
      </c>
      <c r="CX301" s="17">
        <f t="shared" si="1267"/>
        <v>-3714.9373440000004</v>
      </c>
      <c r="CY301" s="17">
        <f t="shared" si="1267"/>
        <v>-3714.9373440000004</v>
      </c>
      <c r="CZ301" s="17">
        <f t="shared" si="1330"/>
        <v>238.45881600000007</v>
      </c>
      <c r="DA301" s="17">
        <f t="shared" si="1331"/>
        <v>-715.3764480000001</v>
      </c>
      <c r="DB301" s="17">
        <f t="shared" si="1332"/>
        <v>-26593.920000000002</v>
      </c>
      <c r="DC301" s="17">
        <f t="shared" si="1333"/>
        <v>3412</v>
      </c>
      <c r="DD301" s="17">
        <f t="shared" si="1334"/>
        <v>219.7280232</v>
      </c>
      <c r="DE301" s="17">
        <f t="shared" si="1335"/>
        <v>17496.000000000007</v>
      </c>
      <c r="DF301" s="17">
        <f t="shared" si="1336"/>
        <v>-2703.0928313548802</v>
      </c>
      <c r="DG301" s="17"/>
      <c r="DH301" s="17">
        <f t="shared" si="1337"/>
        <v>-10514.941939202587</v>
      </c>
      <c r="DI301" s="17">
        <f t="shared" si="1338"/>
        <v>-29573.274204007277</v>
      </c>
      <c r="DJ301" s="17">
        <f t="shared" si="1339"/>
        <v>-1523.0015527462326</v>
      </c>
      <c r="DK301" s="17">
        <f t="shared" si="1340"/>
        <v>2271.447090285008</v>
      </c>
      <c r="DL301" s="17">
        <f t="shared" si="1341"/>
        <v>-12361.139784154871</v>
      </c>
      <c r="DM301" s="17">
        <f t="shared" si="1342"/>
        <v>-39339.770605671089</v>
      </c>
      <c r="DN301" s="17">
        <f t="shared" si="1343"/>
        <v>-51700.910389825964</v>
      </c>
    </row>
    <row r="302" spans="3:120" ht="18.600000000000001">
      <c r="C302" s="13">
        <f>IF(D302&lt;&gt;"",COUNTA($D$10:D302),"")</f>
        <v>251</v>
      </c>
      <c r="D302" s="14" t="s">
        <v>212</v>
      </c>
      <c r="E302" s="14">
        <v>1.9</v>
      </c>
      <c r="F302" s="14">
        <v>2</v>
      </c>
      <c r="G302" s="14">
        <v>2.4</v>
      </c>
      <c r="H302" s="14">
        <v>2</v>
      </c>
      <c r="I302" s="14">
        <v>1</v>
      </c>
      <c r="J302" s="14">
        <v>1.75</v>
      </c>
      <c r="K302" s="14">
        <v>3</v>
      </c>
      <c r="L302" s="15">
        <v>0.1</v>
      </c>
      <c r="M302" s="15">
        <v>0</v>
      </c>
      <c r="N302" s="14">
        <v>24</v>
      </c>
      <c r="O302" s="14">
        <v>50</v>
      </c>
      <c r="P302" s="13">
        <v>45</v>
      </c>
      <c r="Q302" s="13">
        <v>85</v>
      </c>
      <c r="R302" s="13" t="s">
        <v>17</v>
      </c>
      <c r="S302" s="13">
        <v>120</v>
      </c>
      <c r="T302" s="13">
        <v>0</v>
      </c>
      <c r="U302" s="13">
        <v>100</v>
      </c>
      <c r="V302" s="13" t="str">
        <f t="shared" si="1268"/>
        <v>ISO 6</v>
      </c>
      <c r="W302" s="13">
        <f t="shared" si="1269"/>
        <v>120</v>
      </c>
      <c r="X302" s="16">
        <f t="shared" si="1270"/>
        <v>40.887999999999998</v>
      </c>
      <c r="Y302" s="16">
        <f t="shared" si="1271"/>
        <v>321.87033599999995</v>
      </c>
      <c r="Z302" s="16">
        <f t="shared" si="1272"/>
        <v>643.7406719999999</v>
      </c>
      <c r="AA302" s="16">
        <f t="shared" si="1273"/>
        <v>64.374067199999999</v>
      </c>
      <c r="AB302" s="16">
        <f t="shared" si="1274"/>
        <v>0</v>
      </c>
      <c r="AC302" s="16">
        <f t="shared" si="1275"/>
        <v>5.9219061445067043</v>
      </c>
      <c r="AD302" s="16">
        <f t="shared" si="1344"/>
        <v>2175</v>
      </c>
      <c r="AE302" s="16">
        <f t="shared" si="1277"/>
        <v>2175</v>
      </c>
      <c r="AF302" s="16">
        <f t="shared" si="1278"/>
        <v>14</v>
      </c>
      <c r="AG302" s="16">
        <f t="shared" si="1279"/>
        <v>5.5</v>
      </c>
      <c r="AH302" s="838" t="s">
        <v>85</v>
      </c>
      <c r="AI302" s="17">
        <f t="shared" si="1280"/>
        <v>4.5</v>
      </c>
      <c r="AJ302" s="17">
        <f t="shared" si="1281"/>
        <v>5.5</v>
      </c>
      <c r="AK302" s="891"/>
      <c r="AL302" s="18"/>
      <c r="AM302" s="889"/>
      <c r="AN302" s="891"/>
      <c r="AO302" s="888"/>
      <c r="AP302" s="891"/>
      <c r="AQ302" s="891"/>
      <c r="AR302" s="889"/>
      <c r="AS302" s="888"/>
      <c r="AT302" s="888"/>
      <c r="AU302" s="890"/>
      <c r="AV302" s="888"/>
      <c r="AW302" s="888"/>
      <c r="AX302" s="888"/>
      <c r="AY302" s="887"/>
      <c r="AZ302" s="888"/>
      <c r="BA302" s="17">
        <f t="shared" si="1282"/>
        <v>14.399999999999991</v>
      </c>
      <c r="BB302" s="17">
        <f t="shared" si="1283"/>
        <v>37.799999999999997</v>
      </c>
      <c r="BC302" s="17">
        <f t="shared" si="1284"/>
        <v>32</v>
      </c>
      <c r="BD302" s="17">
        <f t="shared" si="1285"/>
        <v>85</v>
      </c>
      <c r="BE302" s="17">
        <f t="shared" si="1286"/>
        <v>180.86341983910182</v>
      </c>
      <c r="BF302" s="17">
        <f t="shared" si="1287"/>
        <v>24</v>
      </c>
      <c r="BG302" s="17">
        <f t="shared" si="1288"/>
        <v>50</v>
      </c>
      <c r="BH302" s="17">
        <f t="shared" si="1289"/>
        <v>65.062647806544774</v>
      </c>
      <c r="BI302" s="17">
        <f t="shared" si="1290"/>
        <v>115.80077203255705</v>
      </c>
      <c r="BJ302" s="17">
        <f t="shared" si="1291"/>
        <v>45</v>
      </c>
      <c r="BK302" s="17">
        <f t="shared" si="1292"/>
        <v>85</v>
      </c>
      <c r="BL302" s="17">
        <f t="shared" si="1293"/>
        <v>380.54120080897206</v>
      </c>
      <c r="BM302" s="17">
        <f t="shared" si="1294"/>
        <v>24</v>
      </c>
      <c r="BN302" s="17">
        <f t="shared" si="1295"/>
        <v>50</v>
      </c>
      <c r="BO302" s="17">
        <f t="shared" si="1296"/>
        <v>65.062647806544774</v>
      </c>
      <c r="BP302" s="17">
        <f t="shared" si="1297"/>
        <v>315.4785530024273</v>
      </c>
      <c r="BQ302" s="17">
        <f t="shared" si="1298"/>
        <v>3426.2766719999991</v>
      </c>
      <c r="BR302" s="17">
        <f t="shared" si="1299"/>
        <v>1305.2482559999989</v>
      </c>
      <c r="BS302" s="17">
        <f t="shared" si="1300"/>
        <v>264.95423999999986</v>
      </c>
      <c r="BT302" s="17">
        <f t="shared" si="1301"/>
        <v>695.50487999999984</v>
      </c>
      <c r="BU302" s="17">
        <f t="shared" si="1302"/>
        <v>23269.68</v>
      </c>
      <c r="BV302" s="17">
        <f t="shared" si="1303"/>
        <v>3412</v>
      </c>
      <c r="BW302" s="17">
        <f t="shared" si="1304"/>
        <v>244.142248</v>
      </c>
      <c r="BX302" s="17">
        <f t="shared" si="1305"/>
        <v>17495.999999999989</v>
      </c>
      <c r="BY302" s="17">
        <f t="shared" si="1306"/>
        <v>2628.0069193727995</v>
      </c>
      <c r="BZ302" s="17"/>
      <c r="CA302" s="17">
        <f t="shared" si="1307"/>
        <v>85810.166416660228</v>
      </c>
      <c r="CB302" s="17">
        <f t="shared" si="1308"/>
        <v>241341.0930468569</v>
      </c>
      <c r="CC302" s="17">
        <f t="shared" si="1309"/>
        <v>13809.873548373173</v>
      </c>
      <c r="CD302" s="17">
        <f t="shared" si="1310"/>
        <v>124288.86193535852</v>
      </c>
      <c r="CE302" s="17">
        <f t="shared" si="1311"/>
        <v>50476.105839372787</v>
      </c>
      <c r="CF302" s="17">
        <f t="shared" si="1312"/>
        <v>465249.99494724884</v>
      </c>
      <c r="CG302" s="17">
        <f t="shared" si="1313"/>
        <v>515726.10078662162</v>
      </c>
      <c r="CH302" s="17">
        <f t="shared" si="1314"/>
        <v>14.400000000000006</v>
      </c>
      <c r="CI302" s="17">
        <f t="shared" si="1315"/>
        <v>-43.2</v>
      </c>
      <c r="CJ302" s="17">
        <f t="shared" si="1316"/>
        <v>16</v>
      </c>
      <c r="CK302" s="17">
        <f t="shared" si="1317"/>
        <v>90</v>
      </c>
      <c r="CL302" s="17">
        <f t="shared" si="1318"/>
        <v>71.46880726181422</v>
      </c>
      <c r="CM302" s="17">
        <f t="shared" si="1319"/>
        <v>24</v>
      </c>
      <c r="CN302" s="17">
        <f t="shared" si="1320"/>
        <v>50</v>
      </c>
      <c r="CO302" s="17">
        <f t="shared" si="1321"/>
        <v>65.062647806544774</v>
      </c>
      <c r="CP302" s="17">
        <f t="shared" si="1322"/>
        <v>6.4061594552694459</v>
      </c>
      <c r="CQ302" s="17">
        <f t="shared" si="1323"/>
        <v>0</v>
      </c>
      <c r="CR302" s="17">
        <f t="shared" si="1324"/>
        <v>100</v>
      </c>
      <c r="CS302" s="17">
        <f t="shared" si="1325"/>
        <v>26.404773030064671</v>
      </c>
      <c r="CT302" s="17">
        <f t="shared" si="1326"/>
        <v>24</v>
      </c>
      <c r="CU302" s="17">
        <f t="shared" si="1327"/>
        <v>50</v>
      </c>
      <c r="CV302" s="17">
        <f t="shared" si="1328"/>
        <v>65.062647806544774</v>
      </c>
      <c r="CW302" s="17">
        <f t="shared" si="1329"/>
        <v>-38.657874776480099</v>
      </c>
      <c r="CX302" s="17">
        <f t="shared" si="1267"/>
        <v>-3915.744768</v>
      </c>
      <c r="CY302" s="17">
        <f t="shared" si="1267"/>
        <v>-3915.744768</v>
      </c>
      <c r="CZ302" s="17">
        <f t="shared" si="1330"/>
        <v>264.95424000000008</v>
      </c>
      <c r="DA302" s="17">
        <f t="shared" si="1331"/>
        <v>-794.86271999999997</v>
      </c>
      <c r="DB302" s="17">
        <f t="shared" si="1332"/>
        <v>-26593.920000000002</v>
      </c>
      <c r="DC302" s="17">
        <f t="shared" si="1333"/>
        <v>3412</v>
      </c>
      <c r="DD302" s="17">
        <f t="shared" si="1334"/>
        <v>244.142248</v>
      </c>
      <c r="DE302" s="17">
        <f t="shared" si="1335"/>
        <v>17496.000000000007</v>
      </c>
      <c r="DF302" s="17">
        <f t="shared" si="1336"/>
        <v>-3003.4364792832002</v>
      </c>
      <c r="DG302" s="17"/>
      <c r="DH302" s="17">
        <f t="shared" si="1337"/>
        <v>-10514.941939202587</v>
      </c>
      <c r="DI302" s="17">
        <f t="shared" si="1338"/>
        <v>-29573.274204007277</v>
      </c>
      <c r="DJ302" s="17">
        <f t="shared" si="1339"/>
        <v>-1692.2239474958142</v>
      </c>
      <c r="DK302" s="17">
        <f t="shared" si="1340"/>
        <v>2523.8301003166753</v>
      </c>
      <c r="DL302" s="17">
        <f t="shared" si="1341"/>
        <v>-12890.867479283193</v>
      </c>
      <c r="DM302" s="17">
        <f t="shared" si="1342"/>
        <v>-39256.609990388999</v>
      </c>
      <c r="DN302" s="17">
        <f t="shared" si="1343"/>
        <v>-52147.477469672194</v>
      </c>
    </row>
    <row r="303" spans="3:120" ht="18.600000000000001">
      <c r="C303" s="13">
        <f>IF(D303&lt;&gt;"",COUNTA($D$10:D303),"")</f>
        <v>252</v>
      </c>
      <c r="D303" s="14" t="s">
        <v>213</v>
      </c>
      <c r="E303" s="14">
        <v>2.2999999999999998</v>
      </c>
      <c r="F303" s="14">
        <v>2.2000000000000002</v>
      </c>
      <c r="G303" s="14">
        <v>2.4</v>
      </c>
      <c r="H303" s="14">
        <v>2</v>
      </c>
      <c r="I303" s="14">
        <v>1</v>
      </c>
      <c r="J303" s="14">
        <v>1.75</v>
      </c>
      <c r="K303" s="14">
        <v>3</v>
      </c>
      <c r="L303" s="15">
        <v>0.1</v>
      </c>
      <c r="M303" s="15">
        <v>0</v>
      </c>
      <c r="N303" s="14">
        <v>24</v>
      </c>
      <c r="O303" s="14">
        <v>50</v>
      </c>
      <c r="P303" s="13">
        <v>45</v>
      </c>
      <c r="Q303" s="13">
        <v>85</v>
      </c>
      <c r="R303" s="13" t="s">
        <v>17</v>
      </c>
      <c r="S303" s="13">
        <v>120</v>
      </c>
      <c r="T303" s="13">
        <v>0</v>
      </c>
      <c r="U303" s="13">
        <v>100</v>
      </c>
      <c r="V303" s="13" t="str">
        <f t="shared" si="1268"/>
        <v>ISO 6</v>
      </c>
      <c r="W303" s="13">
        <f t="shared" si="1269"/>
        <v>120</v>
      </c>
      <c r="X303" s="16">
        <f t="shared" si="1270"/>
        <v>54.445599999999992</v>
      </c>
      <c r="Y303" s="16">
        <f t="shared" si="1271"/>
        <v>428.59576319999991</v>
      </c>
      <c r="Z303" s="16">
        <f t="shared" si="1272"/>
        <v>857.19152639999982</v>
      </c>
      <c r="AA303" s="16">
        <f t="shared" si="1273"/>
        <v>85.71915263999999</v>
      </c>
      <c r="AB303" s="16">
        <f t="shared" si="1274"/>
        <v>0</v>
      </c>
      <c r="AC303" s="16">
        <f t="shared" si="1275"/>
        <v>7.8854855503168197</v>
      </c>
      <c r="AD303" s="16">
        <f t="shared" si="1344"/>
        <v>2400</v>
      </c>
      <c r="AE303" s="16">
        <f t="shared" si="1277"/>
        <v>2400</v>
      </c>
      <c r="AF303" s="16">
        <f t="shared" si="1278"/>
        <v>14</v>
      </c>
      <c r="AG303" s="16">
        <f t="shared" si="1279"/>
        <v>6</v>
      </c>
      <c r="AH303" s="838" t="s">
        <v>85</v>
      </c>
      <c r="AI303" s="17">
        <f t="shared" si="1280"/>
        <v>4.5</v>
      </c>
      <c r="AJ303" s="17">
        <f t="shared" si="1281"/>
        <v>6</v>
      </c>
      <c r="AK303" s="891"/>
      <c r="AL303" s="18"/>
      <c r="AM303" s="889"/>
      <c r="AN303" s="891"/>
      <c r="AO303" s="888"/>
      <c r="AP303" s="891"/>
      <c r="AQ303" s="891"/>
      <c r="AR303" s="889"/>
      <c r="AS303" s="888"/>
      <c r="AT303" s="888"/>
      <c r="AU303" s="890"/>
      <c r="AV303" s="888"/>
      <c r="AW303" s="888"/>
      <c r="AX303" s="888"/>
      <c r="AY303" s="887"/>
      <c r="AZ303" s="888"/>
      <c r="BA303" s="17">
        <f t="shared" si="1282"/>
        <v>14.399999999999991</v>
      </c>
      <c r="BB303" s="17">
        <f t="shared" si="1283"/>
        <v>37.799999999999997</v>
      </c>
      <c r="BC303" s="17">
        <f t="shared" si="1284"/>
        <v>32</v>
      </c>
      <c r="BD303" s="17">
        <f t="shared" si="1285"/>
        <v>85</v>
      </c>
      <c r="BE303" s="17">
        <f t="shared" si="1286"/>
        <v>180.86341983910182</v>
      </c>
      <c r="BF303" s="17">
        <f t="shared" si="1287"/>
        <v>24</v>
      </c>
      <c r="BG303" s="17">
        <f t="shared" si="1288"/>
        <v>50</v>
      </c>
      <c r="BH303" s="17">
        <f t="shared" si="1289"/>
        <v>65.062647806544774</v>
      </c>
      <c r="BI303" s="17">
        <f t="shared" si="1290"/>
        <v>115.80077203255705</v>
      </c>
      <c r="BJ303" s="17">
        <f t="shared" si="1291"/>
        <v>45</v>
      </c>
      <c r="BK303" s="17">
        <f t="shared" si="1292"/>
        <v>85</v>
      </c>
      <c r="BL303" s="17">
        <f t="shared" si="1293"/>
        <v>380.54120080897206</v>
      </c>
      <c r="BM303" s="17">
        <f t="shared" si="1294"/>
        <v>24</v>
      </c>
      <c r="BN303" s="17">
        <f t="shared" si="1295"/>
        <v>50</v>
      </c>
      <c r="BO303" s="17">
        <f t="shared" si="1296"/>
        <v>65.062647806544774</v>
      </c>
      <c r="BP303" s="17">
        <f t="shared" si="1297"/>
        <v>315.4785530024273</v>
      </c>
      <c r="BQ303" s="17">
        <f t="shared" si="1298"/>
        <v>3953.3961599999993</v>
      </c>
      <c r="BR303" s="17">
        <f t="shared" si="1299"/>
        <v>1506.0556799999993</v>
      </c>
      <c r="BS303" s="17">
        <f t="shared" si="1300"/>
        <v>352.80748799999975</v>
      </c>
      <c r="BT303" s="17">
        <f t="shared" si="1301"/>
        <v>926.11965599999974</v>
      </c>
      <c r="BU303" s="17">
        <f t="shared" si="1302"/>
        <v>23269.68</v>
      </c>
      <c r="BV303" s="17">
        <f t="shared" si="1303"/>
        <v>3412</v>
      </c>
      <c r="BW303" s="17">
        <f t="shared" si="1304"/>
        <v>325.0946775999999</v>
      </c>
      <c r="BX303" s="17">
        <f t="shared" si="1305"/>
        <v>17495.999999999989</v>
      </c>
      <c r="BY303" s="17">
        <f t="shared" si="1306"/>
        <v>3499.3986873753597</v>
      </c>
      <c r="BZ303" s="17"/>
      <c r="CA303" s="17">
        <f t="shared" si="1307"/>
        <v>85810.166416660228</v>
      </c>
      <c r="CB303" s="17">
        <f t="shared" si="1308"/>
        <v>241341.0930468569</v>
      </c>
      <c r="CC303" s="17">
        <f t="shared" si="1309"/>
        <v>18388.936882833746</v>
      </c>
      <c r="CD303" s="17">
        <f t="shared" si="1310"/>
        <v>165500.43194550375</v>
      </c>
      <c r="CE303" s="17">
        <f t="shared" si="1311"/>
        <v>51955.569524975348</v>
      </c>
      <c r="CF303" s="17">
        <f t="shared" si="1312"/>
        <v>511040.62829185458</v>
      </c>
      <c r="CG303" s="17">
        <f t="shared" si="1313"/>
        <v>562996.1978168299</v>
      </c>
      <c r="CH303" s="17">
        <f t="shared" si="1314"/>
        <v>14.400000000000006</v>
      </c>
      <c r="CI303" s="17">
        <f t="shared" si="1315"/>
        <v>-43.2</v>
      </c>
      <c r="CJ303" s="17">
        <f t="shared" si="1316"/>
        <v>16</v>
      </c>
      <c r="CK303" s="17">
        <f t="shared" si="1317"/>
        <v>90</v>
      </c>
      <c r="CL303" s="17">
        <f t="shared" si="1318"/>
        <v>71.46880726181422</v>
      </c>
      <c r="CM303" s="17">
        <f t="shared" si="1319"/>
        <v>24</v>
      </c>
      <c r="CN303" s="17">
        <f t="shared" si="1320"/>
        <v>50</v>
      </c>
      <c r="CO303" s="17">
        <f t="shared" si="1321"/>
        <v>65.062647806544774</v>
      </c>
      <c r="CP303" s="17">
        <f t="shared" si="1322"/>
        <v>6.4061594552694459</v>
      </c>
      <c r="CQ303" s="17">
        <f t="shared" si="1323"/>
        <v>0</v>
      </c>
      <c r="CR303" s="17">
        <f t="shared" si="1324"/>
        <v>100</v>
      </c>
      <c r="CS303" s="17">
        <f t="shared" si="1325"/>
        <v>26.404773030064671</v>
      </c>
      <c r="CT303" s="17">
        <f t="shared" si="1326"/>
        <v>24</v>
      </c>
      <c r="CU303" s="17">
        <f t="shared" si="1327"/>
        <v>50</v>
      </c>
      <c r="CV303" s="17">
        <f t="shared" si="1328"/>
        <v>65.062647806544774</v>
      </c>
      <c r="CW303" s="17">
        <f t="shared" si="1329"/>
        <v>-38.657874776480099</v>
      </c>
      <c r="CX303" s="17">
        <f t="shared" si="1267"/>
        <v>-4518.1670400000012</v>
      </c>
      <c r="CY303" s="17">
        <f t="shared" si="1267"/>
        <v>-4518.1670400000012</v>
      </c>
      <c r="CZ303" s="17">
        <f t="shared" si="1330"/>
        <v>352.80748800000009</v>
      </c>
      <c r="DA303" s="17">
        <f t="shared" si="1331"/>
        <v>-1058.422464</v>
      </c>
      <c r="DB303" s="17">
        <f t="shared" si="1332"/>
        <v>-26593.920000000002</v>
      </c>
      <c r="DC303" s="17">
        <f t="shared" si="1333"/>
        <v>3412</v>
      </c>
      <c r="DD303" s="17">
        <f t="shared" si="1334"/>
        <v>325.0946775999999</v>
      </c>
      <c r="DE303" s="17">
        <f t="shared" si="1335"/>
        <v>17496.000000000007</v>
      </c>
      <c r="DF303" s="17">
        <f t="shared" si="1336"/>
        <v>-3999.3127855718403</v>
      </c>
      <c r="DG303" s="17"/>
      <c r="DH303" s="17">
        <f t="shared" si="1337"/>
        <v>-10514.941939202587</v>
      </c>
      <c r="DI303" s="17">
        <f t="shared" si="1338"/>
        <v>-29573.274204007277</v>
      </c>
      <c r="DJ303" s="17">
        <f t="shared" si="1339"/>
        <v>-2253.32978271811</v>
      </c>
      <c r="DK303" s="17">
        <f t="shared" si="1340"/>
        <v>3360.6790283164155</v>
      </c>
      <c r="DL303" s="17">
        <f t="shared" si="1341"/>
        <v>-14583.920123971839</v>
      </c>
      <c r="DM303" s="17">
        <f t="shared" si="1342"/>
        <v>-38980.866897611559</v>
      </c>
      <c r="DN303" s="17">
        <f t="shared" si="1343"/>
        <v>-53564.787021583397</v>
      </c>
    </row>
    <row r="304" spans="3:120" ht="18.600000000000001">
      <c r="C304" s="13">
        <f>IF(D304&lt;&gt;"",COUNTA($D$10:D304),"")</f>
        <v>253</v>
      </c>
      <c r="D304" s="14" t="s">
        <v>214</v>
      </c>
      <c r="E304" s="14">
        <v>2.2000000000000002</v>
      </c>
      <c r="F304" s="14">
        <v>2.8</v>
      </c>
      <c r="G304" s="14">
        <v>2.4</v>
      </c>
      <c r="H304" s="14">
        <v>2</v>
      </c>
      <c r="I304" s="14">
        <v>1</v>
      </c>
      <c r="J304" s="14">
        <v>1.75</v>
      </c>
      <c r="K304" s="14">
        <v>3</v>
      </c>
      <c r="L304" s="15">
        <v>0.1</v>
      </c>
      <c r="M304" s="15">
        <v>0</v>
      </c>
      <c r="N304" s="14">
        <v>24</v>
      </c>
      <c r="O304" s="14">
        <v>50</v>
      </c>
      <c r="P304" s="13">
        <v>45</v>
      </c>
      <c r="Q304" s="13">
        <v>85</v>
      </c>
      <c r="R304" s="13" t="s">
        <v>17</v>
      </c>
      <c r="S304" s="13">
        <v>120</v>
      </c>
      <c r="T304" s="13">
        <v>0</v>
      </c>
      <c r="U304" s="13">
        <v>100</v>
      </c>
      <c r="V304" s="13" t="str">
        <f t="shared" si="1268"/>
        <v>ISO 6</v>
      </c>
      <c r="W304" s="13">
        <f t="shared" si="1269"/>
        <v>120</v>
      </c>
      <c r="X304" s="16">
        <f t="shared" si="1270"/>
        <v>66.281599999999997</v>
      </c>
      <c r="Y304" s="16">
        <f t="shared" si="1271"/>
        <v>521.76875519999999</v>
      </c>
      <c r="Z304" s="16">
        <f t="shared" si="1272"/>
        <v>1043.5375104</v>
      </c>
      <c r="AA304" s="16">
        <f t="shared" si="1273"/>
        <v>104.35375104000001</v>
      </c>
      <c r="AB304" s="16">
        <f t="shared" si="1274"/>
        <v>0</v>
      </c>
      <c r="AC304" s="16">
        <f t="shared" si="1275"/>
        <v>9.5997215395161284</v>
      </c>
      <c r="AD304" s="16">
        <f t="shared" si="1344"/>
        <v>2575</v>
      </c>
      <c r="AE304" s="16">
        <f t="shared" si="1277"/>
        <v>2575</v>
      </c>
      <c r="AF304" s="16">
        <f t="shared" si="1278"/>
        <v>16</v>
      </c>
      <c r="AG304" s="16">
        <f t="shared" si="1279"/>
        <v>6.5</v>
      </c>
      <c r="AH304" s="838" t="s">
        <v>85</v>
      </c>
      <c r="AI304" s="17">
        <f t="shared" si="1280"/>
        <v>4.5</v>
      </c>
      <c r="AJ304" s="17">
        <f t="shared" si="1281"/>
        <v>6.5</v>
      </c>
      <c r="AK304" s="891"/>
      <c r="AL304" s="18"/>
      <c r="AM304" s="889"/>
      <c r="AN304" s="891"/>
      <c r="AO304" s="888"/>
      <c r="AP304" s="891"/>
      <c r="AQ304" s="891"/>
      <c r="AR304" s="889"/>
      <c r="AS304" s="888"/>
      <c r="AT304" s="888"/>
      <c r="AU304" s="890"/>
      <c r="AV304" s="888"/>
      <c r="AW304" s="888"/>
      <c r="AX304" s="888"/>
      <c r="AY304" s="887"/>
      <c r="AZ304" s="888"/>
      <c r="BA304" s="17">
        <f t="shared" si="1282"/>
        <v>14.399999999999991</v>
      </c>
      <c r="BB304" s="17">
        <f t="shared" si="1283"/>
        <v>37.799999999999997</v>
      </c>
      <c r="BC304" s="17">
        <f t="shared" si="1284"/>
        <v>32</v>
      </c>
      <c r="BD304" s="17">
        <f t="shared" si="1285"/>
        <v>85</v>
      </c>
      <c r="BE304" s="17">
        <f t="shared" si="1286"/>
        <v>180.86341983910182</v>
      </c>
      <c r="BF304" s="17">
        <f t="shared" si="1287"/>
        <v>24</v>
      </c>
      <c r="BG304" s="17">
        <f t="shared" si="1288"/>
        <v>50</v>
      </c>
      <c r="BH304" s="17">
        <f t="shared" si="1289"/>
        <v>65.062647806544774</v>
      </c>
      <c r="BI304" s="17">
        <f t="shared" si="1290"/>
        <v>115.80077203255705</v>
      </c>
      <c r="BJ304" s="17">
        <f t="shared" si="1291"/>
        <v>45</v>
      </c>
      <c r="BK304" s="17">
        <f t="shared" si="1292"/>
        <v>85</v>
      </c>
      <c r="BL304" s="17">
        <f t="shared" si="1293"/>
        <v>380.54120080897206</v>
      </c>
      <c r="BM304" s="17">
        <f t="shared" si="1294"/>
        <v>24</v>
      </c>
      <c r="BN304" s="17">
        <f t="shared" si="1295"/>
        <v>50</v>
      </c>
      <c r="BO304" s="17">
        <f t="shared" si="1296"/>
        <v>65.062647806544774</v>
      </c>
      <c r="BP304" s="17">
        <f t="shared" si="1297"/>
        <v>315.4785530024273</v>
      </c>
      <c r="BQ304" s="17">
        <f t="shared" si="1298"/>
        <v>4392.6624000000002</v>
      </c>
      <c r="BR304" s="17">
        <f t="shared" si="1299"/>
        <v>1673.3951999999992</v>
      </c>
      <c r="BS304" s="17">
        <f t="shared" si="1300"/>
        <v>429.50476799999973</v>
      </c>
      <c r="BT304" s="17">
        <f t="shared" si="1301"/>
        <v>1127.4500159999998</v>
      </c>
      <c r="BU304" s="17">
        <f t="shared" si="1302"/>
        <v>23269.68</v>
      </c>
      <c r="BV304" s="17">
        <f t="shared" si="1303"/>
        <v>3412</v>
      </c>
      <c r="BW304" s="17">
        <f t="shared" si="1304"/>
        <v>395.76743359999995</v>
      </c>
      <c r="BX304" s="17">
        <f t="shared" si="1305"/>
        <v>17495.999999999989</v>
      </c>
      <c r="BY304" s="17">
        <f t="shared" si="1306"/>
        <v>4260.1375324569599</v>
      </c>
      <c r="BZ304" s="17"/>
      <c r="CA304" s="17">
        <f t="shared" si="1307"/>
        <v>85810.166416660228</v>
      </c>
      <c r="CB304" s="17">
        <f t="shared" si="1308"/>
        <v>241341.0930468569</v>
      </c>
      <c r="CC304" s="17">
        <f t="shared" si="1309"/>
        <v>22386.531857362828</v>
      </c>
      <c r="CD304" s="17">
        <f t="shared" si="1310"/>
        <v>201478.78671626543</v>
      </c>
      <c r="CE304" s="17">
        <f t="shared" si="1311"/>
        <v>53226.247366056945</v>
      </c>
      <c r="CF304" s="17">
        <f t="shared" si="1312"/>
        <v>551016.57803714531</v>
      </c>
      <c r="CG304" s="17">
        <f t="shared" si="1313"/>
        <v>604242.82540320221</v>
      </c>
      <c r="CH304" s="17">
        <f t="shared" si="1314"/>
        <v>14.400000000000006</v>
      </c>
      <c r="CI304" s="17">
        <f t="shared" si="1315"/>
        <v>-43.2</v>
      </c>
      <c r="CJ304" s="17">
        <f t="shared" si="1316"/>
        <v>16</v>
      </c>
      <c r="CK304" s="17">
        <f t="shared" si="1317"/>
        <v>90</v>
      </c>
      <c r="CL304" s="17">
        <f t="shared" si="1318"/>
        <v>71.46880726181422</v>
      </c>
      <c r="CM304" s="17">
        <f t="shared" si="1319"/>
        <v>24</v>
      </c>
      <c r="CN304" s="17">
        <f t="shared" si="1320"/>
        <v>50</v>
      </c>
      <c r="CO304" s="17">
        <f t="shared" si="1321"/>
        <v>65.062647806544774</v>
      </c>
      <c r="CP304" s="17">
        <f t="shared" si="1322"/>
        <v>6.4061594552694459</v>
      </c>
      <c r="CQ304" s="17">
        <f t="shared" si="1323"/>
        <v>0</v>
      </c>
      <c r="CR304" s="17">
        <f t="shared" si="1324"/>
        <v>100</v>
      </c>
      <c r="CS304" s="17">
        <f t="shared" si="1325"/>
        <v>26.404773030064671</v>
      </c>
      <c r="CT304" s="17">
        <f t="shared" si="1326"/>
        <v>24</v>
      </c>
      <c r="CU304" s="17">
        <f t="shared" si="1327"/>
        <v>50</v>
      </c>
      <c r="CV304" s="17">
        <f t="shared" si="1328"/>
        <v>65.062647806544774</v>
      </c>
      <c r="CW304" s="17">
        <f t="shared" si="1329"/>
        <v>-38.657874776480099</v>
      </c>
      <c r="CX304" s="17">
        <f t="shared" si="1267"/>
        <v>-5020.1856000000007</v>
      </c>
      <c r="CY304" s="17">
        <f t="shared" si="1267"/>
        <v>-5020.1856000000007</v>
      </c>
      <c r="CZ304" s="17">
        <f t="shared" si="1330"/>
        <v>429.50476800000018</v>
      </c>
      <c r="DA304" s="17">
        <f t="shared" si="1331"/>
        <v>-1288.514304</v>
      </c>
      <c r="DB304" s="17">
        <f t="shared" si="1332"/>
        <v>-26593.920000000002</v>
      </c>
      <c r="DC304" s="17">
        <f t="shared" si="1333"/>
        <v>3412</v>
      </c>
      <c r="DD304" s="17">
        <f t="shared" si="1334"/>
        <v>395.76743359999995</v>
      </c>
      <c r="DE304" s="17">
        <f t="shared" si="1335"/>
        <v>17496.000000000007</v>
      </c>
      <c r="DF304" s="17">
        <f t="shared" si="1336"/>
        <v>-4868.7286085222404</v>
      </c>
      <c r="DG304" s="17"/>
      <c r="DH304" s="17">
        <f t="shared" si="1337"/>
        <v>-10514.941939202587</v>
      </c>
      <c r="DI304" s="17">
        <f t="shared" si="1338"/>
        <v>-29573.274204007277</v>
      </c>
      <c r="DJ304" s="17">
        <f t="shared" si="1339"/>
        <v>-2743.1840833090046</v>
      </c>
      <c r="DK304" s="17">
        <f t="shared" si="1340"/>
        <v>4091.2614257765063</v>
      </c>
      <c r="DL304" s="17">
        <f t="shared" si="1341"/>
        <v>-16038.076310922239</v>
      </c>
      <c r="DM304" s="17">
        <f t="shared" si="1342"/>
        <v>-38740.138800742359</v>
      </c>
      <c r="DN304" s="17">
        <f t="shared" si="1343"/>
        <v>-54778.215111664598</v>
      </c>
    </row>
    <row r="305" spans="3:120" ht="18.600000000000001">
      <c r="C305" s="13">
        <f>IF(D305&lt;&gt;"",COUNTA($D$10:D305),"")</f>
        <v>254</v>
      </c>
      <c r="D305" s="14" t="s">
        <v>215</v>
      </c>
      <c r="E305" s="14">
        <v>2.8</v>
      </c>
      <c r="F305" s="14">
        <v>2.4</v>
      </c>
      <c r="G305" s="14">
        <v>2.4</v>
      </c>
      <c r="H305" s="14">
        <v>2</v>
      </c>
      <c r="I305" s="14">
        <v>1</v>
      </c>
      <c r="J305" s="14">
        <v>1.75</v>
      </c>
      <c r="K305" s="14">
        <v>3</v>
      </c>
      <c r="L305" s="15">
        <v>0.1</v>
      </c>
      <c r="M305" s="15">
        <v>0</v>
      </c>
      <c r="N305" s="14">
        <v>24</v>
      </c>
      <c r="O305" s="14">
        <v>50</v>
      </c>
      <c r="P305" s="13">
        <v>45</v>
      </c>
      <c r="Q305" s="13">
        <v>85</v>
      </c>
      <c r="R305" s="13" t="s">
        <v>17</v>
      </c>
      <c r="S305" s="13">
        <v>120</v>
      </c>
      <c r="T305" s="13">
        <v>0</v>
      </c>
      <c r="U305" s="13">
        <v>100</v>
      </c>
      <c r="V305" s="13" t="str">
        <f t="shared" si="1268"/>
        <v>ISO 6</v>
      </c>
      <c r="W305" s="13">
        <f t="shared" si="1269"/>
        <v>120</v>
      </c>
      <c r="X305" s="16">
        <f t="shared" si="1270"/>
        <v>72.307199999999995</v>
      </c>
      <c r="Y305" s="16">
        <f t="shared" si="1271"/>
        <v>569.20227839999995</v>
      </c>
      <c r="Z305" s="16">
        <f t="shared" si="1272"/>
        <v>1138.4045567999999</v>
      </c>
      <c r="AA305" s="16">
        <f t="shared" si="1273"/>
        <v>113.84045567999999</v>
      </c>
      <c r="AB305" s="16">
        <f t="shared" si="1274"/>
        <v>0</v>
      </c>
      <c r="AC305" s="16">
        <f t="shared" si="1275"/>
        <v>10.472423497653956</v>
      </c>
      <c r="AD305" s="16">
        <f t="shared" si="1344"/>
        <v>2675</v>
      </c>
      <c r="AE305" s="16">
        <f t="shared" si="1277"/>
        <v>2675</v>
      </c>
      <c r="AF305" s="16">
        <f t="shared" si="1278"/>
        <v>16</v>
      </c>
      <c r="AG305" s="16">
        <f t="shared" si="1279"/>
        <v>7</v>
      </c>
      <c r="AH305" s="838" t="s">
        <v>85</v>
      </c>
      <c r="AI305" s="17">
        <f t="shared" si="1280"/>
        <v>4.5</v>
      </c>
      <c r="AJ305" s="17">
        <f t="shared" si="1281"/>
        <v>7</v>
      </c>
      <c r="AK305" s="891"/>
      <c r="AL305" s="18"/>
      <c r="AM305" s="889"/>
      <c r="AN305" s="891"/>
      <c r="AO305" s="888"/>
      <c r="AP305" s="891"/>
      <c r="AQ305" s="891"/>
      <c r="AR305" s="889"/>
      <c r="AS305" s="888"/>
      <c r="AT305" s="888"/>
      <c r="AU305" s="890"/>
      <c r="AV305" s="888"/>
      <c r="AW305" s="888"/>
      <c r="AX305" s="888"/>
      <c r="AY305" s="887"/>
      <c r="AZ305" s="888"/>
      <c r="BA305" s="17">
        <f t="shared" si="1282"/>
        <v>14.399999999999991</v>
      </c>
      <c r="BB305" s="17">
        <f t="shared" si="1283"/>
        <v>37.799999999999997</v>
      </c>
      <c r="BC305" s="17">
        <f t="shared" si="1284"/>
        <v>32</v>
      </c>
      <c r="BD305" s="17">
        <f t="shared" si="1285"/>
        <v>85</v>
      </c>
      <c r="BE305" s="17">
        <f t="shared" si="1286"/>
        <v>180.86341983910182</v>
      </c>
      <c r="BF305" s="17">
        <f t="shared" si="1287"/>
        <v>24</v>
      </c>
      <c r="BG305" s="17">
        <f t="shared" si="1288"/>
        <v>50</v>
      </c>
      <c r="BH305" s="17">
        <f t="shared" si="1289"/>
        <v>65.062647806544774</v>
      </c>
      <c r="BI305" s="17">
        <f t="shared" si="1290"/>
        <v>115.80077203255705</v>
      </c>
      <c r="BJ305" s="17">
        <f t="shared" si="1291"/>
        <v>45</v>
      </c>
      <c r="BK305" s="17">
        <f t="shared" si="1292"/>
        <v>85</v>
      </c>
      <c r="BL305" s="17">
        <f t="shared" si="1293"/>
        <v>380.54120080897206</v>
      </c>
      <c r="BM305" s="17">
        <f t="shared" si="1294"/>
        <v>24</v>
      </c>
      <c r="BN305" s="17">
        <f t="shared" si="1295"/>
        <v>50</v>
      </c>
      <c r="BO305" s="17">
        <f t="shared" si="1296"/>
        <v>65.062647806544774</v>
      </c>
      <c r="BP305" s="17">
        <f t="shared" si="1297"/>
        <v>315.4785530024273</v>
      </c>
      <c r="BQ305" s="17">
        <f t="shared" si="1298"/>
        <v>4568.368895999999</v>
      </c>
      <c r="BR305" s="17">
        <f t="shared" si="1299"/>
        <v>1740.331007999999</v>
      </c>
      <c r="BS305" s="17">
        <f t="shared" si="1300"/>
        <v>468.55065599999972</v>
      </c>
      <c r="BT305" s="17">
        <f t="shared" si="1301"/>
        <v>1229.9454719999999</v>
      </c>
      <c r="BU305" s="17">
        <f t="shared" si="1302"/>
        <v>23269.68</v>
      </c>
      <c r="BV305" s="17">
        <f t="shared" si="1303"/>
        <v>3412</v>
      </c>
      <c r="BW305" s="17">
        <f t="shared" si="1304"/>
        <v>431.74629119999997</v>
      </c>
      <c r="BX305" s="17">
        <f t="shared" si="1305"/>
        <v>17495.999999999989</v>
      </c>
      <c r="BY305" s="17">
        <f t="shared" si="1306"/>
        <v>4647.4227626803195</v>
      </c>
      <c r="BZ305" s="17"/>
      <c r="CA305" s="17">
        <f t="shared" si="1307"/>
        <v>85810.166416660228</v>
      </c>
      <c r="CB305" s="17">
        <f t="shared" si="1308"/>
        <v>241341.0930468569</v>
      </c>
      <c r="CC305" s="17">
        <f t="shared" si="1309"/>
        <v>24421.671117123082</v>
      </c>
      <c r="CD305" s="17">
        <f t="shared" si="1310"/>
        <v>219795.04005410775</v>
      </c>
      <c r="CE305" s="17">
        <f t="shared" si="1311"/>
        <v>53825.217949880309</v>
      </c>
      <c r="CF305" s="17">
        <f t="shared" si="1312"/>
        <v>571367.970634748</v>
      </c>
      <c r="CG305" s="17">
        <f t="shared" si="1313"/>
        <v>625193.18858462828</v>
      </c>
      <c r="CH305" s="17">
        <f t="shared" si="1314"/>
        <v>14.400000000000006</v>
      </c>
      <c r="CI305" s="17">
        <f t="shared" si="1315"/>
        <v>-43.2</v>
      </c>
      <c r="CJ305" s="17">
        <f t="shared" si="1316"/>
        <v>16</v>
      </c>
      <c r="CK305" s="17">
        <f t="shared" si="1317"/>
        <v>90</v>
      </c>
      <c r="CL305" s="17">
        <f t="shared" si="1318"/>
        <v>71.46880726181422</v>
      </c>
      <c r="CM305" s="17">
        <f t="shared" si="1319"/>
        <v>24</v>
      </c>
      <c r="CN305" s="17">
        <f t="shared" si="1320"/>
        <v>50</v>
      </c>
      <c r="CO305" s="17">
        <f t="shared" si="1321"/>
        <v>65.062647806544774</v>
      </c>
      <c r="CP305" s="17">
        <f t="shared" si="1322"/>
        <v>6.4061594552694459</v>
      </c>
      <c r="CQ305" s="17">
        <f t="shared" si="1323"/>
        <v>0</v>
      </c>
      <c r="CR305" s="17">
        <f t="shared" si="1324"/>
        <v>100</v>
      </c>
      <c r="CS305" s="17">
        <f t="shared" si="1325"/>
        <v>26.404773030064671</v>
      </c>
      <c r="CT305" s="17">
        <f t="shared" si="1326"/>
        <v>24</v>
      </c>
      <c r="CU305" s="17">
        <f t="shared" si="1327"/>
        <v>50</v>
      </c>
      <c r="CV305" s="17">
        <f t="shared" si="1328"/>
        <v>65.062647806544774</v>
      </c>
      <c r="CW305" s="17">
        <f t="shared" si="1329"/>
        <v>-38.657874776480099</v>
      </c>
      <c r="CX305" s="17">
        <f t="shared" si="1267"/>
        <v>-5220.9930240000003</v>
      </c>
      <c r="CY305" s="17">
        <f t="shared" si="1267"/>
        <v>-5220.9930240000003</v>
      </c>
      <c r="CZ305" s="17">
        <f t="shared" si="1330"/>
        <v>468.55065600000012</v>
      </c>
      <c r="DA305" s="17">
        <f t="shared" si="1331"/>
        <v>-1405.6519680000001</v>
      </c>
      <c r="DB305" s="17">
        <f t="shared" si="1332"/>
        <v>-26593.920000000002</v>
      </c>
      <c r="DC305" s="17">
        <f t="shared" si="1333"/>
        <v>3412</v>
      </c>
      <c r="DD305" s="17">
        <f t="shared" si="1334"/>
        <v>431.74629119999997</v>
      </c>
      <c r="DE305" s="17">
        <f t="shared" si="1335"/>
        <v>17496.000000000007</v>
      </c>
      <c r="DF305" s="17">
        <f t="shared" si="1336"/>
        <v>-5311.3403002060804</v>
      </c>
      <c r="DG305" s="17"/>
      <c r="DH305" s="17">
        <f t="shared" si="1337"/>
        <v>-10514.941939202587</v>
      </c>
      <c r="DI305" s="17">
        <f t="shared" si="1338"/>
        <v>-29573.274204007277</v>
      </c>
      <c r="DJ305" s="17">
        <f t="shared" si="1339"/>
        <v>-2992.5644545189134</v>
      </c>
      <c r="DK305" s="17">
        <f t="shared" si="1340"/>
        <v>4463.1942826652794</v>
      </c>
      <c r="DL305" s="17">
        <f t="shared" si="1341"/>
        <v>-16723.608345006072</v>
      </c>
      <c r="DM305" s="17">
        <f t="shared" si="1342"/>
        <v>-38617.586315063498</v>
      </c>
      <c r="DN305" s="17">
        <f t="shared" si="1343"/>
        <v>-55341.194660069566</v>
      </c>
    </row>
    <row r="306" spans="3:120">
      <c r="C306" s="19"/>
      <c r="D306" s="19"/>
      <c r="E306" s="19"/>
      <c r="F306" s="19"/>
      <c r="G306" s="19"/>
      <c r="H306" s="19"/>
      <c r="I306" s="19"/>
      <c r="J306" s="19"/>
      <c r="K306" s="19"/>
      <c r="L306" s="19"/>
      <c r="M306" s="19"/>
      <c r="N306" s="19"/>
      <c r="O306" s="19"/>
      <c r="P306" s="19"/>
      <c r="Q306" s="19"/>
      <c r="R306" s="19"/>
      <c r="S306" s="19"/>
      <c r="T306" s="19"/>
      <c r="U306" s="19"/>
      <c r="V306" s="19"/>
      <c r="W306" s="19"/>
      <c r="X306" s="20">
        <f>SUM(X290:X305)</f>
        <v>1144.1108000000002</v>
      </c>
      <c r="Y306" s="20">
        <f t="shared" ref="Y306:AG306" si="1345">SUM(Y290:Y305)</f>
        <v>9006.4402175999985</v>
      </c>
      <c r="Z306" s="20">
        <f t="shared" si="1345"/>
        <v>18012.880435199997</v>
      </c>
      <c r="AA306" s="20">
        <f t="shared" si="1345"/>
        <v>1801.2880435199995</v>
      </c>
      <c r="AB306" s="20">
        <f t="shared" si="1345"/>
        <v>0</v>
      </c>
      <c r="AC306" s="20">
        <f t="shared" si="1345"/>
        <v>165.70428430142042</v>
      </c>
      <c r="AD306" s="20">
        <f t="shared" si="1345"/>
        <v>42375</v>
      </c>
      <c r="AE306" s="20">
        <f t="shared" si="1345"/>
        <v>42375</v>
      </c>
      <c r="AF306" s="20">
        <f t="shared" si="1345"/>
        <v>260</v>
      </c>
      <c r="AG306" s="20">
        <f t="shared" si="1345"/>
        <v>108.5</v>
      </c>
      <c r="AH306" s="841"/>
      <c r="AI306" s="20">
        <f t="shared" ref="AI306:AJ306" si="1346">SUM(AI290:AI305)</f>
        <v>76.5</v>
      </c>
      <c r="AJ306" s="20">
        <f t="shared" si="1346"/>
        <v>108.5</v>
      </c>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2"/>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row>
    <row r="308" spans="3:120" ht="29.1">
      <c r="C308" s="8" t="str">
        <f>"Zoning Area  AHU - " &amp; INT((ROW()-8)/20)+1 &amp; "  " &amp;IF(AQ310&gt;0,"Air-Conditioning System " &amp; IF(AH310="D","(DX)",IF(AH310="C","(Chilled Water)","")),IF(AND(N310="Amb",AQ310=0),"Ventilation System","Refer"))</f>
        <v>Zoning Area  AHU - 16  Ventilation System</v>
      </c>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39"/>
      <c r="AI308" s="8"/>
      <c r="AJ308" s="8"/>
      <c r="AK308" s="8"/>
      <c r="AL308" s="8"/>
      <c r="AM308" s="8"/>
      <c r="AN308" s="8"/>
      <c r="AO308" s="8"/>
      <c r="AP308" s="8"/>
      <c r="AQ308" s="8"/>
      <c r="AR308" s="8"/>
      <c r="AS308" s="9" t="s">
        <v>221</v>
      </c>
      <c r="AT308" s="10"/>
      <c r="AU308" s="10"/>
      <c r="AV308" s="11"/>
      <c r="AW308" s="9" t="s">
        <v>222</v>
      </c>
      <c r="AX308" s="10"/>
      <c r="AY308" s="10"/>
      <c r="AZ308" s="11"/>
      <c r="BA308" s="12" t="s">
        <v>483</v>
      </c>
      <c r="BB308" s="12"/>
      <c r="BC308" s="12"/>
      <c r="BD308" s="12"/>
      <c r="BE308" s="12"/>
      <c r="BF308" s="12"/>
      <c r="BG308" s="12"/>
      <c r="BH308" s="12"/>
      <c r="BI308" s="12"/>
      <c r="BJ308" s="12"/>
      <c r="BK308" s="12"/>
      <c r="BL308" s="12"/>
      <c r="BM308" s="12"/>
      <c r="BN308" s="12"/>
      <c r="BO308" s="12"/>
      <c r="BP308" s="12"/>
      <c r="BQ308" s="9" t="s">
        <v>484</v>
      </c>
      <c r="BR308" s="10"/>
      <c r="BS308" s="10"/>
      <c r="BT308" s="10"/>
      <c r="BU308" s="10"/>
      <c r="BV308" s="10"/>
      <c r="BW308" s="10"/>
      <c r="BX308" s="10"/>
      <c r="BY308" s="10"/>
      <c r="BZ308" s="11"/>
      <c r="CA308" s="9" t="s">
        <v>485</v>
      </c>
      <c r="CB308" s="10"/>
      <c r="CC308" s="10"/>
      <c r="CD308" s="10"/>
      <c r="CE308" s="9" t="s">
        <v>486</v>
      </c>
      <c r="CF308" s="10"/>
      <c r="CG308" s="11"/>
      <c r="CH308" s="12" t="s">
        <v>487</v>
      </c>
      <c r="CI308" s="12"/>
      <c r="CJ308" s="12"/>
      <c r="CK308" s="12"/>
      <c r="CL308" s="12"/>
      <c r="CM308" s="12"/>
      <c r="CN308" s="12"/>
      <c r="CO308" s="12"/>
      <c r="CP308" s="12"/>
      <c r="CQ308" s="12"/>
      <c r="CR308" s="12"/>
      <c r="CS308" s="12"/>
      <c r="CT308" s="12"/>
      <c r="CU308" s="12"/>
      <c r="CV308" s="12"/>
      <c r="CW308" s="12"/>
      <c r="CX308" s="9" t="s">
        <v>488</v>
      </c>
      <c r="CY308" s="10"/>
      <c r="CZ308" s="10"/>
      <c r="DA308" s="10"/>
      <c r="DB308" s="10"/>
      <c r="DC308" s="10"/>
      <c r="DD308" s="10"/>
      <c r="DE308" s="10"/>
      <c r="DF308" s="10"/>
      <c r="DG308" s="11"/>
      <c r="DH308" s="9" t="s">
        <v>489</v>
      </c>
      <c r="DI308" s="10"/>
      <c r="DJ308" s="10"/>
      <c r="DK308" s="10"/>
      <c r="DL308" s="9"/>
      <c r="DM308" s="10"/>
      <c r="DN308" s="11"/>
      <c r="DO308" s="1"/>
      <c r="DP308" s="1"/>
    </row>
    <row r="309" spans="3:120" ht="120" customHeight="1">
      <c r="C309" s="13">
        <f>IF(D309&lt;&gt;"",COUNTA($D$10:D309),"")</f>
        <v>255</v>
      </c>
      <c r="D309" s="5" t="s">
        <v>165</v>
      </c>
      <c r="E309" s="5" t="s">
        <v>166</v>
      </c>
      <c r="F309" s="5" t="s">
        <v>167</v>
      </c>
      <c r="G309" s="5" t="s">
        <v>168</v>
      </c>
      <c r="H309" s="5" t="s">
        <v>169</v>
      </c>
      <c r="I309" s="5" t="s">
        <v>170</v>
      </c>
      <c r="J309" s="5" t="s">
        <v>171</v>
      </c>
      <c r="K309" s="5" t="s">
        <v>172</v>
      </c>
      <c r="L309" s="5" t="s">
        <v>173</v>
      </c>
      <c r="M309" s="5" t="s">
        <v>174</v>
      </c>
      <c r="N309" s="5" t="s">
        <v>175</v>
      </c>
      <c r="O309" s="5" t="s">
        <v>176</v>
      </c>
      <c r="P309" s="5" t="s">
        <v>177</v>
      </c>
      <c r="Q309" s="5" t="s">
        <v>178</v>
      </c>
      <c r="R309" s="5" t="s">
        <v>199</v>
      </c>
      <c r="S309" s="5" t="s">
        <v>180</v>
      </c>
      <c r="T309" s="5" t="s">
        <v>223</v>
      </c>
      <c r="U309" s="5" t="s">
        <v>224</v>
      </c>
      <c r="V309" s="5" t="s">
        <v>199</v>
      </c>
      <c r="W309" s="5" t="s">
        <v>180</v>
      </c>
      <c r="X309" s="5" t="s">
        <v>225</v>
      </c>
      <c r="Y309" s="5" t="s">
        <v>226</v>
      </c>
      <c r="Z309" s="5" t="s">
        <v>227</v>
      </c>
      <c r="AA309" s="5" t="s">
        <v>228</v>
      </c>
      <c r="AB309" s="5" t="s">
        <v>229</v>
      </c>
      <c r="AC309" s="5" t="s">
        <v>230</v>
      </c>
      <c r="AD309" s="5" t="s">
        <v>231</v>
      </c>
      <c r="AE309" s="5" t="s">
        <v>232</v>
      </c>
      <c r="AF309" s="6" t="s">
        <v>233</v>
      </c>
      <c r="AG309" s="6" t="s">
        <v>234</v>
      </c>
      <c r="AH309" s="6" t="s">
        <v>235</v>
      </c>
      <c r="AI309" s="5" t="s">
        <v>236</v>
      </c>
      <c r="AJ309" s="5" t="s">
        <v>237</v>
      </c>
      <c r="AK309" s="5" t="s">
        <v>238</v>
      </c>
      <c r="AL309" s="5" t="s">
        <v>239</v>
      </c>
      <c r="AM309" s="5" t="s">
        <v>240</v>
      </c>
      <c r="AN309" s="5" t="s">
        <v>241</v>
      </c>
      <c r="AO309" s="5" t="s">
        <v>242</v>
      </c>
      <c r="AP309" s="5" t="s">
        <v>243</v>
      </c>
      <c r="AQ309" s="5" t="s">
        <v>244</v>
      </c>
      <c r="AR309" s="5" t="s">
        <v>245</v>
      </c>
      <c r="AS309" s="5" t="s">
        <v>246</v>
      </c>
      <c r="AT309" s="5" t="s">
        <v>247</v>
      </c>
      <c r="AU309" s="5" t="s">
        <v>248</v>
      </c>
      <c r="AV309" s="5" t="s">
        <v>249</v>
      </c>
      <c r="AW309" s="5" t="s">
        <v>250</v>
      </c>
      <c r="AX309" s="5" t="s">
        <v>251</v>
      </c>
      <c r="AY309" s="5" t="s">
        <v>252</v>
      </c>
      <c r="AZ309" s="5" t="s">
        <v>253</v>
      </c>
      <c r="BA309" s="5" t="s">
        <v>490</v>
      </c>
      <c r="BB309" s="5" t="s">
        <v>491</v>
      </c>
      <c r="BC309" s="5" t="s">
        <v>492</v>
      </c>
      <c r="BD309" s="5" t="s">
        <v>493</v>
      </c>
      <c r="BE309" s="5" t="s">
        <v>494</v>
      </c>
      <c r="BF309" s="5" t="s">
        <v>492</v>
      </c>
      <c r="BG309" s="5" t="s">
        <v>493</v>
      </c>
      <c r="BH309" s="5" t="s">
        <v>495</v>
      </c>
      <c r="BI309" s="5" t="s">
        <v>496</v>
      </c>
      <c r="BJ309" s="5" t="s">
        <v>492</v>
      </c>
      <c r="BK309" s="5" t="s">
        <v>493</v>
      </c>
      <c r="BL309" s="5" t="s">
        <v>497</v>
      </c>
      <c r="BM309" s="5" t="s">
        <v>492</v>
      </c>
      <c r="BN309" s="5" t="s">
        <v>493</v>
      </c>
      <c r="BO309" s="5" t="s">
        <v>495</v>
      </c>
      <c r="BP309" s="5" t="s">
        <v>498</v>
      </c>
      <c r="BQ309" s="5" t="s">
        <v>499</v>
      </c>
      <c r="BR309" s="5" t="s">
        <v>500</v>
      </c>
      <c r="BS309" s="5" t="s">
        <v>501</v>
      </c>
      <c r="BT309" s="5" t="s">
        <v>502</v>
      </c>
      <c r="BU309" s="5" t="s">
        <v>503</v>
      </c>
      <c r="BV309" s="5" t="s">
        <v>504</v>
      </c>
      <c r="BW309" s="5" t="s">
        <v>505</v>
      </c>
      <c r="BX309" s="5" t="s">
        <v>506</v>
      </c>
      <c r="BY309" s="5" t="s">
        <v>173</v>
      </c>
      <c r="BZ309" s="5" t="s">
        <v>174</v>
      </c>
      <c r="CA309" s="5" t="s">
        <v>503</v>
      </c>
      <c r="CB309" s="5" t="s">
        <v>507</v>
      </c>
      <c r="CC309" s="5" t="s">
        <v>173</v>
      </c>
      <c r="CD309" s="5" t="s">
        <v>508</v>
      </c>
      <c r="CE309" s="7" t="s">
        <v>509</v>
      </c>
      <c r="CF309" s="7" t="s">
        <v>510</v>
      </c>
      <c r="CG309" s="7" t="s">
        <v>511</v>
      </c>
      <c r="CH309" s="5" t="s">
        <v>512</v>
      </c>
      <c r="CI309" s="5" t="s">
        <v>513</v>
      </c>
      <c r="CJ309" s="5" t="s">
        <v>492</v>
      </c>
      <c r="CK309" s="5" t="s">
        <v>493</v>
      </c>
      <c r="CL309" s="5" t="s">
        <v>494</v>
      </c>
      <c r="CM309" s="5" t="s">
        <v>492</v>
      </c>
      <c r="CN309" s="5" t="s">
        <v>493</v>
      </c>
      <c r="CO309" s="5" t="s">
        <v>495</v>
      </c>
      <c r="CP309" s="5" t="s">
        <v>496</v>
      </c>
      <c r="CQ309" s="5" t="s">
        <v>492</v>
      </c>
      <c r="CR309" s="5" t="s">
        <v>493</v>
      </c>
      <c r="CS309" s="5" t="s">
        <v>497</v>
      </c>
      <c r="CT309" s="5" t="s">
        <v>492</v>
      </c>
      <c r="CU309" s="5" t="s">
        <v>493</v>
      </c>
      <c r="CV309" s="5" t="s">
        <v>495</v>
      </c>
      <c r="CW309" s="5" t="s">
        <v>498</v>
      </c>
      <c r="CX309" s="5" t="s">
        <v>499</v>
      </c>
      <c r="CY309" s="5" t="s">
        <v>500</v>
      </c>
      <c r="CZ309" s="5" t="s">
        <v>501</v>
      </c>
      <c r="DA309" s="5" t="s">
        <v>502</v>
      </c>
      <c r="DB309" s="5" t="s">
        <v>503</v>
      </c>
      <c r="DC309" s="5" t="s">
        <v>504</v>
      </c>
      <c r="DD309" s="5" t="s">
        <v>505</v>
      </c>
      <c r="DE309" s="5" t="s">
        <v>506</v>
      </c>
      <c r="DF309" s="5" t="s">
        <v>173</v>
      </c>
      <c r="DG309" s="5" t="s">
        <v>174</v>
      </c>
      <c r="DH309" s="5" t="s">
        <v>503</v>
      </c>
      <c r="DI309" s="5" t="s">
        <v>507</v>
      </c>
      <c r="DJ309" s="5" t="s">
        <v>173</v>
      </c>
      <c r="DK309" s="5" t="s">
        <v>508</v>
      </c>
      <c r="DL309" s="7" t="s">
        <v>509</v>
      </c>
      <c r="DM309" s="7" t="s">
        <v>510</v>
      </c>
      <c r="DN309" s="7" t="s">
        <v>511</v>
      </c>
      <c r="DO309" s="2"/>
      <c r="DP309" s="2"/>
    </row>
    <row r="310" spans="3:120" ht="18.600000000000001" customHeight="1">
      <c r="C310" s="13">
        <f>IF(D310&lt;&gt;"",COUNTA($D$10:D310),"")</f>
        <v>256</v>
      </c>
      <c r="D310" s="14" t="s">
        <v>200</v>
      </c>
      <c r="E310" s="14">
        <v>3</v>
      </c>
      <c r="F310" s="14">
        <v>3</v>
      </c>
      <c r="G310" s="14">
        <v>2.4</v>
      </c>
      <c r="H310" s="14">
        <v>1</v>
      </c>
      <c r="I310" s="14">
        <v>2</v>
      </c>
      <c r="J310" s="14">
        <v>1.75</v>
      </c>
      <c r="K310" s="14">
        <v>3</v>
      </c>
      <c r="L310" s="15">
        <v>0.1</v>
      </c>
      <c r="M310" s="15">
        <v>0</v>
      </c>
      <c r="N310" s="14" t="s">
        <v>220</v>
      </c>
      <c r="O310" s="14">
        <v>50</v>
      </c>
      <c r="P310" s="13">
        <v>45</v>
      </c>
      <c r="Q310" s="13">
        <v>85</v>
      </c>
      <c r="R310" s="13" t="s">
        <v>17</v>
      </c>
      <c r="S310" s="13">
        <v>120</v>
      </c>
      <c r="T310" s="13">
        <v>0</v>
      </c>
      <c r="U310" s="13">
        <v>100</v>
      </c>
      <c r="V310" s="13" t="str">
        <f>R310</f>
        <v>ISO 6</v>
      </c>
      <c r="W310" s="13">
        <f>S310</f>
        <v>120</v>
      </c>
      <c r="X310" s="16">
        <f>E310*F310*10.76</f>
        <v>96.84</v>
      </c>
      <c r="Y310" s="16">
        <f>X310*G310*3.28</f>
        <v>762.32447999999999</v>
      </c>
      <c r="Z310" s="16">
        <f>Y310*S310/60</f>
        <v>1524.64896</v>
      </c>
      <c r="AA310" s="16">
        <f>Z310*L310</f>
        <v>152.46489600000001</v>
      </c>
      <c r="AB310" s="16">
        <f>IF(N310="Amb",Z310,Z310*M310)</f>
        <v>1524.64896</v>
      </c>
      <c r="AC310" s="16" t="str">
        <f>IF(ISNUMBER(N310), (AA310*0.075*60/2.20462)*BP310/7000, "Ambient")</f>
        <v>Ambient</v>
      </c>
      <c r="AD310" s="16" t="str">
        <f>IF(ISNUMBER(N310), CEILING(CF310/(0.68*BP310),25), "Ambient")</f>
        <v>Ambient</v>
      </c>
      <c r="AE310" s="16">
        <f>CEILING(MAX((Z310+AA310),AD310),25)</f>
        <v>1700</v>
      </c>
      <c r="AF310" s="16">
        <f>CEILING(IF(OR($R310="ISO 6",$R310="GRADE B",$R310="1K",$R310=1000),AE310*1/175,IF(OR($R310="ISO 5",$R310="GRADE A",$R310=100),AE310*1/100,IF(OR($R310="ISO 7",$R310="GRADE C",$R310="10K",$R310=10000),$AE310*1/250,IF(OR($R310="ISO 8",$R310="GRADE D",$R310="100K",$R310=100000),$AE310*1/250,IF(OR($R310="NC",$R310="20 Micron",$R310="5 Micron",$R310="N C"),$AE310*1/350,0))))),2)</f>
        <v>10</v>
      </c>
      <c r="AG310" s="16" t="str">
        <f>IF(ISNUMBER(N310), CEILING(MAX(AI310,AJ310),0.5), "Ambient")</f>
        <v>Ambient</v>
      </c>
      <c r="AH310" s="838" t="s">
        <v>85</v>
      </c>
      <c r="AI310" s="17" t="str">
        <f>IF(ISNUMBER(N310), CEILING(CE310/12000,0.5), "Ambient")</f>
        <v>Ambient</v>
      </c>
      <c r="AJ310" s="17" t="str">
        <f>IF(ISNUMBER(N310),CEILING(AE310/(IF(AH310="C",400,300)),0.5), "Ambient")</f>
        <v>Ambient</v>
      </c>
      <c r="AK310" s="891">
        <f>CEILING(SUM(AE310:AE325),250)</f>
        <v>20000</v>
      </c>
      <c r="AL310" s="18" t="s">
        <v>254</v>
      </c>
      <c r="AM310" s="889">
        <v>150</v>
      </c>
      <c r="AN310" s="891">
        <f>IF(AK310&lt;=1300,200,IF(AK310&lt;=1600,225,IF(AK310&lt;=2100,250,IF(AK310&lt;=2700,280,IF(AK310&lt;=3450,315,IF(AK310&lt;=4250,355,IF(AK310&lt;=5250,400,IF(AK310&lt;=6750,450,IF(AK310&lt;=8500,500,IF(AK310&lt;=10750,560,IF(AK310&lt;=13500,630,IF(AK310&lt;=17000,710,IF(AK310&lt;=21500,800,IF(AK310&lt;=27000,900,IF(AK310&lt;=34000,1000,IF(AK310&lt;=43000,1120,IF(AK310&lt;=49000,1200,IF(AK310&lt;=68000,1450,"Refer"))))))))))))))))))</f>
        <v>800</v>
      </c>
      <c r="AO310" s="888">
        <f>IF(AK310*AM310/(6356*0.7*0.9*1.1*25.4)&lt;=1,1,IF(AK310*AM310/(6356*0.7*0.9*1.1*25.4)&lt;=1.5,1.5,IF(AK310*AM310/(6356*0.7*0.9*1.1*25.4)&lt;=2,2,IF(AK310*AM310/(6356*0.7*0.9*1.1*25.4)&lt;=3,3,IF(AK310*AM310/(6356*0.7*0.9*1.1*25.4)&lt;=5,5,IF(AK310*AM310/(6356*0.7*0.9*1.1*25.4)&lt;=7.5,7.5,IF(AK310*AM310/(6356*0.7*0.9*1.1*25.4)&lt;=10,10,IF(AK310*AM310/(6356*0.7*0.9*1.1*25.4)&lt;=12.5,12.5,IF(AK310*AM310/(6356*0.7*0.9*1.1*25.4)&lt;=15,15,IF(AK310*AM310/(6356*0.7*0.9*1.1*25.4)&lt;=20,20,IF(AK310*AM310/(6356*0.7*0.9*1.1*25.4)&lt;=25,25,IF(AK310*AM310/(6356*0.7*0.9*1.1*25.4)&lt;=30,30,IF(AK310*AM310/(6356*0.7*0.9*1.1*25.4)&lt;=40,40,IF(AK310*AM310/(6356*0.7*0.9*1.1*25.4)&lt;=50,50,IF(AK310*AM310/(6356*0.7*0.9*1.1*25.4)&lt;=60,60,IF(AK310*AM310/(6356*0.7*0.9*1.1*25.4)&lt;=75,75,"Refer"))))))))))))))))</f>
        <v>30</v>
      </c>
      <c r="AP310" s="891" t="str">
        <f>IF(AND(AQ310=0, N310="Amb"), "Amb",IF((AL311-250)*(AL313-150)*10.76/(1000*1000) &gt;= MAX(AI326,AJ326), 4,IF((AL311-250)*(AL313-150)*10.76*1.5/(1000*1000) &gt;= MAX(AI326,AJ326), 6,IF((AL311-250)*(AL313-150)*10.76*2/(1000*1000) &gt;= MAX(AI326,AJ326), 8, 0))
 )
)</f>
        <v>Amb</v>
      </c>
      <c r="AQ310" s="891">
        <f>AG326</f>
        <v>0</v>
      </c>
      <c r="AR310" s="889">
        <f>_xlfn.SWITCH(TRIM(UPPER(R310)),"ISO 9", 3,"ISO 8", 4,"Grade D", 4,"Class 100,000", 4,"Class 100K", 4,"ISO 7", 3,"Grade C", 3,"Class 10,000", 3,"Class 10K", 3,"ISO 6", 3,"Class 1,000", 3,"Class 1K", 3,"ISO 5", 4,"Grade A", 4,"Grade B", 4,"Class 100", 4,"ISO 4", 3,"ISO 3", 4,"ISO 2", 4,"ISO 1", 4,"NCV20",1,"NCV-10",2,"NCV-5",3,"NCAC-10",1,"NCAC-5",2,"NCAC-1",3,3)</f>
        <v>3</v>
      </c>
      <c r="AS310" s="888">
        <f>MAX(AI326,AJ326)*24/6</f>
        <v>0</v>
      </c>
      <c r="AT310" s="888">
        <f>AS310*0.06309</f>
        <v>0</v>
      </c>
      <c r="AU310" s="890">
        <v>2</v>
      </c>
      <c r="AV310" s="888">
        <f>SQRT((4*AS310*0.00006309)/(3.14*AU310))*1000</f>
        <v>0</v>
      </c>
      <c r="AW310" s="888"/>
      <c r="AX310" s="888"/>
      <c r="AY310" s="887"/>
      <c r="AZ310" s="888"/>
      <c r="BA310" s="17" t="e">
        <f>-CONVERT(N310,"C","F")+CONVERT((N310+8),"C","F")</f>
        <v>#VALUE!</v>
      </c>
      <c r="BB310" s="17" t="e">
        <f>CONVERT(P310,"C","F")-CONVERT(N310,"C","F")</f>
        <v>#VALUE!</v>
      </c>
      <c r="BC310" s="17" t="e">
        <f>N310+8</f>
        <v>#VALUE!</v>
      </c>
      <c r="BD310" s="17">
        <f>BG310+35</f>
        <v>85</v>
      </c>
      <c r="BE310" s="17" t="e">
        <f>0.622*7000*(BD310/100)*(6.1078*10^((7.5*BC310)/(237.3+BC310)))/(1013.25-(6.1078*10^((7.5*BC310)/(237.3+BC310)))*BD310/100)</f>
        <v>#VALUE!</v>
      </c>
      <c r="BF310" s="17" t="str">
        <f>N310</f>
        <v>amb</v>
      </c>
      <c r="BG310" s="17">
        <f>O310</f>
        <v>50</v>
      </c>
      <c r="BH310" s="17" t="e">
        <f>0.622*7000*(BG310/100)*(6.1078*10^((7.5*BF310)/(237.3+BF310)))/(1013.25-(6.1078*10^((7.5*BF310)/(237.3+BF310)))*BG310/100)</f>
        <v>#VALUE!</v>
      </c>
      <c r="BI310" s="17" t="e">
        <f>BE310-BH310</f>
        <v>#VALUE!</v>
      </c>
      <c r="BJ310" s="17">
        <f>P310</f>
        <v>45</v>
      </c>
      <c r="BK310" s="17">
        <f>Q310</f>
        <v>85</v>
      </c>
      <c r="BL310" s="17">
        <f>0.622*7000*(BK310/100)*(6.1078*10^((7.5*BJ310)/(237.3+BJ310)))/(1013.25-(6.1078*10^((7.5*BJ310)/(237.3+BJ310)))*BK310/100)</f>
        <v>380.54120080897206</v>
      </c>
      <c r="BM310" s="17" t="str">
        <f>N310</f>
        <v>amb</v>
      </c>
      <c r="BN310" s="17">
        <f>BG310</f>
        <v>50</v>
      </c>
      <c r="BO310" s="17" t="e">
        <f>0.622*7000*(BN310/100)*(6.1078*10^((7.5*BM310)/(237.3+BM310)))/(1013.25-(6.1078*10^((7.5*BM310)/(237.3+BM310)))*BN310/100)</f>
        <v>#VALUE!</v>
      </c>
      <c r="BP310" s="17" t="e">
        <f>BL310-BO310</f>
        <v>#VALUE!</v>
      </c>
      <c r="BQ310" s="17" t="e">
        <f>($E310*$G310*10.76*2+$F310*$G310*2*10.76)*$BB310*0.45</f>
        <v>#VALUE!</v>
      </c>
      <c r="BR310" s="17" t="e">
        <f>($E310*$G310*10.76*2+$F310*$G310*2*10.76)*$BA310*0.45</f>
        <v>#VALUE!</v>
      </c>
      <c r="BS310" s="17" t="e">
        <f>($E310*$F310*10.76)*$BA310*0.45</f>
        <v>#VALUE!</v>
      </c>
      <c r="BT310" s="17" t="e">
        <f>($E310*$F310*10.76)*$BB310*0.45</f>
        <v>#VALUE!</v>
      </c>
      <c r="BU310" s="17" t="e">
        <f>$H310*285*1.08*$BB310</f>
        <v>#VALUE!</v>
      </c>
      <c r="BV310" s="17">
        <f>$I310*1000*3.412</f>
        <v>6824</v>
      </c>
      <c r="BW310" s="17">
        <f>$J310*$X310*3.412</f>
        <v>578.23163999999997</v>
      </c>
      <c r="BX310" s="17" t="e">
        <f>$K310*1.08*375*$BA310</f>
        <v>#VALUE!</v>
      </c>
      <c r="BY310" s="17" t="e">
        <f>($AA310+$AB310)*1.08*$BB310</f>
        <v>#VALUE!</v>
      </c>
      <c r="BZ310" s="17"/>
      <c r="CA310" s="17" t="e">
        <f>$H310*200*0.68*$BP310</f>
        <v>#VALUE!</v>
      </c>
      <c r="CB310" s="17" t="e">
        <f>$K310*375*0.68*$BP310</f>
        <v>#VALUE!</v>
      </c>
      <c r="CC310" s="17" t="e">
        <f>($AA310+$AB310)*0.68*$BP310</f>
        <v>#VALUE!</v>
      </c>
      <c r="CD310" s="17" t="e">
        <f>($Z310-$AA310)*0.68*$BP310</f>
        <v>#VALUE!</v>
      </c>
      <c r="CE310" s="17" t="e">
        <f>$BQ310+$BU310+$BV310+$BW310+$BX310+$BY310</f>
        <v>#VALUE!</v>
      </c>
      <c r="CF310" s="17" t="e">
        <f>$CA310+$CB310+$CC310+$CD310</f>
        <v>#VALUE!</v>
      </c>
      <c r="CG310" s="17" t="e">
        <f>$CE310+$CF310</f>
        <v>#VALUE!</v>
      </c>
      <c r="CH310" s="17" t="e">
        <f>CONVERT(N310,"C","F")-CONVERT((N310-8),"C","F")</f>
        <v>#VALUE!</v>
      </c>
      <c r="CI310" s="17" t="e">
        <f>CONVERT(T310,"C","F")-CONVERT(N310,"C","F")</f>
        <v>#VALUE!</v>
      </c>
      <c r="CJ310" s="17" t="e">
        <f>CM310-8</f>
        <v>#VALUE!</v>
      </c>
      <c r="CK310" s="17">
        <f>O310+40</f>
        <v>90</v>
      </c>
      <c r="CL310" s="17" t="e">
        <f>0.622*7000*(CK310/100)*(6.1078*10^((7.5*CJ310)/(237.3+CJ310)))/(1013.25-(6.1078*10^((7.5*CJ310)/(237.3+CJ310)))*CK310/100)</f>
        <v>#VALUE!</v>
      </c>
      <c r="CM310" s="17" t="str">
        <f>N310</f>
        <v>amb</v>
      </c>
      <c r="CN310" s="17">
        <f>O310</f>
        <v>50</v>
      </c>
      <c r="CO310" s="17" t="e">
        <f>0.622*7000*(CN310/100)*(6.1078*10^((7.5*CM310)/(237.3+CM310)))/(1013.25-(6.1078*10^((7.5*CM310)/(237.3+CM310)))*CN310/100)</f>
        <v>#VALUE!</v>
      </c>
      <c r="CP310" s="17" t="e">
        <f>CL310-CO310</f>
        <v>#VALUE!</v>
      </c>
      <c r="CQ310" s="17">
        <f>T310</f>
        <v>0</v>
      </c>
      <c r="CR310" s="17">
        <f>U310</f>
        <v>100</v>
      </c>
      <c r="CS310" s="17">
        <f>0.622*7000*(CR310/100)*(6.1078*10^((7.5*CQ310)/(237.3+CQ310)))/(1013.25-(6.1078*10^((7.5*CQ310)/(237.3+CQ310)))*CR310/100)</f>
        <v>26.404773030064671</v>
      </c>
      <c r="CT310" s="17" t="str">
        <f>CM310</f>
        <v>amb</v>
      </c>
      <c r="CU310" s="17">
        <f>O310</f>
        <v>50</v>
      </c>
      <c r="CV310" s="17" t="e">
        <f>0.622*7000*(CU310/100)*(6.1078*10^((7.5*CT310)/(237.3+CT310)))/(1013.25-(6.1078*10^((7.5*CT310)/(237.3+CT310)))*CU310/100)</f>
        <v>#VALUE!</v>
      </c>
      <c r="CW310" s="17" t="e">
        <f>CS310-CV310</f>
        <v>#VALUE!</v>
      </c>
      <c r="CX310" s="17" t="e">
        <f t="shared" ref="CX310:CY325" si="1347">($E310*$G310*10.76*2+$F310*$G310*2*10.76)*$CI310*0.45</f>
        <v>#VALUE!</v>
      </c>
      <c r="CY310" s="17" t="e">
        <f t="shared" si="1347"/>
        <v>#VALUE!</v>
      </c>
      <c r="CZ310" s="17" t="e">
        <f>($E310*$F310*10.76)*$CH310*0.45</f>
        <v>#VALUE!</v>
      </c>
      <c r="DA310" s="17" t="e">
        <f>($E310*$F310*10.76)*$CI310*0.45</f>
        <v>#VALUE!</v>
      </c>
      <c r="DB310" s="17" t="e">
        <f>$H310*285*1.08*$CI310</f>
        <v>#VALUE!</v>
      </c>
      <c r="DC310" s="17">
        <f>$I310*1000*3.412</f>
        <v>6824</v>
      </c>
      <c r="DD310" s="17">
        <f>$J310*$X310*3.412</f>
        <v>578.23163999999997</v>
      </c>
      <c r="DE310" s="17" t="e">
        <f>$K310*1.08*375*$CH310</f>
        <v>#VALUE!</v>
      </c>
      <c r="DF310" s="17" t="e">
        <f>($AA310+$AB310)*1.08*$CI310</f>
        <v>#VALUE!</v>
      </c>
      <c r="DG310" s="17"/>
      <c r="DH310" s="17" t="e">
        <f>$H310*200*0.68*CW310</f>
        <v>#VALUE!</v>
      </c>
      <c r="DI310" s="17" t="e">
        <f>$K310*375*0.68*CW310</f>
        <v>#VALUE!</v>
      </c>
      <c r="DJ310" s="17" t="e">
        <f>(AA310+AB310)*0.68*CW310</f>
        <v>#VALUE!</v>
      </c>
      <c r="DK310" s="17" t="e">
        <f>(Z310-AA310)*0.68*CP310</f>
        <v>#VALUE!</v>
      </c>
      <c r="DL310" s="17" t="e">
        <f>CX310+DA310+CZ310+DB310+DC310+DD310+DE310+DF310</f>
        <v>#VALUE!</v>
      </c>
      <c r="DM310" s="17" t="e">
        <f>DH310+DI310+DJ310+DK310</f>
        <v>#VALUE!</v>
      </c>
      <c r="DN310" s="17" t="e">
        <f>DL310+DM310</f>
        <v>#VALUE!</v>
      </c>
    </row>
    <row r="311" spans="3:120" ht="18.600000000000001">
      <c r="C311" s="13">
        <f>IF(D311&lt;&gt;"",COUNTA($D$10:D311),"")</f>
        <v>257</v>
      </c>
      <c r="D311" s="14" t="s">
        <v>201</v>
      </c>
      <c r="E311" s="14">
        <v>1.8</v>
      </c>
      <c r="F311" s="14">
        <v>2.2000000000000002</v>
      </c>
      <c r="G311" s="14">
        <v>2.4</v>
      </c>
      <c r="H311" s="14">
        <v>2</v>
      </c>
      <c r="I311" s="14">
        <v>1</v>
      </c>
      <c r="J311" s="14">
        <v>1.75</v>
      </c>
      <c r="K311" s="14">
        <v>3</v>
      </c>
      <c r="L311" s="15">
        <v>0.1</v>
      </c>
      <c r="M311" s="15">
        <v>0</v>
      </c>
      <c r="N311" s="14" t="s">
        <v>220</v>
      </c>
      <c r="O311" s="14">
        <v>50</v>
      </c>
      <c r="P311" s="13">
        <v>45</v>
      </c>
      <c r="Q311" s="13">
        <v>85</v>
      </c>
      <c r="R311" s="13" t="s">
        <v>17</v>
      </c>
      <c r="S311" s="13">
        <v>120</v>
      </c>
      <c r="T311" s="13">
        <v>0</v>
      </c>
      <c r="U311" s="13">
        <v>100</v>
      </c>
      <c r="V311" s="13" t="str">
        <f t="shared" ref="V311:V325" si="1348">R311</f>
        <v>ISO 6</v>
      </c>
      <c r="W311" s="13">
        <f t="shared" ref="W311:W325" si="1349">S311</f>
        <v>120</v>
      </c>
      <c r="X311" s="16">
        <f t="shared" ref="X311:X325" si="1350">E311*F311*10.76</f>
        <v>42.6096</v>
      </c>
      <c r="Y311" s="16">
        <f t="shared" ref="Y311:Y325" si="1351">X311*G311*3.28</f>
        <v>335.4227712</v>
      </c>
      <c r="Z311" s="16">
        <f t="shared" ref="Z311:Z325" si="1352">Y311*S311/60</f>
        <v>670.8455424</v>
      </c>
      <c r="AA311" s="16">
        <f t="shared" ref="AA311:AA325" si="1353">Z311*L311</f>
        <v>67.084554240000003</v>
      </c>
      <c r="AB311" s="16">
        <f t="shared" ref="AB311:AB325" si="1354">IF(N311="Amb",Z311,Z311*M311)</f>
        <v>670.8455424</v>
      </c>
      <c r="AC311" s="16" t="str">
        <f t="shared" ref="AC311:AC325" si="1355">IF(ISNUMBER(N311), (AA311*0.075*60/2.20462)*BP311/7000, "Ambient")</f>
        <v>Ambient</v>
      </c>
      <c r="AD311" s="16" t="str">
        <f t="shared" ref="AD311:AD317" si="1356">IF(ISNUMBER(N311), CEILING(CF311/(0.68*BP311),25), "Ambient")</f>
        <v>Ambient</v>
      </c>
      <c r="AE311" s="16">
        <f t="shared" ref="AE311:AE325" si="1357">CEILING(MAX((Z311+AA311),AD311),25)</f>
        <v>750</v>
      </c>
      <c r="AF311" s="16">
        <f t="shared" ref="AF311:AF325" si="1358">CEILING(IF(OR($R311="ISO 6",$R311="GRADE B",$R311="1K",$R311=1000),AE311*1/175,IF(OR($R311="ISO 5",$R311="GRADE A",$R311=100),AE311*1/100,IF(OR($R311="ISO 7",$R311="GRADE C",$R311="10K",$R311=10000),$AE311*1/250,IF(OR($R311="ISO 8",$R311="GRADE D",$R311="100K",$R311=100000),$AE311*1/250,IF(OR($R311="NC",$R311="20 Micron",$R311="5 Micron",$R311="N C"),$AE311*1/350,0))))),2)</f>
        <v>6</v>
      </c>
      <c r="AG311" s="16" t="str">
        <f t="shared" ref="AG311:AG325" si="1359">IF(ISNUMBER(N311), CEILING(MAX(AI311,AJ311),0.5), "Ambient")</f>
        <v>Ambient</v>
      </c>
      <c r="AH311" s="838" t="s">
        <v>85</v>
      </c>
      <c r="AI311" s="17" t="str">
        <f t="shared" ref="AI311:AI325" si="1360">IF(ISNUMBER(N311), CEILING(CE311/12000,0.5), "Ambient")</f>
        <v>Ambient</v>
      </c>
      <c r="AJ311" s="17" t="str">
        <f t="shared" ref="AJ311:AJ325" si="1361">IF(ISNUMBER(N311),CEILING(AE311/(IF(AH311="C",400,300)),0.5), "Ambient")</f>
        <v>Ambient</v>
      </c>
      <c r="AK311" s="891"/>
      <c r="AL311" s="18">
        <f>IF(AK310&lt;=2000,950,(IF(AK310&lt;=3000,1150,(IF(AK310&lt;=8000,1550,(IF(AK310&lt;=10000,1750,(IF(AK310&lt;=18000,2050,(IF(AK310&lt;=32000,2900,(IF(AK310&lt;=40000,3600,4000)))))))))))))</f>
        <v>2900</v>
      </c>
      <c r="AM311" s="889"/>
      <c r="AN311" s="891"/>
      <c r="AO311" s="888"/>
      <c r="AP311" s="891"/>
      <c r="AQ311" s="891"/>
      <c r="AR311" s="889"/>
      <c r="AS311" s="888"/>
      <c r="AT311" s="888"/>
      <c r="AU311" s="890"/>
      <c r="AV311" s="888"/>
      <c r="AW311" s="888"/>
      <c r="AX311" s="888"/>
      <c r="AY311" s="887"/>
      <c r="AZ311" s="888"/>
      <c r="BA311" s="17" t="e">
        <f t="shared" ref="BA311:BA325" si="1362">-CONVERT(N311,"C","F")+CONVERT((N311+8),"C","F")</f>
        <v>#VALUE!</v>
      </c>
      <c r="BB311" s="17" t="e">
        <f t="shared" ref="BB311:BB325" si="1363">CONVERT(P311,"C","F")-CONVERT(N311,"C","F")</f>
        <v>#VALUE!</v>
      </c>
      <c r="BC311" s="17" t="e">
        <f t="shared" ref="BC311:BC325" si="1364">BF311+8</f>
        <v>#VALUE!</v>
      </c>
      <c r="BD311" s="17">
        <f t="shared" ref="BD311:BD325" si="1365">BG311+35</f>
        <v>85</v>
      </c>
      <c r="BE311" s="17" t="e">
        <f t="shared" ref="BE311:BE325" si="1366">0.622*7000*(BD311/100)*(6.1078*10^((7.5*BC311)/(237.3+BC311)))/(1013.25-(6.1078*10^((7.5*BC311)/(237.3+BC311)))*BD311/100)</f>
        <v>#VALUE!</v>
      </c>
      <c r="BF311" s="17" t="str">
        <f t="shared" ref="BF311:BF325" si="1367">N311</f>
        <v>amb</v>
      </c>
      <c r="BG311" s="17">
        <f t="shared" ref="BG311:BG325" si="1368">O311</f>
        <v>50</v>
      </c>
      <c r="BH311" s="17" t="e">
        <f t="shared" ref="BH311:BH325" si="1369">0.622*7000*(BG311/100)*(6.1078*10^((7.5*BF311)/(237.3+BF311)))/(1013.25-(6.1078*10^((7.5*BF311)/(237.3+BF311)))*BG311/100)</f>
        <v>#VALUE!</v>
      </c>
      <c r="BI311" s="17" t="e">
        <f t="shared" ref="BI311:BI325" si="1370">BE311-BH311</f>
        <v>#VALUE!</v>
      </c>
      <c r="BJ311" s="17">
        <f t="shared" ref="BJ311:BJ325" si="1371">P311</f>
        <v>45</v>
      </c>
      <c r="BK311" s="17">
        <f t="shared" ref="BK311:BK325" si="1372">Q311</f>
        <v>85</v>
      </c>
      <c r="BL311" s="17">
        <f t="shared" ref="BL311:BL325" si="1373">0.622*7000*(BK311/100)*(6.1078*10^((7.5*BJ311)/(237.3+BJ311)))/(1013.25-(6.1078*10^((7.5*BJ311)/(237.3+BJ311)))*BK311/100)</f>
        <v>380.54120080897206</v>
      </c>
      <c r="BM311" s="17" t="str">
        <f t="shared" ref="BM311:BM325" si="1374">BF311</f>
        <v>amb</v>
      </c>
      <c r="BN311" s="17">
        <f t="shared" ref="BN311:BN325" si="1375">BG311</f>
        <v>50</v>
      </c>
      <c r="BO311" s="17" t="e">
        <f t="shared" ref="BO311:BO325" si="1376">0.622*7000*(BN311/100)*(6.1078*10^((7.5*BM311)/(237.3+BM311)))/(1013.25-(6.1078*10^((7.5*BM311)/(237.3+BM311)))*BN311/100)</f>
        <v>#VALUE!</v>
      </c>
      <c r="BP311" s="17" t="e">
        <f t="shared" ref="BP311:BP325" si="1377">BL311-BO311</f>
        <v>#VALUE!</v>
      </c>
      <c r="BQ311" s="17" t="e">
        <f t="shared" ref="BQ311:BQ325" si="1378">(E311*G311*10.76*2+F311*G311*2*10.76)*BB311*0.45</f>
        <v>#VALUE!</v>
      </c>
      <c r="BR311" s="17" t="e">
        <f t="shared" ref="BR311:BR325" si="1379">(E311*G311*10.76*2+F311*G311*2*10.76)*BA311*0.45</f>
        <v>#VALUE!</v>
      </c>
      <c r="BS311" s="17" t="e">
        <f t="shared" ref="BS311:BS325" si="1380">(E311*F311*10.76)*BA311*0.45</f>
        <v>#VALUE!</v>
      </c>
      <c r="BT311" s="17" t="e">
        <f t="shared" ref="BT311:BT325" si="1381">(E311*F311*10.76)*BB311*0.45</f>
        <v>#VALUE!</v>
      </c>
      <c r="BU311" s="17" t="e">
        <f t="shared" ref="BU311:BU325" si="1382">H311*285*1.08*BB311</f>
        <v>#VALUE!</v>
      </c>
      <c r="BV311" s="17">
        <f t="shared" ref="BV311:BV325" si="1383">I311*1000*3.412</f>
        <v>3412</v>
      </c>
      <c r="BW311" s="17">
        <f t="shared" ref="BW311:BW325" si="1384">J311*X311*3.412</f>
        <v>254.42192159999999</v>
      </c>
      <c r="BX311" s="17" t="e">
        <f t="shared" ref="BX311:BX325" si="1385">K311*1.08*375*BA311</f>
        <v>#VALUE!</v>
      </c>
      <c r="BY311" s="17" t="e">
        <f t="shared" ref="BY311:BY325" si="1386">(AA311+AB311)*1.08*BB311</f>
        <v>#VALUE!</v>
      </c>
      <c r="BZ311" s="17"/>
      <c r="CA311" s="17" t="e">
        <f t="shared" ref="CA311:CA325" si="1387">H311*200*0.68*BP311</f>
        <v>#VALUE!</v>
      </c>
      <c r="CB311" s="17" t="e">
        <f t="shared" ref="CB311:CB325" si="1388">K311*375*0.68*BP311</f>
        <v>#VALUE!</v>
      </c>
      <c r="CC311" s="17" t="e">
        <f t="shared" ref="CC311:CC325" si="1389">(AA311+AB311)*0.68*BP311</f>
        <v>#VALUE!</v>
      </c>
      <c r="CD311" s="17" t="e">
        <f t="shared" ref="CD311:CD325" si="1390">($Z311-$AA311)*0.68*$BP311</f>
        <v>#VALUE!</v>
      </c>
      <c r="CE311" s="17" t="e">
        <f t="shared" ref="CE311:CE325" si="1391">$BQ311+$BU311+$BV311+$BW311+$BX311+$BY311</f>
        <v>#VALUE!</v>
      </c>
      <c r="CF311" s="17" t="e">
        <f t="shared" ref="CF311:CF325" si="1392">$CA311+$CB311+$CC311+$CD311</f>
        <v>#VALUE!</v>
      </c>
      <c r="CG311" s="17" t="e">
        <f t="shared" ref="CG311:CG325" si="1393">$CE311+$CF311</f>
        <v>#VALUE!</v>
      </c>
      <c r="CH311" s="17" t="e">
        <f t="shared" ref="CH311:CH325" si="1394">CONVERT(N311,"C","F")-CONVERT((N311-8),"C","F")</f>
        <v>#VALUE!</v>
      </c>
      <c r="CI311" s="17" t="e">
        <f t="shared" ref="CI311:CI325" si="1395">CONVERT(T311,"C","F")-CONVERT(N311,"C","F")</f>
        <v>#VALUE!</v>
      </c>
      <c r="CJ311" s="17" t="e">
        <f t="shared" ref="CJ311:CJ325" si="1396">CM311-8</f>
        <v>#VALUE!</v>
      </c>
      <c r="CK311" s="17">
        <f t="shared" ref="CK311:CK325" si="1397">O311+40</f>
        <v>90</v>
      </c>
      <c r="CL311" s="17" t="e">
        <f t="shared" ref="CL311:CL325" si="1398">0.622*7000*(CK311/100)*(6.1078*10^((7.5*CJ311)/(237.3+CJ311)))/(1013.25-(6.1078*10^((7.5*CJ311)/(237.3+CJ311)))*CK311/100)</f>
        <v>#VALUE!</v>
      </c>
      <c r="CM311" s="17" t="str">
        <f t="shared" ref="CM311:CM325" si="1399">N311</f>
        <v>amb</v>
      </c>
      <c r="CN311" s="17">
        <f t="shared" ref="CN311:CN325" si="1400">O311</f>
        <v>50</v>
      </c>
      <c r="CO311" s="17" t="e">
        <f t="shared" ref="CO311:CO325" si="1401">0.622*7000*(CN311/100)*(6.1078*10^((7.5*CM311)/(237.3+CM311)))/(1013.25-(6.1078*10^((7.5*CM311)/(237.3+CM311)))*CN311/100)</f>
        <v>#VALUE!</v>
      </c>
      <c r="CP311" s="17" t="e">
        <f t="shared" ref="CP311:CP325" si="1402">CL311-CO311</f>
        <v>#VALUE!</v>
      </c>
      <c r="CQ311" s="17">
        <f t="shared" ref="CQ311:CQ325" si="1403">T311</f>
        <v>0</v>
      </c>
      <c r="CR311" s="17">
        <f t="shared" ref="CR311:CR325" si="1404">U311</f>
        <v>100</v>
      </c>
      <c r="CS311" s="17">
        <f t="shared" ref="CS311:CS325" si="1405">0.622*7000*(CR311/100)*(6.1078*10^((7.5*CQ311)/(237.3+CQ311)))/(1013.25-(6.1078*10^((7.5*CQ311)/(237.3+CQ311)))*CR311/100)</f>
        <v>26.404773030064671</v>
      </c>
      <c r="CT311" s="17" t="str">
        <f t="shared" ref="CT311:CT325" si="1406">CM311</f>
        <v>amb</v>
      </c>
      <c r="CU311" s="17">
        <f t="shared" ref="CU311:CU325" si="1407">O311</f>
        <v>50</v>
      </c>
      <c r="CV311" s="17" t="e">
        <f t="shared" ref="CV311:CV325" si="1408">0.622*7000*(CU311/100)*(6.1078*10^((7.5*CT311)/(237.3+CT311)))/(1013.25-(6.1078*10^((7.5*CT311)/(237.3+CT311)))*CU311/100)</f>
        <v>#VALUE!</v>
      </c>
      <c r="CW311" s="17" t="e">
        <f t="shared" ref="CW311:CW325" si="1409">CS311-CV311</f>
        <v>#VALUE!</v>
      </c>
      <c r="CX311" s="17" t="e">
        <f t="shared" si="1347"/>
        <v>#VALUE!</v>
      </c>
      <c r="CY311" s="17" t="e">
        <f t="shared" si="1347"/>
        <v>#VALUE!</v>
      </c>
      <c r="CZ311" s="17" t="e">
        <f t="shared" ref="CZ311:CZ325" si="1410">($E311*$F311*10.76)*$CH311*0.45</f>
        <v>#VALUE!</v>
      </c>
      <c r="DA311" s="17" t="e">
        <f t="shared" ref="DA311:DA325" si="1411">($E311*$F311*10.76)*$CI311*0.45</f>
        <v>#VALUE!</v>
      </c>
      <c r="DB311" s="17" t="e">
        <f t="shared" ref="DB311:DB325" si="1412">$H311*285*1.08*$CI311</f>
        <v>#VALUE!</v>
      </c>
      <c r="DC311" s="17">
        <f t="shared" ref="DC311:DC325" si="1413">$I311*1000*3.412</f>
        <v>3412</v>
      </c>
      <c r="DD311" s="17">
        <f t="shared" ref="DD311:DD325" si="1414">$J311*$X311*3.412</f>
        <v>254.42192159999999</v>
      </c>
      <c r="DE311" s="17" t="e">
        <f t="shared" ref="DE311:DE325" si="1415">$K311*1.08*375*$CH311</f>
        <v>#VALUE!</v>
      </c>
      <c r="DF311" s="17" t="e">
        <f t="shared" ref="DF311:DF325" si="1416">($AA311+$AB311)*1.08*$CI311</f>
        <v>#VALUE!</v>
      </c>
      <c r="DG311" s="17"/>
      <c r="DH311" s="17" t="e">
        <f t="shared" ref="DH311:DH325" si="1417">$H311*200*0.68*CW311</f>
        <v>#VALUE!</v>
      </c>
      <c r="DI311" s="17" t="e">
        <f t="shared" ref="DI311:DI325" si="1418">$K311*375*0.68*CW311</f>
        <v>#VALUE!</v>
      </c>
      <c r="DJ311" s="17" t="e">
        <f t="shared" ref="DJ311:DJ325" si="1419">(AA311+AB311)*0.68*CW311</f>
        <v>#VALUE!</v>
      </c>
      <c r="DK311" s="17" t="e">
        <f t="shared" ref="DK311:DK325" si="1420">(Z311-AA311)*0.68*CP311</f>
        <v>#VALUE!</v>
      </c>
      <c r="DL311" s="17" t="e">
        <f t="shared" ref="DL311:DL325" si="1421">CX311+DA311+CZ311+DB311+DC311+DD311+DE311+DF311</f>
        <v>#VALUE!</v>
      </c>
      <c r="DM311" s="17" t="e">
        <f t="shared" ref="DM311:DM325" si="1422">DH311+DI311+DJ311+DK311</f>
        <v>#VALUE!</v>
      </c>
      <c r="DN311" s="17" t="e">
        <f t="shared" ref="DN311:DN325" si="1423">DL311+DM311</f>
        <v>#VALUE!</v>
      </c>
    </row>
    <row r="312" spans="3:120" ht="18.600000000000001">
      <c r="C312" s="13">
        <f>IF(D312&lt;&gt;"",COUNTA($D$10:D312),"")</f>
        <v>258</v>
      </c>
      <c r="D312" s="14" t="s">
        <v>202</v>
      </c>
      <c r="E312" s="14">
        <v>1.5</v>
      </c>
      <c r="F312" s="14">
        <v>2.8</v>
      </c>
      <c r="G312" s="14">
        <v>2.4</v>
      </c>
      <c r="H312" s="14">
        <v>2</v>
      </c>
      <c r="I312" s="14">
        <v>3</v>
      </c>
      <c r="J312" s="14">
        <v>1.75</v>
      </c>
      <c r="K312" s="14">
        <v>3</v>
      </c>
      <c r="L312" s="15">
        <v>0.1</v>
      </c>
      <c r="M312" s="15">
        <v>0</v>
      </c>
      <c r="N312" s="14" t="s">
        <v>220</v>
      </c>
      <c r="O312" s="14">
        <v>50</v>
      </c>
      <c r="P312" s="13">
        <v>45</v>
      </c>
      <c r="Q312" s="13">
        <v>85</v>
      </c>
      <c r="R312" s="13" t="s">
        <v>17</v>
      </c>
      <c r="S312" s="13">
        <v>120</v>
      </c>
      <c r="T312" s="13">
        <v>0</v>
      </c>
      <c r="U312" s="13">
        <v>100</v>
      </c>
      <c r="V312" s="13" t="str">
        <f t="shared" si="1348"/>
        <v>ISO 6</v>
      </c>
      <c r="W312" s="13">
        <f t="shared" si="1349"/>
        <v>120</v>
      </c>
      <c r="X312" s="16">
        <f t="shared" si="1350"/>
        <v>45.191999999999993</v>
      </c>
      <c r="Y312" s="16">
        <f t="shared" si="1351"/>
        <v>355.75142399999993</v>
      </c>
      <c r="Z312" s="16">
        <f t="shared" si="1352"/>
        <v>711.50284799999986</v>
      </c>
      <c r="AA312" s="16">
        <f t="shared" si="1353"/>
        <v>71.150284799999994</v>
      </c>
      <c r="AB312" s="16">
        <f t="shared" si="1354"/>
        <v>711.50284799999986</v>
      </c>
      <c r="AC312" s="16" t="str">
        <f t="shared" si="1355"/>
        <v>Ambient</v>
      </c>
      <c r="AD312" s="16" t="str">
        <f t="shared" si="1356"/>
        <v>Ambient</v>
      </c>
      <c r="AE312" s="16">
        <f t="shared" si="1357"/>
        <v>800</v>
      </c>
      <c r="AF312" s="16">
        <f t="shared" si="1358"/>
        <v>6</v>
      </c>
      <c r="AG312" s="16" t="str">
        <f t="shared" si="1359"/>
        <v>Ambient</v>
      </c>
      <c r="AH312" s="838" t="s">
        <v>85</v>
      </c>
      <c r="AI312" s="17" t="str">
        <f t="shared" si="1360"/>
        <v>Ambient</v>
      </c>
      <c r="AJ312" s="17" t="str">
        <f t="shared" si="1361"/>
        <v>Ambient</v>
      </c>
      <c r="AK312" s="891"/>
      <c r="AL312" s="18" t="s">
        <v>255</v>
      </c>
      <c r="AM312" s="889"/>
      <c r="AN312" s="891"/>
      <c r="AO312" s="888"/>
      <c r="AP312" s="891"/>
      <c r="AQ312" s="891"/>
      <c r="AR312" s="889"/>
      <c r="AS312" s="888"/>
      <c r="AT312" s="888"/>
      <c r="AU312" s="890"/>
      <c r="AV312" s="888"/>
      <c r="AW312" s="888"/>
      <c r="AX312" s="888"/>
      <c r="AY312" s="887"/>
      <c r="AZ312" s="888"/>
      <c r="BA312" s="17" t="e">
        <f t="shared" si="1362"/>
        <v>#VALUE!</v>
      </c>
      <c r="BB312" s="17" t="e">
        <f t="shared" si="1363"/>
        <v>#VALUE!</v>
      </c>
      <c r="BC312" s="17" t="e">
        <f t="shared" si="1364"/>
        <v>#VALUE!</v>
      </c>
      <c r="BD312" s="17">
        <f t="shared" si="1365"/>
        <v>85</v>
      </c>
      <c r="BE312" s="17" t="e">
        <f t="shared" si="1366"/>
        <v>#VALUE!</v>
      </c>
      <c r="BF312" s="17" t="str">
        <f t="shared" si="1367"/>
        <v>amb</v>
      </c>
      <c r="BG312" s="17">
        <f t="shared" si="1368"/>
        <v>50</v>
      </c>
      <c r="BH312" s="17" t="e">
        <f t="shared" si="1369"/>
        <v>#VALUE!</v>
      </c>
      <c r="BI312" s="17" t="e">
        <f t="shared" si="1370"/>
        <v>#VALUE!</v>
      </c>
      <c r="BJ312" s="17">
        <f t="shared" si="1371"/>
        <v>45</v>
      </c>
      <c r="BK312" s="17">
        <f t="shared" si="1372"/>
        <v>85</v>
      </c>
      <c r="BL312" s="17">
        <f t="shared" si="1373"/>
        <v>380.54120080897206</v>
      </c>
      <c r="BM312" s="17" t="str">
        <f t="shared" si="1374"/>
        <v>amb</v>
      </c>
      <c r="BN312" s="17">
        <f t="shared" si="1375"/>
        <v>50</v>
      </c>
      <c r="BO312" s="17" t="e">
        <f t="shared" si="1376"/>
        <v>#VALUE!</v>
      </c>
      <c r="BP312" s="17" t="e">
        <f t="shared" si="1377"/>
        <v>#VALUE!</v>
      </c>
      <c r="BQ312" s="17" t="e">
        <f t="shared" si="1378"/>
        <v>#VALUE!</v>
      </c>
      <c r="BR312" s="17" t="e">
        <f t="shared" si="1379"/>
        <v>#VALUE!</v>
      </c>
      <c r="BS312" s="17" t="e">
        <f t="shared" si="1380"/>
        <v>#VALUE!</v>
      </c>
      <c r="BT312" s="17" t="e">
        <f t="shared" si="1381"/>
        <v>#VALUE!</v>
      </c>
      <c r="BU312" s="17" t="e">
        <f t="shared" si="1382"/>
        <v>#VALUE!</v>
      </c>
      <c r="BV312" s="17">
        <f t="shared" si="1383"/>
        <v>10236</v>
      </c>
      <c r="BW312" s="17">
        <f t="shared" si="1384"/>
        <v>269.84143199999994</v>
      </c>
      <c r="BX312" s="17" t="e">
        <f t="shared" si="1385"/>
        <v>#VALUE!</v>
      </c>
      <c r="BY312" s="17" t="e">
        <f t="shared" si="1386"/>
        <v>#VALUE!</v>
      </c>
      <c r="BZ312" s="17"/>
      <c r="CA312" s="17" t="e">
        <f t="shared" si="1387"/>
        <v>#VALUE!</v>
      </c>
      <c r="CB312" s="17" t="e">
        <f t="shared" si="1388"/>
        <v>#VALUE!</v>
      </c>
      <c r="CC312" s="17" t="e">
        <f t="shared" si="1389"/>
        <v>#VALUE!</v>
      </c>
      <c r="CD312" s="17" t="e">
        <f t="shared" si="1390"/>
        <v>#VALUE!</v>
      </c>
      <c r="CE312" s="17" t="e">
        <f t="shared" si="1391"/>
        <v>#VALUE!</v>
      </c>
      <c r="CF312" s="17" t="e">
        <f t="shared" si="1392"/>
        <v>#VALUE!</v>
      </c>
      <c r="CG312" s="17" t="e">
        <f t="shared" si="1393"/>
        <v>#VALUE!</v>
      </c>
      <c r="CH312" s="17" t="e">
        <f t="shared" si="1394"/>
        <v>#VALUE!</v>
      </c>
      <c r="CI312" s="17" t="e">
        <f t="shared" si="1395"/>
        <v>#VALUE!</v>
      </c>
      <c r="CJ312" s="17" t="e">
        <f t="shared" si="1396"/>
        <v>#VALUE!</v>
      </c>
      <c r="CK312" s="17">
        <f t="shared" si="1397"/>
        <v>90</v>
      </c>
      <c r="CL312" s="17" t="e">
        <f t="shared" si="1398"/>
        <v>#VALUE!</v>
      </c>
      <c r="CM312" s="17" t="str">
        <f t="shared" si="1399"/>
        <v>amb</v>
      </c>
      <c r="CN312" s="17">
        <f t="shared" si="1400"/>
        <v>50</v>
      </c>
      <c r="CO312" s="17" t="e">
        <f t="shared" si="1401"/>
        <v>#VALUE!</v>
      </c>
      <c r="CP312" s="17" t="e">
        <f t="shared" si="1402"/>
        <v>#VALUE!</v>
      </c>
      <c r="CQ312" s="17">
        <f t="shared" si="1403"/>
        <v>0</v>
      </c>
      <c r="CR312" s="17">
        <f t="shared" si="1404"/>
        <v>100</v>
      </c>
      <c r="CS312" s="17">
        <f t="shared" si="1405"/>
        <v>26.404773030064671</v>
      </c>
      <c r="CT312" s="17" t="str">
        <f t="shared" si="1406"/>
        <v>amb</v>
      </c>
      <c r="CU312" s="17">
        <f t="shared" si="1407"/>
        <v>50</v>
      </c>
      <c r="CV312" s="17" t="e">
        <f t="shared" si="1408"/>
        <v>#VALUE!</v>
      </c>
      <c r="CW312" s="17" t="e">
        <f t="shared" si="1409"/>
        <v>#VALUE!</v>
      </c>
      <c r="CX312" s="17" t="e">
        <f t="shared" si="1347"/>
        <v>#VALUE!</v>
      </c>
      <c r="CY312" s="17" t="e">
        <f t="shared" si="1347"/>
        <v>#VALUE!</v>
      </c>
      <c r="CZ312" s="17" t="e">
        <f t="shared" si="1410"/>
        <v>#VALUE!</v>
      </c>
      <c r="DA312" s="17" t="e">
        <f t="shared" si="1411"/>
        <v>#VALUE!</v>
      </c>
      <c r="DB312" s="17" t="e">
        <f t="shared" si="1412"/>
        <v>#VALUE!</v>
      </c>
      <c r="DC312" s="17">
        <f t="shared" si="1413"/>
        <v>10236</v>
      </c>
      <c r="DD312" s="17">
        <f t="shared" si="1414"/>
        <v>269.84143199999994</v>
      </c>
      <c r="DE312" s="17" t="e">
        <f t="shared" si="1415"/>
        <v>#VALUE!</v>
      </c>
      <c r="DF312" s="17" t="e">
        <f t="shared" si="1416"/>
        <v>#VALUE!</v>
      </c>
      <c r="DG312" s="17"/>
      <c r="DH312" s="17" t="e">
        <f t="shared" si="1417"/>
        <v>#VALUE!</v>
      </c>
      <c r="DI312" s="17" t="e">
        <f t="shared" si="1418"/>
        <v>#VALUE!</v>
      </c>
      <c r="DJ312" s="17" t="e">
        <f t="shared" si="1419"/>
        <v>#VALUE!</v>
      </c>
      <c r="DK312" s="17" t="e">
        <f t="shared" si="1420"/>
        <v>#VALUE!</v>
      </c>
      <c r="DL312" s="17" t="e">
        <f t="shared" si="1421"/>
        <v>#VALUE!</v>
      </c>
      <c r="DM312" s="17" t="e">
        <f t="shared" si="1422"/>
        <v>#VALUE!</v>
      </c>
      <c r="DN312" s="17" t="e">
        <f t="shared" si="1423"/>
        <v>#VALUE!</v>
      </c>
    </row>
    <row r="313" spans="3:120" ht="18.600000000000001">
      <c r="C313" s="13">
        <f>IF(D313&lt;&gt;"",COUNTA($D$10:D313),"")</f>
        <v>259</v>
      </c>
      <c r="D313" s="14" t="s">
        <v>203</v>
      </c>
      <c r="E313" s="14">
        <v>2.1</v>
      </c>
      <c r="F313" s="14">
        <v>3.5</v>
      </c>
      <c r="G313" s="14">
        <v>2.4</v>
      </c>
      <c r="H313" s="14">
        <v>0</v>
      </c>
      <c r="I313" s="14">
        <v>1</v>
      </c>
      <c r="J313" s="14">
        <v>1.75</v>
      </c>
      <c r="K313" s="14">
        <v>3</v>
      </c>
      <c r="L313" s="15">
        <v>0.1</v>
      </c>
      <c r="M313" s="15">
        <v>0</v>
      </c>
      <c r="N313" s="14" t="s">
        <v>220</v>
      </c>
      <c r="O313" s="14">
        <v>50</v>
      </c>
      <c r="P313" s="13">
        <v>45</v>
      </c>
      <c r="Q313" s="13">
        <v>85</v>
      </c>
      <c r="R313" s="13" t="s">
        <v>17</v>
      </c>
      <c r="S313" s="13">
        <v>120</v>
      </c>
      <c r="T313" s="13">
        <v>0</v>
      </c>
      <c r="U313" s="13">
        <v>100</v>
      </c>
      <c r="V313" s="13" t="str">
        <f t="shared" si="1348"/>
        <v>ISO 6</v>
      </c>
      <c r="W313" s="13">
        <f t="shared" si="1349"/>
        <v>120</v>
      </c>
      <c r="X313" s="16">
        <f t="shared" si="1350"/>
        <v>79.085999999999999</v>
      </c>
      <c r="Y313" s="16">
        <f t="shared" si="1351"/>
        <v>622.56499199999996</v>
      </c>
      <c r="Z313" s="16">
        <f t="shared" si="1352"/>
        <v>1245.1299839999999</v>
      </c>
      <c r="AA313" s="16">
        <f t="shared" si="1353"/>
        <v>124.5129984</v>
      </c>
      <c r="AB313" s="16">
        <f t="shared" si="1354"/>
        <v>1245.1299839999999</v>
      </c>
      <c r="AC313" s="16" t="str">
        <f t="shared" si="1355"/>
        <v>Ambient</v>
      </c>
      <c r="AD313" s="16" t="str">
        <f t="shared" si="1356"/>
        <v>Ambient</v>
      </c>
      <c r="AE313" s="16">
        <f t="shared" si="1357"/>
        <v>1375</v>
      </c>
      <c r="AF313" s="16">
        <f t="shared" si="1358"/>
        <v>8</v>
      </c>
      <c r="AG313" s="16" t="str">
        <f t="shared" si="1359"/>
        <v>Ambient</v>
      </c>
      <c r="AH313" s="838" t="s">
        <v>85</v>
      </c>
      <c r="AI313" s="17" t="str">
        <f t="shared" si="1360"/>
        <v>Ambient</v>
      </c>
      <c r="AJ313" s="17" t="str">
        <f t="shared" si="1361"/>
        <v>Ambient</v>
      </c>
      <c r="AK313" s="891"/>
      <c r="AL313" s="18">
        <f>IF(AK310&lt;=2000,950,(IF(AK310&lt;=4000,1100,(IF(AK310&lt;=6000,1250,(IF(AK310&lt;=10000,1550,(IF(AK310&lt;=15000,1750,(IF(AK310&lt;=24000,2050,(IF(AK310&lt;=40000,2900,3600)))))))))))))</f>
        <v>2050</v>
      </c>
      <c r="AM313" s="889"/>
      <c r="AN313" s="891"/>
      <c r="AO313" s="888"/>
      <c r="AP313" s="891"/>
      <c r="AQ313" s="891"/>
      <c r="AR313" s="889"/>
      <c r="AS313" s="888"/>
      <c r="AT313" s="888"/>
      <c r="AU313" s="890"/>
      <c r="AV313" s="888"/>
      <c r="AW313" s="888"/>
      <c r="AX313" s="888"/>
      <c r="AY313" s="887"/>
      <c r="AZ313" s="888"/>
      <c r="BA313" s="17" t="e">
        <f t="shared" si="1362"/>
        <v>#VALUE!</v>
      </c>
      <c r="BB313" s="17" t="e">
        <f t="shared" si="1363"/>
        <v>#VALUE!</v>
      </c>
      <c r="BC313" s="17" t="e">
        <f t="shared" si="1364"/>
        <v>#VALUE!</v>
      </c>
      <c r="BD313" s="17">
        <f t="shared" si="1365"/>
        <v>85</v>
      </c>
      <c r="BE313" s="17" t="e">
        <f t="shared" si="1366"/>
        <v>#VALUE!</v>
      </c>
      <c r="BF313" s="17" t="str">
        <f t="shared" si="1367"/>
        <v>amb</v>
      </c>
      <c r="BG313" s="17">
        <f t="shared" si="1368"/>
        <v>50</v>
      </c>
      <c r="BH313" s="17" t="e">
        <f t="shared" si="1369"/>
        <v>#VALUE!</v>
      </c>
      <c r="BI313" s="17" t="e">
        <f t="shared" si="1370"/>
        <v>#VALUE!</v>
      </c>
      <c r="BJ313" s="17">
        <f t="shared" si="1371"/>
        <v>45</v>
      </c>
      <c r="BK313" s="17">
        <f t="shared" si="1372"/>
        <v>85</v>
      </c>
      <c r="BL313" s="17">
        <f t="shared" si="1373"/>
        <v>380.54120080897206</v>
      </c>
      <c r="BM313" s="17" t="str">
        <f t="shared" si="1374"/>
        <v>amb</v>
      </c>
      <c r="BN313" s="17">
        <f t="shared" si="1375"/>
        <v>50</v>
      </c>
      <c r="BO313" s="17" t="e">
        <f t="shared" si="1376"/>
        <v>#VALUE!</v>
      </c>
      <c r="BP313" s="17" t="e">
        <f t="shared" si="1377"/>
        <v>#VALUE!</v>
      </c>
      <c r="BQ313" s="17" t="e">
        <f t="shared" si="1378"/>
        <v>#VALUE!</v>
      </c>
      <c r="BR313" s="17" t="e">
        <f t="shared" si="1379"/>
        <v>#VALUE!</v>
      </c>
      <c r="BS313" s="17" t="e">
        <f t="shared" si="1380"/>
        <v>#VALUE!</v>
      </c>
      <c r="BT313" s="17" t="e">
        <f t="shared" si="1381"/>
        <v>#VALUE!</v>
      </c>
      <c r="BU313" s="17" t="e">
        <f t="shared" si="1382"/>
        <v>#VALUE!</v>
      </c>
      <c r="BV313" s="17">
        <f t="shared" si="1383"/>
        <v>3412</v>
      </c>
      <c r="BW313" s="17">
        <f t="shared" si="1384"/>
        <v>472.22250599999995</v>
      </c>
      <c r="BX313" s="17" t="e">
        <f t="shared" si="1385"/>
        <v>#VALUE!</v>
      </c>
      <c r="BY313" s="17" t="e">
        <f t="shared" si="1386"/>
        <v>#VALUE!</v>
      </c>
      <c r="BZ313" s="17"/>
      <c r="CA313" s="17" t="e">
        <f t="shared" si="1387"/>
        <v>#VALUE!</v>
      </c>
      <c r="CB313" s="17" t="e">
        <f t="shared" si="1388"/>
        <v>#VALUE!</v>
      </c>
      <c r="CC313" s="17" t="e">
        <f t="shared" si="1389"/>
        <v>#VALUE!</v>
      </c>
      <c r="CD313" s="17" t="e">
        <f t="shared" si="1390"/>
        <v>#VALUE!</v>
      </c>
      <c r="CE313" s="17" t="e">
        <f t="shared" si="1391"/>
        <v>#VALUE!</v>
      </c>
      <c r="CF313" s="17" t="e">
        <f t="shared" si="1392"/>
        <v>#VALUE!</v>
      </c>
      <c r="CG313" s="17" t="e">
        <f t="shared" si="1393"/>
        <v>#VALUE!</v>
      </c>
      <c r="CH313" s="17" t="e">
        <f t="shared" si="1394"/>
        <v>#VALUE!</v>
      </c>
      <c r="CI313" s="17" t="e">
        <f t="shared" si="1395"/>
        <v>#VALUE!</v>
      </c>
      <c r="CJ313" s="17" t="e">
        <f t="shared" si="1396"/>
        <v>#VALUE!</v>
      </c>
      <c r="CK313" s="17">
        <f t="shared" si="1397"/>
        <v>90</v>
      </c>
      <c r="CL313" s="17" t="e">
        <f t="shared" si="1398"/>
        <v>#VALUE!</v>
      </c>
      <c r="CM313" s="17" t="str">
        <f t="shared" si="1399"/>
        <v>amb</v>
      </c>
      <c r="CN313" s="17">
        <f t="shared" si="1400"/>
        <v>50</v>
      </c>
      <c r="CO313" s="17" t="e">
        <f t="shared" si="1401"/>
        <v>#VALUE!</v>
      </c>
      <c r="CP313" s="17" t="e">
        <f t="shared" si="1402"/>
        <v>#VALUE!</v>
      </c>
      <c r="CQ313" s="17">
        <f t="shared" si="1403"/>
        <v>0</v>
      </c>
      <c r="CR313" s="17">
        <f t="shared" si="1404"/>
        <v>100</v>
      </c>
      <c r="CS313" s="17">
        <f t="shared" si="1405"/>
        <v>26.404773030064671</v>
      </c>
      <c r="CT313" s="17" t="str">
        <f t="shared" si="1406"/>
        <v>amb</v>
      </c>
      <c r="CU313" s="17">
        <f t="shared" si="1407"/>
        <v>50</v>
      </c>
      <c r="CV313" s="17" t="e">
        <f t="shared" si="1408"/>
        <v>#VALUE!</v>
      </c>
      <c r="CW313" s="17" t="e">
        <f t="shared" si="1409"/>
        <v>#VALUE!</v>
      </c>
      <c r="CX313" s="17" t="e">
        <f t="shared" si="1347"/>
        <v>#VALUE!</v>
      </c>
      <c r="CY313" s="17" t="e">
        <f t="shared" si="1347"/>
        <v>#VALUE!</v>
      </c>
      <c r="CZ313" s="17" t="e">
        <f t="shared" si="1410"/>
        <v>#VALUE!</v>
      </c>
      <c r="DA313" s="17" t="e">
        <f t="shared" si="1411"/>
        <v>#VALUE!</v>
      </c>
      <c r="DB313" s="17" t="e">
        <f t="shared" si="1412"/>
        <v>#VALUE!</v>
      </c>
      <c r="DC313" s="17">
        <f t="shared" si="1413"/>
        <v>3412</v>
      </c>
      <c r="DD313" s="17">
        <f t="shared" si="1414"/>
        <v>472.22250599999995</v>
      </c>
      <c r="DE313" s="17" t="e">
        <f t="shared" si="1415"/>
        <v>#VALUE!</v>
      </c>
      <c r="DF313" s="17" t="e">
        <f t="shared" si="1416"/>
        <v>#VALUE!</v>
      </c>
      <c r="DG313" s="17"/>
      <c r="DH313" s="17" t="e">
        <f t="shared" si="1417"/>
        <v>#VALUE!</v>
      </c>
      <c r="DI313" s="17" t="e">
        <f t="shared" si="1418"/>
        <v>#VALUE!</v>
      </c>
      <c r="DJ313" s="17" t="e">
        <f t="shared" si="1419"/>
        <v>#VALUE!</v>
      </c>
      <c r="DK313" s="17" t="e">
        <f t="shared" si="1420"/>
        <v>#VALUE!</v>
      </c>
      <c r="DL313" s="17" t="e">
        <f t="shared" si="1421"/>
        <v>#VALUE!</v>
      </c>
      <c r="DM313" s="17" t="e">
        <f t="shared" si="1422"/>
        <v>#VALUE!</v>
      </c>
      <c r="DN313" s="17" t="e">
        <f t="shared" si="1423"/>
        <v>#VALUE!</v>
      </c>
    </row>
    <row r="314" spans="3:120" ht="18.600000000000001">
      <c r="C314" s="13">
        <f>IF(D314&lt;&gt;"",COUNTA($D$10:D314),"")</f>
        <v>260</v>
      </c>
      <c r="D314" s="14" t="s">
        <v>204</v>
      </c>
      <c r="E314" s="14">
        <v>2.7</v>
      </c>
      <c r="F314" s="14">
        <v>4</v>
      </c>
      <c r="G314" s="14">
        <v>2.4</v>
      </c>
      <c r="H314" s="14">
        <v>2</v>
      </c>
      <c r="I314" s="14">
        <v>1</v>
      </c>
      <c r="J314" s="14">
        <v>1.75</v>
      </c>
      <c r="K314" s="14">
        <v>3</v>
      </c>
      <c r="L314" s="15">
        <v>0.1</v>
      </c>
      <c r="M314" s="15">
        <v>0</v>
      </c>
      <c r="N314" s="14" t="s">
        <v>220</v>
      </c>
      <c r="O314" s="14">
        <v>50</v>
      </c>
      <c r="P314" s="13">
        <v>45</v>
      </c>
      <c r="Q314" s="13">
        <v>85</v>
      </c>
      <c r="R314" s="13" t="s">
        <v>17</v>
      </c>
      <c r="S314" s="13">
        <v>120</v>
      </c>
      <c r="T314" s="13">
        <v>0</v>
      </c>
      <c r="U314" s="13">
        <v>100</v>
      </c>
      <c r="V314" s="13" t="str">
        <f t="shared" si="1348"/>
        <v>ISO 6</v>
      </c>
      <c r="W314" s="13">
        <f t="shared" si="1349"/>
        <v>120</v>
      </c>
      <c r="X314" s="16">
        <f t="shared" si="1350"/>
        <v>116.208</v>
      </c>
      <c r="Y314" s="16">
        <f t="shared" si="1351"/>
        <v>914.78937599999995</v>
      </c>
      <c r="Z314" s="16">
        <f t="shared" si="1352"/>
        <v>1829.5787519999999</v>
      </c>
      <c r="AA314" s="16">
        <f t="shared" si="1353"/>
        <v>182.95787519999999</v>
      </c>
      <c r="AB314" s="16">
        <f t="shared" si="1354"/>
        <v>1829.5787519999999</v>
      </c>
      <c r="AC314" s="16" t="str">
        <f t="shared" si="1355"/>
        <v>Ambient</v>
      </c>
      <c r="AD314" s="16" t="str">
        <f t="shared" si="1356"/>
        <v>Ambient</v>
      </c>
      <c r="AE314" s="16">
        <f t="shared" si="1357"/>
        <v>2025</v>
      </c>
      <c r="AF314" s="16">
        <f t="shared" si="1358"/>
        <v>12</v>
      </c>
      <c r="AG314" s="16" t="str">
        <f t="shared" si="1359"/>
        <v>Ambient</v>
      </c>
      <c r="AH314" s="838" t="s">
        <v>85</v>
      </c>
      <c r="AI314" s="17" t="str">
        <f t="shared" si="1360"/>
        <v>Ambient</v>
      </c>
      <c r="AJ314" s="17" t="str">
        <f t="shared" si="1361"/>
        <v>Ambient</v>
      </c>
      <c r="AK314" s="891"/>
      <c r="AL314" s="18" t="s">
        <v>256</v>
      </c>
      <c r="AM314" s="889"/>
      <c r="AN314" s="891"/>
      <c r="AO314" s="888"/>
      <c r="AP314" s="891"/>
      <c r="AQ314" s="891"/>
      <c r="AR314" s="889"/>
      <c r="AS314" s="888"/>
      <c r="AT314" s="888"/>
      <c r="AU314" s="890"/>
      <c r="AV314" s="888"/>
      <c r="AW314" s="888"/>
      <c r="AX314" s="888"/>
      <c r="AY314" s="887"/>
      <c r="AZ314" s="888"/>
      <c r="BA314" s="17" t="e">
        <f t="shared" si="1362"/>
        <v>#VALUE!</v>
      </c>
      <c r="BB314" s="17" t="e">
        <f t="shared" si="1363"/>
        <v>#VALUE!</v>
      </c>
      <c r="BC314" s="17" t="e">
        <f t="shared" si="1364"/>
        <v>#VALUE!</v>
      </c>
      <c r="BD314" s="17">
        <f t="shared" si="1365"/>
        <v>85</v>
      </c>
      <c r="BE314" s="17" t="e">
        <f t="shared" si="1366"/>
        <v>#VALUE!</v>
      </c>
      <c r="BF314" s="17" t="str">
        <f t="shared" si="1367"/>
        <v>amb</v>
      </c>
      <c r="BG314" s="17">
        <f t="shared" si="1368"/>
        <v>50</v>
      </c>
      <c r="BH314" s="17" t="e">
        <f t="shared" si="1369"/>
        <v>#VALUE!</v>
      </c>
      <c r="BI314" s="17" t="e">
        <f t="shared" si="1370"/>
        <v>#VALUE!</v>
      </c>
      <c r="BJ314" s="17">
        <f t="shared" si="1371"/>
        <v>45</v>
      </c>
      <c r="BK314" s="17">
        <f t="shared" si="1372"/>
        <v>85</v>
      </c>
      <c r="BL314" s="17">
        <f t="shared" si="1373"/>
        <v>380.54120080897206</v>
      </c>
      <c r="BM314" s="17" t="str">
        <f t="shared" si="1374"/>
        <v>amb</v>
      </c>
      <c r="BN314" s="17">
        <f t="shared" si="1375"/>
        <v>50</v>
      </c>
      <c r="BO314" s="17" t="e">
        <f t="shared" si="1376"/>
        <v>#VALUE!</v>
      </c>
      <c r="BP314" s="17" t="e">
        <f t="shared" si="1377"/>
        <v>#VALUE!</v>
      </c>
      <c r="BQ314" s="17" t="e">
        <f t="shared" si="1378"/>
        <v>#VALUE!</v>
      </c>
      <c r="BR314" s="17" t="e">
        <f t="shared" si="1379"/>
        <v>#VALUE!</v>
      </c>
      <c r="BS314" s="17" t="e">
        <f t="shared" si="1380"/>
        <v>#VALUE!</v>
      </c>
      <c r="BT314" s="17" t="e">
        <f t="shared" si="1381"/>
        <v>#VALUE!</v>
      </c>
      <c r="BU314" s="17" t="e">
        <f t="shared" si="1382"/>
        <v>#VALUE!</v>
      </c>
      <c r="BV314" s="17">
        <f t="shared" si="1383"/>
        <v>3412</v>
      </c>
      <c r="BW314" s="17">
        <f t="shared" si="1384"/>
        <v>693.87796800000001</v>
      </c>
      <c r="BX314" s="17" t="e">
        <f t="shared" si="1385"/>
        <v>#VALUE!</v>
      </c>
      <c r="BY314" s="17" t="e">
        <f t="shared" si="1386"/>
        <v>#VALUE!</v>
      </c>
      <c r="BZ314" s="17"/>
      <c r="CA314" s="17" t="e">
        <f t="shared" si="1387"/>
        <v>#VALUE!</v>
      </c>
      <c r="CB314" s="17" t="e">
        <f t="shared" si="1388"/>
        <v>#VALUE!</v>
      </c>
      <c r="CC314" s="17" t="e">
        <f t="shared" si="1389"/>
        <v>#VALUE!</v>
      </c>
      <c r="CD314" s="17" t="e">
        <f t="shared" si="1390"/>
        <v>#VALUE!</v>
      </c>
      <c r="CE314" s="17" t="e">
        <f t="shared" si="1391"/>
        <v>#VALUE!</v>
      </c>
      <c r="CF314" s="17" t="e">
        <f t="shared" si="1392"/>
        <v>#VALUE!</v>
      </c>
      <c r="CG314" s="17" t="e">
        <f t="shared" si="1393"/>
        <v>#VALUE!</v>
      </c>
      <c r="CH314" s="17" t="e">
        <f t="shared" si="1394"/>
        <v>#VALUE!</v>
      </c>
      <c r="CI314" s="17" t="e">
        <f t="shared" si="1395"/>
        <v>#VALUE!</v>
      </c>
      <c r="CJ314" s="17" t="e">
        <f t="shared" si="1396"/>
        <v>#VALUE!</v>
      </c>
      <c r="CK314" s="17">
        <f t="shared" si="1397"/>
        <v>90</v>
      </c>
      <c r="CL314" s="17" t="e">
        <f t="shared" si="1398"/>
        <v>#VALUE!</v>
      </c>
      <c r="CM314" s="17" t="str">
        <f t="shared" si="1399"/>
        <v>amb</v>
      </c>
      <c r="CN314" s="17">
        <f t="shared" si="1400"/>
        <v>50</v>
      </c>
      <c r="CO314" s="17" t="e">
        <f t="shared" si="1401"/>
        <v>#VALUE!</v>
      </c>
      <c r="CP314" s="17" t="e">
        <f t="shared" si="1402"/>
        <v>#VALUE!</v>
      </c>
      <c r="CQ314" s="17">
        <f t="shared" si="1403"/>
        <v>0</v>
      </c>
      <c r="CR314" s="17">
        <f t="shared" si="1404"/>
        <v>100</v>
      </c>
      <c r="CS314" s="17">
        <f t="shared" si="1405"/>
        <v>26.404773030064671</v>
      </c>
      <c r="CT314" s="17" t="str">
        <f t="shared" si="1406"/>
        <v>amb</v>
      </c>
      <c r="CU314" s="17">
        <f t="shared" si="1407"/>
        <v>50</v>
      </c>
      <c r="CV314" s="17" t="e">
        <f t="shared" si="1408"/>
        <v>#VALUE!</v>
      </c>
      <c r="CW314" s="17" t="e">
        <f t="shared" si="1409"/>
        <v>#VALUE!</v>
      </c>
      <c r="CX314" s="17" t="e">
        <f t="shared" si="1347"/>
        <v>#VALUE!</v>
      </c>
      <c r="CY314" s="17" t="e">
        <f t="shared" si="1347"/>
        <v>#VALUE!</v>
      </c>
      <c r="CZ314" s="17" t="e">
        <f t="shared" si="1410"/>
        <v>#VALUE!</v>
      </c>
      <c r="DA314" s="17" t="e">
        <f t="shared" si="1411"/>
        <v>#VALUE!</v>
      </c>
      <c r="DB314" s="17" t="e">
        <f t="shared" si="1412"/>
        <v>#VALUE!</v>
      </c>
      <c r="DC314" s="17">
        <f t="shared" si="1413"/>
        <v>3412</v>
      </c>
      <c r="DD314" s="17">
        <f t="shared" si="1414"/>
        <v>693.87796800000001</v>
      </c>
      <c r="DE314" s="17" t="e">
        <f t="shared" si="1415"/>
        <v>#VALUE!</v>
      </c>
      <c r="DF314" s="17" t="e">
        <f t="shared" si="1416"/>
        <v>#VALUE!</v>
      </c>
      <c r="DG314" s="17"/>
      <c r="DH314" s="17" t="e">
        <f t="shared" si="1417"/>
        <v>#VALUE!</v>
      </c>
      <c r="DI314" s="17" t="e">
        <f t="shared" si="1418"/>
        <v>#VALUE!</v>
      </c>
      <c r="DJ314" s="17" t="e">
        <f t="shared" si="1419"/>
        <v>#VALUE!</v>
      </c>
      <c r="DK314" s="17" t="e">
        <f t="shared" si="1420"/>
        <v>#VALUE!</v>
      </c>
      <c r="DL314" s="17" t="e">
        <f t="shared" si="1421"/>
        <v>#VALUE!</v>
      </c>
      <c r="DM314" s="17" t="e">
        <f t="shared" si="1422"/>
        <v>#VALUE!</v>
      </c>
      <c r="DN314" s="17" t="e">
        <f t="shared" si="1423"/>
        <v>#VALUE!</v>
      </c>
    </row>
    <row r="315" spans="3:120" ht="18.600000000000001">
      <c r="C315" s="13">
        <f>IF(D315&lt;&gt;"",COUNTA($D$10:D315),"")</f>
        <v>261</v>
      </c>
      <c r="D315" s="14" t="s">
        <v>205</v>
      </c>
      <c r="E315" s="14">
        <v>3.8</v>
      </c>
      <c r="F315" s="14">
        <v>4.2</v>
      </c>
      <c r="G315" s="14">
        <v>2.4</v>
      </c>
      <c r="H315" s="14">
        <v>3</v>
      </c>
      <c r="I315" s="14">
        <v>3</v>
      </c>
      <c r="J315" s="14">
        <v>1.75</v>
      </c>
      <c r="K315" s="14">
        <v>3</v>
      </c>
      <c r="L315" s="15">
        <v>0.1</v>
      </c>
      <c r="M315" s="15">
        <v>0</v>
      </c>
      <c r="N315" s="14" t="s">
        <v>220</v>
      </c>
      <c r="O315" s="14">
        <v>50</v>
      </c>
      <c r="P315" s="13">
        <v>45</v>
      </c>
      <c r="Q315" s="13">
        <v>85</v>
      </c>
      <c r="R315" s="13" t="s">
        <v>17</v>
      </c>
      <c r="S315" s="13">
        <v>120</v>
      </c>
      <c r="T315" s="13">
        <v>0</v>
      </c>
      <c r="U315" s="13">
        <v>100</v>
      </c>
      <c r="V315" s="13" t="str">
        <f t="shared" si="1348"/>
        <v>ISO 6</v>
      </c>
      <c r="W315" s="13">
        <f t="shared" si="1349"/>
        <v>120</v>
      </c>
      <c r="X315" s="16">
        <f t="shared" si="1350"/>
        <v>171.72959999999998</v>
      </c>
      <c r="Y315" s="16">
        <f t="shared" si="1351"/>
        <v>1351.8554111999997</v>
      </c>
      <c r="Z315" s="16">
        <f t="shared" si="1352"/>
        <v>2703.7108223999994</v>
      </c>
      <c r="AA315" s="16">
        <f t="shared" si="1353"/>
        <v>270.37108223999996</v>
      </c>
      <c r="AB315" s="16">
        <f t="shared" si="1354"/>
        <v>2703.7108223999994</v>
      </c>
      <c r="AC315" s="16" t="str">
        <f t="shared" si="1355"/>
        <v>Ambient</v>
      </c>
      <c r="AD315" s="16" t="str">
        <f t="shared" si="1356"/>
        <v>Ambient</v>
      </c>
      <c r="AE315" s="16">
        <f t="shared" si="1357"/>
        <v>2975</v>
      </c>
      <c r="AF315" s="16">
        <f t="shared" si="1358"/>
        <v>18</v>
      </c>
      <c r="AG315" s="16" t="str">
        <f t="shared" si="1359"/>
        <v>Ambient</v>
      </c>
      <c r="AH315" s="838" t="s">
        <v>85</v>
      </c>
      <c r="AI315" s="17" t="str">
        <f t="shared" si="1360"/>
        <v>Ambient</v>
      </c>
      <c r="AJ315" s="17" t="str">
        <f t="shared" si="1361"/>
        <v>Ambient</v>
      </c>
      <c r="AK315" s="891"/>
      <c r="AL315" s="18">
        <f>IF(AL319&lt;4000,AL319,AL319+400)</f>
        <v>6400</v>
      </c>
      <c r="AM315" s="889"/>
      <c r="AN315" s="891"/>
      <c r="AO315" s="888"/>
      <c r="AP315" s="891"/>
      <c r="AQ315" s="891"/>
      <c r="AR315" s="889"/>
      <c r="AS315" s="888"/>
      <c r="AT315" s="888"/>
      <c r="AU315" s="890"/>
      <c r="AV315" s="888"/>
      <c r="AW315" s="888"/>
      <c r="AX315" s="888"/>
      <c r="AY315" s="887"/>
      <c r="AZ315" s="888"/>
      <c r="BA315" s="17" t="e">
        <f t="shared" si="1362"/>
        <v>#VALUE!</v>
      </c>
      <c r="BB315" s="17" t="e">
        <f t="shared" si="1363"/>
        <v>#VALUE!</v>
      </c>
      <c r="BC315" s="17" t="e">
        <f t="shared" si="1364"/>
        <v>#VALUE!</v>
      </c>
      <c r="BD315" s="17">
        <f t="shared" si="1365"/>
        <v>85</v>
      </c>
      <c r="BE315" s="17" t="e">
        <f t="shared" si="1366"/>
        <v>#VALUE!</v>
      </c>
      <c r="BF315" s="17" t="str">
        <f t="shared" si="1367"/>
        <v>amb</v>
      </c>
      <c r="BG315" s="17">
        <f t="shared" si="1368"/>
        <v>50</v>
      </c>
      <c r="BH315" s="17" t="e">
        <f t="shared" si="1369"/>
        <v>#VALUE!</v>
      </c>
      <c r="BI315" s="17" t="e">
        <f t="shared" si="1370"/>
        <v>#VALUE!</v>
      </c>
      <c r="BJ315" s="17">
        <f t="shared" si="1371"/>
        <v>45</v>
      </c>
      <c r="BK315" s="17">
        <f t="shared" si="1372"/>
        <v>85</v>
      </c>
      <c r="BL315" s="17">
        <f t="shared" si="1373"/>
        <v>380.54120080897206</v>
      </c>
      <c r="BM315" s="17" t="str">
        <f t="shared" si="1374"/>
        <v>amb</v>
      </c>
      <c r="BN315" s="17">
        <f t="shared" si="1375"/>
        <v>50</v>
      </c>
      <c r="BO315" s="17" t="e">
        <f t="shared" si="1376"/>
        <v>#VALUE!</v>
      </c>
      <c r="BP315" s="17" t="e">
        <f t="shared" si="1377"/>
        <v>#VALUE!</v>
      </c>
      <c r="BQ315" s="17" t="e">
        <f t="shared" si="1378"/>
        <v>#VALUE!</v>
      </c>
      <c r="BR315" s="17" t="e">
        <f t="shared" si="1379"/>
        <v>#VALUE!</v>
      </c>
      <c r="BS315" s="17" t="e">
        <f t="shared" si="1380"/>
        <v>#VALUE!</v>
      </c>
      <c r="BT315" s="17" t="e">
        <f t="shared" si="1381"/>
        <v>#VALUE!</v>
      </c>
      <c r="BU315" s="17" t="e">
        <f t="shared" si="1382"/>
        <v>#VALUE!</v>
      </c>
      <c r="BV315" s="17">
        <f t="shared" si="1383"/>
        <v>10236</v>
      </c>
      <c r="BW315" s="17">
        <f t="shared" si="1384"/>
        <v>1025.3974415999999</v>
      </c>
      <c r="BX315" s="17" t="e">
        <f t="shared" si="1385"/>
        <v>#VALUE!</v>
      </c>
      <c r="BY315" s="17" t="e">
        <f t="shared" si="1386"/>
        <v>#VALUE!</v>
      </c>
      <c r="BZ315" s="17"/>
      <c r="CA315" s="17" t="e">
        <f t="shared" si="1387"/>
        <v>#VALUE!</v>
      </c>
      <c r="CB315" s="17" t="e">
        <f t="shared" si="1388"/>
        <v>#VALUE!</v>
      </c>
      <c r="CC315" s="17" t="e">
        <f t="shared" si="1389"/>
        <v>#VALUE!</v>
      </c>
      <c r="CD315" s="17" t="e">
        <f t="shared" si="1390"/>
        <v>#VALUE!</v>
      </c>
      <c r="CE315" s="17" t="e">
        <f t="shared" si="1391"/>
        <v>#VALUE!</v>
      </c>
      <c r="CF315" s="17" t="e">
        <f t="shared" si="1392"/>
        <v>#VALUE!</v>
      </c>
      <c r="CG315" s="17" t="e">
        <f t="shared" si="1393"/>
        <v>#VALUE!</v>
      </c>
      <c r="CH315" s="17" t="e">
        <f t="shared" si="1394"/>
        <v>#VALUE!</v>
      </c>
      <c r="CI315" s="17" t="e">
        <f t="shared" si="1395"/>
        <v>#VALUE!</v>
      </c>
      <c r="CJ315" s="17" t="e">
        <f t="shared" si="1396"/>
        <v>#VALUE!</v>
      </c>
      <c r="CK315" s="17">
        <f t="shared" si="1397"/>
        <v>90</v>
      </c>
      <c r="CL315" s="17" t="e">
        <f t="shared" si="1398"/>
        <v>#VALUE!</v>
      </c>
      <c r="CM315" s="17" t="str">
        <f t="shared" si="1399"/>
        <v>amb</v>
      </c>
      <c r="CN315" s="17">
        <f t="shared" si="1400"/>
        <v>50</v>
      </c>
      <c r="CO315" s="17" t="e">
        <f t="shared" si="1401"/>
        <v>#VALUE!</v>
      </c>
      <c r="CP315" s="17" t="e">
        <f t="shared" si="1402"/>
        <v>#VALUE!</v>
      </c>
      <c r="CQ315" s="17">
        <f t="shared" si="1403"/>
        <v>0</v>
      </c>
      <c r="CR315" s="17">
        <f t="shared" si="1404"/>
        <v>100</v>
      </c>
      <c r="CS315" s="17">
        <f t="shared" si="1405"/>
        <v>26.404773030064671</v>
      </c>
      <c r="CT315" s="17" t="str">
        <f t="shared" si="1406"/>
        <v>amb</v>
      </c>
      <c r="CU315" s="17">
        <f t="shared" si="1407"/>
        <v>50</v>
      </c>
      <c r="CV315" s="17" t="e">
        <f t="shared" si="1408"/>
        <v>#VALUE!</v>
      </c>
      <c r="CW315" s="17" t="e">
        <f t="shared" si="1409"/>
        <v>#VALUE!</v>
      </c>
      <c r="CX315" s="17" t="e">
        <f t="shared" si="1347"/>
        <v>#VALUE!</v>
      </c>
      <c r="CY315" s="17" t="e">
        <f t="shared" si="1347"/>
        <v>#VALUE!</v>
      </c>
      <c r="CZ315" s="17" t="e">
        <f t="shared" si="1410"/>
        <v>#VALUE!</v>
      </c>
      <c r="DA315" s="17" t="e">
        <f t="shared" si="1411"/>
        <v>#VALUE!</v>
      </c>
      <c r="DB315" s="17" t="e">
        <f t="shared" si="1412"/>
        <v>#VALUE!</v>
      </c>
      <c r="DC315" s="17">
        <f t="shared" si="1413"/>
        <v>10236</v>
      </c>
      <c r="DD315" s="17">
        <f t="shared" si="1414"/>
        <v>1025.3974415999999</v>
      </c>
      <c r="DE315" s="17" t="e">
        <f t="shared" si="1415"/>
        <v>#VALUE!</v>
      </c>
      <c r="DF315" s="17" t="e">
        <f t="shared" si="1416"/>
        <v>#VALUE!</v>
      </c>
      <c r="DG315" s="17"/>
      <c r="DH315" s="17" t="e">
        <f t="shared" si="1417"/>
        <v>#VALUE!</v>
      </c>
      <c r="DI315" s="17" t="e">
        <f t="shared" si="1418"/>
        <v>#VALUE!</v>
      </c>
      <c r="DJ315" s="17" t="e">
        <f t="shared" si="1419"/>
        <v>#VALUE!</v>
      </c>
      <c r="DK315" s="17" t="e">
        <f t="shared" si="1420"/>
        <v>#VALUE!</v>
      </c>
      <c r="DL315" s="17" t="e">
        <f t="shared" si="1421"/>
        <v>#VALUE!</v>
      </c>
      <c r="DM315" s="17" t="e">
        <f t="shared" si="1422"/>
        <v>#VALUE!</v>
      </c>
      <c r="DN315" s="17" t="e">
        <f t="shared" si="1423"/>
        <v>#VALUE!</v>
      </c>
    </row>
    <row r="316" spans="3:120" ht="18.600000000000001">
      <c r="C316" s="13">
        <f>IF(D316&lt;&gt;"",COUNTA($D$10:D316),"")</f>
        <v>262</v>
      </c>
      <c r="D316" s="14" t="s">
        <v>206</v>
      </c>
      <c r="E316" s="14">
        <v>3.1</v>
      </c>
      <c r="F316" s="14">
        <v>2.6</v>
      </c>
      <c r="G316" s="14">
        <v>2.4</v>
      </c>
      <c r="H316" s="14">
        <v>2</v>
      </c>
      <c r="I316" s="14">
        <v>1</v>
      </c>
      <c r="J316" s="14">
        <v>1.75</v>
      </c>
      <c r="K316" s="14">
        <v>3</v>
      </c>
      <c r="L316" s="15">
        <v>0.1</v>
      </c>
      <c r="M316" s="15">
        <v>0</v>
      </c>
      <c r="N316" s="14" t="s">
        <v>220</v>
      </c>
      <c r="O316" s="14">
        <v>50</v>
      </c>
      <c r="P316" s="13">
        <v>45</v>
      </c>
      <c r="Q316" s="13">
        <v>85</v>
      </c>
      <c r="R316" s="13" t="s">
        <v>17</v>
      </c>
      <c r="S316" s="13">
        <v>120</v>
      </c>
      <c r="T316" s="13">
        <v>0</v>
      </c>
      <c r="U316" s="13">
        <v>100</v>
      </c>
      <c r="V316" s="13" t="str">
        <f t="shared" si="1348"/>
        <v>ISO 6</v>
      </c>
      <c r="W316" s="13">
        <f t="shared" si="1349"/>
        <v>120</v>
      </c>
      <c r="X316" s="16">
        <f t="shared" si="1350"/>
        <v>86.7256</v>
      </c>
      <c r="Y316" s="16">
        <f t="shared" si="1351"/>
        <v>682.70392319999996</v>
      </c>
      <c r="Z316" s="16">
        <f t="shared" si="1352"/>
        <v>1365.4078463999999</v>
      </c>
      <c r="AA316" s="16">
        <f t="shared" si="1353"/>
        <v>136.54078464</v>
      </c>
      <c r="AB316" s="16">
        <f t="shared" si="1354"/>
        <v>1365.4078463999999</v>
      </c>
      <c r="AC316" s="16" t="str">
        <f t="shared" si="1355"/>
        <v>Ambient</v>
      </c>
      <c r="AD316" s="16" t="str">
        <f t="shared" si="1356"/>
        <v>Ambient</v>
      </c>
      <c r="AE316" s="16">
        <f t="shared" si="1357"/>
        <v>1525</v>
      </c>
      <c r="AF316" s="16">
        <f t="shared" si="1358"/>
        <v>10</v>
      </c>
      <c r="AG316" s="16" t="str">
        <f t="shared" si="1359"/>
        <v>Ambient</v>
      </c>
      <c r="AH316" s="838" t="s">
        <v>85</v>
      </c>
      <c r="AI316" s="17" t="str">
        <f t="shared" si="1360"/>
        <v>Ambient</v>
      </c>
      <c r="AJ316" s="17" t="str">
        <f t="shared" si="1361"/>
        <v>Ambient</v>
      </c>
      <c r="AK316" s="891"/>
      <c r="AL316" s="18"/>
      <c r="AM316" s="889"/>
      <c r="AN316" s="891"/>
      <c r="AO316" s="888"/>
      <c r="AP316" s="891"/>
      <c r="AQ316" s="891"/>
      <c r="AR316" s="889"/>
      <c r="AS316" s="888"/>
      <c r="AT316" s="888"/>
      <c r="AU316" s="890"/>
      <c r="AV316" s="888"/>
      <c r="AW316" s="888"/>
      <c r="AX316" s="888"/>
      <c r="AY316" s="887"/>
      <c r="AZ316" s="888"/>
      <c r="BA316" s="17" t="e">
        <f t="shared" si="1362"/>
        <v>#VALUE!</v>
      </c>
      <c r="BB316" s="17" t="e">
        <f t="shared" si="1363"/>
        <v>#VALUE!</v>
      </c>
      <c r="BC316" s="17" t="e">
        <f t="shared" si="1364"/>
        <v>#VALUE!</v>
      </c>
      <c r="BD316" s="17">
        <f t="shared" si="1365"/>
        <v>85</v>
      </c>
      <c r="BE316" s="17" t="e">
        <f t="shared" si="1366"/>
        <v>#VALUE!</v>
      </c>
      <c r="BF316" s="17" t="str">
        <f t="shared" si="1367"/>
        <v>amb</v>
      </c>
      <c r="BG316" s="17">
        <f t="shared" si="1368"/>
        <v>50</v>
      </c>
      <c r="BH316" s="17" t="e">
        <f t="shared" si="1369"/>
        <v>#VALUE!</v>
      </c>
      <c r="BI316" s="17" t="e">
        <f t="shared" si="1370"/>
        <v>#VALUE!</v>
      </c>
      <c r="BJ316" s="17">
        <f t="shared" si="1371"/>
        <v>45</v>
      </c>
      <c r="BK316" s="17">
        <f t="shared" si="1372"/>
        <v>85</v>
      </c>
      <c r="BL316" s="17">
        <f t="shared" si="1373"/>
        <v>380.54120080897206</v>
      </c>
      <c r="BM316" s="17" t="str">
        <f t="shared" si="1374"/>
        <v>amb</v>
      </c>
      <c r="BN316" s="17">
        <f t="shared" si="1375"/>
        <v>50</v>
      </c>
      <c r="BO316" s="17" t="e">
        <f t="shared" si="1376"/>
        <v>#VALUE!</v>
      </c>
      <c r="BP316" s="17" t="e">
        <f t="shared" si="1377"/>
        <v>#VALUE!</v>
      </c>
      <c r="BQ316" s="17" t="e">
        <f t="shared" si="1378"/>
        <v>#VALUE!</v>
      </c>
      <c r="BR316" s="17" t="e">
        <f t="shared" si="1379"/>
        <v>#VALUE!</v>
      </c>
      <c r="BS316" s="17" t="e">
        <f t="shared" si="1380"/>
        <v>#VALUE!</v>
      </c>
      <c r="BT316" s="17" t="e">
        <f t="shared" si="1381"/>
        <v>#VALUE!</v>
      </c>
      <c r="BU316" s="17" t="e">
        <f t="shared" si="1382"/>
        <v>#VALUE!</v>
      </c>
      <c r="BV316" s="17">
        <f t="shared" si="1383"/>
        <v>3412</v>
      </c>
      <c r="BW316" s="17">
        <f t="shared" si="1384"/>
        <v>517.83855759999994</v>
      </c>
      <c r="BX316" s="17" t="e">
        <f t="shared" si="1385"/>
        <v>#VALUE!</v>
      </c>
      <c r="BY316" s="17" t="e">
        <f t="shared" si="1386"/>
        <v>#VALUE!</v>
      </c>
      <c r="BZ316" s="17"/>
      <c r="CA316" s="17" t="e">
        <f t="shared" si="1387"/>
        <v>#VALUE!</v>
      </c>
      <c r="CB316" s="17" t="e">
        <f t="shared" si="1388"/>
        <v>#VALUE!</v>
      </c>
      <c r="CC316" s="17" t="e">
        <f t="shared" si="1389"/>
        <v>#VALUE!</v>
      </c>
      <c r="CD316" s="17" t="e">
        <f t="shared" si="1390"/>
        <v>#VALUE!</v>
      </c>
      <c r="CE316" s="17" t="e">
        <f t="shared" si="1391"/>
        <v>#VALUE!</v>
      </c>
      <c r="CF316" s="17" t="e">
        <f t="shared" si="1392"/>
        <v>#VALUE!</v>
      </c>
      <c r="CG316" s="17" t="e">
        <f t="shared" si="1393"/>
        <v>#VALUE!</v>
      </c>
      <c r="CH316" s="17" t="e">
        <f t="shared" si="1394"/>
        <v>#VALUE!</v>
      </c>
      <c r="CI316" s="17" t="e">
        <f t="shared" si="1395"/>
        <v>#VALUE!</v>
      </c>
      <c r="CJ316" s="17" t="e">
        <f t="shared" si="1396"/>
        <v>#VALUE!</v>
      </c>
      <c r="CK316" s="17">
        <f t="shared" si="1397"/>
        <v>90</v>
      </c>
      <c r="CL316" s="17" t="e">
        <f t="shared" si="1398"/>
        <v>#VALUE!</v>
      </c>
      <c r="CM316" s="17" t="str">
        <f t="shared" si="1399"/>
        <v>amb</v>
      </c>
      <c r="CN316" s="17">
        <f t="shared" si="1400"/>
        <v>50</v>
      </c>
      <c r="CO316" s="17" t="e">
        <f t="shared" si="1401"/>
        <v>#VALUE!</v>
      </c>
      <c r="CP316" s="17" t="e">
        <f t="shared" si="1402"/>
        <v>#VALUE!</v>
      </c>
      <c r="CQ316" s="17">
        <f t="shared" si="1403"/>
        <v>0</v>
      </c>
      <c r="CR316" s="17">
        <f t="shared" si="1404"/>
        <v>100</v>
      </c>
      <c r="CS316" s="17">
        <f t="shared" si="1405"/>
        <v>26.404773030064671</v>
      </c>
      <c r="CT316" s="17" t="str">
        <f t="shared" si="1406"/>
        <v>amb</v>
      </c>
      <c r="CU316" s="17">
        <f t="shared" si="1407"/>
        <v>50</v>
      </c>
      <c r="CV316" s="17" t="e">
        <f t="shared" si="1408"/>
        <v>#VALUE!</v>
      </c>
      <c r="CW316" s="17" t="e">
        <f t="shared" si="1409"/>
        <v>#VALUE!</v>
      </c>
      <c r="CX316" s="17" t="e">
        <f t="shared" si="1347"/>
        <v>#VALUE!</v>
      </c>
      <c r="CY316" s="17" t="e">
        <f t="shared" si="1347"/>
        <v>#VALUE!</v>
      </c>
      <c r="CZ316" s="17" t="e">
        <f t="shared" si="1410"/>
        <v>#VALUE!</v>
      </c>
      <c r="DA316" s="17" t="e">
        <f t="shared" si="1411"/>
        <v>#VALUE!</v>
      </c>
      <c r="DB316" s="17" t="e">
        <f t="shared" si="1412"/>
        <v>#VALUE!</v>
      </c>
      <c r="DC316" s="17">
        <f t="shared" si="1413"/>
        <v>3412</v>
      </c>
      <c r="DD316" s="17">
        <f t="shared" si="1414"/>
        <v>517.83855759999994</v>
      </c>
      <c r="DE316" s="17" t="e">
        <f t="shared" si="1415"/>
        <v>#VALUE!</v>
      </c>
      <c r="DF316" s="17" t="e">
        <f t="shared" si="1416"/>
        <v>#VALUE!</v>
      </c>
      <c r="DG316" s="17"/>
      <c r="DH316" s="17" t="e">
        <f t="shared" si="1417"/>
        <v>#VALUE!</v>
      </c>
      <c r="DI316" s="17" t="e">
        <f t="shared" si="1418"/>
        <v>#VALUE!</v>
      </c>
      <c r="DJ316" s="17" t="e">
        <f t="shared" si="1419"/>
        <v>#VALUE!</v>
      </c>
      <c r="DK316" s="17" t="e">
        <f t="shared" si="1420"/>
        <v>#VALUE!</v>
      </c>
      <c r="DL316" s="17" t="e">
        <f t="shared" si="1421"/>
        <v>#VALUE!</v>
      </c>
      <c r="DM316" s="17" t="e">
        <f t="shared" si="1422"/>
        <v>#VALUE!</v>
      </c>
      <c r="DN316" s="17" t="e">
        <f t="shared" si="1423"/>
        <v>#VALUE!</v>
      </c>
    </row>
    <row r="317" spans="3:120" ht="18.600000000000001">
      <c r="C317" s="13">
        <f>IF(D317&lt;&gt;"",COUNTA($D$10:D317),"")</f>
        <v>263</v>
      </c>
      <c r="D317" s="14" t="s">
        <v>207</v>
      </c>
      <c r="E317" s="14">
        <v>1.9</v>
      </c>
      <c r="F317" s="14">
        <v>2.4</v>
      </c>
      <c r="G317" s="14">
        <v>2.4</v>
      </c>
      <c r="H317" s="14">
        <v>3</v>
      </c>
      <c r="I317" s="14">
        <v>2</v>
      </c>
      <c r="J317" s="14">
        <v>1.75</v>
      </c>
      <c r="K317" s="14">
        <v>3</v>
      </c>
      <c r="L317" s="15">
        <v>0.1</v>
      </c>
      <c r="M317" s="15">
        <v>0</v>
      </c>
      <c r="N317" s="14" t="s">
        <v>220</v>
      </c>
      <c r="O317" s="14">
        <v>50</v>
      </c>
      <c r="P317" s="13">
        <v>45</v>
      </c>
      <c r="Q317" s="13">
        <v>85</v>
      </c>
      <c r="R317" s="13" t="s">
        <v>17</v>
      </c>
      <c r="S317" s="13">
        <v>120</v>
      </c>
      <c r="T317" s="13">
        <v>0</v>
      </c>
      <c r="U317" s="13">
        <v>100</v>
      </c>
      <c r="V317" s="13" t="str">
        <f t="shared" si="1348"/>
        <v>ISO 6</v>
      </c>
      <c r="W317" s="13">
        <f t="shared" si="1349"/>
        <v>120</v>
      </c>
      <c r="X317" s="16">
        <f t="shared" si="1350"/>
        <v>49.065599999999996</v>
      </c>
      <c r="Y317" s="16">
        <f t="shared" si="1351"/>
        <v>386.24440319999997</v>
      </c>
      <c r="Z317" s="16">
        <f t="shared" si="1352"/>
        <v>772.48880639999993</v>
      </c>
      <c r="AA317" s="16">
        <f t="shared" si="1353"/>
        <v>77.248880639999996</v>
      </c>
      <c r="AB317" s="16">
        <f t="shared" si="1354"/>
        <v>772.48880639999993</v>
      </c>
      <c r="AC317" s="16" t="str">
        <f t="shared" si="1355"/>
        <v>Ambient</v>
      </c>
      <c r="AD317" s="16" t="str">
        <f t="shared" si="1356"/>
        <v>Ambient</v>
      </c>
      <c r="AE317" s="16">
        <f t="shared" si="1357"/>
        <v>850</v>
      </c>
      <c r="AF317" s="16">
        <f t="shared" si="1358"/>
        <v>6</v>
      </c>
      <c r="AG317" s="16" t="str">
        <f t="shared" si="1359"/>
        <v>Ambient</v>
      </c>
      <c r="AH317" s="838" t="s">
        <v>85</v>
      </c>
      <c r="AI317" s="17" t="str">
        <f t="shared" si="1360"/>
        <v>Ambient</v>
      </c>
      <c r="AJ317" s="17" t="str">
        <f t="shared" si="1361"/>
        <v>Ambient</v>
      </c>
      <c r="AK317" s="891"/>
      <c r="AL317" s="18"/>
      <c r="AM317" s="889"/>
      <c r="AN317" s="891"/>
      <c r="AO317" s="888"/>
      <c r="AP317" s="891"/>
      <c r="AQ317" s="891"/>
      <c r="AR317" s="889"/>
      <c r="AS317" s="888"/>
      <c r="AT317" s="888"/>
      <c r="AU317" s="890"/>
      <c r="AV317" s="888"/>
      <c r="AW317" s="888"/>
      <c r="AX317" s="888"/>
      <c r="AY317" s="887"/>
      <c r="AZ317" s="888"/>
      <c r="BA317" s="17" t="e">
        <f t="shared" si="1362"/>
        <v>#VALUE!</v>
      </c>
      <c r="BB317" s="17" t="e">
        <f t="shared" si="1363"/>
        <v>#VALUE!</v>
      </c>
      <c r="BC317" s="17" t="e">
        <f t="shared" si="1364"/>
        <v>#VALUE!</v>
      </c>
      <c r="BD317" s="17">
        <f t="shared" si="1365"/>
        <v>85</v>
      </c>
      <c r="BE317" s="17" t="e">
        <f t="shared" si="1366"/>
        <v>#VALUE!</v>
      </c>
      <c r="BF317" s="17" t="str">
        <f t="shared" si="1367"/>
        <v>amb</v>
      </c>
      <c r="BG317" s="17">
        <f t="shared" si="1368"/>
        <v>50</v>
      </c>
      <c r="BH317" s="17" t="e">
        <f t="shared" si="1369"/>
        <v>#VALUE!</v>
      </c>
      <c r="BI317" s="17" t="e">
        <f t="shared" si="1370"/>
        <v>#VALUE!</v>
      </c>
      <c r="BJ317" s="17">
        <f t="shared" si="1371"/>
        <v>45</v>
      </c>
      <c r="BK317" s="17">
        <f t="shared" si="1372"/>
        <v>85</v>
      </c>
      <c r="BL317" s="17">
        <f t="shared" si="1373"/>
        <v>380.54120080897206</v>
      </c>
      <c r="BM317" s="17" t="str">
        <f t="shared" si="1374"/>
        <v>amb</v>
      </c>
      <c r="BN317" s="17">
        <f t="shared" si="1375"/>
        <v>50</v>
      </c>
      <c r="BO317" s="17" t="e">
        <f t="shared" si="1376"/>
        <v>#VALUE!</v>
      </c>
      <c r="BP317" s="17" t="e">
        <f t="shared" si="1377"/>
        <v>#VALUE!</v>
      </c>
      <c r="BQ317" s="17" t="e">
        <f t="shared" si="1378"/>
        <v>#VALUE!</v>
      </c>
      <c r="BR317" s="17" t="e">
        <f t="shared" si="1379"/>
        <v>#VALUE!</v>
      </c>
      <c r="BS317" s="17" t="e">
        <f t="shared" si="1380"/>
        <v>#VALUE!</v>
      </c>
      <c r="BT317" s="17" t="e">
        <f t="shared" si="1381"/>
        <v>#VALUE!</v>
      </c>
      <c r="BU317" s="17" t="e">
        <f t="shared" si="1382"/>
        <v>#VALUE!</v>
      </c>
      <c r="BV317" s="17">
        <f t="shared" si="1383"/>
        <v>6824</v>
      </c>
      <c r="BW317" s="17">
        <f t="shared" si="1384"/>
        <v>292.97069759999994</v>
      </c>
      <c r="BX317" s="17" t="e">
        <f t="shared" si="1385"/>
        <v>#VALUE!</v>
      </c>
      <c r="BY317" s="17" t="e">
        <f t="shared" si="1386"/>
        <v>#VALUE!</v>
      </c>
      <c r="BZ317" s="17"/>
      <c r="CA317" s="17" t="e">
        <f t="shared" si="1387"/>
        <v>#VALUE!</v>
      </c>
      <c r="CB317" s="17" t="e">
        <f t="shared" si="1388"/>
        <v>#VALUE!</v>
      </c>
      <c r="CC317" s="17" t="e">
        <f t="shared" si="1389"/>
        <v>#VALUE!</v>
      </c>
      <c r="CD317" s="17" t="e">
        <f t="shared" si="1390"/>
        <v>#VALUE!</v>
      </c>
      <c r="CE317" s="17" t="e">
        <f t="shared" si="1391"/>
        <v>#VALUE!</v>
      </c>
      <c r="CF317" s="17" t="e">
        <f t="shared" si="1392"/>
        <v>#VALUE!</v>
      </c>
      <c r="CG317" s="17" t="e">
        <f t="shared" si="1393"/>
        <v>#VALUE!</v>
      </c>
      <c r="CH317" s="17" t="e">
        <f t="shared" si="1394"/>
        <v>#VALUE!</v>
      </c>
      <c r="CI317" s="17" t="e">
        <f t="shared" si="1395"/>
        <v>#VALUE!</v>
      </c>
      <c r="CJ317" s="17" t="e">
        <f t="shared" si="1396"/>
        <v>#VALUE!</v>
      </c>
      <c r="CK317" s="17">
        <f t="shared" si="1397"/>
        <v>90</v>
      </c>
      <c r="CL317" s="17" t="e">
        <f t="shared" si="1398"/>
        <v>#VALUE!</v>
      </c>
      <c r="CM317" s="17" t="str">
        <f t="shared" si="1399"/>
        <v>amb</v>
      </c>
      <c r="CN317" s="17">
        <f t="shared" si="1400"/>
        <v>50</v>
      </c>
      <c r="CO317" s="17" t="e">
        <f t="shared" si="1401"/>
        <v>#VALUE!</v>
      </c>
      <c r="CP317" s="17" t="e">
        <f t="shared" si="1402"/>
        <v>#VALUE!</v>
      </c>
      <c r="CQ317" s="17">
        <f t="shared" si="1403"/>
        <v>0</v>
      </c>
      <c r="CR317" s="17">
        <f t="shared" si="1404"/>
        <v>100</v>
      </c>
      <c r="CS317" s="17">
        <f t="shared" si="1405"/>
        <v>26.404773030064671</v>
      </c>
      <c r="CT317" s="17" t="str">
        <f t="shared" si="1406"/>
        <v>amb</v>
      </c>
      <c r="CU317" s="17">
        <f t="shared" si="1407"/>
        <v>50</v>
      </c>
      <c r="CV317" s="17" t="e">
        <f t="shared" si="1408"/>
        <v>#VALUE!</v>
      </c>
      <c r="CW317" s="17" t="e">
        <f t="shared" si="1409"/>
        <v>#VALUE!</v>
      </c>
      <c r="CX317" s="17" t="e">
        <f t="shared" si="1347"/>
        <v>#VALUE!</v>
      </c>
      <c r="CY317" s="17" t="e">
        <f t="shared" si="1347"/>
        <v>#VALUE!</v>
      </c>
      <c r="CZ317" s="17" t="e">
        <f t="shared" si="1410"/>
        <v>#VALUE!</v>
      </c>
      <c r="DA317" s="17" t="e">
        <f t="shared" si="1411"/>
        <v>#VALUE!</v>
      </c>
      <c r="DB317" s="17" t="e">
        <f t="shared" si="1412"/>
        <v>#VALUE!</v>
      </c>
      <c r="DC317" s="17">
        <f t="shared" si="1413"/>
        <v>6824</v>
      </c>
      <c r="DD317" s="17">
        <f t="shared" si="1414"/>
        <v>292.97069759999994</v>
      </c>
      <c r="DE317" s="17" t="e">
        <f t="shared" si="1415"/>
        <v>#VALUE!</v>
      </c>
      <c r="DF317" s="17" t="e">
        <f t="shared" si="1416"/>
        <v>#VALUE!</v>
      </c>
      <c r="DG317" s="17"/>
      <c r="DH317" s="17" t="e">
        <f t="shared" si="1417"/>
        <v>#VALUE!</v>
      </c>
      <c r="DI317" s="17" t="e">
        <f t="shared" si="1418"/>
        <v>#VALUE!</v>
      </c>
      <c r="DJ317" s="17" t="e">
        <f t="shared" si="1419"/>
        <v>#VALUE!</v>
      </c>
      <c r="DK317" s="17" t="e">
        <f t="shared" si="1420"/>
        <v>#VALUE!</v>
      </c>
      <c r="DL317" s="17" t="e">
        <f t="shared" si="1421"/>
        <v>#VALUE!</v>
      </c>
      <c r="DM317" s="17" t="e">
        <f t="shared" si="1422"/>
        <v>#VALUE!</v>
      </c>
      <c r="DN317" s="17" t="e">
        <f t="shared" si="1423"/>
        <v>#VALUE!</v>
      </c>
    </row>
    <row r="318" spans="3:120" ht="18.600000000000001">
      <c r="C318" s="13">
        <f>IF(D318&lt;&gt;"",COUNTA($D$10:D318),"")</f>
        <v>264</v>
      </c>
      <c r="D318" s="14" t="s">
        <v>208</v>
      </c>
      <c r="E318" s="14">
        <v>3</v>
      </c>
      <c r="F318" s="14">
        <v>2.9</v>
      </c>
      <c r="G318" s="14">
        <v>2.4</v>
      </c>
      <c r="H318" s="14">
        <v>2</v>
      </c>
      <c r="I318" s="14">
        <v>1</v>
      </c>
      <c r="J318" s="14">
        <v>1.75</v>
      </c>
      <c r="K318" s="14">
        <v>3</v>
      </c>
      <c r="L318" s="15">
        <v>0.1</v>
      </c>
      <c r="M318" s="15">
        <v>0</v>
      </c>
      <c r="N318" s="14" t="s">
        <v>220</v>
      </c>
      <c r="O318" s="14">
        <v>50</v>
      </c>
      <c r="P318" s="13">
        <v>45</v>
      </c>
      <c r="Q318" s="13">
        <v>85</v>
      </c>
      <c r="R318" s="13" t="s">
        <v>17</v>
      </c>
      <c r="S318" s="13">
        <v>120</v>
      </c>
      <c r="T318" s="13">
        <v>0</v>
      </c>
      <c r="U318" s="13">
        <v>100</v>
      </c>
      <c r="V318" s="13" t="str">
        <f t="shared" si="1348"/>
        <v>ISO 6</v>
      </c>
      <c r="W318" s="13">
        <f t="shared" si="1349"/>
        <v>120</v>
      </c>
      <c r="X318" s="16">
        <f t="shared" si="1350"/>
        <v>93.611999999999995</v>
      </c>
      <c r="Y318" s="16">
        <f t="shared" si="1351"/>
        <v>736.91366399999993</v>
      </c>
      <c r="Z318" s="16">
        <f t="shared" si="1352"/>
        <v>1473.8273279999999</v>
      </c>
      <c r="AA318" s="16">
        <f t="shared" si="1353"/>
        <v>147.38273279999999</v>
      </c>
      <c r="AB318" s="16">
        <f t="shared" si="1354"/>
        <v>1473.8273279999999</v>
      </c>
      <c r="AC318" s="16" t="str">
        <f t="shared" si="1355"/>
        <v>Ambient</v>
      </c>
      <c r="AD318" s="16" t="str">
        <f>IF(ISNUMBER(N318), CEILING(CF318/(0.68*BP318),25), "Ambient")</f>
        <v>Ambient</v>
      </c>
      <c r="AE318" s="16">
        <f t="shared" si="1357"/>
        <v>1625</v>
      </c>
      <c r="AF318" s="16">
        <f t="shared" si="1358"/>
        <v>10</v>
      </c>
      <c r="AG318" s="16" t="str">
        <f t="shared" si="1359"/>
        <v>Ambient</v>
      </c>
      <c r="AH318" s="838" t="s">
        <v>85</v>
      </c>
      <c r="AI318" s="17" t="str">
        <f t="shared" si="1360"/>
        <v>Ambient</v>
      </c>
      <c r="AJ318" s="17" t="str">
        <f t="shared" si="1361"/>
        <v>Ambient</v>
      </c>
      <c r="AK318" s="891"/>
      <c r="AL318" s="18"/>
      <c r="AM318" s="889"/>
      <c r="AN318" s="891"/>
      <c r="AO318" s="888"/>
      <c r="AP318" s="891"/>
      <c r="AQ318" s="891"/>
      <c r="AR318" s="889"/>
      <c r="AS318" s="888"/>
      <c r="AT318" s="888"/>
      <c r="AU318" s="890"/>
      <c r="AV318" s="888"/>
      <c r="AW318" s="888"/>
      <c r="AX318" s="888"/>
      <c r="AY318" s="887"/>
      <c r="AZ318" s="888"/>
      <c r="BA318" s="17" t="e">
        <f t="shared" si="1362"/>
        <v>#VALUE!</v>
      </c>
      <c r="BB318" s="17" t="e">
        <f t="shared" si="1363"/>
        <v>#VALUE!</v>
      </c>
      <c r="BC318" s="17" t="e">
        <f t="shared" si="1364"/>
        <v>#VALUE!</v>
      </c>
      <c r="BD318" s="17">
        <f t="shared" si="1365"/>
        <v>85</v>
      </c>
      <c r="BE318" s="17" t="e">
        <f t="shared" si="1366"/>
        <v>#VALUE!</v>
      </c>
      <c r="BF318" s="17" t="str">
        <f t="shared" si="1367"/>
        <v>amb</v>
      </c>
      <c r="BG318" s="17">
        <f t="shared" si="1368"/>
        <v>50</v>
      </c>
      <c r="BH318" s="17" t="e">
        <f t="shared" si="1369"/>
        <v>#VALUE!</v>
      </c>
      <c r="BI318" s="17" t="e">
        <f t="shared" si="1370"/>
        <v>#VALUE!</v>
      </c>
      <c r="BJ318" s="17">
        <f t="shared" si="1371"/>
        <v>45</v>
      </c>
      <c r="BK318" s="17">
        <f t="shared" si="1372"/>
        <v>85</v>
      </c>
      <c r="BL318" s="17">
        <f t="shared" si="1373"/>
        <v>380.54120080897206</v>
      </c>
      <c r="BM318" s="17" t="str">
        <f t="shared" si="1374"/>
        <v>amb</v>
      </c>
      <c r="BN318" s="17">
        <f t="shared" si="1375"/>
        <v>50</v>
      </c>
      <c r="BO318" s="17" t="e">
        <f t="shared" si="1376"/>
        <v>#VALUE!</v>
      </c>
      <c r="BP318" s="17" t="e">
        <f t="shared" si="1377"/>
        <v>#VALUE!</v>
      </c>
      <c r="BQ318" s="17" t="e">
        <f t="shared" si="1378"/>
        <v>#VALUE!</v>
      </c>
      <c r="BR318" s="17" t="e">
        <f t="shared" si="1379"/>
        <v>#VALUE!</v>
      </c>
      <c r="BS318" s="17" t="e">
        <f t="shared" si="1380"/>
        <v>#VALUE!</v>
      </c>
      <c r="BT318" s="17" t="e">
        <f t="shared" si="1381"/>
        <v>#VALUE!</v>
      </c>
      <c r="BU318" s="17" t="e">
        <f t="shared" si="1382"/>
        <v>#VALUE!</v>
      </c>
      <c r="BV318" s="17">
        <f t="shared" si="1383"/>
        <v>3412</v>
      </c>
      <c r="BW318" s="17">
        <f t="shared" si="1384"/>
        <v>558.95725199999993</v>
      </c>
      <c r="BX318" s="17" t="e">
        <f t="shared" si="1385"/>
        <v>#VALUE!</v>
      </c>
      <c r="BY318" s="17" t="e">
        <f t="shared" si="1386"/>
        <v>#VALUE!</v>
      </c>
      <c r="BZ318" s="17"/>
      <c r="CA318" s="17" t="e">
        <f t="shared" si="1387"/>
        <v>#VALUE!</v>
      </c>
      <c r="CB318" s="17" t="e">
        <f t="shared" si="1388"/>
        <v>#VALUE!</v>
      </c>
      <c r="CC318" s="17" t="e">
        <f t="shared" si="1389"/>
        <v>#VALUE!</v>
      </c>
      <c r="CD318" s="17" t="e">
        <f t="shared" si="1390"/>
        <v>#VALUE!</v>
      </c>
      <c r="CE318" s="17" t="e">
        <f t="shared" si="1391"/>
        <v>#VALUE!</v>
      </c>
      <c r="CF318" s="17" t="e">
        <f t="shared" si="1392"/>
        <v>#VALUE!</v>
      </c>
      <c r="CG318" s="17" t="e">
        <f t="shared" si="1393"/>
        <v>#VALUE!</v>
      </c>
      <c r="CH318" s="17" t="e">
        <f t="shared" si="1394"/>
        <v>#VALUE!</v>
      </c>
      <c r="CI318" s="17" t="e">
        <f t="shared" si="1395"/>
        <v>#VALUE!</v>
      </c>
      <c r="CJ318" s="17" t="e">
        <f t="shared" si="1396"/>
        <v>#VALUE!</v>
      </c>
      <c r="CK318" s="17">
        <f t="shared" si="1397"/>
        <v>90</v>
      </c>
      <c r="CL318" s="17" t="e">
        <f t="shared" si="1398"/>
        <v>#VALUE!</v>
      </c>
      <c r="CM318" s="17" t="str">
        <f t="shared" si="1399"/>
        <v>amb</v>
      </c>
      <c r="CN318" s="17">
        <f t="shared" si="1400"/>
        <v>50</v>
      </c>
      <c r="CO318" s="17" t="e">
        <f t="shared" si="1401"/>
        <v>#VALUE!</v>
      </c>
      <c r="CP318" s="17" t="e">
        <f t="shared" si="1402"/>
        <v>#VALUE!</v>
      </c>
      <c r="CQ318" s="17">
        <f t="shared" si="1403"/>
        <v>0</v>
      </c>
      <c r="CR318" s="17">
        <f t="shared" si="1404"/>
        <v>100</v>
      </c>
      <c r="CS318" s="17">
        <f t="shared" si="1405"/>
        <v>26.404773030064671</v>
      </c>
      <c r="CT318" s="17" t="str">
        <f t="shared" si="1406"/>
        <v>amb</v>
      </c>
      <c r="CU318" s="17">
        <f t="shared" si="1407"/>
        <v>50</v>
      </c>
      <c r="CV318" s="17" t="e">
        <f t="shared" si="1408"/>
        <v>#VALUE!</v>
      </c>
      <c r="CW318" s="17" t="e">
        <f t="shared" si="1409"/>
        <v>#VALUE!</v>
      </c>
      <c r="CX318" s="17" t="e">
        <f t="shared" si="1347"/>
        <v>#VALUE!</v>
      </c>
      <c r="CY318" s="17" t="e">
        <f t="shared" si="1347"/>
        <v>#VALUE!</v>
      </c>
      <c r="CZ318" s="17" t="e">
        <f t="shared" si="1410"/>
        <v>#VALUE!</v>
      </c>
      <c r="DA318" s="17" t="e">
        <f t="shared" si="1411"/>
        <v>#VALUE!</v>
      </c>
      <c r="DB318" s="17" t="e">
        <f t="shared" si="1412"/>
        <v>#VALUE!</v>
      </c>
      <c r="DC318" s="17">
        <f t="shared" si="1413"/>
        <v>3412</v>
      </c>
      <c r="DD318" s="17">
        <f t="shared" si="1414"/>
        <v>558.95725199999993</v>
      </c>
      <c r="DE318" s="17" t="e">
        <f t="shared" si="1415"/>
        <v>#VALUE!</v>
      </c>
      <c r="DF318" s="17" t="e">
        <f t="shared" si="1416"/>
        <v>#VALUE!</v>
      </c>
      <c r="DG318" s="17"/>
      <c r="DH318" s="17" t="e">
        <f t="shared" si="1417"/>
        <v>#VALUE!</v>
      </c>
      <c r="DI318" s="17" t="e">
        <f t="shared" si="1418"/>
        <v>#VALUE!</v>
      </c>
      <c r="DJ318" s="17" t="e">
        <f t="shared" si="1419"/>
        <v>#VALUE!</v>
      </c>
      <c r="DK318" s="17" t="e">
        <f t="shared" si="1420"/>
        <v>#VALUE!</v>
      </c>
      <c r="DL318" s="17" t="e">
        <f t="shared" si="1421"/>
        <v>#VALUE!</v>
      </c>
      <c r="DM318" s="17" t="e">
        <f t="shared" si="1422"/>
        <v>#VALUE!</v>
      </c>
      <c r="DN318" s="17" t="e">
        <f t="shared" si="1423"/>
        <v>#VALUE!</v>
      </c>
    </row>
    <row r="319" spans="3:120" ht="18.600000000000001">
      <c r="C319" s="13">
        <f>IF(D319&lt;&gt;"",COUNTA($D$10:D319),"")</f>
        <v>265</v>
      </c>
      <c r="D319" s="14" t="s">
        <v>209</v>
      </c>
      <c r="E319" s="14">
        <v>2.4</v>
      </c>
      <c r="F319" s="14">
        <v>2</v>
      </c>
      <c r="G319" s="14">
        <v>2.4</v>
      </c>
      <c r="H319" s="14">
        <v>2</v>
      </c>
      <c r="I319" s="14">
        <v>1</v>
      </c>
      <c r="J319" s="14">
        <v>1.75</v>
      </c>
      <c r="K319" s="14">
        <v>3</v>
      </c>
      <c r="L319" s="15">
        <v>0.1</v>
      </c>
      <c r="M319" s="15">
        <v>0</v>
      </c>
      <c r="N319" s="14" t="s">
        <v>220</v>
      </c>
      <c r="O319" s="14">
        <v>50</v>
      </c>
      <c r="P319" s="13">
        <v>45</v>
      </c>
      <c r="Q319" s="13">
        <v>85</v>
      </c>
      <c r="R319" s="13" t="s">
        <v>17</v>
      </c>
      <c r="S319" s="13">
        <v>120</v>
      </c>
      <c r="T319" s="13">
        <v>0</v>
      </c>
      <c r="U319" s="13">
        <v>100</v>
      </c>
      <c r="V319" s="13" t="str">
        <f t="shared" si="1348"/>
        <v>ISO 6</v>
      </c>
      <c r="W319" s="13">
        <f t="shared" si="1349"/>
        <v>120</v>
      </c>
      <c r="X319" s="16">
        <f t="shared" si="1350"/>
        <v>51.647999999999996</v>
      </c>
      <c r="Y319" s="16">
        <f t="shared" si="1351"/>
        <v>406.57305599999995</v>
      </c>
      <c r="Z319" s="16">
        <f t="shared" si="1352"/>
        <v>813.1461119999999</v>
      </c>
      <c r="AA319" s="16">
        <f t="shared" si="1353"/>
        <v>81.314611200000002</v>
      </c>
      <c r="AB319" s="16">
        <f t="shared" si="1354"/>
        <v>813.1461119999999</v>
      </c>
      <c r="AC319" s="16" t="str">
        <f t="shared" si="1355"/>
        <v>Ambient</v>
      </c>
      <c r="AD319" s="16" t="str">
        <f t="shared" ref="AD319:AD325" si="1424">IF(ISNUMBER(N319), CEILING(CF319/(0.68*BP319),25), "Ambient")</f>
        <v>Ambient</v>
      </c>
      <c r="AE319" s="16">
        <f t="shared" si="1357"/>
        <v>900</v>
      </c>
      <c r="AF319" s="16">
        <f t="shared" si="1358"/>
        <v>6</v>
      </c>
      <c r="AG319" s="16" t="str">
        <f t="shared" si="1359"/>
        <v>Ambient</v>
      </c>
      <c r="AH319" s="838" t="s">
        <v>85</v>
      </c>
      <c r="AI319" s="17" t="str">
        <f t="shared" si="1360"/>
        <v>Ambient</v>
      </c>
      <c r="AJ319" s="17" t="str">
        <f t="shared" si="1361"/>
        <v>Ambient</v>
      </c>
      <c r="AK319" s="891"/>
      <c r="AL319" s="174">
        <f>IF(AN310&lt;=315,1600,(IF(AN310=355,1650,(IF(AN310=400,1650,(IF(AN310=450,1700,(IF(AN310=500,1700,(IF(AN310=560,1800,(IF(AN310=630,2000,(IF(AN310=710,2200,2500)))))))))))))))+IF(AR310=2,1800,(IF(AR310=3,2300,(IF(AR310=4,3300,0)))))+IF(AP310&lt;=4,600,(IF(AP310&lt;=6,800,(IF(AP310&lt;=8,1000,1200)))))</f>
        <v>6000</v>
      </c>
      <c r="AM319" s="889"/>
      <c r="AN319" s="891"/>
      <c r="AO319" s="888"/>
      <c r="AP319" s="891"/>
      <c r="AQ319" s="891"/>
      <c r="AR319" s="889"/>
      <c r="AS319" s="888"/>
      <c r="AT319" s="888"/>
      <c r="AU319" s="890"/>
      <c r="AV319" s="888"/>
      <c r="AW319" s="888"/>
      <c r="AX319" s="888"/>
      <c r="AY319" s="887"/>
      <c r="AZ319" s="888"/>
      <c r="BA319" s="17" t="e">
        <f t="shared" si="1362"/>
        <v>#VALUE!</v>
      </c>
      <c r="BB319" s="17" t="e">
        <f t="shared" si="1363"/>
        <v>#VALUE!</v>
      </c>
      <c r="BC319" s="17" t="e">
        <f t="shared" si="1364"/>
        <v>#VALUE!</v>
      </c>
      <c r="BD319" s="17">
        <f t="shared" si="1365"/>
        <v>85</v>
      </c>
      <c r="BE319" s="17" t="e">
        <f t="shared" si="1366"/>
        <v>#VALUE!</v>
      </c>
      <c r="BF319" s="17" t="str">
        <f t="shared" si="1367"/>
        <v>amb</v>
      </c>
      <c r="BG319" s="17">
        <f t="shared" si="1368"/>
        <v>50</v>
      </c>
      <c r="BH319" s="17" t="e">
        <f t="shared" si="1369"/>
        <v>#VALUE!</v>
      </c>
      <c r="BI319" s="17" t="e">
        <f t="shared" si="1370"/>
        <v>#VALUE!</v>
      </c>
      <c r="BJ319" s="17">
        <f t="shared" si="1371"/>
        <v>45</v>
      </c>
      <c r="BK319" s="17">
        <f t="shared" si="1372"/>
        <v>85</v>
      </c>
      <c r="BL319" s="17">
        <f t="shared" si="1373"/>
        <v>380.54120080897206</v>
      </c>
      <c r="BM319" s="17" t="str">
        <f t="shared" si="1374"/>
        <v>amb</v>
      </c>
      <c r="BN319" s="17">
        <f t="shared" si="1375"/>
        <v>50</v>
      </c>
      <c r="BO319" s="17" t="e">
        <f t="shared" si="1376"/>
        <v>#VALUE!</v>
      </c>
      <c r="BP319" s="17" t="e">
        <f t="shared" si="1377"/>
        <v>#VALUE!</v>
      </c>
      <c r="BQ319" s="17" t="e">
        <f t="shared" si="1378"/>
        <v>#VALUE!</v>
      </c>
      <c r="BR319" s="17" t="e">
        <f t="shared" si="1379"/>
        <v>#VALUE!</v>
      </c>
      <c r="BS319" s="17" t="e">
        <f t="shared" si="1380"/>
        <v>#VALUE!</v>
      </c>
      <c r="BT319" s="17" t="e">
        <f t="shared" si="1381"/>
        <v>#VALUE!</v>
      </c>
      <c r="BU319" s="17" t="e">
        <f t="shared" si="1382"/>
        <v>#VALUE!</v>
      </c>
      <c r="BV319" s="17">
        <f t="shared" si="1383"/>
        <v>3412</v>
      </c>
      <c r="BW319" s="17">
        <f t="shared" si="1384"/>
        <v>308.39020799999997</v>
      </c>
      <c r="BX319" s="17" t="e">
        <f t="shared" si="1385"/>
        <v>#VALUE!</v>
      </c>
      <c r="BY319" s="17" t="e">
        <f t="shared" si="1386"/>
        <v>#VALUE!</v>
      </c>
      <c r="BZ319" s="17"/>
      <c r="CA319" s="17" t="e">
        <f t="shared" si="1387"/>
        <v>#VALUE!</v>
      </c>
      <c r="CB319" s="17" t="e">
        <f t="shared" si="1388"/>
        <v>#VALUE!</v>
      </c>
      <c r="CC319" s="17" t="e">
        <f t="shared" si="1389"/>
        <v>#VALUE!</v>
      </c>
      <c r="CD319" s="17" t="e">
        <f t="shared" si="1390"/>
        <v>#VALUE!</v>
      </c>
      <c r="CE319" s="17" t="e">
        <f t="shared" si="1391"/>
        <v>#VALUE!</v>
      </c>
      <c r="CF319" s="17" t="e">
        <f t="shared" si="1392"/>
        <v>#VALUE!</v>
      </c>
      <c r="CG319" s="17" t="e">
        <f t="shared" si="1393"/>
        <v>#VALUE!</v>
      </c>
      <c r="CH319" s="17" t="e">
        <f t="shared" si="1394"/>
        <v>#VALUE!</v>
      </c>
      <c r="CI319" s="17" t="e">
        <f t="shared" si="1395"/>
        <v>#VALUE!</v>
      </c>
      <c r="CJ319" s="17" t="e">
        <f t="shared" si="1396"/>
        <v>#VALUE!</v>
      </c>
      <c r="CK319" s="17">
        <f t="shared" si="1397"/>
        <v>90</v>
      </c>
      <c r="CL319" s="17" t="e">
        <f t="shared" si="1398"/>
        <v>#VALUE!</v>
      </c>
      <c r="CM319" s="17" t="str">
        <f t="shared" si="1399"/>
        <v>amb</v>
      </c>
      <c r="CN319" s="17">
        <f t="shared" si="1400"/>
        <v>50</v>
      </c>
      <c r="CO319" s="17" t="e">
        <f t="shared" si="1401"/>
        <v>#VALUE!</v>
      </c>
      <c r="CP319" s="17" t="e">
        <f t="shared" si="1402"/>
        <v>#VALUE!</v>
      </c>
      <c r="CQ319" s="17">
        <f t="shared" si="1403"/>
        <v>0</v>
      </c>
      <c r="CR319" s="17">
        <f t="shared" si="1404"/>
        <v>100</v>
      </c>
      <c r="CS319" s="17">
        <f t="shared" si="1405"/>
        <v>26.404773030064671</v>
      </c>
      <c r="CT319" s="17" t="str">
        <f t="shared" si="1406"/>
        <v>amb</v>
      </c>
      <c r="CU319" s="17">
        <f t="shared" si="1407"/>
        <v>50</v>
      </c>
      <c r="CV319" s="17" t="e">
        <f t="shared" si="1408"/>
        <v>#VALUE!</v>
      </c>
      <c r="CW319" s="17" t="e">
        <f t="shared" si="1409"/>
        <v>#VALUE!</v>
      </c>
      <c r="CX319" s="17" t="e">
        <f t="shared" si="1347"/>
        <v>#VALUE!</v>
      </c>
      <c r="CY319" s="17" t="e">
        <f t="shared" si="1347"/>
        <v>#VALUE!</v>
      </c>
      <c r="CZ319" s="17" t="e">
        <f t="shared" si="1410"/>
        <v>#VALUE!</v>
      </c>
      <c r="DA319" s="17" t="e">
        <f t="shared" si="1411"/>
        <v>#VALUE!</v>
      </c>
      <c r="DB319" s="17" t="e">
        <f t="shared" si="1412"/>
        <v>#VALUE!</v>
      </c>
      <c r="DC319" s="17">
        <f t="shared" si="1413"/>
        <v>3412</v>
      </c>
      <c r="DD319" s="17">
        <f t="shared" si="1414"/>
        <v>308.39020799999997</v>
      </c>
      <c r="DE319" s="17" t="e">
        <f t="shared" si="1415"/>
        <v>#VALUE!</v>
      </c>
      <c r="DF319" s="17" t="e">
        <f t="shared" si="1416"/>
        <v>#VALUE!</v>
      </c>
      <c r="DG319" s="17"/>
      <c r="DH319" s="17" t="e">
        <f t="shared" si="1417"/>
        <v>#VALUE!</v>
      </c>
      <c r="DI319" s="17" t="e">
        <f t="shared" si="1418"/>
        <v>#VALUE!</v>
      </c>
      <c r="DJ319" s="17" t="e">
        <f t="shared" si="1419"/>
        <v>#VALUE!</v>
      </c>
      <c r="DK319" s="17" t="e">
        <f t="shared" si="1420"/>
        <v>#VALUE!</v>
      </c>
      <c r="DL319" s="17" t="e">
        <f t="shared" si="1421"/>
        <v>#VALUE!</v>
      </c>
      <c r="DM319" s="17" t="e">
        <f t="shared" si="1422"/>
        <v>#VALUE!</v>
      </c>
      <c r="DN319" s="17" t="e">
        <f t="shared" si="1423"/>
        <v>#VALUE!</v>
      </c>
    </row>
    <row r="320" spans="3:120" ht="18.600000000000001">
      <c r="C320" s="13">
        <f>IF(D320&lt;&gt;"",COUNTA($D$10:D320),"")</f>
        <v>266</v>
      </c>
      <c r="D320" s="14" t="s">
        <v>210</v>
      </c>
      <c r="E320" s="14">
        <v>2.1</v>
      </c>
      <c r="F320" s="14">
        <v>1.8</v>
      </c>
      <c r="G320" s="14">
        <v>2.4</v>
      </c>
      <c r="H320" s="14">
        <v>2</v>
      </c>
      <c r="I320" s="14">
        <v>1</v>
      </c>
      <c r="J320" s="14">
        <v>1.75</v>
      </c>
      <c r="K320" s="14">
        <v>3</v>
      </c>
      <c r="L320" s="15">
        <v>0.1</v>
      </c>
      <c r="M320" s="15">
        <v>0</v>
      </c>
      <c r="N320" s="14" t="s">
        <v>220</v>
      </c>
      <c r="O320" s="14">
        <v>50</v>
      </c>
      <c r="P320" s="13">
        <v>45</v>
      </c>
      <c r="Q320" s="13">
        <v>85</v>
      </c>
      <c r="R320" s="13" t="s">
        <v>17</v>
      </c>
      <c r="S320" s="13">
        <v>120</v>
      </c>
      <c r="T320" s="13">
        <v>0</v>
      </c>
      <c r="U320" s="13">
        <v>100</v>
      </c>
      <c r="V320" s="13" t="str">
        <f t="shared" si="1348"/>
        <v>ISO 6</v>
      </c>
      <c r="W320" s="13">
        <f t="shared" si="1349"/>
        <v>120</v>
      </c>
      <c r="X320" s="16">
        <f t="shared" si="1350"/>
        <v>40.672800000000002</v>
      </c>
      <c r="Y320" s="16">
        <f t="shared" si="1351"/>
        <v>320.17628159999998</v>
      </c>
      <c r="Z320" s="16">
        <f t="shared" si="1352"/>
        <v>640.35256319999996</v>
      </c>
      <c r="AA320" s="16">
        <f t="shared" si="1353"/>
        <v>64.035256320000002</v>
      </c>
      <c r="AB320" s="16">
        <f t="shared" si="1354"/>
        <v>640.35256319999996</v>
      </c>
      <c r="AC320" s="16" t="str">
        <f t="shared" si="1355"/>
        <v>Ambient</v>
      </c>
      <c r="AD320" s="16" t="str">
        <f t="shared" si="1424"/>
        <v>Ambient</v>
      </c>
      <c r="AE320" s="16">
        <f t="shared" si="1357"/>
        <v>725</v>
      </c>
      <c r="AF320" s="16">
        <f t="shared" si="1358"/>
        <v>6</v>
      </c>
      <c r="AG320" s="16" t="str">
        <f t="shared" si="1359"/>
        <v>Ambient</v>
      </c>
      <c r="AH320" s="838" t="s">
        <v>85</v>
      </c>
      <c r="AI320" s="17" t="str">
        <f t="shared" si="1360"/>
        <v>Ambient</v>
      </c>
      <c r="AJ320" s="17" t="str">
        <f t="shared" si="1361"/>
        <v>Ambient</v>
      </c>
      <c r="AK320" s="891"/>
      <c r="AL320" s="18"/>
      <c r="AM320" s="889"/>
      <c r="AN320" s="891"/>
      <c r="AO320" s="888"/>
      <c r="AP320" s="891"/>
      <c r="AQ320" s="891"/>
      <c r="AR320" s="889"/>
      <c r="AS320" s="888"/>
      <c r="AT320" s="888"/>
      <c r="AU320" s="890"/>
      <c r="AV320" s="888"/>
      <c r="AW320" s="888"/>
      <c r="AX320" s="888"/>
      <c r="AY320" s="887"/>
      <c r="AZ320" s="888"/>
      <c r="BA320" s="17" t="e">
        <f t="shared" si="1362"/>
        <v>#VALUE!</v>
      </c>
      <c r="BB320" s="17" t="e">
        <f t="shared" si="1363"/>
        <v>#VALUE!</v>
      </c>
      <c r="BC320" s="17" t="e">
        <f t="shared" si="1364"/>
        <v>#VALUE!</v>
      </c>
      <c r="BD320" s="17">
        <f t="shared" si="1365"/>
        <v>85</v>
      </c>
      <c r="BE320" s="17" t="e">
        <f t="shared" si="1366"/>
        <v>#VALUE!</v>
      </c>
      <c r="BF320" s="17" t="str">
        <f t="shared" si="1367"/>
        <v>amb</v>
      </c>
      <c r="BG320" s="17">
        <f t="shared" si="1368"/>
        <v>50</v>
      </c>
      <c r="BH320" s="17" t="e">
        <f t="shared" si="1369"/>
        <v>#VALUE!</v>
      </c>
      <c r="BI320" s="17" t="e">
        <f t="shared" si="1370"/>
        <v>#VALUE!</v>
      </c>
      <c r="BJ320" s="17">
        <f t="shared" si="1371"/>
        <v>45</v>
      </c>
      <c r="BK320" s="17">
        <f t="shared" si="1372"/>
        <v>85</v>
      </c>
      <c r="BL320" s="17">
        <f t="shared" si="1373"/>
        <v>380.54120080897206</v>
      </c>
      <c r="BM320" s="17" t="str">
        <f t="shared" si="1374"/>
        <v>amb</v>
      </c>
      <c r="BN320" s="17">
        <f t="shared" si="1375"/>
        <v>50</v>
      </c>
      <c r="BO320" s="17" t="e">
        <f t="shared" si="1376"/>
        <v>#VALUE!</v>
      </c>
      <c r="BP320" s="17" t="e">
        <f t="shared" si="1377"/>
        <v>#VALUE!</v>
      </c>
      <c r="BQ320" s="17" t="e">
        <f t="shared" si="1378"/>
        <v>#VALUE!</v>
      </c>
      <c r="BR320" s="17" t="e">
        <f t="shared" si="1379"/>
        <v>#VALUE!</v>
      </c>
      <c r="BS320" s="17" t="e">
        <f t="shared" si="1380"/>
        <v>#VALUE!</v>
      </c>
      <c r="BT320" s="17" t="e">
        <f t="shared" si="1381"/>
        <v>#VALUE!</v>
      </c>
      <c r="BU320" s="17" t="e">
        <f t="shared" si="1382"/>
        <v>#VALUE!</v>
      </c>
      <c r="BV320" s="17">
        <f t="shared" si="1383"/>
        <v>3412</v>
      </c>
      <c r="BW320" s="17">
        <f t="shared" si="1384"/>
        <v>242.85728880000002</v>
      </c>
      <c r="BX320" s="17" t="e">
        <f t="shared" si="1385"/>
        <v>#VALUE!</v>
      </c>
      <c r="BY320" s="17" t="e">
        <f t="shared" si="1386"/>
        <v>#VALUE!</v>
      </c>
      <c r="BZ320" s="17"/>
      <c r="CA320" s="17" t="e">
        <f t="shared" si="1387"/>
        <v>#VALUE!</v>
      </c>
      <c r="CB320" s="17" t="e">
        <f t="shared" si="1388"/>
        <v>#VALUE!</v>
      </c>
      <c r="CC320" s="17" t="e">
        <f t="shared" si="1389"/>
        <v>#VALUE!</v>
      </c>
      <c r="CD320" s="17" t="e">
        <f t="shared" si="1390"/>
        <v>#VALUE!</v>
      </c>
      <c r="CE320" s="17" t="e">
        <f t="shared" si="1391"/>
        <v>#VALUE!</v>
      </c>
      <c r="CF320" s="17" t="e">
        <f t="shared" si="1392"/>
        <v>#VALUE!</v>
      </c>
      <c r="CG320" s="17" t="e">
        <f t="shared" si="1393"/>
        <v>#VALUE!</v>
      </c>
      <c r="CH320" s="17" t="e">
        <f t="shared" si="1394"/>
        <v>#VALUE!</v>
      </c>
      <c r="CI320" s="17" t="e">
        <f t="shared" si="1395"/>
        <v>#VALUE!</v>
      </c>
      <c r="CJ320" s="17" t="e">
        <f t="shared" si="1396"/>
        <v>#VALUE!</v>
      </c>
      <c r="CK320" s="17">
        <f t="shared" si="1397"/>
        <v>90</v>
      </c>
      <c r="CL320" s="17" t="e">
        <f t="shared" si="1398"/>
        <v>#VALUE!</v>
      </c>
      <c r="CM320" s="17" t="str">
        <f t="shared" si="1399"/>
        <v>amb</v>
      </c>
      <c r="CN320" s="17">
        <f t="shared" si="1400"/>
        <v>50</v>
      </c>
      <c r="CO320" s="17" t="e">
        <f t="shared" si="1401"/>
        <v>#VALUE!</v>
      </c>
      <c r="CP320" s="17" t="e">
        <f t="shared" si="1402"/>
        <v>#VALUE!</v>
      </c>
      <c r="CQ320" s="17">
        <f t="shared" si="1403"/>
        <v>0</v>
      </c>
      <c r="CR320" s="17">
        <f t="shared" si="1404"/>
        <v>100</v>
      </c>
      <c r="CS320" s="17">
        <f t="shared" si="1405"/>
        <v>26.404773030064671</v>
      </c>
      <c r="CT320" s="17" t="str">
        <f t="shared" si="1406"/>
        <v>amb</v>
      </c>
      <c r="CU320" s="17">
        <f t="shared" si="1407"/>
        <v>50</v>
      </c>
      <c r="CV320" s="17" t="e">
        <f t="shared" si="1408"/>
        <v>#VALUE!</v>
      </c>
      <c r="CW320" s="17" t="e">
        <f t="shared" si="1409"/>
        <v>#VALUE!</v>
      </c>
      <c r="CX320" s="17" t="e">
        <f t="shared" si="1347"/>
        <v>#VALUE!</v>
      </c>
      <c r="CY320" s="17" t="e">
        <f t="shared" si="1347"/>
        <v>#VALUE!</v>
      </c>
      <c r="CZ320" s="17" t="e">
        <f t="shared" si="1410"/>
        <v>#VALUE!</v>
      </c>
      <c r="DA320" s="17" t="e">
        <f t="shared" si="1411"/>
        <v>#VALUE!</v>
      </c>
      <c r="DB320" s="17" t="e">
        <f t="shared" si="1412"/>
        <v>#VALUE!</v>
      </c>
      <c r="DC320" s="17">
        <f t="shared" si="1413"/>
        <v>3412</v>
      </c>
      <c r="DD320" s="17">
        <f t="shared" si="1414"/>
        <v>242.85728880000002</v>
      </c>
      <c r="DE320" s="17" t="e">
        <f t="shared" si="1415"/>
        <v>#VALUE!</v>
      </c>
      <c r="DF320" s="17" t="e">
        <f t="shared" si="1416"/>
        <v>#VALUE!</v>
      </c>
      <c r="DG320" s="17"/>
      <c r="DH320" s="17" t="e">
        <f t="shared" si="1417"/>
        <v>#VALUE!</v>
      </c>
      <c r="DI320" s="17" t="e">
        <f t="shared" si="1418"/>
        <v>#VALUE!</v>
      </c>
      <c r="DJ320" s="17" t="e">
        <f t="shared" si="1419"/>
        <v>#VALUE!</v>
      </c>
      <c r="DK320" s="17" t="e">
        <f t="shared" si="1420"/>
        <v>#VALUE!</v>
      </c>
      <c r="DL320" s="17" t="e">
        <f t="shared" si="1421"/>
        <v>#VALUE!</v>
      </c>
      <c r="DM320" s="17" t="e">
        <f t="shared" si="1422"/>
        <v>#VALUE!</v>
      </c>
      <c r="DN320" s="17" t="e">
        <f t="shared" si="1423"/>
        <v>#VALUE!</v>
      </c>
    </row>
    <row r="321" spans="3:120" ht="18.600000000000001">
      <c r="C321" s="13">
        <f>IF(D321&lt;&gt;"",COUNTA($D$10:D321),"")</f>
        <v>267</v>
      </c>
      <c r="D321" s="14" t="s">
        <v>211</v>
      </c>
      <c r="E321" s="14">
        <v>1.8</v>
      </c>
      <c r="F321" s="14">
        <v>1.9</v>
      </c>
      <c r="G321" s="14">
        <v>2.4</v>
      </c>
      <c r="H321" s="14">
        <v>2</v>
      </c>
      <c r="I321" s="14">
        <v>1</v>
      </c>
      <c r="J321" s="14">
        <v>1.75</v>
      </c>
      <c r="K321" s="14">
        <v>3</v>
      </c>
      <c r="L321" s="15">
        <v>0.1</v>
      </c>
      <c r="M321" s="15">
        <v>0</v>
      </c>
      <c r="N321" s="14" t="s">
        <v>220</v>
      </c>
      <c r="O321" s="14">
        <v>50</v>
      </c>
      <c r="P321" s="13">
        <v>45</v>
      </c>
      <c r="Q321" s="13">
        <v>85</v>
      </c>
      <c r="R321" s="13" t="s">
        <v>17</v>
      </c>
      <c r="S321" s="13">
        <v>120</v>
      </c>
      <c r="T321" s="13">
        <v>0</v>
      </c>
      <c r="U321" s="13">
        <v>100</v>
      </c>
      <c r="V321" s="13" t="str">
        <f t="shared" si="1348"/>
        <v>ISO 6</v>
      </c>
      <c r="W321" s="13">
        <f t="shared" si="1349"/>
        <v>120</v>
      </c>
      <c r="X321" s="16">
        <f t="shared" si="1350"/>
        <v>36.799199999999999</v>
      </c>
      <c r="Y321" s="16">
        <f t="shared" si="1351"/>
        <v>289.68330239999995</v>
      </c>
      <c r="Z321" s="16">
        <f t="shared" si="1352"/>
        <v>579.36660479999989</v>
      </c>
      <c r="AA321" s="16">
        <f t="shared" si="1353"/>
        <v>57.936660479999993</v>
      </c>
      <c r="AB321" s="16">
        <f t="shared" si="1354"/>
        <v>579.36660479999989</v>
      </c>
      <c r="AC321" s="16" t="str">
        <f t="shared" si="1355"/>
        <v>Ambient</v>
      </c>
      <c r="AD321" s="16" t="str">
        <f t="shared" si="1424"/>
        <v>Ambient</v>
      </c>
      <c r="AE321" s="16">
        <f t="shared" si="1357"/>
        <v>650</v>
      </c>
      <c r="AF321" s="16">
        <f t="shared" si="1358"/>
        <v>4</v>
      </c>
      <c r="AG321" s="16" t="str">
        <f t="shared" si="1359"/>
        <v>Ambient</v>
      </c>
      <c r="AH321" s="838" t="s">
        <v>85</v>
      </c>
      <c r="AI321" s="17" t="str">
        <f t="shared" si="1360"/>
        <v>Ambient</v>
      </c>
      <c r="AJ321" s="17" t="str">
        <f t="shared" si="1361"/>
        <v>Ambient</v>
      </c>
      <c r="AK321" s="891"/>
      <c r="AL321" s="18"/>
      <c r="AM321" s="889"/>
      <c r="AN321" s="891"/>
      <c r="AO321" s="888"/>
      <c r="AP321" s="891"/>
      <c r="AQ321" s="891"/>
      <c r="AR321" s="889"/>
      <c r="AS321" s="888"/>
      <c r="AT321" s="888"/>
      <c r="AU321" s="890"/>
      <c r="AV321" s="888"/>
      <c r="AW321" s="888"/>
      <c r="AX321" s="888"/>
      <c r="AY321" s="887"/>
      <c r="AZ321" s="888"/>
      <c r="BA321" s="17" t="e">
        <f t="shared" si="1362"/>
        <v>#VALUE!</v>
      </c>
      <c r="BB321" s="17" t="e">
        <f t="shared" si="1363"/>
        <v>#VALUE!</v>
      </c>
      <c r="BC321" s="17" t="e">
        <f t="shared" si="1364"/>
        <v>#VALUE!</v>
      </c>
      <c r="BD321" s="17">
        <f t="shared" si="1365"/>
        <v>85</v>
      </c>
      <c r="BE321" s="17" t="e">
        <f t="shared" si="1366"/>
        <v>#VALUE!</v>
      </c>
      <c r="BF321" s="17" t="str">
        <f t="shared" si="1367"/>
        <v>amb</v>
      </c>
      <c r="BG321" s="17">
        <f t="shared" si="1368"/>
        <v>50</v>
      </c>
      <c r="BH321" s="17" t="e">
        <f t="shared" si="1369"/>
        <v>#VALUE!</v>
      </c>
      <c r="BI321" s="17" t="e">
        <f t="shared" si="1370"/>
        <v>#VALUE!</v>
      </c>
      <c r="BJ321" s="17">
        <f t="shared" si="1371"/>
        <v>45</v>
      </c>
      <c r="BK321" s="17">
        <f t="shared" si="1372"/>
        <v>85</v>
      </c>
      <c r="BL321" s="17">
        <f t="shared" si="1373"/>
        <v>380.54120080897206</v>
      </c>
      <c r="BM321" s="17" t="str">
        <f t="shared" si="1374"/>
        <v>amb</v>
      </c>
      <c r="BN321" s="17">
        <f t="shared" si="1375"/>
        <v>50</v>
      </c>
      <c r="BO321" s="17" t="e">
        <f t="shared" si="1376"/>
        <v>#VALUE!</v>
      </c>
      <c r="BP321" s="17" t="e">
        <f t="shared" si="1377"/>
        <v>#VALUE!</v>
      </c>
      <c r="BQ321" s="17" t="e">
        <f t="shared" si="1378"/>
        <v>#VALUE!</v>
      </c>
      <c r="BR321" s="17" t="e">
        <f t="shared" si="1379"/>
        <v>#VALUE!</v>
      </c>
      <c r="BS321" s="17" t="e">
        <f t="shared" si="1380"/>
        <v>#VALUE!</v>
      </c>
      <c r="BT321" s="17" t="e">
        <f t="shared" si="1381"/>
        <v>#VALUE!</v>
      </c>
      <c r="BU321" s="17" t="e">
        <f t="shared" si="1382"/>
        <v>#VALUE!</v>
      </c>
      <c r="BV321" s="17">
        <f t="shared" si="1383"/>
        <v>3412</v>
      </c>
      <c r="BW321" s="17">
        <f t="shared" si="1384"/>
        <v>219.7280232</v>
      </c>
      <c r="BX321" s="17" t="e">
        <f t="shared" si="1385"/>
        <v>#VALUE!</v>
      </c>
      <c r="BY321" s="17" t="e">
        <f t="shared" si="1386"/>
        <v>#VALUE!</v>
      </c>
      <c r="BZ321" s="17"/>
      <c r="CA321" s="17" t="e">
        <f t="shared" si="1387"/>
        <v>#VALUE!</v>
      </c>
      <c r="CB321" s="17" t="e">
        <f t="shared" si="1388"/>
        <v>#VALUE!</v>
      </c>
      <c r="CC321" s="17" t="e">
        <f t="shared" si="1389"/>
        <v>#VALUE!</v>
      </c>
      <c r="CD321" s="17" t="e">
        <f t="shared" si="1390"/>
        <v>#VALUE!</v>
      </c>
      <c r="CE321" s="17" t="e">
        <f t="shared" si="1391"/>
        <v>#VALUE!</v>
      </c>
      <c r="CF321" s="17" t="e">
        <f t="shared" si="1392"/>
        <v>#VALUE!</v>
      </c>
      <c r="CG321" s="17" t="e">
        <f t="shared" si="1393"/>
        <v>#VALUE!</v>
      </c>
      <c r="CH321" s="17" t="e">
        <f t="shared" si="1394"/>
        <v>#VALUE!</v>
      </c>
      <c r="CI321" s="17" t="e">
        <f t="shared" si="1395"/>
        <v>#VALUE!</v>
      </c>
      <c r="CJ321" s="17" t="e">
        <f t="shared" si="1396"/>
        <v>#VALUE!</v>
      </c>
      <c r="CK321" s="17">
        <f t="shared" si="1397"/>
        <v>90</v>
      </c>
      <c r="CL321" s="17" t="e">
        <f t="shared" si="1398"/>
        <v>#VALUE!</v>
      </c>
      <c r="CM321" s="17" t="str">
        <f t="shared" si="1399"/>
        <v>amb</v>
      </c>
      <c r="CN321" s="17">
        <f t="shared" si="1400"/>
        <v>50</v>
      </c>
      <c r="CO321" s="17" t="e">
        <f t="shared" si="1401"/>
        <v>#VALUE!</v>
      </c>
      <c r="CP321" s="17" t="e">
        <f t="shared" si="1402"/>
        <v>#VALUE!</v>
      </c>
      <c r="CQ321" s="17">
        <f t="shared" si="1403"/>
        <v>0</v>
      </c>
      <c r="CR321" s="17">
        <f t="shared" si="1404"/>
        <v>100</v>
      </c>
      <c r="CS321" s="17">
        <f t="shared" si="1405"/>
        <v>26.404773030064671</v>
      </c>
      <c r="CT321" s="17" t="str">
        <f t="shared" si="1406"/>
        <v>amb</v>
      </c>
      <c r="CU321" s="17">
        <f t="shared" si="1407"/>
        <v>50</v>
      </c>
      <c r="CV321" s="17" t="e">
        <f t="shared" si="1408"/>
        <v>#VALUE!</v>
      </c>
      <c r="CW321" s="17" t="e">
        <f t="shared" si="1409"/>
        <v>#VALUE!</v>
      </c>
      <c r="CX321" s="17" t="e">
        <f t="shared" si="1347"/>
        <v>#VALUE!</v>
      </c>
      <c r="CY321" s="17" t="e">
        <f t="shared" si="1347"/>
        <v>#VALUE!</v>
      </c>
      <c r="CZ321" s="17" t="e">
        <f t="shared" si="1410"/>
        <v>#VALUE!</v>
      </c>
      <c r="DA321" s="17" t="e">
        <f t="shared" si="1411"/>
        <v>#VALUE!</v>
      </c>
      <c r="DB321" s="17" t="e">
        <f t="shared" si="1412"/>
        <v>#VALUE!</v>
      </c>
      <c r="DC321" s="17">
        <f t="shared" si="1413"/>
        <v>3412</v>
      </c>
      <c r="DD321" s="17">
        <f t="shared" si="1414"/>
        <v>219.7280232</v>
      </c>
      <c r="DE321" s="17" t="e">
        <f t="shared" si="1415"/>
        <v>#VALUE!</v>
      </c>
      <c r="DF321" s="17" t="e">
        <f t="shared" si="1416"/>
        <v>#VALUE!</v>
      </c>
      <c r="DG321" s="17"/>
      <c r="DH321" s="17" t="e">
        <f t="shared" si="1417"/>
        <v>#VALUE!</v>
      </c>
      <c r="DI321" s="17" t="e">
        <f t="shared" si="1418"/>
        <v>#VALUE!</v>
      </c>
      <c r="DJ321" s="17" t="e">
        <f t="shared" si="1419"/>
        <v>#VALUE!</v>
      </c>
      <c r="DK321" s="17" t="e">
        <f t="shared" si="1420"/>
        <v>#VALUE!</v>
      </c>
      <c r="DL321" s="17" t="e">
        <f t="shared" si="1421"/>
        <v>#VALUE!</v>
      </c>
      <c r="DM321" s="17" t="e">
        <f t="shared" si="1422"/>
        <v>#VALUE!</v>
      </c>
      <c r="DN321" s="17" t="e">
        <f t="shared" si="1423"/>
        <v>#VALUE!</v>
      </c>
    </row>
    <row r="322" spans="3:120" ht="18.600000000000001">
      <c r="C322" s="13">
        <f>IF(D322&lt;&gt;"",COUNTA($D$10:D322),"")</f>
        <v>268</v>
      </c>
      <c r="D322" s="14" t="s">
        <v>212</v>
      </c>
      <c r="E322" s="14">
        <v>1.9</v>
      </c>
      <c r="F322" s="14">
        <v>2</v>
      </c>
      <c r="G322" s="14">
        <v>2.4</v>
      </c>
      <c r="H322" s="14">
        <v>2</v>
      </c>
      <c r="I322" s="14">
        <v>1</v>
      </c>
      <c r="J322" s="14">
        <v>1.75</v>
      </c>
      <c r="K322" s="14">
        <v>3</v>
      </c>
      <c r="L322" s="15">
        <v>0.1</v>
      </c>
      <c r="M322" s="15">
        <v>0</v>
      </c>
      <c r="N322" s="14" t="s">
        <v>220</v>
      </c>
      <c r="O322" s="14">
        <v>50</v>
      </c>
      <c r="P322" s="13">
        <v>45</v>
      </c>
      <c r="Q322" s="13">
        <v>85</v>
      </c>
      <c r="R322" s="13" t="s">
        <v>17</v>
      </c>
      <c r="S322" s="13">
        <v>120</v>
      </c>
      <c r="T322" s="13">
        <v>0</v>
      </c>
      <c r="U322" s="13">
        <v>100</v>
      </c>
      <c r="V322" s="13" t="str">
        <f t="shared" si="1348"/>
        <v>ISO 6</v>
      </c>
      <c r="W322" s="13">
        <f t="shared" si="1349"/>
        <v>120</v>
      </c>
      <c r="X322" s="16">
        <f t="shared" si="1350"/>
        <v>40.887999999999998</v>
      </c>
      <c r="Y322" s="16">
        <f t="shared" si="1351"/>
        <v>321.87033599999995</v>
      </c>
      <c r="Z322" s="16">
        <f t="shared" si="1352"/>
        <v>643.7406719999999</v>
      </c>
      <c r="AA322" s="16">
        <f t="shared" si="1353"/>
        <v>64.374067199999999</v>
      </c>
      <c r="AB322" s="16">
        <f t="shared" si="1354"/>
        <v>643.7406719999999</v>
      </c>
      <c r="AC322" s="16" t="str">
        <f t="shared" si="1355"/>
        <v>Ambient</v>
      </c>
      <c r="AD322" s="16" t="str">
        <f t="shared" si="1424"/>
        <v>Ambient</v>
      </c>
      <c r="AE322" s="16">
        <f t="shared" si="1357"/>
        <v>725</v>
      </c>
      <c r="AF322" s="16">
        <f t="shared" si="1358"/>
        <v>6</v>
      </c>
      <c r="AG322" s="16" t="str">
        <f t="shared" si="1359"/>
        <v>Ambient</v>
      </c>
      <c r="AH322" s="838" t="s">
        <v>85</v>
      </c>
      <c r="AI322" s="17" t="str">
        <f t="shared" si="1360"/>
        <v>Ambient</v>
      </c>
      <c r="AJ322" s="17" t="str">
        <f t="shared" si="1361"/>
        <v>Ambient</v>
      </c>
      <c r="AK322" s="891"/>
      <c r="AL322" s="18"/>
      <c r="AM322" s="889"/>
      <c r="AN322" s="891"/>
      <c r="AO322" s="888"/>
      <c r="AP322" s="891"/>
      <c r="AQ322" s="891"/>
      <c r="AR322" s="889"/>
      <c r="AS322" s="888"/>
      <c r="AT322" s="888"/>
      <c r="AU322" s="890"/>
      <c r="AV322" s="888"/>
      <c r="AW322" s="888"/>
      <c r="AX322" s="888"/>
      <c r="AY322" s="887"/>
      <c r="AZ322" s="888"/>
      <c r="BA322" s="17" t="e">
        <f t="shared" si="1362"/>
        <v>#VALUE!</v>
      </c>
      <c r="BB322" s="17" t="e">
        <f t="shared" si="1363"/>
        <v>#VALUE!</v>
      </c>
      <c r="BC322" s="17" t="e">
        <f t="shared" si="1364"/>
        <v>#VALUE!</v>
      </c>
      <c r="BD322" s="17">
        <f t="shared" si="1365"/>
        <v>85</v>
      </c>
      <c r="BE322" s="17" t="e">
        <f t="shared" si="1366"/>
        <v>#VALUE!</v>
      </c>
      <c r="BF322" s="17" t="str">
        <f t="shared" si="1367"/>
        <v>amb</v>
      </c>
      <c r="BG322" s="17">
        <f t="shared" si="1368"/>
        <v>50</v>
      </c>
      <c r="BH322" s="17" t="e">
        <f t="shared" si="1369"/>
        <v>#VALUE!</v>
      </c>
      <c r="BI322" s="17" t="e">
        <f t="shared" si="1370"/>
        <v>#VALUE!</v>
      </c>
      <c r="BJ322" s="17">
        <f t="shared" si="1371"/>
        <v>45</v>
      </c>
      <c r="BK322" s="17">
        <f t="shared" si="1372"/>
        <v>85</v>
      </c>
      <c r="BL322" s="17">
        <f t="shared" si="1373"/>
        <v>380.54120080897206</v>
      </c>
      <c r="BM322" s="17" t="str">
        <f t="shared" si="1374"/>
        <v>amb</v>
      </c>
      <c r="BN322" s="17">
        <f t="shared" si="1375"/>
        <v>50</v>
      </c>
      <c r="BO322" s="17" t="e">
        <f t="shared" si="1376"/>
        <v>#VALUE!</v>
      </c>
      <c r="BP322" s="17" t="e">
        <f t="shared" si="1377"/>
        <v>#VALUE!</v>
      </c>
      <c r="BQ322" s="17" t="e">
        <f t="shared" si="1378"/>
        <v>#VALUE!</v>
      </c>
      <c r="BR322" s="17" t="e">
        <f t="shared" si="1379"/>
        <v>#VALUE!</v>
      </c>
      <c r="BS322" s="17" t="e">
        <f t="shared" si="1380"/>
        <v>#VALUE!</v>
      </c>
      <c r="BT322" s="17" t="e">
        <f t="shared" si="1381"/>
        <v>#VALUE!</v>
      </c>
      <c r="BU322" s="17" t="e">
        <f t="shared" si="1382"/>
        <v>#VALUE!</v>
      </c>
      <c r="BV322" s="17">
        <f t="shared" si="1383"/>
        <v>3412</v>
      </c>
      <c r="BW322" s="17">
        <f t="shared" si="1384"/>
        <v>244.142248</v>
      </c>
      <c r="BX322" s="17" t="e">
        <f t="shared" si="1385"/>
        <v>#VALUE!</v>
      </c>
      <c r="BY322" s="17" t="e">
        <f t="shared" si="1386"/>
        <v>#VALUE!</v>
      </c>
      <c r="BZ322" s="17"/>
      <c r="CA322" s="17" t="e">
        <f t="shared" si="1387"/>
        <v>#VALUE!</v>
      </c>
      <c r="CB322" s="17" t="e">
        <f t="shared" si="1388"/>
        <v>#VALUE!</v>
      </c>
      <c r="CC322" s="17" t="e">
        <f t="shared" si="1389"/>
        <v>#VALUE!</v>
      </c>
      <c r="CD322" s="17" t="e">
        <f t="shared" si="1390"/>
        <v>#VALUE!</v>
      </c>
      <c r="CE322" s="17" t="e">
        <f t="shared" si="1391"/>
        <v>#VALUE!</v>
      </c>
      <c r="CF322" s="17" t="e">
        <f t="shared" si="1392"/>
        <v>#VALUE!</v>
      </c>
      <c r="CG322" s="17" t="e">
        <f t="shared" si="1393"/>
        <v>#VALUE!</v>
      </c>
      <c r="CH322" s="17" t="e">
        <f t="shared" si="1394"/>
        <v>#VALUE!</v>
      </c>
      <c r="CI322" s="17" t="e">
        <f t="shared" si="1395"/>
        <v>#VALUE!</v>
      </c>
      <c r="CJ322" s="17" t="e">
        <f t="shared" si="1396"/>
        <v>#VALUE!</v>
      </c>
      <c r="CK322" s="17">
        <f t="shared" si="1397"/>
        <v>90</v>
      </c>
      <c r="CL322" s="17" t="e">
        <f t="shared" si="1398"/>
        <v>#VALUE!</v>
      </c>
      <c r="CM322" s="17" t="str">
        <f t="shared" si="1399"/>
        <v>amb</v>
      </c>
      <c r="CN322" s="17">
        <f t="shared" si="1400"/>
        <v>50</v>
      </c>
      <c r="CO322" s="17" t="e">
        <f t="shared" si="1401"/>
        <v>#VALUE!</v>
      </c>
      <c r="CP322" s="17" t="e">
        <f t="shared" si="1402"/>
        <v>#VALUE!</v>
      </c>
      <c r="CQ322" s="17">
        <f t="shared" si="1403"/>
        <v>0</v>
      </c>
      <c r="CR322" s="17">
        <f t="shared" si="1404"/>
        <v>100</v>
      </c>
      <c r="CS322" s="17">
        <f t="shared" si="1405"/>
        <v>26.404773030064671</v>
      </c>
      <c r="CT322" s="17" t="str">
        <f t="shared" si="1406"/>
        <v>amb</v>
      </c>
      <c r="CU322" s="17">
        <f t="shared" si="1407"/>
        <v>50</v>
      </c>
      <c r="CV322" s="17" t="e">
        <f t="shared" si="1408"/>
        <v>#VALUE!</v>
      </c>
      <c r="CW322" s="17" t="e">
        <f t="shared" si="1409"/>
        <v>#VALUE!</v>
      </c>
      <c r="CX322" s="17" t="e">
        <f t="shared" si="1347"/>
        <v>#VALUE!</v>
      </c>
      <c r="CY322" s="17" t="e">
        <f t="shared" si="1347"/>
        <v>#VALUE!</v>
      </c>
      <c r="CZ322" s="17" t="e">
        <f t="shared" si="1410"/>
        <v>#VALUE!</v>
      </c>
      <c r="DA322" s="17" t="e">
        <f t="shared" si="1411"/>
        <v>#VALUE!</v>
      </c>
      <c r="DB322" s="17" t="e">
        <f t="shared" si="1412"/>
        <v>#VALUE!</v>
      </c>
      <c r="DC322" s="17">
        <f t="shared" si="1413"/>
        <v>3412</v>
      </c>
      <c r="DD322" s="17">
        <f t="shared" si="1414"/>
        <v>244.142248</v>
      </c>
      <c r="DE322" s="17" t="e">
        <f t="shared" si="1415"/>
        <v>#VALUE!</v>
      </c>
      <c r="DF322" s="17" t="e">
        <f t="shared" si="1416"/>
        <v>#VALUE!</v>
      </c>
      <c r="DG322" s="17"/>
      <c r="DH322" s="17" t="e">
        <f t="shared" si="1417"/>
        <v>#VALUE!</v>
      </c>
      <c r="DI322" s="17" t="e">
        <f t="shared" si="1418"/>
        <v>#VALUE!</v>
      </c>
      <c r="DJ322" s="17" t="e">
        <f t="shared" si="1419"/>
        <v>#VALUE!</v>
      </c>
      <c r="DK322" s="17" t="e">
        <f t="shared" si="1420"/>
        <v>#VALUE!</v>
      </c>
      <c r="DL322" s="17" t="e">
        <f t="shared" si="1421"/>
        <v>#VALUE!</v>
      </c>
      <c r="DM322" s="17" t="e">
        <f t="shared" si="1422"/>
        <v>#VALUE!</v>
      </c>
      <c r="DN322" s="17" t="e">
        <f t="shared" si="1423"/>
        <v>#VALUE!</v>
      </c>
    </row>
    <row r="323" spans="3:120" ht="18.600000000000001">
      <c r="C323" s="13">
        <f>IF(D323&lt;&gt;"",COUNTA($D$10:D323),"")</f>
        <v>269</v>
      </c>
      <c r="D323" s="14" t="s">
        <v>213</v>
      </c>
      <c r="E323" s="14">
        <v>2.2999999999999998</v>
      </c>
      <c r="F323" s="14">
        <v>2.2000000000000002</v>
      </c>
      <c r="G323" s="14">
        <v>2.4</v>
      </c>
      <c r="H323" s="14">
        <v>2</v>
      </c>
      <c r="I323" s="14">
        <v>1</v>
      </c>
      <c r="J323" s="14">
        <v>1.75</v>
      </c>
      <c r="K323" s="14">
        <v>3</v>
      </c>
      <c r="L323" s="15">
        <v>0.1</v>
      </c>
      <c r="M323" s="15">
        <v>0</v>
      </c>
      <c r="N323" s="14" t="s">
        <v>220</v>
      </c>
      <c r="O323" s="14">
        <v>50</v>
      </c>
      <c r="P323" s="13">
        <v>45</v>
      </c>
      <c r="Q323" s="13">
        <v>85</v>
      </c>
      <c r="R323" s="13" t="s">
        <v>17</v>
      </c>
      <c r="S323" s="13">
        <v>120</v>
      </c>
      <c r="T323" s="13">
        <v>0</v>
      </c>
      <c r="U323" s="13">
        <v>100</v>
      </c>
      <c r="V323" s="13" t="str">
        <f t="shared" si="1348"/>
        <v>ISO 6</v>
      </c>
      <c r="W323" s="13">
        <f t="shared" si="1349"/>
        <v>120</v>
      </c>
      <c r="X323" s="16">
        <f t="shared" si="1350"/>
        <v>54.445599999999992</v>
      </c>
      <c r="Y323" s="16">
        <f t="shared" si="1351"/>
        <v>428.59576319999991</v>
      </c>
      <c r="Z323" s="16">
        <f t="shared" si="1352"/>
        <v>857.19152639999982</v>
      </c>
      <c r="AA323" s="16">
        <f t="shared" si="1353"/>
        <v>85.71915263999999</v>
      </c>
      <c r="AB323" s="16">
        <f t="shared" si="1354"/>
        <v>857.19152639999982</v>
      </c>
      <c r="AC323" s="16" t="str">
        <f t="shared" si="1355"/>
        <v>Ambient</v>
      </c>
      <c r="AD323" s="16" t="str">
        <f t="shared" si="1424"/>
        <v>Ambient</v>
      </c>
      <c r="AE323" s="16">
        <f t="shared" si="1357"/>
        <v>950</v>
      </c>
      <c r="AF323" s="16">
        <f t="shared" si="1358"/>
        <v>6</v>
      </c>
      <c r="AG323" s="16" t="str">
        <f t="shared" si="1359"/>
        <v>Ambient</v>
      </c>
      <c r="AH323" s="838" t="s">
        <v>85</v>
      </c>
      <c r="AI323" s="17" t="str">
        <f t="shared" si="1360"/>
        <v>Ambient</v>
      </c>
      <c r="AJ323" s="17" t="str">
        <f t="shared" si="1361"/>
        <v>Ambient</v>
      </c>
      <c r="AK323" s="891"/>
      <c r="AL323" s="18"/>
      <c r="AM323" s="889"/>
      <c r="AN323" s="891"/>
      <c r="AO323" s="888"/>
      <c r="AP323" s="891"/>
      <c r="AQ323" s="891"/>
      <c r="AR323" s="889"/>
      <c r="AS323" s="888"/>
      <c r="AT323" s="888"/>
      <c r="AU323" s="890"/>
      <c r="AV323" s="888"/>
      <c r="AW323" s="888"/>
      <c r="AX323" s="888"/>
      <c r="AY323" s="887"/>
      <c r="AZ323" s="888"/>
      <c r="BA323" s="17" t="e">
        <f t="shared" si="1362"/>
        <v>#VALUE!</v>
      </c>
      <c r="BB323" s="17" t="e">
        <f t="shared" si="1363"/>
        <v>#VALUE!</v>
      </c>
      <c r="BC323" s="17" t="e">
        <f t="shared" si="1364"/>
        <v>#VALUE!</v>
      </c>
      <c r="BD323" s="17">
        <f t="shared" si="1365"/>
        <v>85</v>
      </c>
      <c r="BE323" s="17" t="e">
        <f t="shared" si="1366"/>
        <v>#VALUE!</v>
      </c>
      <c r="BF323" s="17" t="str">
        <f t="shared" si="1367"/>
        <v>amb</v>
      </c>
      <c r="BG323" s="17">
        <f t="shared" si="1368"/>
        <v>50</v>
      </c>
      <c r="BH323" s="17" t="e">
        <f t="shared" si="1369"/>
        <v>#VALUE!</v>
      </c>
      <c r="BI323" s="17" t="e">
        <f t="shared" si="1370"/>
        <v>#VALUE!</v>
      </c>
      <c r="BJ323" s="17">
        <f t="shared" si="1371"/>
        <v>45</v>
      </c>
      <c r="BK323" s="17">
        <f t="shared" si="1372"/>
        <v>85</v>
      </c>
      <c r="BL323" s="17">
        <f t="shared" si="1373"/>
        <v>380.54120080897206</v>
      </c>
      <c r="BM323" s="17" t="str">
        <f t="shared" si="1374"/>
        <v>amb</v>
      </c>
      <c r="BN323" s="17">
        <f t="shared" si="1375"/>
        <v>50</v>
      </c>
      <c r="BO323" s="17" t="e">
        <f t="shared" si="1376"/>
        <v>#VALUE!</v>
      </c>
      <c r="BP323" s="17" t="e">
        <f t="shared" si="1377"/>
        <v>#VALUE!</v>
      </c>
      <c r="BQ323" s="17" t="e">
        <f t="shared" si="1378"/>
        <v>#VALUE!</v>
      </c>
      <c r="BR323" s="17" t="e">
        <f t="shared" si="1379"/>
        <v>#VALUE!</v>
      </c>
      <c r="BS323" s="17" t="e">
        <f t="shared" si="1380"/>
        <v>#VALUE!</v>
      </c>
      <c r="BT323" s="17" t="e">
        <f t="shared" si="1381"/>
        <v>#VALUE!</v>
      </c>
      <c r="BU323" s="17" t="e">
        <f t="shared" si="1382"/>
        <v>#VALUE!</v>
      </c>
      <c r="BV323" s="17">
        <f t="shared" si="1383"/>
        <v>3412</v>
      </c>
      <c r="BW323" s="17">
        <f t="shared" si="1384"/>
        <v>325.0946775999999</v>
      </c>
      <c r="BX323" s="17" t="e">
        <f t="shared" si="1385"/>
        <v>#VALUE!</v>
      </c>
      <c r="BY323" s="17" t="e">
        <f t="shared" si="1386"/>
        <v>#VALUE!</v>
      </c>
      <c r="BZ323" s="17"/>
      <c r="CA323" s="17" t="e">
        <f t="shared" si="1387"/>
        <v>#VALUE!</v>
      </c>
      <c r="CB323" s="17" t="e">
        <f t="shared" si="1388"/>
        <v>#VALUE!</v>
      </c>
      <c r="CC323" s="17" t="e">
        <f t="shared" si="1389"/>
        <v>#VALUE!</v>
      </c>
      <c r="CD323" s="17" t="e">
        <f t="shared" si="1390"/>
        <v>#VALUE!</v>
      </c>
      <c r="CE323" s="17" t="e">
        <f t="shared" si="1391"/>
        <v>#VALUE!</v>
      </c>
      <c r="CF323" s="17" t="e">
        <f t="shared" si="1392"/>
        <v>#VALUE!</v>
      </c>
      <c r="CG323" s="17" t="e">
        <f t="shared" si="1393"/>
        <v>#VALUE!</v>
      </c>
      <c r="CH323" s="17" t="e">
        <f t="shared" si="1394"/>
        <v>#VALUE!</v>
      </c>
      <c r="CI323" s="17" t="e">
        <f t="shared" si="1395"/>
        <v>#VALUE!</v>
      </c>
      <c r="CJ323" s="17" t="e">
        <f t="shared" si="1396"/>
        <v>#VALUE!</v>
      </c>
      <c r="CK323" s="17">
        <f t="shared" si="1397"/>
        <v>90</v>
      </c>
      <c r="CL323" s="17" t="e">
        <f t="shared" si="1398"/>
        <v>#VALUE!</v>
      </c>
      <c r="CM323" s="17" t="str">
        <f t="shared" si="1399"/>
        <v>amb</v>
      </c>
      <c r="CN323" s="17">
        <f t="shared" si="1400"/>
        <v>50</v>
      </c>
      <c r="CO323" s="17" t="e">
        <f t="shared" si="1401"/>
        <v>#VALUE!</v>
      </c>
      <c r="CP323" s="17" t="e">
        <f t="shared" si="1402"/>
        <v>#VALUE!</v>
      </c>
      <c r="CQ323" s="17">
        <f t="shared" si="1403"/>
        <v>0</v>
      </c>
      <c r="CR323" s="17">
        <f t="shared" si="1404"/>
        <v>100</v>
      </c>
      <c r="CS323" s="17">
        <f t="shared" si="1405"/>
        <v>26.404773030064671</v>
      </c>
      <c r="CT323" s="17" t="str">
        <f t="shared" si="1406"/>
        <v>amb</v>
      </c>
      <c r="CU323" s="17">
        <f t="shared" si="1407"/>
        <v>50</v>
      </c>
      <c r="CV323" s="17" t="e">
        <f t="shared" si="1408"/>
        <v>#VALUE!</v>
      </c>
      <c r="CW323" s="17" t="e">
        <f t="shared" si="1409"/>
        <v>#VALUE!</v>
      </c>
      <c r="CX323" s="17" t="e">
        <f t="shared" si="1347"/>
        <v>#VALUE!</v>
      </c>
      <c r="CY323" s="17" t="e">
        <f t="shared" si="1347"/>
        <v>#VALUE!</v>
      </c>
      <c r="CZ323" s="17" t="e">
        <f t="shared" si="1410"/>
        <v>#VALUE!</v>
      </c>
      <c r="DA323" s="17" t="e">
        <f t="shared" si="1411"/>
        <v>#VALUE!</v>
      </c>
      <c r="DB323" s="17" t="e">
        <f t="shared" si="1412"/>
        <v>#VALUE!</v>
      </c>
      <c r="DC323" s="17">
        <f t="shared" si="1413"/>
        <v>3412</v>
      </c>
      <c r="DD323" s="17">
        <f t="shared" si="1414"/>
        <v>325.0946775999999</v>
      </c>
      <c r="DE323" s="17" t="e">
        <f t="shared" si="1415"/>
        <v>#VALUE!</v>
      </c>
      <c r="DF323" s="17" t="e">
        <f t="shared" si="1416"/>
        <v>#VALUE!</v>
      </c>
      <c r="DG323" s="17"/>
      <c r="DH323" s="17" t="e">
        <f t="shared" si="1417"/>
        <v>#VALUE!</v>
      </c>
      <c r="DI323" s="17" t="e">
        <f t="shared" si="1418"/>
        <v>#VALUE!</v>
      </c>
      <c r="DJ323" s="17" t="e">
        <f t="shared" si="1419"/>
        <v>#VALUE!</v>
      </c>
      <c r="DK323" s="17" t="e">
        <f t="shared" si="1420"/>
        <v>#VALUE!</v>
      </c>
      <c r="DL323" s="17" t="e">
        <f t="shared" si="1421"/>
        <v>#VALUE!</v>
      </c>
      <c r="DM323" s="17" t="e">
        <f t="shared" si="1422"/>
        <v>#VALUE!</v>
      </c>
      <c r="DN323" s="17" t="e">
        <f t="shared" si="1423"/>
        <v>#VALUE!</v>
      </c>
    </row>
    <row r="324" spans="3:120" ht="18.600000000000001">
      <c r="C324" s="13">
        <f>IF(D324&lt;&gt;"",COUNTA($D$10:D324),"")</f>
        <v>270</v>
      </c>
      <c r="D324" s="14" t="s">
        <v>214</v>
      </c>
      <c r="E324" s="14">
        <v>2.2000000000000002</v>
      </c>
      <c r="F324" s="14">
        <v>2.8</v>
      </c>
      <c r="G324" s="14">
        <v>2.4</v>
      </c>
      <c r="H324" s="14">
        <v>2</v>
      </c>
      <c r="I324" s="14">
        <v>1</v>
      </c>
      <c r="J324" s="14">
        <v>1.75</v>
      </c>
      <c r="K324" s="14">
        <v>3</v>
      </c>
      <c r="L324" s="15">
        <v>0.1</v>
      </c>
      <c r="M324" s="15">
        <v>0</v>
      </c>
      <c r="N324" s="14" t="s">
        <v>220</v>
      </c>
      <c r="O324" s="14">
        <v>50</v>
      </c>
      <c r="P324" s="13">
        <v>45</v>
      </c>
      <c r="Q324" s="13">
        <v>85</v>
      </c>
      <c r="R324" s="13" t="s">
        <v>17</v>
      </c>
      <c r="S324" s="13">
        <v>120</v>
      </c>
      <c r="T324" s="13">
        <v>0</v>
      </c>
      <c r="U324" s="13">
        <v>100</v>
      </c>
      <c r="V324" s="13" t="str">
        <f t="shared" si="1348"/>
        <v>ISO 6</v>
      </c>
      <c r="W324" s="13">
        <f t="shared" si="1349"/>
        <v>120</v>
      </c>
      <c r="X324" s="16">
        <f t="shared" si="1350"/>
        <v>66.281599999999997</v>
      </c>
      <c r="Y324" s="16">
        <f t="shared" si="1351"/>
        <v>521.76875519999999</v>
      </c>
      <c r="Z324" s="16">
        <f t="shared" si="1352"/>
        <v>1043.5375104</v>
      </c>
      <c r="AA324" s="16">
        <f t="shared" si="1353"/>
        <v>104.35375104000001</v>
      </c>
      <c r="AB324" s="16">
        <f t="shared" si="1354"/>
        <v>1043.5375104</v>
      </c>
      <c r="AC324" s="16" t="str">
        <f t="shared" si="1355"/>
        <v>Ambient</v>
      </c>
      <c r="AD324" s="16" t="str">
        <f t="shared" si="1424"/>
        <v>Ambient</v>
      </c>
      <c r="AE324" s="16">
        <f t="shared" si="1357"/>
        <v>1150</v>
      </c>
      <c r="AF324" s="16">
        <f t="shared" si="1358"/>
        <v>8</v>
      </c>
      <c r="AG324" s="16" t="str">
        <f t="shared" si="1359"/>
        <v>Ambient</v>
      </c>
      <c r="AH324" s="838" t="s">
        <v>85</v>
      </c>
      <c r="AI324" s="17" t="str">
        <f t="shared" si="1360"/>
        <v>Ambient</v>
      </c>
      <c r="AJ324" s="17" t="str">
        <f t="shared" si="1361"/>
        <v>Ambient</v>
      </c>
      <c r="AK324" s="891"/>
      <c r="AL324" s="18"/>
      <c r="AM324" s="889"/>
      <c r="AN324" s="891"/>
      <c r="AO324" s="888"/>
      <c r="AP324" s="891"/>
      <c r="AQ324" s="891"/>
      <c r="AR324" s="889"/>
      <c r="AS324" s="888"/>
      <c r="AT324" s="888"/>
      <c r="AU324" s="890"/>
      <c r="AV324" s="888"/>
      <c r="AW324" s="888"/>
      <c r="AX324" s="888"/>
      <c r="AY324" s="887"/>
      <c r="AZ324" s="888"/>
      <c r="BA324" s="17" t="e">
        <f t="shared" si="1362"/>
        <v>#VALUE!</v>
      </c>
      <c r="BB324" s="17" t="e">
        <f t="shared" si="1363"/>
        <v>#VALUE!</v>
      </c>
      <c r="BC324" s="17" t="e">
        <f t="shared" si="1364"/>
        <v>#VALUE!</v>
      </c>
      <c r="BD324" s="17">
        <f t="shared" si="1365"/>
        <v>85</v>
      </c>
      <c r="BE324" s="17" t="e">
        <f t="shared" si="1366"/>
        <v>#VALUE!</v>
      </c>
      <c r="BF324" s="17" t="str">
        <f t="shared" si="1367"/>
        <v>amb</v>
      </c>
      <c r="BG324" s="17">
        <f t="shared" si="1368"/>
        <v>50</v>
      </c>
      <c r="BH324" s="17" t="e">
        <f t="shared" si="1369"/>
        <v>#VALUE!</v>
      </c>
      <c r="BI324" s="17" t="e">
        <f t="shared" si="1370"/>
        <v>#VALUE!</v>
      </c>
      <c r="BJ324" s="17">
        <f t="shared" si="1371"/>
        <v>45</v>
      </c>
      <c r="BK324" s="17">
        <f t="shared" si="1372"/>
        <v>85</v>
      </c>
      <c r="BL324" s="17">
        <f t="shared" si="1373"/>
        <v>380.54120080897206</v>
      </c>
      <c r="BM324" s="17" t="str">
        <f t="shared" si="1374"/>
        <v>amb</v>
      </c>
      <c r="BN324" s="17">
        <f t="shared" si="1375"/>
        <v>50</v>
      </c>
      <c r="BO324" s="17" t="e">
        <f t="shared" si="1376"/>
        <v>#VALUE!</v>
      </c>
      <c r="BP324" s="17" t="e">
        <f t="shared" si="1377"/>
        <v>#VALUE!</v>
      </c>
      <c r="BQ324" s="17" t="e">
        <f t="shared" si="1378"/>
        <v>#VALUE!</v>
      </c>
      <c r="BR324" s="17" t="e">
        <f t="shared" si="1379"/>
        <v>#VALUE!</v>
      </c>
      <c r="BS324" s="17" t="e">
        <f t="shared" si="1380"/>
        <v>#VALUE!</v>
      </c>
      <c r="BT324" s="17" t="e">
        <f t="shared" si="1381"/>
        <v>#VALUE!</v>
      </c>
      <c r="BU324" s="17" t="e">
        <f t="shared" si="1382"/>
        <v>#VALUE!</v>
      </c>
      <c r="BV324" s="17">
        <f t="shared" si="1383"/>
        <v>3412</v>
      </c>
      <c r="BW324" s="17">
        <f t="shared" si="1384"/>
        <v>395.76743359999995</v>
      </c>
      <c r="BX324" s="17" t="e">
        <f t="shared" si="1385"/>
        <v>#VALUE!</v>
      </c>
      <c r="BY324" s="17" t="e">
        <f t="shared" si="1386"/>
        <v>#VALUE!</v>
      </c>
      <c r="BZ324" s="17"/>
      <c r="CA324" s="17" t="e">
        <f t="shared" si="1387"/>
        <v>#VALUE!</v>
      </c>
      <c r="CB324" s="17" t="e">
        <f t="shared" si="1388"/>
        <v>#VALUE!</v>
      </c>
      <c r="CC324" s="17" t="e">
        <f t="shared" si="1389"/>
        <v>#VALUE!</v>
      </c>
      <c r="CD324" s="17" t="e">
        <f t="shared" si="1390"/>
        <v>#VALUE!</v>
      </c>
      <c r="CE324" s="17" t="e">
        <f t="shared" si="1391"/>
        <v>#VALUE!</v>
      </c>
      <c r="CF324" s="17" t="e">
        <f t="shared" si="1392"/>
        <v>#VALUE!</v>
      </c>
      <c r="CG324" s="17" t="e">
        <f t="shared" si="1393"/>
        <v>#VALUE!</v>
      </c>
      <c r="CH324" s="17" t="e">
        <f t="shared" si="1394"/>
        <v>#VALUE!</v>
      </c>
      <c r="CI324" s="17" t="e">
        <f t="shared" si="1395"/>
        <v>#VALUE!</v>
      </c>
      <c r="CJ324" s="17" t="e">
        <f t="shared" si="1396"/>
        <v>#VALUE!</v>
      </c>
      <c r="CK324" s="17">
        <f t="shared" si="1397"/>
        <v>90</v>
      </c>
      <c r="CL324" s="17" t="e">
        <f t="shared" si="1398"/>
        <v>#VALUE!</v>
      </c>
      <c r="CM324" s="17" t="str">
        <f t="shared" si="1399"/>
        <v>amb</v>
      </c>
      <c r="CN324" s="17">
        <f t="shared" si="1400"/>
        <v>50</v>
      </c>
      <c r="CO324" s="17" t="e">
        <f t="shared" si="1401"/>
        <v>#VALUE!</v>
      </c>
      <c r="CP324" s="17" t="e">
        <f t="shared" si="1402"/>
        <v>#VALUE!</v>
      </c>
      <c r="CQ324" s="17">
        <f t="shared" si="1403"/>
        <v>0</v>
      </c>
      <c r="CR324" s="17">
        <f t="shared" si="1404"/>
        <v>100</v>
      </c>
      <c r="CS324" s="17">
        <f t="shared" si="1405"/>
        <v>26.404773030064671</v>
      </c>
      <c r="CT324" s="17" t="str">
        <f t="shared" si="1406"/>
        <v>amb</v>
      </c>
      <c r="CU324" s="17">
        <f t="shared" si="1407"/>
        <v>50</v>
      </c>
      <c r="CV324" s="17" t="e">
        <f t="shared" si="1408"/>
        <v>#VALUE!</v>
      </c>
      <c r="CW324" s="17" t="e">
        <f t="shared" si="1409"/>
        <v>#VALUE!</v>
      </c>
      <c r="CX324" s="17" t="e">
        <f t="shared" si="1347"/>
        <v>#VALUE!</v>
      </c>
      <c r="CY324" s="17" t="e">
        <f t="shared" si="1347"/>
        <v>#VALUE!</v>
      </c>
      <c r="CZ324" s="17" t="e">
        <f t="shared" si="1410"/>
        <v>#VALUE!</v>
      </c>
      <c r="DA324" s="17" t="e">
        <f t="shared" si="1411"/>
        <v>#VALUE!</v>
      </c>
      <c r="DB324" s="17" t="e">
        <f t="shared" si="1412"/>
        <v>#VALUE!</v>
      </c>
      <c r="DC324" s="17">
        <f t="shared" si="1413"/>
        <v>3412</v>
      </c>
      <c r="DD324" s="17">
        <f t="shared" si="1414"/>
        <v>395.76743359999995</v>
      </c>
      <c r="DE324" s="17" t="e">
        <f t="shared" si="1415"/>
        <v>#VALUE!</v>
      </c>
      <c r="DF324" s="17" t="e">
        <f t="shared" si="1416"/>
        <v>#VALUE!</v>
      </c>
      <c r="DG324" s="17"/>
      <c r="DH324" s="17" t="e">
        <f t="shared" si="1417"/>
        <v>#VALUE!</v>
      </c>
      <c r="DI324" s="17" t="e">
        <f t="shared" si="1418"/>
        <v>#VALUE!</v>
      </c>
      <c r="DJ324" s="17" t="e">
        <f t="shared" si="1419"/>
        <v>#VALUE!</v>
      </c>
      <c r="DK324" s="17" t="e">
        <f t="shared" si="1420"/>
        <v>#VALUE!</v>
      </c>
      <c r="DL324" s="17" t="e">
        <f t="shared" si="1421"/>
        <v>#VALUE!</v>
      </c>
      <c r="DM324" s="17" t="e">
        <f t="shared" si="1422"/>
        <v>#VALUE!</v>
      </c>
      <c r="DN324" s="17" t="e">
        <f t="shared" si="1423"/>
        <v>#VALUE!</v>
      </c>
    </row>
    <row r="325" spans="3:120" ht="18.600000000000001">
      <c r="C325" s="13">
        <f>IF(D325&lt;&gt;"",COUNTA($D$10:D325),"")</f>
        <v>271</v>
      </c>
      <c r="D325" s="14" t="s">
        <v>215</v>
      </c>
      <c r="E325" s="14">
        <v>2.8</v>
      </c>
      <c r="F325" s="14">
        <v>2.4</v>
      </c>
      <c r="G325" s="14">
        <v>2.4</v>
      </c>
      <c r="H325" s="14">
        <v>2</v>
      </c>
      <c r="I325" s="14">
        <v>1</v>
      </c>
      <c r="J325" s="14">
        <v>1.75</v>
      </c>
      <c r="K325" s="14">
        <v>3</v>
      </c>
      <c r="L325" s="15">
        <v>0.1</v>
      </c>
      <c r="M325" s="15">
        <v>0</v>
      </c>
      <c r="N325" s="14" t="s">
        <v>220</v>
      </c>
      <c r="O325" s="14">
        <v>50</v>
      </c>
      <c r="P325" s="13">
        <v>45</v>
      </c>
      <c r="Q325" s="13">
        <v>85</v>
      </c>
      <c r="R325" s="13" t="s">
        <v>17</v>
      </c>
      <c r="S325" s="13">
        <v>120</v>
      </c>
      <c r="T325" s="13">
        <v>0</v>
      </c>
      <c r="U325" s="13">
        <v>100</v>
      </c>
      <c r="V325" s="13" t="str">
        <f t="shared" si="1348"/>
        <v>ISO 6</v>
      </c>
      <c r="W325" s="13">
        <f t="shared" si="1349"/>
        <v>120</v>
      </c>
      <c r="X325" s="16">
        <f t="shared" si="1350"/>
        <v>72.307199999999995</v>
      </c>
      <c r="Y325" s="16">
        <f t="shared" si="1351"/>
        <v>569.20227839999995</v>
      </c>
      <c r="Z325" s="16">
        <f t="shared" si="1352"/>
        <v>1138.4045567999999</v>
      </c>
      <c r="AA325" s="16">
        <f t="shared" si="1353"/>
        <v>113.84045567999999</v>
      </c>
      <c r="AB325" s="16">
        <f t="shared" si="1354"/>
        <v>1138.4045567999999</v>
      </c>
      <c r="AC325" s="16" t="str">
        <f t="shared" si="1355"/>
        <v>Ambient</v>
      </c>
      <c r="AD325" s="16" t="str">
        <f t="shared" si="1424"/>
        <v>Ambient</v>
      </c>
      <c r="AE325" s="16">
        <f t="shared" si="1357"/>
        <v>1275</v>
      </c>
      <c r="AF325" s="16">
        <f t="shared" si="1358"/>
        <v>8</v>
      </c>
      <c r="AG325" s="16" t="str">
        <f t="shared" si="1359"/>
        <v>Ambient</v>
      </c>
      <c r="AH325" s="838" t="s">
        <v>85</v>
      </c>
      <c r="AI325" s="17" t="str">
        <f t="shared" si="1360"/>
        <v>Ambient</v>
      </c>
      <c r="AJ325" s="17" t="str">
        <f t="shared" si="1361"/>
        <v>Ambient</v>
      </c>
      <c r="AK325" s="891"/>
      <c r="AL325" s="18"/>
      <c r="AM325" s="889"/>
      <c r="AN325" s="891"/>
      <c r="AO325" s="888"/>
      <c r="AP325" s="891"/>
      <c r="AQ325" s="891"/>
      <c r="AR325" s="889"/>
      <c r="AS325" s="888"/>
      <c r="AT325" s="888"/>
      <c r="AU325" s="890"/>
      <c r="AV325" s="888"/>
      <c r="AW325" s="888"/>
      <c r="AX325" s="888"/>
      <c r="AY325" s="887"/>
      <c r="AZ325" s="888"/>
      <c r="BA325" s="17" t="e">
        <f t="shared" si="1362"/>
        <v>#VALUE!</v>
      </c>
      <c r="BB325" s="17" t="e">
        <f t="shared" si="1363"/>
        <v>#VALUE!</v>
      </c>
      <c r="BC325" s="17" t="e">
        <f t="shared" si="1364"/>
        <v>#VALUE!</v>
      </c>
      <c r="BD325" s="17">
        <f t="shared" si="1365"/>
        <v>85</v>
      </c>
      <c r="BE325" s="17" t="e">
        <f t="shared" si="1366"/>
        <v>#VALUE!</v>
      </c>
      <c r="BF325" s="17" t="str">
        <f t="shared" si="1367"/>
        <v>amb</v>
      </c>
      <c r="BG325" s="17">
        <f t="shared" si="1368"/>
        <v>50</v>
      </c>
      <c r="BH325" s="17" t="e">
        <f t="shared" si="1369"/>
        <v>#VALUE!</v>
      </c>
      <c r="BI325" s="17" t="e">
        <f t="shared" si="1370"/>
        <v>#VALUE!</v>
      </c>
      <c r="BJ325" s="17">
        <f t="shared" si="1371"/>
        <v>45</v>
      </c>
      <c r="BK325" s="17">
        <f t="shared" si="1372"/>
        <v>85</v>
      </c>
      <c r="BL325" s="17">
        <f t="shared" si="1373"/>
        <v>380.54120080897206</v>
      </c>
      <c r="BM325" s="17" t="str">
        <f t="shared" si="1374"/>
        <v>amb</v>
      </c>
      <c r="BN325" s="17">
        <f t="shared" si="1375"/>
        <v>50</v>
      </c>
      <c r="BO325" s="17" t="e">
        <f t="shared" si="1376"/>
        <v>#VALUE!</v>
      </c>
      <c r="BP325" s="17" t="e">
        <f t="shared" si="1377"/>
        <v>#VALUE!</v>
      </c>
      <c r="BQ325" s="17" t="e">
        <f t="shared" si="1378"/>
        <v>#VALUE!</v>
      </c>
      <c r="BR325" s="17" t="e">
        <f t="shared" si="1379"/>
        <v>#VALUE!</v>
      </c>
      <c r="BS325" s="17" t="e">
        <f t="shared" si="1380"/>
        <v>#VALUE!</v>
      </c>
      <c r="BT325" s="17" t="e">
        <f t="shared" si="1381"/>
        <v>#VALUE!</v>
      </c>
      <c r="BU325" s="17" t="e">
        <f t="shared" si="1382"/>
        <v>#VALUE!</v>
      </c>
      <c r="BV325" s="17">
        <f t="shared" si="1383"/>
        <v>3412</v>
      </c>
      <c r="BW325" s="17">
        <f t="shared" si="1384"/>
        <v>431.74629119999997</v>
      </c>
      <c r="BX325" s="17" t="e">
        <f t="shared" si="1385"/>
        <v>#VALUE!</v>
      </c>
      <c r="BY325" s="17" t="e">
        <f t="shared" si="1386"/>
        <v>#VALUE!</v>
      </c>
      <c r="BZ325" s="17"/>
      <c r="CA325" s="17" t="e">
        <f t="shared" si="1387"/>
        <v>#VALUE!</v>
      </c>
      <c r="CB325" s="17" t="e">
        <f t="shared" si="1388"/>
        <v>#VALUE!</v>
      </c>
      <c r="CC325" s="17" t="e">
        <f t="shared" si="1389"/>
        <v>#VALUE!</v>
      </c>
      <c r="CD325" s="17" t="e">
        <f t="shared" si="1390"/>
        <v>#VALUE!</v>
      </c>
      <c r="CE325" s="17" t="e">
        <f t="shared" si="1391"/>
        <v>#VALUE!</v>
      </c>
      <c r="CF325" s="17" t="e">
        <f t="shared" si="1392"/>
        <v>#VALUE!</v>
      </c>
      <c r="CG325" s="17" t="e">
        <f t="shared" si="1393"/>
        <v>#VALUE!</v>
      </c>
      <c r="CH325" s="17" t="e">
        <f t="shared" si="1394"/>
        <v>#VALUE!</v>
      </c>
      <c r="CI325" s="17" t="e">
        <f t="shared" si="1395"/>
        <v>#VALUE!</v>
      </c>
      <c r="CJ325" s="17" t="e">
        <f t="shared" si="1396"/>
        <v>#VALUE!</v>
      </c>
      <c r="CK325" s="17">
        <f t="shared" si="1397"/>
        <v>90</v>
      </c>
      <c r="CL325" s="17" t="e">
        <f t="shared" si="1398"/>
        <v>#VALUE!</v>
      </c>
      <c r="CM325" s="17" t="str">
        <f t="shared" si="1399"/>
        <v>amb</v>
      </c>
      <c r="CN325" s="17">
        <f t="shared" si="1400"/>
        <v>50</v>
      </c>
      <c r="CO325" s="17" t="e">
        <f t="shared" si="1401"/>
        <v>#VALUE!</v>
      </c>
      <c r="CP325" s="17" t="e">
        <f t="shared" si="1402"/>
        <v>#VALUE!</v>
      </c>
      <c r="CQ325" s="17">
        <f t="shared" si="1403"/>
        <v>0</v>
      </c>
      <c r="CR325" s="17">
        <f t="shared" si="1404"/>
        <v>100</v>
      </c>
      <c r="CS325" s="17">
        <f t="shared" si="1405"/>
        <v>26.404773030064671</v>
      </c>
      <c r="CT325" s="17" t="str">
        <f t="shared" si="1406"/>
        <v>amb</v>
      </c>
      <c r="CU325" s="17">
        <f t="shared" si="1407"/>
        <v>50</v>
      </c>
      <c r="CV325" s="17" t="e">
        <f t="shared" si="1408"/>
        <v>#VALUE!</v>
      </c>
      <c r="CW325" s="17" t="e">
        <f t="shared" si="1409"/>
        <v>#VALUE!</v>
      </c>
      <c r="CX325" s="17" t="e">
        <f t="shared" si="1347"/>
        <v>#VALUE!</v>
      </c>
      <c r="CY325" s="17" t="e">
        <f t="shared" si="1347"/>
        <v>#VALUE!</v>
      </c>
      <c r="CZ325" s="17" t="e">
        <f t="shared" si="1410"/>
        <v>#VALUE!</v>
      </c>
      <c r="DA325" s="17" t="e">
        <f t="shared" si="1411"/>
        <v>#VALUE!</v>
      </c>
      <c r="DB325" s="17" t="e">
        <f t="shared" si="1412"/>
        <v>#VALUE!</v>
      </c>
      <c r="DC325" s="17">
        <f t="shared" si="1413"/>
        <v>3412</v>
      </c>
      <c r="DD325" s="17">
        <f t="shared" si="1414"/>
        <v>431.74629119999997</v>
      </c>
      <c r="DE325" s="17" t="e">
        <f t="shared" si="1415"/>
        <v>#VALUE!</v>
      </c>
      <c r="DF325" s="17" t="e">
        <f t="shared" si="1416"/>
        <v>#VALUE!</v>
      </c>
      <c r="DG325" s="17"/>
      <c r="DH325" s="17" t="e">
        <f t="shared" si="1417"/>
        <v>#VALUE!</v>
      </c>
      <c r="DI325" s="17" t="e">
        <f t="shared" si="1418"/>
        <v>#VALUE!</v>
      </c>
      <c r="DJ325" s="17" t="e">
        <f t="shared" si="1419"/>
        <v>#VALUE!</v>
      </c>
      <c r="DK325" s="17" t="e">
        <f t="shared" si="1420"/>
        <v>#VALUE!</v>
      </c>
      <c r="DL325" s="17" t="e">
        <f t="shared" si="1421"/>
        <v>#VALUE!</v>
      </c>
      <c r="DM325" s="17" t="e">
        <f t="shared" si="1422"/>
        <v>#VALUE!</v>
      </c>
      <c r="DN325" s="17" t="e">
        <f t="shared" si="1423"/>
        <v>#VALUE!</v>
      </c>
    </row>
    <row r="326" spans="3:120">
      <c r="C326" s="19"/>
      <c r="D326" s="19"/>
      <c r="E326" s="19"/>
      <c r="F326" s="19"/>
      <c r="G326" s="19"/>
      <c r="H326" s="19"/>
      <c r="I326" s="19"/>
      <c r="J326" s="19"/>
      <c r="K326" s="19"/>
      <c r="L326" s="19"/>
      <c r="M326" s="19"/>
      <c r="N326" s="19"/>
      <c r="O326" s="19"/>
      <c r="P326" s="19"/>
      <c r="Q326" s="19"/>
      <c r="R326" s="19"/>
      <c r="S326" s="19"/>
      <c r="T326" s="19"/>
      <c r="U326" s="19"/>
      <c r="V326" s="19"/>
      <c r="W326" s="19"/>
      <c r="X326" s="20">
        <f>SUM(X310:X325)</f>
        <v>1144.1108000000002</v>
      </c>
      <c r="Y326" s="20">
        <f t="shared" ref="Y326:AG326" si="1425">SUM(Y310:Y325)</f>
        <v>9006.4402175999985</v>
      </c>
      <c r="Z326" s="20">
        <f t="shared" si="1425"/>
        <v>18012.880435199997</v>
      </c>
      <c r="AA326" s="20">
        <f t="shared" si="1425"/>
        <v>1801.2880435199995</v>
      </c>
      <c r="AB326" s="20">
        <f t="shared" si="1425"/>
        <v>18012.880435199997</v>
      </c>
      <c r="AC326" s="20">
        <f t="shared" si="1425"/>
        <v>0</v>
      </c>
      <c r="AD326" s="20">
        <f t="shared" si="1425"/>
        <v>0</v>
      </c>
      <c r="AE326" s="20">
        <f t="shared" si="1425"/>
        <v>20000</v>
      </c>
      <c r="AF326" s="20">
        <f t="shared" si="1425"/>
        <v>130</v>
      </c>
      <c r="AG326" s="20">
        <f t="shared" si="1425"/>
        <v>0</v>
      </c>
      <c r="AH326" s="841"/>
      <c r="AI326" s="20">
        <f t="shared" ref="AI326:AJ326" si="1426">SUM(AI310:AI325)</f>
        <v>0</v>
      </c>
      <c r="AJ326" s="20">
        <f t="shared" si="1426"/>
        <v>0</v>
      </c>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2"/>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row>
    <row r="328" spans="3:120" ht="29.1">
      <c r="C328" s="8" t="str">
        <f>"Zoning Area  AHU - " &amp; INT((ROW()-8)/20)+1 &amp; "  " &amp;IF(AQ330&gt;0,"Air-Conditioning System " &amp; IF(AH330="D","(DX)",IF(AH330="C","(Chilled Water)","")),IF(AND(N330="Amb",AQ330=0),"Ventilation System","Refer"))</f>
        <v>Zoning Area  AHU - 17  Air-Conditioning System (Chilled Water)</v>
      </c>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39"/>
      <c r="AI328" s="8"/>
      <c r="AJ328" s="8"/>
      <c r="AK328" s="8"/>
      <c r="AL328" s="8"/>
      <c r="AM328" s="8"/>
      <c r="AN328" s="8"/>
      <c r="AO328" s="8"/>
      <c r="AP328" s="8"/>
      <c r="AQ328" s="8"/>
      <c r="AR328" s="8"/>
      <c r="AS328" s="9" t="s">
        <v>221</v>
      </c>
      <c r="AT328" s="10"/>
      <c r="AU328" s="10"/>
      <c r="AV328" s="11"/>
      <c r="AW328" s="9" t="s">
        <v>222</v>
      </c>
      <c r="AX328" s="10"/>
      <c r="AY328" s="10"/>
      <c r="AZ328" s="11"/>
      <c r="BA328" s="12" t="s">
        <v>483</v>
      </c>
      <c r="BB328" s="12"/>
      <c r="BC328" s="12"/>
      <c r="BD328" s="12"/>
      <c r="BE328" s="12"/>
      <c r="BF328" s="12"/>
      <c r="BG328" s="12"/>
      <c r="BH328" s="12"/>
      <c r="BI328" s="12"/>
      <c r="BJ328" s="12"/>
      <c r="BK328" s="12"/>
      <c r="BL328" s="12"/>
      <c r="BM328" s="12"/>
      <c r="BN328" s="12"/>
      <c r="BO328" s="12"/>
      <c r="BP328" s="12"/>
      <c r="BQ328" s="9" t="s">
        <v>484</v>
      </c>
      <c r="BR328" s="10"/>
      <c r="BS328" s="10"/>
      <c r="BT328" s="10"/>
      <c r="BU328" s="10"/>
      <c r="BV328" s="10"/>
      <c r="BW328" s="10"/>
      <c r="BX328" s="10"/>
      <c r="BY328" s="10"/>
      <c r="BZ328" s="11"/>
      <c r="CA328" s="9" t="s">
        <v>485</v>
      </c>
      <c r="CB328" s="10"/>
      <c r="CC328" s="10"/>
      <c r="CD328" s="10"/>
      <c r="CE328" s="9" t="s">
        <v>486</v>
      </c>
      <c r="CF328" s="10"/>
      <c r="CG328" s="11"/>
      <c r="CH328" s="12" t="s">
        <v>487</v>
      </c>
      <c r="CI328" s="12"/>
      <c r="CJ328" s="12"/>
      <c r="CK328" s="12"/>
      <c r="CL328" s="12"/>
      <c r="CM328" s="12"/>
      <c r="CN328" s="12"/>
      <c r="CO328" s="12"/>
      <c r="CP328" s="12"/>
      <c r="CQ328" s="12"/>
      <c r="CR328" s="12"/>
      <c r="CS328" s="12"/>
      <c r="CT328" s="12"/>
      <c r="CU328" s="12"/>
      <c r="CV328" s="12"/>
      <c r="CW328" s="12"/>
      <c r="CX328" s="9" t="s">
        <v>488</v>
      </c>
      <c r="CY328" s="10"/>
      <c r="CZ328" s="10"/>
      <c r="DA328" s="10"/>
      <c r="DB328" s="10"/>
      <c r="DC328" s="10"/>
      <c r="DD328" s="10"/>
      <c r="DE328" s="10"/>
      <c r="DF328" s="10"/>
      <c r="DG328" s="11"/>
      <c r="DH328" s="9" t="s">
        <v>489</v>
      </c>
      <c r="DI328" s="10"/>
      <c r="DJ328" s="10"/>
      <c r="DK328" s="10"/>
      <c r="DL328" s="9"/>
      <c r="DM328" s="10"/>
      <c r="DN328" s="11"/>
      <c r="DO328" s="1"/>
      <c r="DP328" s="1"/>
    </row>
    <row r="329" spans="3:120" ht="120" customHeight="1">
      <c r="C329" s="13">
        <f>IF(D329&lt;&gt;"",COUNTA($D$10:D329),"")</f>
        <v>272</v>
      </c>
      <c r="D329" s="5" t="s">
        <v>165</v>
      </c>
      <c r="E329" s="5" t="s">
        <v>166</v>
      </c>
      <c r="F329" s="5" t="s">
        <v>167</v>
      </c>
      <c r="G329" s="5" t="s">
        <v>168</v>
      </c>
      <c r="H329" s="5" t="s">
        <v>169</v>
      </c>
      <c r="I329" s="5" t="s">
        <v>170</v>
      </c>
      <c r="J329" s="5" t="s">
        <v>171</v>
      </c>
      <c r="K329" s="5" t="s">
        <v>172</v>
      </c>
      <c r="L329" s="5" t="s">
        <v>173</v>
      </c>
      <c r="M329" s="5" t="s">
        <v>174</v>
      </c>
      <c r="N329" s="5" t="s">
        <v>175</v>
      </c>
      <c r="O329" s="5" t="s">
        <v>176</v>
      </c>
      <c r="P329" s="5" t="s">
        <v>177</v>
      </c>
      <c r="Q329" s="5" t="s">
        <v>178</v>
      </c>
      <c r="R329" s="5" t="s">
        <v>199</v>
      </c>
      <c r="S329" s="5" t="s">
        <v>180</v>
      </c>
      <c r="T329" s="5" t="s">
        <v>223</v>
      </c>
      <c r="U329" s="5" t="s">
        <v>224</v>
      </c>
      <c r="V329" s="5" t="s">
        <v>199</v>
      </c>
      <c r="W329" s="5" t="s">
        <v>180</v>
      </c>
      <c r="X329" s="5" t="s">
        <v>225</v>
      </c>
      <c r="Y329" s="5" t="s">
        <v>226</v>
      </c>
      <c r="Z329" s="5" t="s">
        <v>227</v>
      </c>
      <c r="AA329" s="5" t="s">
        <v>228</v>
      </c>
      <c r="AB329" s="5" t="s">
        <v>229</v>
      </c>
      <c r="AC329" s="5" t="s">
        <v>230</v>
      </c>
      <c r="AD329" s="5" t="s">
        <v>231</v>
      </c>
      <c r="AE329" s="5" t="s">
        <v>232</v>
      </c>
      <c r="AF329" s="6" t="s">
        <v>233</v>
      </c>
      <c r="AG329" s="6" t="s">
        <v>234</v>
      </c>
      <c r="AH329" s="6" t="s">
        <v>235</v>
      </c>
      <c r="AI329" s="5" t="s">
        <v>236</v>
      </c>
      <c r="AJ329" s="5" t="s">
        <v>237</v>
      </c>
      <c r="AK329" s="5" t="s">
        <v>238</v>
      </c>
      <c r="AL329" s="5" t="s">
        <v>239</v>
      </c>
      <c r="AM329" s="5" t="s">
        <v>240</v>
      </c>
      <c r="AN329" s="5" t="s">
        <v>241</v>
      </c>
      <c r="AO329" s="5" t="s">
        <v>242</v>
      </c>
      <c r="AP329" s="5" t="s">
        <v>243</v>
      </c>
      <c r="AQ329" s="5" t="s">
        <v>244</v>
      </c>
      <c r="AR329" s="5" t="s">
        <v>245</v>
      </c>
      <c r="AS329" s="5" t="s">
        <v>246</v>
      </c>
      <c r="AT329" s="5" t="s">
        <v>247</v>
      </c>
      <c r="AU329" s="5" t="s">
        <v>248</v>
      </c>
      <c r="AV329" s="5" t="s">
        <v>249</v>
      </c>
      <c r="AW329" s="5" t="s">
        <v>250</v>
      </c>
      <c r="AX329" s="5" t="s">
        <v>251</v>
      </c>
      <c r="AY329" s="5" t="s">
        <v>252</v>
      </c>
      <c r="AZ329" s="5" t="s">
        <v>253</v>
      </c>
      <c r="BA329" s="5" t="s">
        <v>490</v>
      </c>
      <c r="BB329" s="5" t="s">
        <v>491</v>
      </c>
      <c r="BC329" s="5" t="s">
        <v>492</v>
      </c>
      <c r="BD329" s="5" t="s">
        <v>493</v>
      </c>
      <c r="BE329" s="5" t="s">
        <v>494</v>
      </c>
      <c r="BF329" s="5" t="s">
        <v>492</v>
      </c>
      <c r="BG329" s="5" t="s">
        <v>493</v>
      </c>
      <c r="BH329" s="5" t="s">
        <v>495</v>
      </c>
      <c r="BI329" s="5" t="s">
        <v>496</v>
      </c>
      <c r="BJ329" s="5" t="s">
        <v>492</v>
      </c>
      <c r="BK329" s="5" t="s">
        <v>493</v>
      </c>
      <c r="BL329" s="5" t="s">
        <v>497</v>
      </c>
      <c r="BM329" s="5" t="s">
        <v>492</v>
      </c>
      <c r="BN329" s="5" t="s">
        <v>493</v>
      </c>
      <c r="BO329" s="5" t="s">
        <v>495</v>
      </c>
      <c r="BP329" s="5" t="s">
        <v>498</v>
      </c>
      <c r="BQ329" s="5" t="s">
        <v>499</v>
      </c>
      <c r="BR329" s="5" t="s">
        <v>500</v>
      </c>
      <c r="BS329" s="5" t="s">
        <v>501</v>
      </c>
      <c r="BT329" s="5" t="s">
        <v>502</v>
      </c>
      <c r="BU329" s="5" t="s">
        <v>503</v>
      </c>
      <c r="BV329" s="5" t="s">
        <v>504</v>
      </c>
      <c r="BW329" s="5" t="s">
        <v>505</v>
      </c>
      <c r="BX329" s="5" t="s">
        <v>506</v>
      </c>
      <c r="BY329" s="5" t="s">
        <v>173</v>
      </c>
      <c r="BZ329" s="5" t="s">
        <v>174</v>
      </c>
      <c r="CA329" s="5" t="s">
        <v>503</v>
      </c>
      <c r="CB329" s="5" t="s">
        <v>507</v>
      </c>
      <c r="CC329" s="5" t="s">
        <v>173</v>
      </c>
      <c r="CD329" s="5" t="s">
        <v>508</v>
      </c>
      <c r="CE329" s="7" t="s">
        <v>509</v>
      </c>
      <c r="CF329" s="7" t="s">
        <v>510</v>
      </c>
      <c r="CG329" s="7" t="s">
        <v>511</v>
      </c>
      <c r="CH329" s="5" t="s">
        <v>512</v>
      </c>
      <c r="CI329" s="5" t="s">
        <v>513</v>
      </c>
      <c r="CJ329" s="5" t="s">
        <v>492</v>
      </c>
      <c r="CK329" s="5" t="s">
        <v>493</v>
      </c>
      <c r="CL329" s="5" t="s">
        <v>494</v>
      </c>
      <c r="CM329" s="5" t="s">
        <v>492</v>
      </c>
      <c r="CN329" s="5" t="s">
        <v>493</v>
      </c>
      <c r="CO329" s="5" t="s">
        <v>495</v>
      </c>
      <c r="CP329" s="5" t="s">
        <v>496</v>
      </c>
      <c r="CQ329" s="5" t="s">
        <v>492</v>
      </c>
      <c r="CR329" s="5" t="s">
        <v>493</v>
      </c>
      <c r="CS329" s="5" t="s">
        <v>497</v>
      </c>
      <c r="CT329" s="5" t="s">
        <v>492</v>
      </c>
      <c r="CU329" s="5" t="s">
        <v>493</v>
      </c>
      <c r="CV329" s="5" t="s">
        <v>495</v>
      </c>
      <c r="CW329" s="5" t="s">
        <v>498</v>
      </c>
      <c r="CX329" s="5" t="s">
        <v>499</v>
      </c>
      <c r="CY329" s="5" t="s">
        <v>500</v>
      </c>
      <c r="CZ329" s="5" t="s">
        <v>501</v>
      </c>
      <c r="DA329" s="5" t="s">
        <v>502</v>
      </c>
      <c r="DB329" s="5" t="s">
        <v>503</v>
      </c>
      <c r="DC329" s="5" t="s">
        <v>504</v>
      </c>
      <c r="DD329" s="5" t="s">
        <v>505</v>
      </c>
      <c r="DE329" s="5" t="s">
        <v>506</v>
      </c>
      <c r="DF329" s="5" t="s">
        <v>173</v>
      </c>
      <c r="DG329" s="5" t="s">
        <v>174</v>
      </c>
      <c r="DH329" s="5" t="s">
        <v>503</v>
      </c>
      <c r="DI329" s="5" t="s">
        <v>507</v>
      </c>
      <c r="DJ329" s="5" t="s">
        <v>173</v>
      </c>
      <c r="DK329" s="5" t="s">
        <v>508</v>
      </c>
      <c r="DL329" s="7" t="s">
        <v>509</v>
      </c>
      <c r="DM329" s="7" t="s">
        <v>510</v>
      </c>
      <c r="DN329" s="7" t="s">
        <v>511</v>
      </c>
      <c r="DO329" s="2"/>
      <c r="DP329" s="2"/>
    </row>
    <row r="330" spans="3:120" ht="18.600000000000001" customHeight="1">
      <c r="C330" s="13">
        <f>IF(D330&lt;&gt;"",COUNTA($D$10:D330),"")</f>
        <v>273</v>
      </c>
      <c r="D330" s="14" t="s">
        <v>200</v>
      </c>
      <c r="E330" s="14">
        <v>3</v>
      </c>
      <c r="F330" s="14">
        <v>3</v>
      </c>
      <c r="G330" s="14">
        <v>2.4</v>
      </c>
      <c r="H330" s="14">
        <v>1</v>
      </c>
      <c r="I330" s="14">
        <v>2</v>
      </c>
      <c r="J330" s="14">
        <v>1.75</v>
      </c>
      <c r="K330" s="14">
        <v>3</v>
      </c>
      <c r="L330" s="15">
        <v>0.1</v>
      </c>
      <c r="M330" s="15">
        <v>0</v>
      </c>
      <c r="N330" s="14">
        <v>24</v>
      </c>
      <c r="O330" s="14">
        <v>50</v>
      </c>
      <c r="P330" s="13">
        <v>45</v>
      </c>
      <c r="Q330" s="13">
        <v>85</v>
      </c>
      <c r="R330" s="13" t="s">
        <v>17</v>
      </c>
      <c r="S330" s="13">
        <v>120</v>
      </c>
      <c r="T330" s="13">
        <v>0</v>
      </c>
      <c r="U330" s="13">
        <v>100</v>
      </c>
      <c r="V330" s="13" t="str">
        <f>R330</f>
        <v>ISO 6</v>
      </c>
      <c r="W330" s="13">
        <f>S330</f>
        <v>120</v>
      </c>
      <c r="X330" s="16">
        <f>E330*F330*10.76</f>
        <v>96.84</v>
      </c>
      <c r="Y330" s="16">
        <f>X330*G330*3.28</f>
        <v>762.32447999999999</v>
      </c>
      <c r="Z330" s="16">
        <f>Y330*S330/60</f>
        <v>1524.64896</v>
      </c>
      <c r="AA330" s="16">
        <f>Z330*L330</f>
        <v>152.46489600000001</v>
      </c>
      <c r="AB330" s="16">
        <f>IF(N330="Amb",Z330,Z330*M330)</f>
        <v>0</v>
      </c>
      <c r="AC330" s="16">
        <f>IF(ISNUMBER(N330), (AA330*0.075*60/2.20462)*BP330/7000, "Ambient")</f>
        <v>14.025567184357984</v>
      </c>
      <c r="AD330" s="16">
        <f>IF(ISNUMBER(N330), CEILING(CF330/(0.68*BP330),25), "Ambient")</f>
        <v>2850</v>
      </c>
      <c r="AE330" s="16">
        <f>CEILING(MAX((Z330+AA330),AD330),25)</f>
        <v>2850</v>
      </c>
      <c r="AF330" s="16">
        <f>CEILING(IF(OR($R330="ISO 6",$R330="GRADE B",$R330="1K",$R330=1000),AE330*1/175,IF(OR($R330="ISO 5",$R330="GRADE A",$R330=100),AE330*1/100,IF(OR($R330="ISO 7",$R330="GRADE C",$R330="10K",$R330=10000),$AE330*1/250,IF(OR($R330="ISO 8",$R330="GRADE D",$R330="100K",$R330=100000),$AE330*1/250,IF(OR($R330="NC",$R330="20 Micron",$R330="5 Micron",$R330="N C"),$AE330*1/350,0))))),2)</f>
        <v>18</v>
      </c>
      <c r="AG330" s="16">
        <f>IF(ISNUMBER(N330), CEILING(MAX(AI330,AJ330),0.5), "Ambient")</f>
        <v>7.5</v>
      </c>
      <c r="AH330" s="838" t="s">
        <v>85</v>
      </c>
      <c r="AI330" s="17">
        <f>IF(ISNUMBER(N330), CEILING(CE330/12000,0.5), "Ambient")</f>
        <v>4.5</v>
      </c>
      <c r="AJ330" s="17">
        <f>IF(ISNUMBER(N330),CEILING(AE330/(IF(AH330="C",400,300)),0.5), "Ambient")</f>
        <v>7.5</v>
      </c>
      <c r="AK330" s="891">
        <f>CEILING(SUM(AE330:AE345),250)</f>
        <v>42500</v>
      </c>
      <c r="AL330" s="18" t="s">
        <v>254</v>
      </c>
      <c r="AM330" s="889">
        <v>150</v>
      </c>
      <c r="AN330" s="891">
        <f>IF(AK330&lt;=1300,200,IF(AK330&lt;=1600,225,IF(AK330&lt;=2100,250,IF(AK330&lt;=2700,280,IF(AK330&lt;=3450,315,IF(AK330&lt;=4250,355,IF(AK330&lt;=5250,400,IF(AK330&lt;=6750,450,IF(AK330&lt;=8500,500,IF(AK330&lt;=10750,560,IF(AK330&lt;=13500,630,IF(AK330&lt;=17000,710,IF(AK330&lt;=21500,800,IF(AK330&lt;=27000,900,IF(AK330&lt;=34000,1000,IF(AK330&lt;=43000,1120,IF(AK330&lt;=49000,1200,IF(AK330&lt;=68000,1450,"Refer"))))))))))))))))))</f>
        <v>1120</v>
      </c>
      <c r="AO330" s="888">
        <f>IF(AK330*AM330/(6356*0.7*0.9*1.1*25.4)&lt;=1,1,IF(AK330*AM330/(6356*0.7*0.9*1.1*25.4)&lt;=1.5,1.5,IF(AK330*AM330/(6356*0.7*0.9*1.1*25.4)&lt;=2,2,IF(AK330*AM330/(6356*0.7*0.9*1.1*25.4)&lt;=3,3,IF(AK330*AM330/(6356*0.7*0.9*1.1*25.4)&lt;=5,5,IF(AK330*AM330/(6356*0.7*0.9*1.1*25.4)&lt;=7.5,7.5,IF(AK330*AM330/(6356*0.7*0.9*1.1*25.4)&lt;=10,10,IF(AK330*AM330/(6356*0.7*0.9*1.1*25.4)&lt;=12.5,12.5,IF(AK330*AM330/(6356*0.7*0.9*1.1*25.4)&lt;=15,15,IF(AK330*AM330/(6356*0.7*0.9*1.1*25.4)&lt;=20,20,IF(AK330*AM330/(6356*0.7*0.9*1.1*25.4)&lt;=25,25,IF(AK330*AM330/(6356*0.7*0.9*1.1*25.4)&lt;=30,30,IF(AK330*AM330/(6356*0.7*0.9*1.1*25.4)&lt;=40,40,IF(AK330*AM330/(6356*0.7*0.9*1.1*25.4)&lt;=50,50,IF(AK330*AM330/(6356*0.7*0.9*1.1*25.4)&lt;=60,60,IF(AK330*AM330/(6356*0.7*0.9*1.1*25.4)&lt;=75,75,"Refer"))))))))))))))))</f>
        <v>60</v>
      </c>
      <c r="AP330" s="891">
        <f>IF(AND(AQ330=0, N330="Amb"), "Amb",IF((AL331-250)*(AL333-150)*10.76/(1000*1000) &gt;= MAX(AI346,AJ346), 4,IF((AL331-250)*(AL333-150)*10.76*1.5/(1000*1000) &gt;= MAX(AI346,AJ346), 6,IF((AL331-250)*(AL333-150)*10.76*2/(1000*1000) &gt;= MAX(AI346,AJ346), 8, 0))
 )
)</f>
        <v>4</v>
      </c>
      <c r="AQ330" s="891">
        <f>AG346</f>
        <v>108.5</v>
      </c>
      <c r="AR330" s="889">
        <f>_xlfn.SWITCH(TRIM(UPPER(R330)),"ISO 9", 3,"ISO 8", 4,"Grade D", 4,"Class 100,000", 4,"Class 100K", 4,"ISO 7", 3,"Grade C", 3,"Class 10,000", 3,"Class 10K", 3,"ISO 6", 3,"Class 1,000", 3,"Class 1K", 3,"ISO 5", 4,"Grade A", 4,"Grade B", 4,"Class 100", 4,"ISO 4", 3,"ISO 3", 4,"ISO 2", 4,"ISO 1", 4,"NCV20",1,"NCV-10",2,"NCV-5",3,"NCAC-10",1,"NCAC-5",2,"NCAC-1",3,3)</f>
        <v>3</v>
      </c>
      <c r="AS330" s="888">
        <f>MAX(AI346,AJ346)*24/6</f>
        <v>434</v>
      </c>
      <c r="AT330" s="888">
        <f>AS330*0.06309</f>
        <v>27.381059999999998</v>
      </c>
      <c r="AU330" s="890">
        <v>2</v>
      </c>
      <c r="AV330" s="888">
        <f>SQRT((4*AS330*0.00006309)/(3.14*AU330))*1000</f>
        <v>132.06121915647887</v>
      </c>
      <c r="AW330" s="888"/>
      <c r="AX330" s="888"/>
      <c r="AY330" s="887"/>
      <c r="AZ330" s="888"/>
      <c r="BA330" s="17">
        <f>-CONVERT(N330,"C","F")+CONVERT((N330+8),"C","F")</f>
        <v>14.399999999999991</v>
      </c>
      <c r="BB330" s="17">
        <f>CONVERT(P330,"C","F")-CONVERT(N330,"C","F")</f>
        <v>37.799999999999997</v>
      </c>
      <c r="BC330" s="17">
        <f>N330+8</f>
        <v>32</v>
      </c>
      <c r="BD330" s="17">
        <f>BG330+35</f>
        <v>85</v>
      </c>
      <c r="BE330" s="17">
        <f>0.622*7000*(BD330/100)*(6.1078*10^((7.5*BC330)/(237.3+BC330)))/(1013.25-(6.1078*10^((7.5*BC330)/(237.3+BC330)))*BD330/100)</f>
        <v>180.86341983910182</v>
      </c>
      <c r="BF330" s="17">
        <f>N330</f>
        <v>24</v>
      </c>
      <c r="BG330" s="17">
        <f>O330</f>
        <v>50</v>
      </c>
      <c r="BH330" s="17">
        <f>0.622*7000*(BG330/100)*(6.1078*10^((7.5*BF330)/(237.3+BF330)))/(1013.25-(6.1078*10^((7.5*BF330)/(237.3+BF330)))*BG330/100)</f>
        <v>65.062647806544774</v>
      </c>
      <c r="BI330" s="17">
        <f>BE330-BH330</f>
        <v>115.80077203255705</v>
      </c>
      <c r="BJ330" s="17">
        <f>P330</f>
        <v>45</v>
      </c>
      <c r="BK330" s="17">
        <f>Q330</f>
        <v>85</v>
      </c>
      <c r="BL330" s="17">
        <f>0.622*7000*(BK330/100)*(6.1078*10^((7.5*BJ330)/(237.3+BJ330)))/(1013.25-(6.1078*10^((7.5*BJ330)/(237.3+BJ330)))*BK330/100)</f>
        <v>380.54120080897206</v>
      </c>
      <c r="BM330" s="17">
        <f>N330</f>
        <v>24</v>
      </c>
      <c r="BN330" s="17">
        <f>BG330</f>
        <v>50</v>
      </c>
      <c r="BO330" s="17">
        <f>0.622*7000*(BN330/100)*(6.1078*10^((7.5*BM330)/(237.3+BM330)))/(1013.25-(6.1078*10^((7.5*BM330)/(237.3+BM330)))*BN330/100)</f>
        <v>65.062647806544774</v>
      </c>
      <c r="BP330" s="17">
        <f>BL330-BO330</f>
        <v>315.4785530024273</v>
      </c>
      <c r="BQ330" s="17">
        <f>($E330*$G330*10.76*2+$F330*$G330*2*10.76)*$BB330*0.45</f>
        <v>5271.1948799999991</v>
      </c>
      <c r="BR330" s="17">
        <f>($E330*$G330*10.76*2+$F330*$G330*2*10.76)*$BA330*0.45</f>
        <v>2008.0742399999988</v>
      </c>
      <c r="BS330" s="17">
        <f>($E330*$F330*10.76)*$BA330*0.45</f>
        <v>627.52319999999963</v>
      </c>
      <c r="BT330" s="17">
        <f>($E330*$F330*10.76)*$BB330*0.45</f>
        <v>1647.2483999999999</v>
      </c>
      <c r="BU330" s="17">
        <f>$H330*285*1.08*$BB330</f>
        <v>11634.84</v>
      </c>
      <c r="BV330" s="17">
        <f>$I330*1000*3.412</f>
        <v>6824</v>
      </c>
      <c r="BW330" s="17">
        <f>$J330*$X330*3.412</f>
        <v>578.23163999999997</v>
      </c>
      <c r="BX330" s="17">
        <f>$K330*1.08*375*$BA330</f>
        <v>17495.999999999989</v>
      </c>
      <c r="BY330" s="17">
        <f>($AA330+$AB330)*1.08*$BB330</f>
        <v>6224.2269143040003</v>
      </c>
      <c r="BZ330" s="17"/>
      <c r="CA330" s="17">
        <f>$H330*200*0.68*$BP330</f>
        <v>42905.083208330114</v>
      </c>
      <c r="CB330" s="17">
        <f>$K330*375*0.68*$BP330</f>
        <v>241341.0930468569</v>
      </c>
      <c r="CC330" s="17">
        <f>($AA330+$AB330)*0.68*$BP330</f>
        <v>32707.59524614699</v>
      </c>
      <c r="CD330" s="17">
        <f>($Z330-$AA330)*0.68*$BP330</f>
        <v>294368.3572153229</v>
      </c>
      <c r="CE330" s="17">
        <f>$BQ330+$BU330+$BV330+$BW330+$BX330+$BY330</f>
        <v>48028.493434303993</v>
      </c>
      <c r="CF330" s="17">
        <f>$CA330+$CB330+$CC330+$CD330</f>
        <v>611322.12871665694</v>
      </c>
      <c r="CG330" s="17">
        <f>$CE330+$CF330</f>
        <v>659350.62215096096</v>
      </c>
      <c r="CH330" s="17">
        <f>CONVERT(N330,"C","F")-CONVERT((N330-8),"C","F")</f>
        <v>14.400000000000006</v>
      </c>
      <c r="CI330" s="17">
        <f>CONVERT(T330,"C","F")-CONVERT(N330,"C","F")</f>
        <v>-43.2</v>
      </c>
      <c r="CJ330" s="17">
        <f>CM330-8</f>
        <v>16</v>
      </c>
      <c r="CK330" s="17">
        <f>O330+40</f>
        <v>90</v>
      </c>
      <c r="CL330" s="17">
        <f>0.622*7000*(CK330/100)*(6.1078*10^((7.5*CJ330)/(237.3+CJ330)))/(1013.25-(6.1078*10^((7.5*CJ330)/(237.3+CJ330)))*CK330/100)</f>
        <v>71.46880726181422</v>
      </c>
      <c r="CM330" s="17">
        <f>N330</f>
        <v>24</v>
      </c>
      <c r="CN330" s="17">
        <f>O330</f>
        <v>50</v>
      </c>
      <c r="CO330" s="17">
        <f>0.622*7000*(CN330/100)*(6.1078*10^((7.5*CM330)/(237.3+CM330)))/(1013.25-(6.1078*10^((7.5*CM330)/(237.3+CM330)))*CN330/100)</f>
        <v>65.062647806544774</v>
      </c>
      <c r="CP330" s="17">
        <f>CL330-CO330</f>
        <v>6.4061594552694459</v>
      </c>
      <c r="CQ330" s="17">
        <f>T330</f>
        <v>0</v>
      </c>
      <c r="CR330" s="17">
        <f>U330</f>
        <v>100</v>
      </c>
      <c r="CS330" s="17">
        <f>0.622*7000*(CR330/100)*(6.1078*10^((7.5*CQ330)/(237.3+CQ330)))/(1013.25-(6.1078*10^((7.5*CQ330)/(237.3+CQ330)))*CR330/100)</f>
        <v>26.404773030064671</v>
      </c>
      <c r="CT330" s="17">
        <f>CM330</f>
        <v>24</v>
      </c>
      <c r="CU330" s="17">
        <f>O330</f>
        <v>50</v>
      </c>
      <c r="CV330" s="17">
        <f>0.622*7000*(CU330/100)*(6.1078*10^((7.5*CT330)/(237.3+CT330)))/(1013.25-(6.1078*10^((7.5*CT330)/(237.3+CT330)))*CU330/100)</f>
        <v>65.062647806544774</v>
      </c>
      <c r="CW330" s="17">
        <f>CS330-CV330</f>
        <v>-38.657874776480099</v>
      </c>
      <c r="CX330" s="17">
        <f t="shared" ref="CX330:CY345" si="1427">($E330*$G330*10.76*2+$F330*$G330*2*10.76)*$CI330*0.45</f>
        <v>-6024.2227199999998</v>
      </c>
      <c r="CY330" s="17">
        <f t="shared" si="1427"/>
        <v>-6024.2227199999998</v>
      </c>
      <c r="CZ330" s="17">
        <f>($E330*$F330*10.76)*$CH330*0.45</f>
        <v>627.52320000000032</v>
      </c>
      <c r="DA330" s="17">
        <f>($E330*$F330*10.76)*$CI330*0.45</f>
        <v>-1882.5696000000003</v>
      </c>
      <c r="DB330" s="17">
        <f>$H330*285*1.08*$CI330</f>
        <v>-13296.960000000001</v>
      </c>
      <c r="DC330" s="17">
        <f>$I330*1000*3.412</f>
        <v>6824</v>
      </c>
      <c r="DD330" s="17">
        <f>$J330*$X330*3.412</f>
        <v>578.23163999999997</v>
      </c>
      <c r="DE330" s="17">
        <f>$K330*1.08*375*$CH330</f>
        <v>17496.000000000007</v>
      </c>
      <c r="DF330" s="17">
        <f>($AA330+$AB330)*1.08*$CI330</f>
        <v>-7113.4021877760015</v>
      </c>
      <c r="DG330" s="17"/>
      <c r="DH330" s="17">
        <f>$H330*200*0.68*CW330</f>
        <v>-5257.4709696012933</v>
      </c>
      <c r="DI330" s="17">
        <f>$K330*375*0.68*CW330</f>
        <v>-29573.274204007277</v>
      </c>
      <c r="DJ330" s="17">
        <f>(AA330+AB330)*0.68*CW330</f>
        <v>-4007.8988230164023</v>
      </c>
      <c r="DK330" s="17">
        <f>(Z330-AA330)*0.68*CP330</f>
        <v>5977.4923428552856</v>
      </c>
      <c r="DL330" s="17">
        <f>CX330+DA330+CZ330+DB330+DC330+DD330+DE330+DF330</f>
        <v>-2791.3996677759942</v>
      </c>
      <c r="DM330" s="17">
        <f>DH330+DI330+DJ330+DK330</f>
        <v>-32861.151653769688</v>
      </c>
      <c r="DN330" s="17">
        <f>DL330+DM330</f>
        <v>-35652.551321545681</v>
      </c>
    </row>
    <row r="331" spans="3:120" ht="18.600000000000001">
      <c r="C331" s="13">
        <f>IF(D331&lt;&gt;"",COUNTA($D$10:D331),"")</f>
        <v>274</v>
      </c>
      <c r="D331" s="14" t="s">
        <v>201</v>
      </c>
      <c r="E331" s="14">
        <v>1.8</v>
      </c>
      <c r="F331" s="14">
        <v>2.2000000000000002</v>
      </c>
      <c r="G331" s="14">
        <v>2.4</v>
      </c>
      <c r="H331" s="14">
        <v>2</v>
      </c>
      <c r="I331" s="14">
        <v>1</v>
      </c>
      <c r="J331" s="14">
        <v>1.75</v>
      </c>
      <c r="K331" s="14">
        <v>3</v>
      </c>
      <c r="L331" s="15">
        <v>0.1</v>
      </c>
      <c r="M331" s="15">
        <v>0</v>
      </c>
      <c r="N331" s="14">
        <v>24</v>
      </c>
      <c r="O331" s="14">
        <v>50</v>
      </c>
      <c r="P331" s="13">
        <v>45</v>
      </c>
      <c r="Q331" s="13">
        <v>85</v>
      </c>
      <c r="R331" s="13" t="s">
        <v>17</v>
      </c>
      <c r="S331" s="13">
        <v>120</v>
      </c>
      <c r="T331" s="13">
        <v>0</v>
      </c>
      <c r="U331" s="13">
        <v>100</v>
      </c>
      <c r="V331" s="13" t="str">
        <f t="shared" ref="V331:V345" si="1428">R331</f>
        <v>ISO 6</v>
      </c>
      <c r="W331" s="13">
        <f t="shared" ref="W331:W345" si="1429">S331</f>
        <v>120</v>
      </c>
      <c r="X331" s="16">
        <f t="shared" ref="X331:X345" si="1430">E331*F331*10.76</f>
        <v>42.6096</v>
      </c>
      <c r="Y331" s="16">
        <f t="shared" ref="Y331:Y345" si="1431">X331*G331*3.28</f>
        <v>335.4227712</v>
      </c>
      <c r="Z331" s="16">
        <f t="shared" ref="Z331:Z345" si="1432">Y331*S331/60</f>
        <v>670.8455424</v>
      </c>
      <c r="AA331" s="16">
        <f t="shared" ref="AA331:AA345" si="1433">Z331*L331</f>
        <v>67.084554240000003</v>
      </c>
      <c r="AB331" s="16">
        <f t="shared" ref="AB331:AB345" si="1434">IF(N331="Amb",Z331,Z331*M331)</f>
        <v>0</v>
      </c>
      <c r="AC331" s="16">
        <f t="shared" ref="AC331:AC345" si="1435">IF(ISNUMBER(N331), (AA331*0.075*60/2.20462)*BP331/7000, "Ambient")</f>
        <v>6.1712495611175129</v>
      </c>
      <c r="AD331" s="16">
        <f t="shared" ref="AD331:AD337" si="1436">IF(ISNUMBER(N331), CEILING(CF331/(0.68*BP331),25), "Ambient")</f>
        <v>2200</v>
      </c>
      <c r="AE331" s="16">
        <f t="shared" ref="AE331:AE345" si="1437">CEILING(MAX((Z331+AA331),AD331),25)</f>
        <v>2200</v>
      </c>
      <c r="AF331" s="16">
        <f t="shared" ref="AF331:AF345" si="1438">CEILING(IF(OR($R331="ISO 6",$R331="GRADE B",$R331="1K",$R331=1000),AE331*1/175,IF(OR($R331="ISO 5",$R331="GRADE A",$R331=100),AE331*1/100,IF(OR($R331="ISO 7",$R331="GRADE C",$R331="10K",$R331=10000),$AE331*1/250,IF(OR($R331="ISO 8",$R331="GRADE D",$R331="100K",$R331=100000),$AE331*1/250,IF(OR($R331="NC",$R331="20 Micron",$R331="5 Micron",$R331="N C"),$AE331*1/350,0))))),2)</f>
        <v>14</v>
      </c>
      <c r="AG331" s="16">
        <f t="shared" ref="AG331:AG345" si="1439">IF(ISNUMBER(N331), CEILING(MAX(AI331,AJ331),0.5), "Ambient")</f>
        <v>5.5</v>
      </c>
      <c r="AH331" s="838" t="s">
        <v>85</v>
      </c>
      <c r="AI331" s="17">
        <f t="shared" ref="AI331:AI345" si="1440">IF(ISNUMBER(N331), CEILING(CE331/12000,0.5), "Ambient")</f>
        <v>4.5</v>
      </c>
      <c r="AJ331" s="17">
        <f t="shared" ref="AJ331:AJ345" si="1441">IF(ISNUMBER(N331),CEILING(AE331/(IF(AH331="C",400,300)),0.5), "Ambient")</f>
        <v>5.5</v>
      </c>
      <c r="AK331" s="891"/>
      <c r="AL331" s="18">
        <f>IF(AK330&lt;=2000,950,(IF(AK330&lt;=3000,1150,(IF(AK330&lt;=8000,1550,(IF(AK330&lt;=10000,1750,(IF(AK330&lt;=18000,2050,(IF(AK330&lt;=32000,2900,(IF(AK330&lt;=40000,3600,4000)))))))))))))</f>
        <v>4000</v>
      </c>
      <c r="AM331" s="889"/>
      <c r="AN331" s="891"/>
      <c r="AO331" s="888"/>
      <c r="AP331" s="891"/>
      <c r="AQ331" s="891"/>
      <c r="AR331" s="889"/>
      <c r="AS331" s="888"/>
      <c r="AT331" s="888"/>
      <c r="AU331" s="890"/>
      <c r="AV331" s="888"/>
      <c r="AW331" s="888"/>
      <c r="AX331" s="888"/>
      <c r="AY331" s="887"/>
      <c r="AZ331" s="888"/>
      <c r="BA331" s="17">
        <f t="shared" ref="BA331:BA345" si="1442">-CONVERT(N331,"C","F")+CONVERT((N331+8),"C","F")</f>
        <v>14.399999999999991</v>
      </c>
      <c r="BB331" s="17">
        <f t="shared" ref="BB331:BB345" si="1443">CONVERT(P331,"C","F")-CONVERT(N331,"C","F")</f>
        <v>37.799999999999997</v>
      </c>
      <c r="BC331" s="17">
        <f t="shared" ref="BC331:BC345" si="1444">BF331+8</f>
        <v>32</v>
      </c>
      <c r="BD331" s="17">
        <f t="shared" ref="BD331:BD345" si="1445">BG331+35</f>
        <v>85</v>
      </c>
      <c r="BE331" s="17">
        <f t="shared" ref="BE331:BE345" si="1446">0.622*7000*(BD331/100)*(6.1078*10^((7.5*BC331)/(237.3+BC331)))/(1013.25-(6.1078*10^((7.5*BC331)/(237.3+BC331)))*BD331/100)</f>
        <v>180.86341983910182</v>
      </c>
      <c r="BF331" s="17">
        <f t="shared" ref="BF331:BF345" si="1447">N331</f>
        <v>24</v>
      </c>
      <c r="BG331" s="17">
        <f t="shared" ref="BG331:BG345" si="1448">O331</f>
        <v>50</v>
      </c>
      <c r="BH331" s="17">
        <f t="shared" ref="BH331:BH345" si="1449">0.622*7000*(BG331/100)*(6.1078*10^((7.5*BF331)/(237.3+BF331)))/(1013.25-(6.1078*10^((7.5*BF331)/(237.3+BF331)))*BG331/100)</f>
        <v>65.062647806544774</v>
      </c>
      <c r="BI331" s="17">
        <f t="shared" ref="BI331:BI345" si="1450">BE331-BH331</f>
        <v>115.80077203255705</v>
      </c>
      <c r="BJ331" s="17">
        <f t="shared" ref="BJ331:BJ345" si="1451">P331</f>
        <v>45</v>
      </c>
      <c r="BK331" s="17">
        <f t="shared" ref="BK331:BK345" si="1452">Q331</f>
        <v>85</v>
      </c>
      <c r="BL331" s="17">
        <f t="shared" ref="BL331:BL345" si="1453">0.622*7000*(BK331/100)*(6.1078*10^((7.5*BJ331)/(237.3+BJ331)))/(1013.25-(6.1078*10^((7.5*BJ331)/(237.3+BJ331)))*BK331/100)</f>
        <v>380.54120080897206</v>
      </c>
      <c r="BM331" s="17">
        <f t="shared" ref="BM331:BM345" si="1454">BF331</f>
        <v>24</v>
      </c>
      <c r="BN331" s="17">
        <f t="shared" ref="BN331:BN345" si="1455">BG331</f>
        <v>50</v>
      </c>
      <c r="BO331" s="17">
        <f t="shared" ref="BO331:BO345" si="1456">0.622*7000*(BN331/100)*(6.1078*10^((7.5*BM331)/(237.3+BM331)))/(1013.25-(6.1078*10^((7.5*BM331)/(237.3+BM331)))*BN331/100)</f>
        <v>65.062647806544774</v>
      </c>
      <c r="BP331" s="17">
        <f t="shared" ref="BP331:BP345" si="1457">BL331-BO331</f>
        <v>315.4785530024273</v>
      </c>
      <c r="BQ331" s="17">
        <f t="shared" ref="BQ331:BQ345" si="1458">(E331*G331*10.76*2+F331*G331*2*10.76)*BB331*0.45</f>
        <v>3514.1299199999999</v>
      </c>
      <c r="BR331" s="17">
        <f t="shared" ref="BR331:BR345" si="1459">(E331*G331*10.76*2+F331*G331*2*10.76)*BA331*0.45</f>
        <v>1338.7161599999993</v>
      </c>
      <c r="BS331" s="17">
        <f t="shared" ref="BS331:BS345" si="1460">(E331*F331*10.76)*BA331*0.45</f>
        <v>276.11020799999983</v>
      </c>
      <c r="BT331" s="17">
        <f t="shared" ref="BT331:BT345" si="1461">(E331*F331*10.76)*BB331*0.45</f>
        <v>724.78929599999992</v>
      </c>
      <c r="BU331" s="17">
        <f t="shared" ref="BU331:BU345" si="1462">H331*285*1.08*BB331</f>
        <v>23269.68</v>
      </c>
      <c r="BV331" s="17">
        <f t="shared" ref="BV331:BV345" si="1463">I331*1000*3.412</f>
        <v>3412</v>
      </c>
      <c r="BW331" s="17">
        <f t="shared" ref="BW331:BW345" si="1464">J331*X331*3.412</f>
        <v>254.42192159999999</v>
      </c>
      <c r="BX331" s="17">
        <f t="shared" ref="BX331:BX345" si="1465">K331*1.08*375*BA331</f>
        <v>17495.999999999989</v>
      </c>
      <c r="BY331" s="17">
        <f t="shared" ref="BY331:BY345" si="1466">(AA331+AB331)*1.08*BB331</f>
        <v>2738.65984229376</v>
      </c>
      <c r="BZ331" s="17"/>
      <c r="CA331" s="17">
        <f t="shared" ref="CA331:CA345" si="1467">H331*200*0.68*BP331</f>
        <v>85810.166416660228</v>
      </c>
      <c r="CB331" s="17">
        <f t="shared" ref="CB331:CB345" si="1468">K331*375*0.68*BP331</f>
        <v>241341.0930468569</v>
      </c>
      <c r="CC331" s="17">
        <f t="shared" ref="CC331:CC345" si="1469">(AA331+AB331)*0.68*BP331</f>
        <v>14391.341908304676</v>
      </c>
      <c r="CD331" s="17">
        <f t="shared" ref="CD331:CD345" si="1470">($Z331-$AA331)*0.68*$BP331</f>
        <v>129522.07717474207</v>
      </c>
      <c r="CE331" s="17">
        <f t="shared" ref="CE331:CE345" si="1471">$BQ331+$BU331+$BV331+$BW331+$BX331+$BY331</f>
        <v>50684.891683893751</v>
      </c>
      <c r="CF331" s="17">
        <f t="shared" ref="CF331:CF345" si="1472">$CA331+$CB331+$CC331+$CD331</f>
        <v>471064.67854656384</v>
      </c>
      <c r="CG331" s="17">
        <f t="shared" ref="CG331:CG345" si="1473">$CE331+$CF331</f>
        <v>521749.57023045758</v>
      </c>
      <c r="CH331" s="17">
        <f t="shared" ref="CH331:CH345" si="1474">CONVERT(N331,"C","F")-CONVERT((N331-8),"C","F")</f>
        <v>14.400000000000006</v>
      </c>
      <c r="CI331" s="17">
        <f t="shared" ref="CI331:CI345" si="1475">CONVERT(T331,"C","F")-CONVERT(N331,"C","F")</f>
        <v>-43.2</v>
      </c>
      <c r="CJ331" s="17">
        <f t="shared" ref="CJ331:CJ345" si="1476">CM331-8</f>
        <v>16</v>
      </c>
      <c r="CK331" s="17">
        <f t="shared" ref="CK331:CK345" si="1477">O331+40</f>
        <v>90</v>
      </c>
      <c r="CL331" s="17">
        <f t="shared" ref="CL331:CL345" si="1478">0.622*7000*(CK331/100)*(6.1078*10^((7.5*CJ331)/(237.3+CJ331)))/(1013.25-(6.1078*10^((7.5*CJ331)/(237.3+CJ331)))*CK331/100)</f>
        <v>71.46880726181422</v>
      </c>
      <c r="CM331" s="17">
        <f t="shared" ref="CM331:CM345" si="1479">N331</f>
        <v>24</v>
      </c>
      <c r="CN331" s="17">
        <f t="shared" ref="CN331:CN345" si="1480">O331</f>
        <v>50</v>
      </c>
      <c r="CO331" s="17">
        <f t="shared" ref="CO331:CO345" si="1481">0.622*7000*(CN331/100)*(6.1078*10^((7.5*CM331)/(237.3+CM331)))/(1013.25-(6.1078*10^((7.5*CM331)/(237.3+CM331)))*CN331/100)</f>
        <v>65.062647806544774</v>
      </c>
      <c r="CP331" s="17">
        <f t="shared" ref="CP331:CP345" si="1482">CL331-CO331</f>
        <v>6.4061594552694459</v>
      </c>
      <c r="CQ331" s="17">
        <f t="shared" ref="CQ331:CQ345" si="1483">T331</f>
        <v>0</v>
      </c>
      <c r="CR331" s="17">
        <f t="shared" ref="CR331:CR345" si="1484">U331</f>
        <v>100</v>
      </c>
      <c r="CS331" s="17">
        <f t="shared" ref="CS331:CS345" si="1485">0.622*7000*(CR331/100)*(6.1078*10^((7.5*CQ331)/(237.3+CQ331)))/(1013.25-(6.1078*10^((7.5*CQ331)/(237.3+CQ331)))*CR331/100)</f>
        <v>26.404773030064671</v>
      </c>
      <c r="CT331" s="17">
        <f t="shared" ref="CT331:CT345" si="1486">CM331</f>
        <v>24</v>
      </c>
      <c r="CU331" s="17">
        <f t="shared" ref="CU331:CU345" si="1487">O331</f>
        <v>50</v>
      </c>
      <c r="CV331" s="17">
        <f t="shared" ref="CV331:CV345" si="1488">0.622*7000*(CU331/100)*(6.1078*10^((7.5*CT331)/(237.3+CT331)))/(1013.25-(6.1078*10^((7.5*CT331)/(237.3+CT331)))*CU331/100)</f>
        <v>65.062647806544774</v>
      </c>
      <c r="CW331" s="17">
        <f t="shared" ref="CW331:CW345" si="1489">CS331-CV331</f>
        <v>-38.657874776480099</v>
      </c>
      <c r="CX331" s="17">
        <f t="shared" si="1427"/>
        <v>-4016.1484800000003</v>
      </c>
      <c r="CY331" s="17">
        <f t="shared" si="1427"/>
        <v>-4016.1484800000003</v>
      </c>
      <c r="CZ331" s="17">
        <f t="shared" ref="CZ331:CZ345" si="1490">($E331*$F331*10.76)*$CH331*0.45</f>
        <v>276.11020800000011</v>
      </c>
      <c r="DA331" s="17">
        <f t="shared" ref="DA331:DA345" si="1491">($E331*$F331*10.76)*$CI331*0.45</f>
        <v>-828.33062400000006</v>
      </c>
      <c r="DB331" s="17">
        <f t="shared" ref="DB331:DB345" si="1492">$H331*285*1.08*$CI331</f>
        <v>-26593.920000000002</v>
      </c>
      <c r="DC331" s="17">
        <f t="shared" ref="DC331:DC345" si="1493">$I331*1000*3.412</f>
        <v>3412</v>
      </c>
      <c r="DD331" s="17">
        <f t="shared" ref="DD331:DD345" si="1494">$J331*$X331*3.412</f>
        <v>254.42192159999999</v>
      </c>
      <c r="DE331" s="17">
        <f t="shared" ref="DE331:DE345" si="1495">$K331*1.08*375*$CH331</f>
        <v>17496.000000000007</v>
      </c>
      <c r="DF331" s="17">
        <f t="shared" ref="DF331:DF345" si="1496">($AA331+$AB331)*1.08*$CI331</f>
        <v>-3129.8969626214403</v>
      </c>
      <c r="DG331" s="17"/>
      <c r="DH331" s="17">
        <f t="shared" ref="DH331:DH345" si="1497">$H331*200*0.68*CW331</f>
        <v>-10514.941939202587</v>
      </c>
      <c r="DI331" s="17">
        <f t="shared" ref="DI331:DI345" si="1498">$K331*375*0.68*CW331</f>
        <v>-29573.274204007277</v>
      </c>
      <c r="DJ331" s="17">
        <f t="shared" ref="DJ331:DJ345" si="1499">(AA331+AB331)*0.68*CW331</f>
        <v>-1763.475482127217</v>
      </c>
      <c r="DK331" s="17">
        <f t="shared" ref="DK331:DK345" si="1500">(Z331-AA331)*0.68*CP331</f>
        <v>2630.0966308563256</v>
      </c>
      <c r="DL331" s="17">
        <f t="shared" ref="DL331:DL345" si="1501">CX331+DA331+CZ331+DB331+DC331+DD331+DE331+DF331</f>
        <v>-13129.763937021437</v>
      </c>
      <c r="DM331" s="17">
        <f t="shared" ref="DM331:DM345" si="1502">DH331+DI331+DJ331+DK331</f>
        <v>-39221.594994480751</v>
      </c>
      <c r="DN331" s="17">
        <f t="shared" ref="DN331:DN345" si="1503">DL331+DM331</f>
        <v>-52351.358931502189</v>
      </c>
    </row>
    <row r="332" spans="3:120" ht="18.600000000000001">
      <c r="C332" s="13">
        <f>IF(D332&lt;&gt;"",COUNTA($D$10:D332),"")</f>
        <v>275</v>
      </c>
      <c r="D332" s="14" t="s">
        <v>202</v>
      </c>
      <c r="E332" s="14">
        <v>1.5</v>
      </c>
      <c r="F332" s="14">
        <v>2.8</v>
      </c>
      <c r="G332" s="14">
        <v>2.4</v>
      </c>
      <c r="H332" s="14">
        <v>2</v>
      </c>
      <c r="I332" s="14">
        <v>3</v>
      </c>
      <c r="J332" s="14">
        <v>1.75</v>
      </c>
      <c r="K332" s="14">
        <v>3</v>
      </c>
      <c r="L332" s="15">
        <v>0.1</v>
      </c>
      <c r="M332" s="15">
        <v>0</v>
      </c>
      <c r="N332" s="14">
        <v>24</v>
      </c>
      <c r="O332" s="14">
        <v>50</v>
      </c>
      <c r="P332" s="13">
        <v>45</v>
      </c>
      <c r="Q332" s="13">
        <v>85</v>
      </c>
      <c r="R332" s="13" t="s">
        <v>17</v>
      </c>
      <c r="S332" s="13">
        <v>120</v>
      </c>
      <c r="T332" s="13">
        <v>0</v>
      </c>
      <c r="U332" s="13">
        <v>100</v>
      </c>
      <c r="V332" s="13" t="str">
        <f t="shared" si="1428"/>
        <v>ISO 6</v>
      </c>
      <c r="W332" s="13">
        <f t="shared" si="1429"/>
        <v>120</v>
      </c>
      <c r="X332" s="16">
        <f t="shared" si="1430"/>
        <v>45.191999999999993</v>
      </c>
      <c r="Y332" s="16">
        <f t="shared" si="1431"/>
        <v>355.75142399999993</v>
      </c>
      <c r="Z332" s="16">
        <f t="shared" si="1432"/>
        <v>711.50284799999986</v>
      </c>
      <c r="AA332" s="16">
        <f t="shared" si="1433"/>
        <v>71.150284799999994</v>
      </c>
      <c r="AB332" s="16">
        <f t="shared" si="1434"/>
        <v>0</v>
      </c>
      <c r="AC332" s="16">
        <f t="shared" si="1435"/>
        <v>6.5452646860337245</v>
      </c>
      <c r="AD332" s="16">
        <f t="shared" si="1436"/>
        <v>2250</v>
      </c>
      <c r="AE332" s="16">
        <f t="shared" si="1437"/>
        <v>2250</v>
      </c>
      <c r="AF332" s="16">
        <f t="shared" si="1438"/>
        <v>14</v>
      </c>
      <c r="AG332" s="16">
        <f t="shared" si="1439"/>
        <v>6</v>
      </c>
      <c r="AH332" s="838" t="s">
        <v>85</v>
      </c>
      <c r="AI332" s="17">
        <f t="shared" si="1440"/>
        <v>5</v>
      </c>
      <c r="AJ332" s="17">
        <f t="shared" si="1441"/>
        <v>6</v>
      </c>
      <c r="AK332" s="891"/>
      <c r="AL332" s="18" t="s">
        <v>255</v>
      </c>
      <c r="AM332" s="889"/>
      <c r="AN332" s="891"/>
      <c r="AO332" s="888"/>
      <c r="AP332" s="891"/>
      <c r="AQ332" s="891"/>
      <c r="AR332" s="889"/>
      <c r="AS332" s="888"/>
      <c r="AT332" s="888"/>
      <c r="AU332" s="890"/>
      <c r="AV332" s="888"/>
      <c r="AW332" s="888"/>
      <c r="AX332" s="888"/>
      <c r="AY332" s="887"/>
      <c r="AZ332" s="888"/>
      <c r="BA332" s="17">
        <f t="shared" si="1442"/>
        <v>14.399999999999991</v>
      </c>
      <c r="BB332" s="17">
        <f t="shared" si="1443"/>
        <v>37.799999999999997</v>
      </c>
      <c r="BC332" s="17">
        <f t="shared" si="1444"/>
        <v>32</v>
      </c>
      <c r="BD332" s="17">
        <f t="shared" si="1445"/>
        <v>85</v>
      </c>
      <c r="BE332" s="17">
        <f t="shared" si="1446"/>
        <v>180.86341983910182</v>
      </c>
      <c r="BF332" s="17">
        <f t="shared" si="1447"/>
        <v>24</v>
      </c>
      <c r="BG332" s="17">
        <f t="shared" si="1448"/>
        <v>50</v>
      </c>
      <c r="BH332" s="17">
        <f t="shared" si="1449"/>
        <v>65.062647806544774</v>
      </c>
      <c r="BI332" s="17">
        <f t="shared" si="1450"/>
        <v>115.80077203255705</v>
      </c>
      <c r="BJ332" s="17">
        <f t="shared" si="1451"/>
        <v>45</v>
      </c>
      <c r="BK332" s="17">
        <f t="shared" si="1452"/>
        <v>85</v>
      </c>
      <c r="BL332" s="17">
        <f t="shared" si="1453"/>
        <v>380.54120080897206</v>
      </c>
      <c r="BM332" s="17">
        <f t="shared" si="1454"/>
        <v>24</v>
      </c>
      <c r="BN332" s="17">
        <f t="shared" si="1455"/>
        <v>50</v>
      </c>
      <c r="BO332" s="17">
        <f t="shared" si="1456"/>
        <v>65.062647806544774</v>
      </c>
      <c r="BP332" s="17">
        <f t="shared" si="1457"/>
        <v>315.4785530024273</v>
      </c>
      <c r="BQ332" s="17">
        <f t="shared" si="1458"/>
        <v>3777.6896639999995</v>
      </c>
      <c r="BR332" s="17">
        <f t="shared" si="1459"/>
        <v>1439.1198719999991</v>
      </c>
      <c r="BS332" s="17">
        <f t="shared" si="1460"/>
        <v>292.84415999999976</v>
      </c>
      <c r="BT332" s="17">
        <f t="shared" si="1461"/>
        <v>768.71591999999987</v>
      </c>
      <c r="BU332" s="17">
        <f t="shared" si="1462"/>
        <v>23269.68</v>
      </c>
      <c r="BV332" s="17">
        <f t="shared" si="1463"/>
        <v>10236</v>
      </c>
      <c r="BW332" s="17">
        <f t="shared" si="1464"/>
        <v>269.84143199999994</v>
      </c>
      <c r="BX332" s="17">
        <f t="shared" si="1465"/>
        <v>17495.999999999989</v>
      </c>
      <c r="BY332" s="17">
        <f t="shared" si="1466"/>
        <v>2904.6392266751996</v>
      </c>
      <c r="BZ332" s="17"/>
      <c r="CA332" s="17">
        <f t="shared" si="1467"/>
        <v>85810.166416660228</v>
      </c>
      <c r="CB332" s="17">
        <f t="shared" si="1468"/>
        <v>241341.0930468569</v>
      </c>
      <c r="CC332" s="17">
        <f t="shared" si="1469"/>
        <v>15263.544448201927</v>
      </c>
      <c r="CD332" s="17">
        <f t="shared" si="1470"/>
        <v>137371.90003381731</v>
      </c>
      <c r="CE332" s="17">
        <f t="shared" si="1471"/>
        <v>57953.850322675185</v>
      </c>
      <c r="CF332" s="17">
        <f t="shared" si="1472"/>
        <v>479786.7039455364</v>
      </c>
      <c r="CG332" s="17">
        <f t="shared" si="1473"/>
        <v>537740.55426821159</v>
      </c>
      <c r="CH332" s="17">
        <f t="shared" si="1474"/>
        <v>14.400000000000006</v>
      </c>
      <c r="CI332" s="17">
        <f t="shared" si="1475"/>
        <v>-43.2</v>
      </c>
      <c r="CJ332" s="17">
        <f t="shared" si="1476"/>
        <v>16</v>
      </c>
      <c r="CK332" s="17">
        <f t="shared" si="1477"/>
        <v>90</v>
      </c>
      <c r="CL332" s="17">
        <f t="shared" si="1478"/>
        <v>71.46880726181422</v>
      </c>
      <c r="CM332" s="17">
        <f t="shared" si="1479"/>
        <v>24</v>
      </c>
      <c r="CN332" s="17">
        <f t="shared" si="1480"/>
        <v>50</v>
      </c>
      <c r="CO332" s="17">
        <f t="shared" si="1481"/>
        <v>65.062647806544774</v>
      </c>
      <c r="CP332" s="17">
        <f t="shared" si="1482"/>
        <v>6.4061594552694459</v>
      </c>
      <c r="CQ332" s="17">
        <f t="shared" si="1483"/>
        <v>0</v>
      </c>
      <c r="CR332" s="17">
        <f t="shared" si="1484"/>
        <v>100</v>
      </c>
      <c r="CS332" s="17">
        <f t="shared" si="1485"/>
        <v>26.404773030064671</v>
      </c>
      <c r="CT332" s="17">
        <f t="shared" si="1486"/>
        <v>24</v>
      </c>
      <c r="CU332" s="17">
        <f t="shared" si="1487"/>
        <v>50</v>
      </c>
      <c r="CV332" s="17">
        <f t="shared" si="1488"/>
        <v>65.062647806544774</v>
      </c>
      <c r="CW332" s="17">
        <f t="shared" si="1489"/>
        <v>-38.657874776480099</v>
      </c>
      <c r="CX332" s="17">
        <f t="shared" si="1427"/>
        <v>-4317.3596159999997</v>
      </c>
      <c r="CY332" s="17">
        <f t="shared" si="1427"/>
        <v>-4317.3596159999997</v>
      </c>
      <c r="CZ332" s="17">
        <f t="shared" si="1490"/>
        <v>292.8441600000001</v>
      </c>
      <c r="DA332" s="17">
        <f t="shared" si="1491"/>
        <v>-878.53247999999996</v>
      </c>
      <c r="DB332" s="17">
        <f t="shared" si="1492"/>
        <v>-26593.920000000002</v>
      </c>
      <c r="DC332" s="17">
        <f t="shared" si="1493"/>
        <v>10236</v>
      </c>
      <c r="DD332" s="17">
        <f t="shared" si="1494"/>
        <v>269.84143199999994</v>
      </c>
      <c r="DE332" s="17">
        <f t="shared" si="1495"/>
        <v>17496.000000000007</v>
      </c>
      <c r="DF332" s="17">
        <f t="shared" si="1496"/>
        <v>-3319.5876876288003</v>
      </c>
      <c r="DG332" s="17"/>
      <c r="DH332" s="17">
        <f t="shared" si="1497"/>
        <v>-10514.941939202587</v>
      </c>
      <c r="DI332" s="17">
        <f t="shared" si="1498"/>
        <v>-29573.274204007277</v>
      </c>
      <c r="DJ332" s="17">
        <f t="shared" si="1499"/>
        <v>-1870.3527840743209</v>
      </c>
      <c r="DK332" s="17">
        <f t="shared" si="1500"/>
        <v>2789.4964266657994</v>
      </c>
      <c r="DL332" s="17">
        <f t="shared" si="1501"/>
        <v>-6814.7141916287928</v>
      </c>
      <c r="DM332" s="17">
        <f t="shared" si="1502"/>
        <v>-39169.072500618386</v>
      </c>
      <c r="DN332" s="17">
        <f t="shared" si="1503"/>
        <v>-45983.78669224718</v>
      </c>
    </row>
    <row r="333" spans="3:120" ht="18.600000000000001">
      <c r="C333" s="13">
        <f>IF(D333&lt;&gt;"",COUNTA($D$10:D333),"")</f>
        <v>276</v>
      </c>
      <c r="D333" s="14" t="s">
        <v>203</v>
      </c>
      <c r="E333" s="14">
        <v>2.1</v>
      </c>
      <c r="F333" s="14">
        <v>3.5</v>
      </c>
      <c r="G333" s="14">
        <v>2.4</v>
      </c>
      <c r="H333" s="14">
        <v>0</v>
      </c>
      <c r="I333" s="14">
        <v>1</v>
      </c>
      <c r="J333" s="14">
        <v>1.75</v>
      </c>
      <c r="K333" s="14">
        <v>3</v>
      </c>
      <c r="L333" s="15">
        <v>0.1</v>
      </c>
      <c r="M333" s="15">
        <v>0</v>
      </c>
      <c r="N333" s="14">
        <v>24</v>
      </c>
      <c r="O333" s="14">
        <v>50</v>
      </c>
      <c r="P333" s="13">
        <v>45</v>
      </c>
      <c r="Q333" s="13">
        <v>85</v>
      </c>
      <c r="R333" s="13" t="s">
        <v>17</v>
      </c>
      <c r="S333" s="13">
        <v>120</v>
      </c>
      <c r="T333" s="13">
        <v>0</v>
      </c>
      <c r="U333" s="13">
        <v>100</v>
      </c>
      <c r="V333" s="13" t="str">
        <f t="shared" si="1428"/>
        <v>ISO 6</v>
      </c>
      <c r="W333" s="13">
        <f t="shared" si="1429"/>
        <v>120</v>
      </c>
      <c r="X333" s="16">
        <f t="shared" si="1430"/>
        <v>79.085999999999999</v>
      </c>
      <c r="Y333" s="16">
        <f t="shared" si="1431"/>
        <v>622.56499199999996</v>
      </c>
      <c r="Z333" s="16">
        <f t="shared" si="1432"/>
        <v>1245.1299839999999</v>
      </c>
      <c r="AA333" s="16">
        <f t="shared" si="1433"/>
        <v>124.5129984</v>
      </c>
      <c r="AB333" s="16">
        <f t="shared" si="1434"/>
        <v>0</v>
      </c>
      <c r="AC333" s="16">
        <f t="shared" si="1435"/>
        <v>11.454213200559018</v>
      </c>
      <c r="AD333" s="16">
        <f t="shared" si="1436"/>
        <v>2375</v>
      </c>
      <c r="AE333" s="16">
        <f t="shared" si="1437"/>
        <v>2375</v>
      </c>
      <c r="AF333" s="16">
        <f t="shared" si="1438"/>
        <v>14</v>
      </c>
      <c r="AG333" s="16">
        <f t="shared" si="1439"/>
        <v>6</v>
      </c>
      <c r="AH333" s="838" t="s">
        <v>85</v>
      </c>
      <c r="AI333" s="17">
        <f t="shared" si="1440"/>
        <v>3</v>
      </c>
      <c r="AJ333" s="17">
        <f t="shared" si="1441"/>
        <v>6</v>
      </c>
      <c r="AK333" s="891"/>
      <c r="AL333" s="18">
        <f>IF(AK330&lt;=2000,950,(IF(AK330&lt;=4000,1100,(IF(AK330&lt;=6000,1250,(IF(AK330&lt;=10000,1550,(IF(AK330&lt;=15000,1750,(IF(AK330&lt;=24000,2050,(IF(AK330&lt;=40000,2900,3600)))))))))))))</f>
        <v>3600</v>
      </c>
      <c r="AM333" s="889"/>
      <c r="AN333" s="891"/>
      <c r="AO333" s="888"/>
      <c r="AP333" s="891"/>
      <c r="AQ333" s="891"/>
      <c r="AR333" s="889"/>
      <c r="AS333" s="888"/>
      <c r="AT333" s="888"/>
      <c r="AU333" s="890"/>
      <c r="AV333" s="888"/>
      <c r="AW333" s="888"/>
      <c r="AX333" s="888"/>
      <c r="AY333" s="887"/>
      <c r="AZ333" s="888"/>
      <c r="BA333" s="17">
        <f t="shared" si="1442"/>
        <v>14.399999999999991</v>
      </c>
      <c r="BB333" s="17">
        <f t="shared" si="1443"/>
        <v>37.799999999999997</v>
      </c>
      <c r="BC333" s="17">
        <f t="shared" si="1444"/>
        <v>32</v>
      </c>
      <c r="BD333" s="17">
        <f t="shared" si="1445"/>
        <v>85</v>
      </c>
      <c r="BE333" s="17">
        <f t="shared" si="1446"/>
        <v>180.86341983910182</v>
      </c>
      <c r="BF333" s="17">
        <f t="shared" si="1447"/>
        <v>24</v>
      </c>
      <c r="BG333" s="17">
        <f t="shared" si="1448"/>
        <v>50</v>
      </c>
      <c r="BH333" s="17">
        <f t="shared" si="1449"/>
        <v>65.062647806544774</v>
      </c>
      <c r="BI333" s="17">
        <f t="shared" si="1450"/>
        <v>115.80077203255705</v>
      </c>
      <c r="BJ333" s="17">
        <f t="shared" si="1451"/>
        <v>45</v>
      </c>
      <c r="BK333" s="17">
        <f t="shared" si="1452"/>
        <v>85</v>
      </c>
      <c r="BL333" s="17">
        <f t="shared" si="1453"/>
        <v>380.54120080897206</v>
      </c>
      <c r="BM333" s="17">
        <f t="shared" si="1454"/>
        <v>24</v>
      </c>
      <c r="BN333" s="17">
        <f t="shared" si="1455"/>
        <v>50</v>
      </c>
      <c r="BO333" s="17">
        <f t="shared" si="1456"/>
        <v>65.062647806544774</v>
      </c>
      <c r="BP333" s="17">
        <f t="shared" si="1457"/>
        <v>315.4785530024273</v>
      </c>
      <c r="BQ333" s="17">
        <f t="shared" si="1458"/>
        <v>4919.7818879999995</v>
      </c>
      <c r="BR333" s="17">
        <f t="shared" si="1459"/>
        <v>1874.2026239999989</v>
      </c>
      <c r="BS333" s="17">
        <f t="shared" si="1460"/>
        <v>512.47727999999972</v>
      </c>
      <c r="BT333" s="17">
        <f t="shared" si="1461"/>
        <v>1345.2528599999998</v>
      </c>
      <c r="BU333" s="17">
        <f t="shared" si="1462"/>
        <v>0</v>
      </c>
      <c r="BV333" s="17">
        <f t="shared" si="1463"/>
        <v>3412</v>
      </c>
      <c r="BW333" s="17">
        <f t="shared" si="1464"/>
        <v>472.22250599999995</v>
      </c>
      <c r="BX333" s="17">
        <f t="shared" si="1465"/>
        <v>17495.999999999989</v>
      </c>
      <c r="BY333" s="17">
        <f t="shared" si="1466"/>
        <v>5083.1186466815998</v>
      </c>
      <c r="BZ333" s="17"/>
      <c r="CA333" s="17">
        <f t="shared" si="1467"/>
        <v>0</v>
      </c>
      <c r="CB333" s="17">
        <f t="shared" si="1468"/>
        <v>241341.0930468569</v>
      </c>
      <c r="CC333" s="17">
        <f t="shared" si="1469"/>
        <v>26711.202784353376</v>
      </c>
      <c r="CD333" s="17">
        <f t="shared" si="1470"/>
        <v>240400.82505918032</v>
      </c>
      <c r="CE333" s="17">
        <f t="shared" si="1471"/>
        <v>31383.123040681588</v>
      </c>
      <c r="CF333" s="17">
        <f t="shared" si="1472"/>
        <v>508453.12089039059</v>
      </c>
      <c r="CG333" s="17">
        <f t="shared" si="1473"/>
        <v>539836.24393107218</v>
      </c>
      <c r="CH333" s="17">
        <f t="shared" si="1474"/>
        <v>14.400000000000006</v>
      </c>
      <c r="CI333" s="17">
        <f t="shared" si="1475"/>
        <v>-43.2</v>
      </c>
      <c r="CJ333" s="17">
        <f t="shared" si="1476"/>
        <v>16</v>
      </c>
      <c r="CK333" s="17">
        <f t="shared" si="1477"/>
        <v>90</v>
      </c>
      <c r="CL333" s="17">
        <f t="shared" si="1478"/>
        <v>71.46880726181422</v>
      </c>
      <c r="CM333" s="17">
        <f t="shared" si="1479"/>
        <v>24</v>
      </c>
      <c r="CN333" s="17">
        <f t="shared" si="1480"/>
        <v>50</v>
      </c>
      <c r="CO333" s="17">
        <f t="shared" si="1481"/>
        <v>65.062647806544774</v>
      </c>
      <c r="CP333" s="17">
        <f t="shared" si="1482"/>
        <v>6.4061594552694459</v>
      </c>
      <c r="CQ333" s="17">
        <f t="shared" si="1483"/>
        <v>0</v>
      </c>
      <c r="CR333" s="17">
        <f t="shared" si="1484"/>
        <v>100</v>
      </c>
      <c r="CS333" s="17">
        <f t="shared" si="1485"/>
        <v>26.404773030064671</v>
      </c>
      <c r="CT333" s="17">
        <f t="shared" si="1486"/>
        <v>24</v>
      </c>
      <c r="CU333" s="17">
        <f t="shared" si="1487"/>
        <v>50</v>
      </c>
      <c r="CV333" s="17">
        <f t="shared" si="1488"/>
        <v>65.062647806544774</v>
      </c>
      <c r="CW333" s="17">
        <f t="shared" si="1489"/>
        <v>-38.657874776480099</v>
      </c>
      <c r="CX333" s="17">
        <f t="shared" si="1427"/>
        <v>-5622.6078720000005</v>
      </c>
      <c r="CY333" s="17">
        <f t="shared" si="1427"/>
        <v>-5622.6078720000005</v>
      </c>
      <c r="CZ333" s="17">
        <f t="shared" si="1490"/>
        <v>512.47728000000018</v>
      </c>
      <c r="DA333" s="17">
        <f t="shared" si="1491"/>
        <v>-1537.4318400000002</v>
      </c>
      <c r="DB333" s="17">
        <f t="shared" si="1492"/>
        <v>0</v>
      </c>
      <c r="DC333" s="17">
        <f t="shared" si="1493"/>
        <v>3412</v>
      </c>
      <c r="DD333" s="17">
        <f t="shared" si="1494"/>
        <v>472.22250599999995</v>
      </c>
      <c r="DE333" s="17">
        <f t="shared" si="1495"/>
        <v>17496.000000000007</v>
      </c>
      <c r="DF333" s="17">
        <f t="shared" si="1496"/>
        <v>-5809.2784533504</v>
      </c>
      <c r="DG333" s="17"/>
      <c r="DH333" s="17">
        <f t="shared" si="1497"/>
        <v>0</v>
      </c>
      <c r="DI333" s="17">
        <f t="shared" si="1498"/>
        <v>-29573.274204007277</v>
      </c>
      <c r="DJ333" s="17">
        <f t="shared" si="1499"/>
        <v>-3273.117372130062</v>
      </c>
      <c r="DK333" s="17">
        <f t="shared" si="1500"/>
        <v>4881.618746665149</v>
      </c>
      <c r="DL333" s="17">
        <f t="shared" si="1501"/>
        <v>8923.3816206496067</v>
      </c>
      <c r="DM333" s="17">
        <f t="shared" si="1502"/>
        <v>-27964.772829472186</v>
      </c>
      <c r="DN333" s="17">
        <f t="shared" si="1503"/>
        <v>-19041.391208822577</v>
      </c>
    </row>
    <row r="334" spans="3:120" ht="18.600000000000001">
      <c r="C334" s="13">
        <f>IF(D334&lt;&gt;"",COUNTA($D$10:D334),"")</f>
        <v>277</v>
      </c>
      <c r="D334" s="14" t="s">
        <v>204</v>
      </c>
      <c r="E334" s="14">
        <v>2.7</v>
      </c>
      <c r="F334" s="14">
        <v>4</v>
      </c>
      <c r="G334" s="14">
        <v>2.4</v>
      </c>
      <c r="H334" s="14">
        <v>2</v>
      </c>
      <c r="I334" s="14">
        <v>1</v>
      </c>
      <c r="J334" s="14">
        <v>1.75</v>
      </c>
      <c r="K334" s="14">
        <v>3</v>
      </c>
      <c r="L334" s="15">
        <v>0.1</v>
      </c>
      <c r="M334" s="15">
        <v>0</v>
      </c>
      <c r="N334" s="14">
        <v>24</v>
      </c>
      <c r="O334" s="14">
        <v>50</v>
      </c>
      <c r="P334" s="13">
        <v>45</v>
      </c>
      <c r="Q334" s="13">
        <v>85</v>
      </c>
      <c r="R334" s="13" t="s">
        <v>17</v>
      </c>
      <c r="S334" s="13">
        <v>120</v>
      </c>
      <c r="T334" s="13">
        <v>0</v>
      </c>
      <c r="U334" s="13">
        <v>100</v>
      </c>
      <c r="V334" s="13" t="str">
        <f t="shared" si="1428"/>
        <v>ISO 6</v>
      </c>
      <c r="W334" s="13">
        <f t="shared" si="1429"/>
        <v>120</v>
      </c>
      <c r="X334" s="16">
        <f t="shared" si="1430"/>
        <v>116.208</v>
      </c>
      <c r="Y334" s="16">
        <f t="shared" si="1431"/>
        <v>914.78937599999995</v>
      </c>
      <c r="Z334" s="16">
        <f t="shared" si="1432"/>
        <v>1829.5787519999999</v>
      </c>
      <c r="AA334" s="16">
        <f t="shared" si="1433"/>
        <v>182.95787519999999</v>
      </c>
      <c r="AB334" s="16">
        <f t="shared" si="1434"/>
        <v>0</v>
      </c>
      <c r="AC334" s="16">
        <f t="shared" si="1435"/>
        <v>16.830680621229575</v>
      </c>
      <c r="AD334" s="16">
        <f t="shared" si="1436"/>
        <v>3375</v>
      </c>
      <c r="AE334" s="16">
        <f t="shared" si="1437"/>
        <v>3375</v>
      </c>
      <c r="AF334" s="16">
        <f t="shared" si="1438"/>
        <v>20</v>
      </c>
      <c r="AG334" s="16">
        <f t="shared" si="1439"/>
        <v>8.5</v>
      </c>
      <c r="AH334" s="838" t="s">
        <v>85</v>
      </c>
      <c r="AI334" s="17">
        <f t="shared" si="1440"/>
        <v>5</v>
      </c>
      <c r="AJ334" s="17">
        <f t="shared" si="1441"/>
        <v>8.5</v>
      </c>
      <c r="AK334" s="891"/>
      <c r="AL334" s="18" t="s">
        <v>256</v>
      </c>
      <c r="AM334" s="889"/>
      <c r="AN334" s="891"/>
      <c r="AO334" s="888"/>
      <c r="AP334" s="891"/>
      <c r="AQ334" s="891"/>
      <c r="AR334" s="889"/>
      <c r="AS334" s="888"/>
      <c r="AT334" s="888"/>
      <c r="AU334" s="890"/>
      <c r="AV334" s="888"/>
      <c r="AW334" s="888"/>
      <c r="AX334" s="888"/>
      <c r="AY334" s="887"/>
      <c r="AZ334" s="888"/>
      <c r="BA334" s="17">
        <f t="shared" si="1442"/>
        <v>14.399999999999991</v>
      </c>
      <c r="BB334" s="17">
        <f t="shared" si="1443"/>
        <v>37.799999999999997</v>
      </c>
      <c r="BC334" s="17">
        <f t="shared" si="1444"/>
        <v>32</v>
      </c>
      <c r="BD334" s="17">
        <f t="shared" si="1445"/>
        <v>85</v>
      </c>
      <c r="BE334" s="17">
        <f t="shared" si="1446"/>
        <v>180.86341983910182</v>
      </c>
      <c r="BF334" s="17">
        <f t="shared" si="1447"/>
        <v>24</v>
      </c>
      <c r="BG334" s="17">
        <f t="shared" si="1448"/>
        <v>50</v>
      </c>
      <c r="BH334" s="17">
        <f t="shared" si="1449"/>
        <v>65.062647806544774</v>
      </c>
      <c r="BI334" s="17">
        <f t="shared" si="1450"/>
        <v>115.80077203255705</v>
      </c>
      <c r="BJ334" s="17">
        <f t="shared" si="1451"/>
        <v>45</v>
      </c>
      <c r="BK334" s="17">
        <f t="shared" si="1452"/>
        <v>85</v>
      </c>
      <c r="BL334" s="17">
        <f t="shared" si="1453"/>
        <v>380.54120080897206</v>
      </c>
      <c r="BM334" s="17">
        <f t="shared" si="1454"/>
        <v>24</v>
      </c>
      <c r="BN334" s="17">
        <f t="shared" si="1455"/>
        <v>50</v>
      </c>
      <c r="BO334" s="17">
        <f t="shared" si="1456"/>
        <v>65.062647806544774</v>
      </c>
      <c r="BP334" s="17">
        <f t="shared" si="1457"/>
        <v>315.4785530024273</v>
      </c>
      <c r="BQ334" s="17">
        <f t="shared" si="1458"/>
        <v>5886.1676159999997</v>
      </c>
      <c r="BR334" s="17">
        <f t="shared" si="1459"/>
        <v>2242.3495679999987</v>
      </c>
      <c r="BS334" s="17">
        <f t="shared" si="1460"/>
        <v>753.02783999999963</v>
      </c>
      <c r="BT334" s="17">
        <f t="shared" si="1461"/>
        <v>1976.6980799999997</v>
      </c>
      <c r="BU334" s="17">
        <f t="shared" si="1462"/>
        <v>23269.68</v>
      </c>
      <c r="BV334" s="17">
        <f t="shared" si="1463"/>
        <v>3412</v>
      </c>
      <c r="BW334" s="17">
        <f t="shared" si="1464"/>
        <v>693.87796800000001</v>
      </c>
      <c r="BX334" s="17">
        <f t="shared" si="1465"/>
        <v>17495.999999999989</v>
      </c>
      <c r="BY334" s="17">
        <f t="shared" si="1466"/>
        <v>7469.0722971647992</v>
      </c>
      <c r="BZ334" s="17"/>
      <c r="CA334" s="17">
        <f t="shared" si="1467"/>
        <v>85810.166416660228</v>
      </c>
      <c r="CB334" s="17">
        <f t="shared" si="1468"/>
        <v>241341.0930468569</v>
      </c>
      <c r="CC334" s="17">
        <f t="shared" si="1469"/>
        <v>39249.114295376385</v>
      </c>
      <c r="CD334" s="17">
        <f t="shared" si="1470"/>
        <v>353242.02865838748</v>
      </c>
      <c r="CE334" s="17">
        <f t="shared" si="1471"/>
        <v>58226.797881164784</v>
      </c>
      <c r="CF334" s="17">
        <f t="shared" si="1472"/>
        <v>719642.40241728094</v>
      </c>
      <c r="CG334" s="17">
        <f t="shared" si="1473"/>
        <v>777869.20029844576</v>
      </c>
      <c r="CH334" s="17">
        <f t="shared" si="1474"/>
        <v>14.400000000000006</v>
      </c>
      <c r="CI334" s="17">
        <f t="shared" si="1475"/>
        <v>-43.2</v>
      </c>
      <c r="CJ334" s="17">
        <f t="shared" si="1476"/>
        <v>16</v>
      </c>
      <c r="CK334" s="17">
        <f t="shared" si="1477"/>
        <v>90</v>
      </c>
      <c r="CL334" s="17">
        <f t="shared" si="1478"/>
        <v>71.46880726181422</v>
      </c>
      <c r="CM334" s="17">
        <f t="shared" si="1479"/>
        <v>24</v>
      </c>
      <c r="CN334" s="17">
        <f t="shared" si="1480"/>
        <v>50</v>
      </c>
      <c r="CO334" s="17">
        <f t="shared" si="1481"/>
        <v>65.062647806544774</v>
      </c>
      <c r="CP334" s="17">
        <f t="shared" si="1482"/>
        <v>6.4061594552694459</v>
      </c>
      <c r="CQ334" s="17">
        <f t="shared" si="1483"/>
        <v>0</v>
      </c>
      <c r="CR334" s="17">
        <f t="shared" si="1484"/>
        <v>100</v>
      </c>
      <c r="CS334" s="17">
        <f t="shared" si="1485"/>
        <v>26.404773030064671</v>
      </c>
      <c r="CT334" s="17">
        <f t="shared" si="1486"/>
        <v>24</v>
      </c>
      <c r="CU334" s="17">
        <f t="shared" si="1487"/>
        <v>50</v>
      </c>
      <c r="CV334" s="17">
        <f t="shared" si="1488"/>
        <v>65.062647806544774</v>
      </c>
      <c r="CW334" s="17">
        <f t="shared" si="1489"/>
        <v>-38.657874776480099</v>
      </c>
      <c r="CX334" s="17">
        <f t="shared" si="1427"/>
        <v>-6727.0487040000007</v>
      </c>
      <c r="CY334" s="17">
        <f t="shared" si="1427"/>
        <v>-6727.0487040000007</v>
      </c>
      <c r="CZ334" s="17">
        <f t="shared" si="1490"/>
        <v>753.02784000000031</v>
      </c>
      <c r="DA334" s="17">
        <f t="shared" si="1491"/>
        <v>-2259.0835200000006</v>
      </c>
      <c r="DB334" s="17">
        <f t="shared" si="1492"/>
        <v>-26593.920000000002</v>
      </c>
      <c r="DC334" s="17">
        <f t="shared" si="1493"/>
        <v>3412</v>
      </c>
      <c r="DD334" s="17">
        <f t="shared" si="1494"/>
        <v>693.87796800000001</v>
      </c>
      <c r="DE334" s="17">
        <f t="shared" si="1495"/>
        <v>17496.000000000007</v>
      </c>
      <c r="DF334" s="17">
        <f t="shared" si="1496"/>
        <v>-8536.0826253312007</v>
      </c>
      <c r="DG334" s="17"/>
      <c r="DH334" s="17">
        <f t="shared" si="1497"/>
        <v>-10514.941939202587</v>
      </c>
      <c r="DI334" s="17">
        <f t="shared" si="1498"/>
        <v>-29573.274204007277</v>
      </c>
      <c r="DJ334" s="17">
        <f t="shared" si="1499"/>
        <v>-4809.478587619682</v>
      </c>
      <c r="DK334" s="17">
        <f t="shared" si="1500"/>
        <v>7172.9908114263426</v>
      </c>
      <c r="DL334" s="17">
        <f t="shared" si="1501"/>
        <v>-21761.229041331197</v>
      </c>
      <c r="DM334" s="17">
        <f t="shared" si="1502"/>
        <v>-37724.703919403204</v>
      </c>
      <c r="DN334" s="17">
        <f t="shared" si="1503"/>
        <v>-59485.932960734397</v>
      </c>
    </row>
    <row r="335" spans="3:120" ht="18.600000000000001">
      <c r="C335" s="13">
        <f>IF(D335&lt;&gt;"",COUNTA($D$10:D335),"")</f>
        <v>278</v>
      </c>
      <c r="D335" s="14" t="s">
        <v>205</v>
      </c>
      <c r="E335" s="14">
        <v>3.8</v>
      </c>
      <c r="F335" s="14">
        <v>4.2</v>
      </c>
      <c r="G335" s="14">
        <v>2.4</v>
      </c>
      <c r="H335" s="14">
        <v>3</v>
      </c>
      <c r="I335" s="14">
        <v>3</v>
      </c>
      <c r="J335" s="14">
        <v>1.75</v>
      </c>
      <c r="K335" s="14">
        <v>3</v>
      </c>
      <c r="L335" s="15">
        <v>0.1</v>
      </c>
      <c r="M335" s="15">
        <v>0</v>
      </c>
      <c r="N335" s="14">
        <v>24</v>
      </c>
      <c r="O335" s="14">
        <v>50</v>
      </c>
      <c r="P335" s="13">
        <v>45</v>
      </c>
      <c r="Q335" s="13">
        <v>85</v>
      </c>
      <c r="R335" s="13" t="s">
        <v>17</v>
      </c>
      <c r="S335" s="13">
        <v>120</v>
      </c>
      <c r="T335" s="13">
        <v>0</v>
      </c>
      <c r="U335" s="13">
        <v>100</v>
      </c>
      <c r="V335" s="13" t="str">
        <f t="shared" si="1428"/>
        <v>ISO 6</v>
      </c>
      <c r="W335" s="13">
        <f t="shared" si="1429"/>
        <v>120</v>
      </c>
      <c r="X335" s="16">
        <f t="shared" si="1430"/>
        <v>171.72959999999998</v>
      </c>
      <c r="Y335" s="16">
        <f t="shared" si="1431"/>
        <v>1351.8554111999997</v>
      </c>
      <c r="Z335" s="16">
        <f t="shared" si="1432"/>
        <v>2703.7108223999994</v>
      </c>
      <c r="AA335" s="16">
        <f t="shared" si="1433"/>
        <v>270.37108223999996</v>
      </c>
      <c r="AB335" s="16">
        <f t="shared" si="1434"/>
        <v>0</v>
      </c>
      <c r="AC335" s="16">
        <f t="shared" si="1435"/>
        <v>24.872005806928151</v>
      </c>
      <c r="AD335" s="16">
        <f t="shared" si="1436"/>
        <v>4450</v>
      </c>
      <c r="AE335" s="16">
        <f t="shared" si="1437"/>
        <v>4450</v>
      </c>
      <c r="AF335" s="16">
        <f t="shared" si="1438"/>
        <v>26</v>
      </c>
      <c r="AG335" s="16">
        <f t="shared" si="1439"/>
        <v>11.5</v>
      </c>
      <c r="AH335" s="838" t="s">
        <v>85</v>
      </c>
      <c r="AI335" s="17">
        <f t="shared" si="1440"/>
        <v>7</v>
      </c>
      <c r="AJ335" s="17">
        <f t="shared" si="1441"/>
        <v>11.5</v>
      </c>
      <c r="AK335" s="891"/>
      <c r="AL335" s="18">
        <f>IF(AL339&lt;4000,AL339,AL339+400)</f>
        <v>5800</v>
      </c>
      <c r="AM335" s="889"/>
      <c r="AN335" s="891"/>
      <c r="AO335" s="888"/>
      <c r="AP335" s="891"/>
      <c r="AQ335" s="891"/>
      <c r="AR335" s="889"/>
      <c r="AS335" s="888"/>
      <c r="AT335" s="888"/>
      <c r="AU335" s="890"/>
      <c r="AV335" s="888"/>
      <c r="AW335" s="888"/>
      <c r="AX335" s="888"/>
      <c r="AY335" s="887"/>
      <c r="AZ335" s="888"/>
      <c r="BA335" s="17">
        <f t="shared" si="1442"/>
        <v>14.399999999999991</v>
      </c>
      <c r="BB335" s="17">
        <f t="shared" si="1443"/>
        <v>37.799999999999997</v>
      </c>
      <c r="BC335" s="17">
        <f t="shared" si="1444"/>
        <v>32</v>
      </c>
      <c r="BD335" s="17">
        <f t="shared" si="1445"/>
        <v>85</v>
      </c>
      <c r="BE335" s="17">
        <f t="shared" si="1446"/>
        <v>180.86341983910182</v>
      </c>
      <c r="BF335" s="17">
        <f t="shared" si="1447"/>
        <v>24</v>
      </c>
      <c r="BG335" s="17">
        <f t="shared" si="1448"/>
        <v>50</v>
      </c>
      <c r="BH335" s="17">
        <f t="shared" si="1449"/>
        <v>65.062647806544774</v>
      </c>
      <c r="BI335" s="17">
        <f t="shared" si="1450"/>
        <v>115.80077203255705</v>
      </c>
      <c r="BJ335" s="17">
        <f t="shared" si="1451"/>
        <v>45</v>
      </c>
      <c r="BK335" s="17">
        <f t="shared" si="1452"/>
        <v>85</v>
      </c>
      <c r="BL335" s="17">
        <f t="shared" si="1453"/>
        <v>380.54120080897206</v>
      </c>
      <c r="BM335" s="17">
        <f t="shared" si="1454"/>
        <v>24</v>
      </c>
      <c r="BN335" s="17">
        <f t="shared" si="1455"/>
        <v>50</v>
      </c>
      <c r="BO335" s="17">
        <f t="shared" si="1456"/>
        <v>65.062647806544774</v>
      </c>
      <c r="BP335" s="17">
        <f t="shared" si="1457"/>
        <v>315.4785530024273</v>
      </c>
      <c r="BQ335" s="17">
        <f t="shared" si="1458"/>
        <v>7028.2598399999997</v>
      </c>
      <c r="BR335" s="17">
        <f t="shared" si="1459"/>
        <v>2677.4323199999981</v>
      </c>
      <c r="BS335" s="17">
        <f t="shared" si="1460"/>
        <v>1112.8078079999991</v>
      </c>
      <c r="BT335" s="17">
        <f t="shared" si="1461"/>
        <v>2921.1204959999995</v>
      </c>
      <c r="BU335" s="17">
        <f t="shared" si="1462"/>
        <v>34904.520000000004</v>
      </c>
      <c r="BV335" s="17">
        <f t="shared" si="1463"/>
        <v>10236</v>
      </c>
      <c r="BW335" s="17">
        <f t="shared" si="1464"/>
        <v>1025.3974415999999</v>
      </c>
      <c r="BX335" s="17">
        <f t="shared" si="1465"/>
        <v>17495.999999999989</v>
      </c>
      <c r="BY335" s="17">
        <f t="shared" si="1466"/>
        <v>11037.62906136576</v>
      </c>
      <c r="BZ335" s="17"/>
      <c r="CA335" s="17">
        <f t="shared" si="1467"/>
        <v>128715.24962499036</v>
      </c>
      <c r="CB335" s="17">
        <f t="shared" si="1468"/>
        <v>241341.0930468569</v>
      </c>
      <c r="CC335" s="17">
        <f t="shared" si="1469"/>
        <v>58001.468903167319</v>
      </c>
      <c r="CD335" s="17">
        <f t="shared" si="1470"/>
        <v>522013.22012850584</v>
      </c>
      <c r="CE335" s="17">
        <f t="shared" si="1471"/>
        <v>81727.806342965749</v>
      </c>
      <c r="CF335" s="17">
        <f t="shared" si="1472"/>
        <v>950071.03170352045</v>
      </c>
      <c r="CG335" s="17">
        <f t="shared" si="1473"/>
        <v>1031798.8380464863</v>
      </c>
      <c r="CH335" s="17">
        <f t="shared" si="1474"/>
        <v>14.400000000000006</v>
      </c>
      <c r="CI335" s="17">
        <f t="shared" si="1475"/>
        <v>-43.2</v>
      </c>
      <c r="CJ335" s="17">
        <f t="shared" si="1476"/>
        <v>16</v>
      </c>
      <c r="CK335" s="17">
        <f t="shared" si="1477"/>
        <v>90</v>
      </c>
      <c r="CL335" s="17">
        <f t="shared" si="1478"/>
        <v>71.46880726181422</v>
      </c>
      <c r="CM335" s="17">
        <f t="shared" si="1479"/>
        <v>24</v>
      </c>
      <c r="CN335" s="17">
        <f t="shared" si="1480"/>
        <v>50</v>
      </c>
      <c r="CO335" s="17">
        <f t="shared" si="1481"/>
        <v>65.062647806544774</v>
      </c>
      <c r="CP335" s="17">
        <f t="shared" si="1482"/>
        <v>6.4061594552694459</v>
      </c>
      <c r="CQ335" s="17">
        <f t="shared" si="1483"/>
        <v>0</v>
      </c>
      <c r="CR335" s="17">
        <f t="shared" si="1484"/>
        <v>100</v>
      </c>
      <c r="CS335" s="17">
        <f t="shared" si="1485"/>
        <v>26.404773030064671</v>
      </c>
      <c r="CT335" s="17">
        <f t="shared" si="1486"/>
        <v>24</v>
      </c>
      <c r="CU335" s="17">
        <f t="shared" si="1487"/>
        <v>50</v>
      </c>
      <c r="CV335" s="17">
        <f t="shared" si="1488"/>
        <v>65.062647806544774</v>
      </c>
      <c r="CW335" s="17">
        <f t="shared" si="1489"/>
        <v>-38.657874776480099</v>
      </c>
      <c r="CX335" s="17">
        <f t="shared" si="1427"/>
        <v>-8032.2969600000006</v>
      </c>
      <c r="CY335" s="17">
        <f t="shared" si="1427"/>
        <v>-8032.2969600000006</v>
      </c>
      <c r="CZ335" s="17">
        <f t="shared" si="1490"/>
        <v>1112.8078080000003</v>
      </c>
      <c r="DA335" s="17">
        <f t="shared" si="1491"/>
        <v>-3338.4234240000001</v>
      </c>
      <c r="DB335" s="17">
        <f t="shared" si="1492"/>
        <v>-39890.880000000005</v>
      </c>
      <c r="DC335" s="17">
        <f t="shared" si="1493"/>
        <v>10236</v>
      </c>
      <c r="DD335" s="17">
        <f t="shared" si="1494"/>
        <v>1025.3974415999999</v>
      </c>
      <c r="DE335" s="17">
        <f t="shared" si="1495"/>
        <v>17496.000000000007</v>
      </c>
      <c r="DF335" s="17">
        <f t="shared" si="1496"/>
        <v>-12614.433212989441</v>
      </c>
      <c r="DG335" s="17"/>
      <c r="DH335" s="17">
        <f t="shared" si="1497"/>
        <v>-15772.412908803883</v>
      </c>
      <c r="DI335" s="17">
        <f t="shared" si="1498"/>
        <v>-29573.274204007277</v>
      </c>
      <c r="DJ335" s="17">
        <f t="shared" si="1499"/>
        <v>-7107.3405794824193</v>
      </c>
      <c r="DK335" s="17">
        <f t="shared" si="1500"/>
        <v>10600.086421330037</v>
      </c>
      <c r="DL335" s="17">
        <f t="shared" si="1501"/>
        <v>-34005.828347389441</v>
      </c>
      <c r="DM335" s="17">
        <f t="shared" si="1502"/>
        <v>-41852.941270963544</v>
      </c>
      <c r="DN335" s="17">
        <f t="shared" si="1503"/>
        <v>-75858.769618352992</v>
      </c>
    </row>
    <row r="336" spans="3:120" ht="18.600000000000001">
      <c r="C336" s="13">
        <f>IF(D336&lt;&gt;"",COUNTA($D$10:D336),"")</f>
        <v>279</v>
      </c>
      <c r="D336" s="14" t="s">
        <v>206</v>
      </c>
      <c r="E336" s="14">
        <v>3.1</v>
      </c>
      <c r="F336" s="14">
        <v>2.6</v>
      </c>
      <c r="G336" s="14">
        <v>2.4</v>
      </c>
      <c r="H336" s="14">
        <v>2</v>
      </c>
      <c r="I336" s="14">
        <v>1</v>
      </c>
      <c r="J336" s="14">
        <v>1.75</v>
      </c>
      <c r="K336" s="14">
        <v>3</v>
      </c>
      <c r="L336" s="15">
        <v>0.1</v>
      </c>
      <c r="M336" s="15">
        <v>0</v>
      </c>
      <c r="N336" s="14">
        <v>24</v>
      </c>
      <c r="O336" s="14">
        <v>50</v>
      </c>
      <c r="P336" s="13">
        <v>45</v>
      </c>
      <c r="Q336" s="13">
        <v>85</v>
      </c>
      <c r="R336" s="13" t="s">
        <v>17</v>
      </c>
      <c r="S336" s="13">
        <v>120</v>
      </c>
      <c r="T336" s="13">
        <v>0</v>
      </c>
      <c r="U336" s="13">
        <v>100</v>
      </c>
      <c r="V336" s="13" t="str">
        <f t="shared" si="1428"/>
        <v>ISO 6</v>
      </c>
      <c r="W336" s="13">
        <f t="shared" si="1429"/>
        <v>120</v>
      </c>
      <c r="X336" s="16">
        <f t="shared" si="1430"/>
        <v>86.7256</v>
      </c>
      <c r="Y336" s="16">
        <f t="shared" si="1431"/>
        <v>682.70392319999996</v>
      </c>
      <c r="Z336" s="16">
        <f t="shared" si="1432"/>
        <v>1365.4078463999999</v>
      </c>
      <c r="AA336" s="16">
        <f t="shared" si="1433"/>
        <v>136.54078464</v>
      </c>
      <c r="AB336" s="16">
        <f t="shared" si="1434"/>
        <v>0</v>
      </c>
      <c r="AC336" s="16">
        <f t="shared" si="1435"/>
        <v>12.560674611769482</v>
      </c>
      <c r="AD336" s="16">
        <f t="shared" si="1436"/>
        <v>2900</v>
      </c>
      <c r="AE336" s="16">
        <f t="shared" si="1437"/>
        <v>2900</v>
      </c>
      <c r="AF336" s="16">
        <f t="shared" si="1438"/>
        <v>18</v>
      </c>
      <c r="AG336" s="16">
        <f t="shared" si="1439"/>
        <v>7.5</v>
      </c>
      <c r="AH336" s="838" t="s">
        <v>85</v>
      </c>
      <c r="AI336" s="17">
        <f t="shared" si="1440"/>
        <v>5</v>
      </c>
      <c r="AJ336" s="17">
        <f t="shared" si="1441"/>
        <v>7.5</v>
      </c>
      <c r="AK336" s="891"/>
      <c r="AL336" s="18"/>
      <c r="AM336" s="889"/>
      <c r="AN336" s="891"/>
      <c r="AO336" s="888"/>
      <c r="AP336" s="891"/>
      <c r="AQ336" s="891"/>
      <c r="AR336" s="889"/>
      <c r="AS336" s="888"/>
      <c r="AT336" s="888"/>
      <c r="AU336" s="890"/>
      <c r="AV336" s="888"/>
      <c r="AW336" s="888"/>
      <c r="AX336" s="888"/>
      <c r="AY336" s="887"/>
      <c r="AZ336" s="888"/>
      <c r="BA336" s="17">
        <f t="shared" si="1442"/>
        <v>14.399999999999991</v>
      </c>
      <c r="BB336" s="17">
        <f t="shared" si="1443"/>
        <v>37.799999999999997</v>
      </c>
      <c r="BC336" s="17">
        <f t="shared" si="1444"/>
        <v>32</v>
      </c>
      <c r="BD336" s="17">
        <f t="shared" si="1445"/>
        <v>85</v>
      </c>
      <c r="BE336" s="17">
        <f t="shared" si="1446"/>
        <v>180.86341983910182</v>
      </c>
      <c r="BF336" s="17">
        <f t="shared" si="1447"/>
        <v>24</v>
      </c>
      <c r="BG336" s="17">
        <f t="shared" si="1448"/>
        <v>50</v>
      </c>
      <c r="BH336" s="17">
        <f t="shared" si="1449"/>
        <v>65.062647806544774</v>
      </c>
      <c r="BI336" s="17">
        <f t="shared" si="1450"/>
        <v>115.80077203255705</v>
      </c>
      <c r="BJ336" s="17">
        <f t="shared" si="1451"/>
        <v>45</v>
      </c>
      <c r="BK336" s="17">
        <f t="shared" si="1452"/>
        <v>85</v>
      </c>
      <c r="BL336" s="17">
        <f t="shared" si="1453"/>
        <v>380.54120080897206</v>
      </c>
      <c r="BM336" s="17">
        <f t="shared" si="1454"/>
        <v>24</v>
      </c>
      <c r="BN336" s="17">
        <f t="shared" si="1455"/>
        <v>50</v>
      </c>
      <c r="BO336" s="17">
        <f t="shared" si="1456"/>
        <v>65.062647806544774</v>
      </c>
      <c r="BP336" s="17">
        <f t="shared" si="1457"/>
        <v>315.4785530024273</v>
      </c>
      <c r="BQ336" s="17">
        <f t="shared" si="1458"/>
        <v>5007.6351359999999</v>
      </c>
      <c r="BR336" s="17">
        <f t="shared" si="1459"/>
        <v>1907.670527999999</v>
      </c>
      <c r="BS336" s="17">
        <f t="shared" si="1460"/>
        <v>561.98188799999969</v>
      </c>
      <c r="BT336" s="17">
        <f t="shared" si="1461"/>
        <v>1475.202456</v>
      </c>
      <c r="BU336" s="17">
        <f t="shared" si="1462"/>
        <v>23269.68</v>
      </c>
      <c r="BV336" s="17">
        <f t="shared" si="1463"/>
        <v>3412</v>
      </c>
      <c r="BW336" s="17">
        <f t="shared" si="1464"/>
        <v>517.83855759999994</v>
      </c>
      <c r="BX336" s="17">
        <f t="shared" si="1465"/>
        <v>17495.999999999989</v>
      </c>
      <c r="BY336" s="17">
        <f t="shared" si="1466"/>
        <v>5574.1409921433597</v>
      </c>
      <c r="BZ336" s="17"/>
      <c r="CA336" s="17">
        <f t="shared" si="1467"/>
        <v>85810.166416660228</v>
      </c>
      <c r="CB336" s="17">
        <f t="shared" si="1468"/>
        <v>241341.0930468569</v>
      </c>
      <c r="CC336" s="17">
        <f t="shared" si="1469"/>
        <v>29291.468631549415</v>
      </c>
      <c r="CD336" s="17">
        <f t="shared" si="1470"/>
        <v>263623.21768394468</v>
      </c>
      <c r="CE336" s="17">
        <f t="shared" si="1471"/>
        <v>55277.294685743349</v>
      </c>
      <c r="CF336" s="17">
        <f t="shared" si="1472"/>
        <v>620065.94577901112</v>
      </c>
      <c r="CG336" s="17">
        <f t="shared" si="1473"/>
        <v>675343.24046475452</v>
      </c>
      <c r="CH336" s="17">
        <f t="shared" si="1474"/>
        <v>14.400000000000006</v>
      </c>
      <c r="CI336" s="17">
        <f t="shared" si="1475"/>
        <v>-43.2</v>
      </c>
      <c r="CJ336" s="17">
        <f t="shared" si="1476"/>
        <v>16</v>
      </c>
      <c r="CK336" s="17">
        <f t="shared" si="1477"/>
        <v>90</v>
      </c>
      <c r="CL336" s="17">
        <f t="shared" si="1478"/>
        <v>71.46880726181422</v>
      </c>
      <c r="CM336" s="17">
        <f t="shared" si="1479"/>
        <v>24</v>
      </c>
      <c r="CN336" s="17">
        <f t="shared" si="1480"/>
        <v>50</v>
      </c>
      <c r="CO336" s="17">
        <f t="shared" si="1481"/>
        <v>65.062647806544774</v>
      </c>
      <c r="CP336" s="17">
        <f t="shared" si="1482"/>
        <v>6.4061594552694459</v>
      </c>
      <c r="CQ336" s="17">
        <f t="shared" si="1483"/>
        <v>0</v>
      </c>
      <c r="CR336" s="17">
        <f t="shared" si="1484"/>
        <v>100</v>
      </c>
      <c r="CS336" s="17">
        <f t="shared" si="1485"/>
        <v>26.404773030064671</v>
      </c>
      <c r="CT336" s="17">
        <f t="shared" si="1486"/>
        <v>24</v>
      </c>
      <c r="CU336" s="17">
        <f t="shared" si="1487"/>
        <v>50</v>
      </c>
      <c r="CV336" s="17">
        <f t="shared" si="1488"/>
        <v>65.062647806544774</v>
      </c>
      <c r="CW336" s="17">
        <f t="shared" si="1489"/>
        <v>-38.657874776480099</v>
      </c>
      <c r="CX336" s="17">
        <f t="shared" si="1427"/>
        <v>-5723.0115840000008</v>
      </c>
      <c r="CY336" s="17">
        <f t="shared" si="1427"/>
        <v>-5723.0115840000008</v>
      </c>
      <c r="CZ336" s="17">
        <f t="shared" si="1490"/>
        <v>561.98188800000014</v>
      </c>
      <c r="DA336" s="17">
        <f t="shared" si="1491"/>
        <v>-1685.9456640000001</v>
      </c>
      <c r="DB336" s="17">
        <f t="shared" si="1492"/>
        <v>-26593.920000000002</v>
      </c>
      <c r="DC336" s="17">
        <f t="shared" si="1493"/>
        <v>3412</v>
      </c>
      <c r="DD336" s="17">
        <f t="shared" si="1494"/>
        <v>517.83855759999994</v>
      </c>
      <c r="DE336" s="17">
        <f t="shared" si="1495"/>
        <v>17496.000000000007</v>
      </c>
      <c r="DF336" s="17">
        <f t="shared" si="1496"/>
        <v>-6370.4468481638405</v>
      </c>
      <c r="DG336" s="17"/>
      <c r="DH336" s="17">
        <f t="shared" si="1497"/>
        <v>-10514.941939202587</v>
      </c>
      <c r="DI336" s="17">
        <f t="shared" si="1498"/>
        <v>-29573.274204007277</v>
      </c>
      <c r="DJ336" s="17">
        <f t="shared" si="1499"/>
        <v>-3589.2960570569112</v>
      </c>
      <c r="DK336" s="17">
        <f t="shared" si="1500"/>
        <v>5353.1764759348434</v>
      </c>
      <c r="DL336" s="17">
        <f t="shared" si="1501"/>
        <v>-18385.503650563835</v>
      </c>
      <c r="DM336" s="17">
        <f t="shared" si="1502"/>
        <v>-38324.335724331933</v>
      </c>
      <c r="DN336" s="17">
        <f t="shared" si="1503"/>
        <v>-56709.839374895768</v>
      </c>
    </row>
    <row r="337" spans="3:120" ht="18.600000000000001">
      <c r="C337" s="13">
        <f>IF(D337&lt;&gt;"",COUNTA($D$10:D337),"")</f>
        <v>280</v>
      </c>
      <c r="D337" s="14" t="s">
        <v>207</v>
      </c>
      <c r="E337" s="14">
        <v>1.9</v>
      </c>
      <c r="F337" s="14">
        <v>2.4</v>
      </c>
      <c r="G337" s="14">
        <v>2.4</v>
      </c>
      <c r="H337" s="14">
        <v>3</v>
      </c>
      <c r="I337" s="14">
        <v>2</v>
      </c>
      <c r="J337" s="14">
        <v>1.75</v>
      </c>
      <c r="K337" s="14">
        <v>3</v>
      </c>
      <c r="L337" s="15">
        <v>0.1</v>
      </c>
      <c r="M337" s="15">
        <v>0</v>
      </c>
      <c r="N337" s="14">
        <v>24</v>
      </c>
      <c r="O337" s="14">
        <v>50</v>
      </c>
      <c r="P337" s="13">
        <v>45</v>
      </c>
      <c r="Q337" s="13">
        <v>85</v>
      </c>
      <c r="R337" s="13" t="s">
        <v>17</v>
      </c>
      <c r="S337" s="13">
        <v>120</v>
      </c>
      <c r="T337" s="13">
        <v>0</v>
      </c>
      <c r="U337" s="13">
        <v>100</v>
      </c>
      <c r="V337" s="13" t="str">
        <f t="shared" si="1428"/>
        <v>ISO 6</v>
      </c>
      <c r="W337" s="13">
        <f t="shared" si="1429"/>
        <v>120</v>
      </c>
      <c r="X337" s="16">
        <f t="shared" si="1430"/>
        <v>49.065599999999996</v>
      </c>
      <c r="Y337" s="16">
        <f t="shared" si="1431"/>
        <v>386.24440319999997</v>
      </c>
      <c r="Z337" s="16">
        <f t="shared" si="1432"/>
        <v>772.48880639999993</v>
      </c>
      <c r="AA337" s="16">
        <f t="shared" si="1433"/>
        <v>77.248880639999996</v>
      </c>
      <c r="AB337" s="16">
        <f t="shared" si="1434"/>
        <v>0</v>
      </c>
      <c r="AC337" s="16">
        <f t="shared" si="1435"/>
        <v>7.1062873734080432</v>
      </c>
      <c r="AD337" s="16">
        <f t="shared" si="1436"/>
        <v>2500</v>
      </c>
      <c r="AE337" s="16">
        <f t="shared" si="1437"/>
        <v>2500</v>
      </c>
      <c r="AF337" s="16">
        <f t="shared" si="1438"/>
        <v>16</v>
      </c>
      <c r="AG337" s="16">
        <f t="shared" si="1439"/>
        <v>6.5</v>
      </c>
      <c r="AH337" s="838" t="s">
        <v>85</v>
      </c>
      <c r="AI337" s="17">
        <f t="shared" si="1440"/>
        <v>6</v>
      </c>
      <c r="AJ337" s="17">
        <f t="shared" si="1441"/>
        <v>6.5</v>
      </c>
      <c r="AK337" s="891"/>
      <c r="AL337" s="18"/>
      <c r="AM337" s="889"/>
      <c r="AN337" s="891"/>
      <c r="AO337" s="888"/>
      <c r="AP337" s="891"/>
      <c r="AQ337" s="891"/>
      <c r="AR337" s="889"/>
      <c r="AS337" s="888"/>
      <c r="AT337" s="888"/>
      <c r="AU337" s="890"/>
      <c r="AV337" s="888"/>
      <c r="AW337" s="888"/>
      <c r="AX337" s="888"/>
      <c r="AY337" s="887"/>
      <c r="AZ337" s="888"/>
      <c r="BA337" s="17">
        <f t="shared" si="1442"/>
        <v>14.399999999999991</v>
      </c>
      <c r="BB337" s="17">
        <f t="shared" si="1443"/>
        <v>37.799999999999997</v>
      </c>
      <c r="BC337" s="17">
        <f t="shared" si="1444"/>
        <v>32</v>
      </c>
      <c r="BD337" s="17">
        <f t="shared" si="1445"/>
        <v>85</v>
      </c>
      <c r="BE337" s="17">
        <f t="shared" si="1446"/>
        <v>180.86341983910182</v>
      </c>
      <c r="BF337" s="17">
        <f t="shared" si="1447"/>
        <v>24</v>
      </c>
      <c r="BG337" s="17">
        <f t="shared" si="1448"/>
        <v>50</v>
      </c>
      <c r="BH337" s="17">
        <f t="shared" si="1449"/>
        <v>65.062647806544774</v>
      </c>
      <c r="BI337" s="17">
        <f t="shared" si="1450"/>
        <v>115.80077203255705</v>
      </c>
      <c r="BJ337" s="17">
        <f t="shared" si="1451"/>
        <v>45</v>
      </c>
      <c r="BK337" s="17">
        <f t="shared" si="1452"/>
        <v>85</v>
      </c>
      <c r="BL337" s="17">
        <f t="shared" si="1453"/>
        <v>380.54120080897206</v>
      </c>
      <c r="BM337" s="17">
        <f t="shared" si="1454"/>
        <v>24</v>
      </c>
      <c r="BN337" s="17">
        <f t="shared" si="1455"/>
        <v>50</v>
      </c>
      <c r="BO337" s="17">
        <f t="shared" si="1456"/>
        <v>65.062647806544774</v>
      </c>
      <c r="BP337" s="17">
        <f t="shared" si="1457"/>
        <v>315.4785530024273</v>
      </c>
      <c r="BQ337" s="17">
        <f t="shared" si="1458"/>
        <v>3777.6896639999995</v>
      </c>
      <c r="BR337" s="17">
        <f t="shared" si="1459"/>
        <v>1439.1198719999991</v>
      </c>
      <c r="BS337" s="17">
        <f t="shared" si="1460"/>
        <v>317.94508799999977</v>
      </c>
      <c r="BT337" s="17">
        <f t="shared" si="1461"/>
        <v>834.6058559999999</v>
      </c>
      <c r="BU337" s="17">
        <f t="shared" si="1462"/>
        <v>34904.520000000004</v>
      </c>
      <c r="BV337" s="17">
        <f t="shared" si="1463"/>
        <v>6824</v>
      </c>
      <c r="BW337" s="17">
        <f t="shared" si="1464"/>
        <v>292.97069759999994</v>
      </c>
      <c r="BX337" s="17">
        <f t="shared" si="1465"/>
        <v>17495.999999999989</v>
      </c>
      <c r="BY337" s="17">
        <f t="shared" si="1466"/>
        <v>3153.6083032473598</v>
      </c>
      <c r="BZ337" s="17"/>
      <c r="CA337" s="17">
        <f t="shared" si="1467"/>
        <v>128715.24962499036</v>
      </c>
      <c r="CB337" s="17">
        <f t="shared" si="1468"/>
        <v>241341.0930468569</v>
      </c>
      <c r="CC337" s="17">
        <f t="shared" si="1469"/>
        <v>16571.848258047805</v>
      </c>
      <c r="CD337" s="17">
        <f t="shared" si="1470"/>
        <v>149146.63432243024</v>
      </c>
      <c r="CE337" s="17">
        <f t="shared" si="1471"/>
        <v>66448.78866484735</v>
      </c>
      <c r="CF337" s="17">
        <f t="shared" si="1472"/>
        <v>535774.82525232527</v>
      </c>
      <c r="CG337" s="17">
        <f t="shared" si="1473"/>
        <v>602223.61391717265</v>
      </c>
      <c r="CH337" s="17">
        <f t="shared" si="1474"/>
        <v>14.400000000000006</v>
      </c>
      <c r="CI337" s="17">
        <f t="shared" si="1475"/>
        <v>-43.2</v>
      </c>
      <c r="CJ337" s="17">
        <f t="shared" si="1476"/>
        <v>16</v>
      </c>
      <c r="CK337" s="17">
        <f t="shared" si="1477"/>
        <v>90</v>
      </c>
      <c r="CL337" s="17">
        <f t="shared" si="1478"/>
        <v>71.46880726181422</v>
      </c>
      <c r="CM337" s="17">
        <f t="shared" si="1479"/>
        <v>24</v>
      </c>
      <c r="CN337" s="17">
        <f t="shared" si="1480"/>
        <v>50</v>
      </c>
      <c r="CO337" s="17">
        <f t="shared" si="1481"/>
        <v>65.062647806544774</v>
      </c>
      <c r="CP337" s="17">
        <f t="shared" si="1482"/>
        <v>6.4061594552694459</v>
      </c>
      <c r="CQ337" s="17">
        <f t="shared" si="1483"/>
        <v>0</v>
      </c>
      <c r="CR337" s="17">
        <f t="shared" si="1484"/>
        <v>100</v>
      </c>
      <c r="CS337" s="17">
        <f t="shared" si="1485"/>
        <v>26.404773030064671</v>
      </c>
      <c r="CT337" s="17">
        <f t="shared" si="1486"/>
        <v>24</v>
      </c>
      <c r="CU337" s="17">
        <f t="shared" si="1487"/>
        <v>50</v>
      </c>
      <c r="CV337" s="17">
        <f t="shared" si="1488"/>
        <v>65.062647806544774</v>
      </c>
      <c r="CW337" s="17">
        <f t="shared" si="1489"/>
        <v>-38.657874776480099</v>
      </c>
      <c r="CX337" s="17">
        <f t="shared" si="1427"/>
        <v>-4317.3596159999997</v>
      </c>
      <c r="CY337" s="17">
        <f t="shared" si="1427"/>
        <v>-4317.3596159999997</v>
      </c>
      <c r="CZ337" s="17">
        <f t="shared" si="1490"/>
        <v>317.94508800000011</v>
      </c>
      <c r="DA337" s="17">
        <f t="shared" si="1491"/>
        <v>-953.83526399999994</v>
      </c>
      <c r="DB337" s="17">
        <f t="shared" si="1492"/>
        <v>-39890.880000000005</v>
      </c>
      <c r="DC337" s="17">
        <f t="shared" si="1493"/>
        <v>6824</v>
      </c>
      <c r="DD337" s="17">
        <f t="shared" si="1494"/>
        <v>292.97069759999994</v>
      </c>
      <c r="DE337" s="17">
        <f t="shared" si="1495"/>
        <v>17496.000000000007</v>
      </c>
      <c r="DF337" s="17">
        <f t="shared" si="1496"/>
        <v>-3604.1237751398403</v>
      </c>
      <c r="DG337" s="17"/>
      <c r="DH337" s="17">
        <f t="shared" si="1497"/>
        <v>-15772.412908803883</v>
      </c>
      <c r="DI337" s="17">
        <f t="shared" si="1498"/>
        <v>-29573.274204007277</v>
      </c>
      <c r="DJ337" s="17">
        <f t="shared" si="1499"/>
        <v>-2030.6687369949768</v>
      </c>
      <c r="DK337" s="17">
        <f t="shared" si="1500"/>
        <v>3028.5961203800107</v>
      </c>
      <c r="DL337" s="17">
        <f t="shared" si="1501"/>
        <v>-23835.282869539838</v>
      </c>
      <c r="DM337" s="17">
        <f t="shared" si="1502"/>
        <v>-44347.759729426129</v>
      </c>
      <c r="DN337" s="17">
        <f t="shared" si="1503"/>
        <v>-68183.042598965971</v>
      </c>
    </row>
    <row r="338" spans="3:120" ht="18.600000000000001">
      <c r="C338" s="13">
        <f>IF(D338&lt;&gt;"",COUNTA($D$10:D338),"")</f>
        <v>281</v>
      </c>
      <c r="D338" s="14" t="s">
        <v>208</v>
      </c>
      <c r="E338" s="14">
        <v>3</v>
      </c>
      <c r="F338" s="14">
        <v>2.9</v>
      </c>
      <c r="G338" s="14">
        <v>2.4</v>
      </c>
      <c r="H338" s="14">
        <v>2</v>
      </c>
      <c r="I338" s="14">
        <v>1</v>
      </c>
      <c r="J338" s="14">
        <v>1.75</v>
      </c>
      <c r="K338" s="14">
        <v>3</v>
      </c>
      <c r="L338" s="15">
        <v>0.1</v>
      </c>
      <c r="M338" s="15">
        <v>0</v>
      </c>
      <c r="N338" s="14">
        <v>24</v>
      </c>
      <c r="O338" s="14">
        <v>50</v>
      </c>
      <c r="P338" s="13">
        <v>45</v>
      </c>
      <c r="Q338" s="13">
        <v>85</v>
      </c>
      <c r="R338" s="13" t="s">
        <v>17</v>
      </c>
      <c r="S338" s="13">
        <v>120</v>
      </c>
      <c r="T338" s="13">
        <v>0</v>
      </c>
      <c r="U338" s="13">
        <v>100</v>
      </c>
      <c r="V338" s="13" t="str">
        <f t="shared" si="1428"/>
        <v>ISO 6</v>
      </c>
      <c r="W338" s="13">
        <f t="shared" si="1429"/>
        <v>120</v>
      </c>
      <c r="X338" s="16">
        <f t="shared" si="1430"/>
        <v>93.611999999999995</v>
      </c>
      <c r="Y338" s="16">
        <f t="shared" si="1431"/>
        <v>736.91366399999993</v>
      </c>
      <c r="Z338" s="16">
        <f t="shared" si="1432"/>
        <v>1473.8273279999999</v>
      </c>
      <c r="AA338" s="16">
        <f t="shared" si="1433"/>
        <v>147.38273279999999</v>
      </c>
      <c r="AB338" s="16">
        <f t="shared" si="1434"/>
        <v>0</v>
      </c>
      <c r="AC338" s="16">
        <f t="shared" si="1435"/>
        <v>13.558048278212716</v>
      </c>
      <c r="AD338" s="16">
        <f>IF(ISNUMBER(N338), CEILING(CF338/(0.68*BP338),25), "Ambient")</f>
        <v>3000</v>
      </c>
      <c r="AE338" s="16">
        <f t="shared" si="1437"/>
        <v>3000</v>
      </c>
      <c r="AF338" s="16">
        <f t="shared" si="1438"/>
        <v>18</v>
      </c>
      <c r="AG338" s="16">
        <f t="shared" si="1439"/>
        <v>7.5</v>
      </c>
      <c r="AH338" s="838" t="s">
        <v>85</v>
      </c>
      <c r="AI338" s="17">
        <f t="shared" si="1440"/>
        <v>5</v>
      </c>
      <c r="AJ338" s="17">
        <f t="shared" si="1441"/>
        <v>7.5</v>
      </c>
      <c r="AK338" s="891"/>
      <c r="AL338" s="18"/>
      <c r="AM338" s="889"/>
      <c r="AN338" s="891"/>
      <c r="AO338" s="888"/>
      <c r="AP338" s="891"/>
      <c r="AQ338" s="891"/>
      <c r="AR338" s="889"/>
      <c r="AS338" s="888"/>
      <c r="AT338" s="888"/>
      <c r="AU338" s="890"/>
      <c r="AV338" s="888"/>
      <c r="AW338" s="888"/>
      <c r="AX338" s="888"/>
      <c r="AY338" s="887"/>
      <c r="AZ338" s="888"/>
      <c r="BA338" s="17">
        <f t="shared" si="1442"/>
        <v>14.399999999999991</v>
      </c>
      <c r="BB338" s="17">
        <f t="shared" si="1443"/>
        <v>37.799999999999997</v>
      </c>
      <c r="BC338" s="17">
        <f t="shared" si="1444"/>
        <v>32</v>
      </c>
      <c r="BD338" s="17">
        <f t="shared" si="1445"/>
        <v>85</v>
      </c>
      <c r="BE338" s="17">
        <f t="shared" si="1446"/>
        <v>180.86341983910182</v>
      </c>
      <c r="BF338" s="17">
        <f t="shared" si="1447"/>
        <v>24</v>
      </c>
      <c r="BG338" s="17">
        <f t="shared" si="1448"/>
        <v>50</v>
      </c>
      <c r="BH338" s="17">
        <f t="shared" si="1449"/>
        <v>65.062647806544774</v>
      </c>
      <c r="BI338" s="17">
        <f t="shared" si="1450"/>
        <v>115.80077203255705</v>
      </c>
      <c r="BJ338" s="17">
        <f t="shared" si="1451"/>
        <v>45</v>
      </c>
      <c r="BK338" s="17">
        <f t="shared" si="1452"/>
        <v>85</v>
      </c>
      <c r="BL338" s="17">
        <f t="shared" si="1453"/>
        <v>380.54120080897206</v>
      </c>
      <c r="BM338" s="17">
        <f t="shared" si="1454"/>
        <v>24</v>
      </c>
      <c r="BN338" s="17">
        <f t="shared" si="1455"/>
        <v>50</v>
      </c>
      <c r="BO338" s="17">
        <f t="shared" si="1456"/>
        <v>65.062647806544774</v>
      </c>
      <c r="BP338" s="17">
        <f t="shared" si="1457"/>
        <v>315.4785530024273</v>
      </c>
      <c r="BQ338" s="17">
        <f t="shared" si="1458"/>
        <v>5183.3416319999997</v>
      </c>
      <c r="BR338" s="17">
        <f t="shared" si="1459"/>
        <v>1974.6063359999991</v>
      </c>
      <c r="BS338" s="17">
        <f t="shared" si="1460"/>
        <v>606.60575999999958</v>
      </c>
      <c r="BT338" s="17">
        <f t="shared" si="1461"/>
        <v>1592.3401199999998</v>
      </c>
      <c r="BU338" s="17">
        <f t="shared" si="1462"/>
        <v>23269.68</v>
      </c>
      <c r="BV338" s="17">
        <f t="shared" si="1463"/>
        <v>3412</v>
      </c>
      <c r="BW338" s="17">
        <f t="shared" si="1464"/>
        <v>558.95725199999993</v>
      </c>
      <c r="BX338" s="17">
        <f t="shared" si="1465"/>
        <v>17495.999999999989</v>
      </c>
      <c r="BY338" s="17">
        <f t="shared" si="1466"/>
        <v>6016.7526838271997</v>
      </c>
      <c r="BZ338" s="17"/>
      <c r="CA338" s="17">
        <f t="shared" si="1467"/>
        <v>85810.166416660228</v>
      </c>
      <c r="CB338" s="17">
        <f t="shared" si="1468"/>
        <v>241341.0930468569</v>
      </c>
      <c r="CC338" s="17">
        <f t="shared" si="1469"/>
        <v>31617.34207127542</v>
      </c>
      <c r="CD338" s="17">
        <f t="shared" si="1470"/>
        <v>284556.07864147879</v>
      </c>
      <c r="CE338" s="17">
        <f t="shared" si="1471"/>
        <v>55936.731567827192</v>
      </c>
      <c r="CF338" s="17">
        <f t="shared" si="1472"/>
        <v>643324.68017627136</v>
      </c>
      <c r="CG338" s="17">
        <f t="shared" si="1473"/>
        <v>699261.41174409853</v>
      </c>
      <c r="CH338" s="17">
        <f t="shared" si="1474"/>
        <v>14.400000000000006</v>
      </c>
      <c r="CI338" s="17">
        <f t="shared" si="1475"/>
        <v>-43.2</v>
      </c>
      <c r="CJ338" s="17">
        <f t="shared" si="1476"/>
        <v>16</v>
      </c>
      <c r="CK338" s="17">
        <f t="shared" si="1477"/>
        <v>90</v>
      </c>
      <c r="CL338" s="17">
        <f t="shared" si="1478"/>
        <v>71.46880726181422</v>
      </c>
      <c r="CM338" s="17">
        <f t="shared" si="1479"/>
        <v>24</v>
      </c>
      <c r="CN338" s="17">
        <f t="shared" si="1480"/>
        <v>50</v>
      </c>
      <c r="CO338" s="17">
        <f t="shared" si="1481"/>
        <v>65.062647806544774</v>
      </c>
      <c r="CP338" s="17">
        <f t="shared" si="1482"/>
        <v>6.4061594552694459</v>
      </c>
      <c r="CQ338" s="17">
        <f t="shared" si="1483"/>
        <v>0</v>
      </c>
      <c r="CR338" s="17">
        <f t="shared" si="1484"/>
        <v>100</v>
      </c>
      <c r="CS338" s="17">
        <f t="shared" si="1485"/>
        <v>26.404773030064671</v>
      </c>
      <c r="CT338" s="17">
        <f t="shared" si="1486"/>
        <v>24</v>
      </c>
      <c r="CU338" s="17">
        <f t="shared" si="1487"/>
        <v>50</v>
      </c>
      <c r="CV338" s="17">
        <f t="shared" si="1488"/>
        <v>65.062647806544774</v>
      </c>
      <c r="CW338" s="17">
        <f t="shared" si="1489"/>
        <v>-38.657874776480099</v>
      </c>
      <c r="CX338" s="17">
        <f t="shared" si="1427"/>
        <v>-5923.8190080000013</v>
      </c>
      <c r="CY338" s="17">
        <f t="shared" si="1427"/>
        <v>-5923.8190080000013</v>
      </c>
      <c r="CZ338" s="17">
        <f t="shared" si="1490"/>
        <v>606.60576000000026</v>
      </c>
      <c r="DA338" s="17">
        <f t="shared" si="1491"/>
        <v>-1819.81728</v>
      </c>
      <c r="DB338" s="17">
        <f t="shared" si="1492"/>
        <v>-26593.920000000002</v>
      </c>
      <c r="DC338" s="17">
        <f t="shared" si="1493"/>
        <v>3412</v>
      </c>
      <c r="DD338" s="17">
        <f t="shared" si="1494"/>
        <v>558.95725199999993</v>
      </c>
      <c r="DE338" s="17">
        <f t="shared" si="1495"/>
        <v>17496.000000000007</v>
      </c>
      <c r="DF338" s="17">
        <f t="shared" si="1496"/>
        <v>-6876.2887815168006</v>
      </c>
      <c r="DG338" s="17"/>
      <c r="DH338" s="17">
        <f t="shared" si="1497"/>
        <v>-10514.941939202587</v>
      </c>
      <c r="DI338" s="17">
        <f t="shared" si="1498"/>
        <v>-29573.274204007277</v>
      </c>
      <c r="DJ338" s="17">
        <f t="shared" si="1499"/>
        <v>-3874.3021955825216</v>
      </c>
      <c r="DK338" s="17">
        <f t="shared" si="1500"/>
        <v>5778.2425980934422</v>
      </c>
      <c r="DL338" s="17">
        <f t="shared" si="1501"/>
        <v>-19140.282057516793</v>
      </c>
      <c r="DM338" s="17">
        <f t="shared" si="1502"/>
        <v>-38184.275740698948</v>
      </c>
      <c r="DN338" s="17">
        <f t="shared" si="1503"/>
        <v>-57324.557798215741</v>
      </c>
    </row>
    <row r="339" spans="3:120" ht="18.600000000000001">
      <c r="C339" s="13">
        <f>IF(D339&lt;&gt;"",COUNTA($D$10:D339),"")</f>
        <v>282</v>
      </c>
      <c r="D339" s="14" t="s">
        <v>209</v>
      </c>
      <c r="E339" s="14">
        <v>2.4</v>
      </c>
      <c r="F339" s="14">
        <v>2</v>
      </c>
      <c r="G339" s="14">
        <v>2.4</v>
      </c>
      <c r="H339" s="14">
        <v>2</v>
      </c>
      <c r="I339" s="14">
        <v>1</v>
      </c>
      <c r="J339" s="14">
        <v>1.75</v>
      </c>
      <c r="K339" s="14">
        <v>3</v>
      </c>
      <c r="L339" s="15">
        <v>0.1</v>
      </c>
      <c r="M339" s="15">
        <v>0</v>
      </c>
      <c r="N339" s="14">
        <v>24</v>
      </c>
      <c r="O339" s="14">
        <v>50</v>
      </c>
      <c r="P339" s="13">
        <v>45</v>
      </c>
      <c r="Q339" s="13">
        <v>85</v>
      </c>
      <c r="R339" s="13" t="s">
        <v>17</v>
      </c>
      <c r="S339" s="13">
        <v>120</v>
      </c>
      <c r="T339" s="13">
        <v>0</v>
      </c>
      <c r="U339" s="13">
        <v>100</v>
      </c>
      <c r="V339" s="13" t="str">
        <f t="shared" si="1428"/>
        <v>ISO 6</v>
      </c>
      <c r="W339" s="13">
        <f t="shared" si="1429"/>
        <v>120</v>
      </c>
      <c r="X339" s="16">
        <f t="shared" si="1430"/>
        <v>51.647999999999996</v>
      </c>
      <c r="Y339" s="16">
        <f t="shared" si="1431"/>
        <v>406.57305599999995</v>
      </c>
      <c r="Z339" s="16">
        <f t="shared" si="1432"/>
        <v>813.1461119999999</v>
      </c>
      <c r="AA339" s="16">
        <f t="shared" si="1433"/>
        <v>81.314611200000002</v>
      </c>
      <c r="AB339" s="16">
        <f t="shared" si="1434"/>
        <v>0</v>
      </c>
      <c r="AC339" s="16">
        <f t="shared" si="1435"/>
        <v>7.4803024983242565</v>
      </c>
      <c r="AD339" s="16">
        <f t="shared" ref="AD339:AD345" si="1504">IF(ISNUMBER(N339), CEILING(CF339/(0.68*BP339),25), "Ambient")</f>
        <v>2350</v>
      </c>
      <c r="AE339" s="16">
        <f t="shared" si="1437"/>
        <v>2350</v>
      </c>
      <c r="AF339" s="16">
        <f t="shared" si="1438"/>
        <v>14</v>
      </c>
      <c r="AG339" s="16">
        <f t="shared" si="1439"/>
        <v>6</v>
      </c>
      <c r="AH339" s="838" t="s">
        <v>85</v>
      </c>
      <c r="AI339" s="17">
        <f t="shared" si="1440"/>
        <v>4.5</v>
      </c>
      <c r="AJ339" s="17">
        <f t="shared" si="1441"/>
        <v>6</v>
      </c>
      <c r="AK339" s="891"/>
      <c r="AL339" s="174">
        <f>IF(AN330&lt;=315,1600,(IF(AN330=355,1650,(IF(AN330=400,1650,(IF(AN330=450,1700,(IF(AN330=500,1700,(IF(AN330=560,1800,(IF(AN330=630,2000,(IF(AN330=710,2200,2500)))))))))))))))+IF(AR330=2,1800,(IF(AR330=3,2300,(IF(AR330=4,3300,0)))))+IF(AP330&lt;=4,600,(IF(AP330&lt;=6,800,(IF(AP330&lt;=8,1000,1200)))))</f>
        <v>5400</v>
      </c>
      <c r="AM339" s="889"/>
      <c r="AN339" s="891"/>
      <c r="AO339" s="888"/>
      <c r="AP339" s="891"/>
      <c r="AQ339" s="891"/>
      <c r="AR339" s="889"/>
      <c r="AS339" s="888"/>
      <c r="AT339" s="888"/>
      <c r="AU339" s="890"/>
      <c r="AV339" s="888"/>
      <c r="AW339" s="888"/>
      <c r="AX339" s="888"/>
      <c r="AY339" s="887"/>
      <c r="AZ339" s="888"/>
      <c r="BA339" s="17">
        <f t="shared" si="1442"/>
        <v>14.399999999999991</v>
      </c>
      <c r="BB339" s="17">
        <f t="shared" si="1443"/>
        <v>37.799999999999997</v>
      </c>
      <c r="BC339" s="17">
        <f t="shared" si="1444"/>
        <v>32</v>
      </c>
      <c r="BD339" s="17">
        <f t="shared" si="1445"/>
        <v>85</v>
      </c>
      <c r="BE339" s="17">
        <f t="shared" si="1446"/>
        <v>180.86341983910182</v>
      </c>
      <c r="BF339" s="17">
        <f t="shared" si="1447"/>
        <v>24</v>
      </c>
      <c r="BG339" s="17">
        <f t="shared" si="1448"/>
        <v>50</v>
      </c>
      <c r="BH339" s="17">
        <f t="shared" si="1449"/>
        <v>65.062647806544774</v>
      </c>
      <c r="BI339" s="17">
        <f t="shared" si="1450"/>
        <v>115.80077203255705</v>
      </c>
      <c r="BJ339" s="17">
        <f t="shared" si="1451"/>
        <v>45</v>
      </c>
      <c r="BK339" s="17">
        <f t="shared" si="1452"/>
        <v>85</v>
      </c>
      <c r="BL339" s="17">
        <f t="shared" si="1453"/>
        <v>380.54120080897206</v>
      </c>
      <c r="BM339" s="17">
        <f t="shared" si="1454"/>
        <v>24</v>
      </c>
      <c r="BN339" s="17">
        <f t="shared" si="1455"/>
        <v>50</v>
      </c>
      <c r="BO339" s="17">
        <f t="shared" si="1456"/>
        <v>65.062647806544774</v>
      </c>
      <c r="BP339" s="17">
        <f t="shared" si="1457"/>
        <v>315.4785530024273</v>
      </c>
      <c r="BQ339" s="17">
        <f t="shared" si="1458"/>
        <v>3865.5429119999999</v>
      </c>
      <c r="BR339" s="17">
        <f t="shared" si="1459"/>
        <v>1472.5877759999992</v>
      </c>
      <c r="BS339" s="17">
        <f t="shared" si="1460"/>
        <v>334.67903999999976</v>
      </c>
      <c r="BT339" s="17">
        <f t="shared" si="1461"/>
        <v>878.53247999999996</v>
      </c>
      <c r="BU339" s="17">
        <f t="shared" si="1462"/>
        <v>23269.68</v>
      </c>
      <c r="BV339" s="17">
        <f t="shared" si="1463"/>
        <v>3412</v>
      </c>
      <c r="BW339" s="17">
        <f t="shared" si="1464"/>
        <v>308.39020799999997</v>
      </c>
      <c r="BX339" s="17">
        <f t="shared" si="1465"/>
        <v>17495.999999999989</v>
      </c>
      <c r="BY339" s="17">
        <f t="shared" si="1466"/>
        <v>3319.5876876287998</v>
      </c>
      <c r="BZ339" s="17"/>
      <c r="CA339" s="17">
        <f t="shared" si="1467"/>
        <v>85810.166416660228</v>
      </c>
      <c r="CB339" s="17">
        <f t="shared" si="1468"/>
        <v>241341.0930468569</v>
      </c>
      <c r="CC339" s="17">
        <f t="shared" si="1469"/>
        <v>17444.050797945059</v>
      </c>
      <c r="CD339" s="17">
        <f t="shared" si="1470"/>
        <v>156996.45718150554</v>
      </c>
      <c r="CE339" s="17">
        <f t="shared" si="1471"/>
        <v>51671.200807628797</v>
      </c>
      <c r="CF339" s="17">
        <f t="shared" si="1472"/>
        <v>501591.76744296774</v>
      </c>
      <c r="CG339" s="17">
        <f t="shared" si="1473"/>
        <v>553262.96825059655</v>
      </c>
      <c r="CH339" s="17">
        <f t="shared" si="1474"/>
        <v>14.400000000000006</v>
      </c>
      <c r="CI339" s="17">
        <f t="shared" si="1475"/>
        <v>-43.2</v>
      </c>
      <c r="CJ339" s="17">
        <f t="shared" si="1476"/>
        <v>16</v>
      </c>
      <c r="CK339" s="17">
        <f t="shared" si="1477"/>
        <v>90</v>
      </c>
      <c r="CL339" s="17">
        <f t="shared" si="1478"/>
        <v>71.46880726181422</v>
      </c>
      <c r="CM339" s="17">
        <f t="shared" si="1479"/>
        <v>24</v>
      </c>
      <c r="CN339" s="17">
        <f t="shared" si="1480"/>
        <v>50</v>
      </c>
      <c r="CO339" s="17">
        <f t="shared" si="1481"/>
        <v>65.062647806544774</v>
      </c>
      <c r="CP339" s="17">
        <f t="shared" si="1482"/>
        <v>6.4061594552694459</v>
      </c>
      <c r="CQ339" s="17">
        <f t="shared" si="1483"/>
        <v>0</v>
      </c>
      <c r="CR339" s="17">
        <f t="shared" si="1484"/>
        <v>100</v>
      </c>
      <c r="CS339" s="17">
        <f t="shared" si="1485"/>
        <v>26.404773030064671</v>
      </c>
      <c r="CT339" s="17">
        <f t="shared" si="1486"/>
        <v>24</v>
      </c>
      <c r="CU339" s="17">
        <f t="shared" si="1487"/>
        <v>50</v>
      </c>
      <c r="CV339" s="17">
        <f t="shared" si="1488"/>
        <v>65.062647806544774</v>
      </c>
      <c r="CW339" s="17">
        <f t="shared" si="1489"/>
        <v>-38.657874776480099</v>
      </c>
      <c r="CX339" s="17">
        <f t="shared" si="1427"/>
        <v>-4417.7633280000009</v>
      </c>
      <c r="CY339" s="17">
        <f t="shared" si="1427"/>
        <v>-4417.7633280000009</v>
      </c>
      <c r="CZ339" s="17">
        <f t="shared" si="1490"/>
        <v>334.67904000000016</v>
      </c>
      <c r="DA339" s="17">
        <f t="shared" si="1491"/>
        <v>-1004.0371200000001</v>
      </c>
      <c r="DB339" s="17">
        <f t="shared" si="1492"/>
        <v>-26593.920000000002</v>
      </c>
      <c r="DC339" s="17">
        <f t="shared" si="1493"/>
        <v>3412</v>
      </c>
      <c r="DD339" s="17">
        <f t="shared" si="1494"/>
        <v>308.39020799999997</v>
      </c>
      <c r="DE339" s="17">
        <f t="shared" si="1495"/>
        <v>17496.000000000007</v>
      </c>
      <c r="DF339" s="17">
        <f t="shared" si="1496"/>
        <v>-3793.8145001472003</v>
      </c>
      <c r="DG339" s="17"/>
      <c r="DH339" s="17">
        <f t="shared" si="1497"/>
        <v>-10514.941939202587</v>
      </c>
      <c r="DI339" s="17">
        <f t="shared" si="1498"/>
        <v>-29573.274204007277</v>
      </c>
      <c r="DJ339" s="17">
        <f t="shared" si="1499"/>
        <v>-2137.5460389420814</v>
      </c>
      <c r="DK339" s="17">
        <f t="shared" si="1500"/>
        <v>3187.9959161894853</v>
      </c>
      <c r="DL339" s="17">
        <f t="shared" si="1501"/>
        <v>-14258.465700147197</v>
      </c>
      <c r="DM339" s="17">
        <f t="shared" si="1502"/>
        <v>-39037.766265962462</v>
      </c>
      <c r="DN339" s="17">
        <f t="shared" si="1503"/>
        <v>-53296.231966109655</v>
      </c>
    </row>
    <row r="340" spans="3:120" ht="18.600000000000001">
      <c r="C340" s="13">
        <f>IF(D340&lt;&gt;"",COUNTA($D$10:D340),"")</f>
        <v>283</v>
      </c>
      <c r="D340" s="14" t="s">
        <v>210</v>
      </c>
      <c r="E340" s="14">
        <v>2.1</v>
      </c>
      <c r="F340" s="14">
        <v>1.8</v>
      </c>
      <c r="G340" s="14">
        <v>2.4</v>
      </c>
      <c r="H340" s="14">
        <v>2</v>
      </c>
      <c r="I340" s="14">
        <v>1</v>
      </c>
      <c r="J340" s="14">
        <v>1.75</v>
      </c>
      <c r="K340" s="14">
        <v>3</v>
      </c>
      <c r="L340" s="15">
        <v>0.1</v>
      </c>
      <c r="M340" s="15">
        <v>0</v>
      </c>
      <c r="N340" s="14">
        <v>24</v>
      </c>
      <c r="O340" s="14">
        <v>50</v>
      </c>
      <c r="P340" s="13">
        <v>45</v>
      </c>
      <c r="Q340" s="13">
        <v>85</v>
      </c>
      <c r="R340" s="13" t="s">
        <v>17</v>
      </c>
      <c r="S340" s="13">
        <v>120</v>
      </c>
      <c r="T340" s="13">
        <v>0</v>
      </c>
      <c r="U340" s="13">
        <v>100</v>
      </c>
      <c r="V340" s="13" t="str">
        <f t="shared" si="1428"/>
        <v>ISO 6</v>
      </c>
      <c r="W340" s="13">
        <f t="shared" si="1429"/>
        <v>120</v>
      </c>
      <c r="X340" s="16">
        <f t="shared" si="1430"/>
        <v>40.672800000000002</v>
      </c>
      <c r="Y340" s="16">
        <f t="shared" si="1431"/>
        <v>320.17628159999998</v>
      </c>
      <c r="Z340" s="16">
        <f t="shared" si="1432"/>
        <v>640.35256319999996</v>
      </c>
      <c r="AA340" s="16">
        <f t="shared" si="1433"/>
        <v>64.035256320000002</v>
      </c>
      <c r="AB340" s="16">
        <f t="shared" si="1434"/>
        <v>0</v>
      </c>
      <c r="AC340" s="16">
        <f t="shared" si="1435"/>
        <v>5.8907382174303526</v>
      </c>
      <c r="AD340" s="16">
        <f t="shared" si="1504"/>
        <v>2175</v>
      </c>
      <c r="AE340" s="16">
        <f t="shared" si="1437"/>
        <v>2175</v>
      </c>
      <c r="AF340" s="16">
        <f t="shared" si="1438"/>
        <v>14</v>
      </c>
      <c r="AG340" s="16">
        <f t="shared" si="1439"/>
        <v>5.5</v>
      </c>
      <c r="AH340" s="838" t="s">
        <v>85</v>
      </c>
      <c r="AI340" s="17">
        <f t="shared" si="1440"/>
        <v>4.5</v>
      </c>
      <c r="AJ340" s="17">
        <f t="shared" si="1441"/>
        <v>5.5</v>
      </c>
      <c r="AK340" s="891"/>
      <c r="AL340" s="18"/>
      <c r="AM340" s="889"/>
      <c r="AN340" s="891"/>
      <c r="AO340" s="888"/>
      <c r="AP340" s="891"/>
      <c r="AQ340" s="891"/>
      <c r="AR340" s="889"/>
      <c r="AS340" s="888"/>
      <c r="AT340" s="888"/>
      <c r="AU340" s="890"/>
      <c r="AV340" s="888"/>
      <c r="AW340" s="888"/>
      <c r="AX340" s="888"/>
      <c r="AY340" s="887"/>
      <c r="AZ340" s="888"/>
      <c r="BA340" s="17">
        <f t="shared" si="1442"/>
        <v>14.399999999999991</v>
      </c>
      <c r="BB340" s="17">
        <f t="shared" si="1443"/>
        <v>37.799999999999997</v>
      </c>
      <c r="BC340" s="17">
        <f t="shared" si="1444"/>
        <v>32</v>
      </c>
      <c r="BD340" s="17">
        <f t="shared" si="1445"/>
        <v>85</v>
      </c>
      <c r="BE340" s="17">
        <f t="shared" si="1446"/>
        <v>180.86341983910182</v>
      </c>
      <c r="BF340" s="17">
        <f t="shared" si="1447"/>
        <v>24</v>
      </c>
      <c r="BG340" s="17">
        <f t="shared" si="1448"/>
        <v>50</v>
      </c>
      <c r="BH340" s="17">
        <f t="shared" si="1449"/>
        <v>65.062647806544774</v>
      </c>
      <c r="BI340" s="17">
        <f t="shared" si="1450"/>
        <v>115.80077203255705</v>
      </c>
      <c r="BJ340" s="17">
        <f t="shared" si="1451"/>
        <v>45</v>
      </c>
      <c r="BK340" s="17">
        <f t="shared" si="1452"/>
        <v>85</v>
      </c>
      <c r="BL340" s="17">
        <f t="shared" si="1453"/>
        <v>380.54120080897206</v>
      </c>
      <c r="BM340" s="17">
        <f t="shared" si="1454"/>
        <v>24</v>
      </c>
      <c r="BN340" s="17">
        <f t="shared" si="1455"/>
        <v>50</v>
      </c>
      <c r="BO340" s="17">
        <f t="shared" si="1456"/>
        <v>65.062647806544774</v>
      </c>
      <c r="BP340" s="17">
        <f t="shared" si="1457"/>
        <v>315.4785530024273</v>
      </c>
      <c r="BQ340" s="17">
        <f t="shared" si="1458"/>
        <v>3426.2766719999995</v>
      </c>
      <c r="BR340" s="17">
        <f t="shared" si="1459"/>
        <v>1305.2482559999992</v>
      </c>
      <c r="BS340" s="17">
        <f t="shared" si="1460"/>
        <v>263.55974399999985</v>
      </c>
      <c r="BT340" s="17">
        <f t="shared" si="1461"/>
        <v>691.84432800000002</v>
      </c>
      <c r="BU340" s="17">
        <f t="shared" si="1462"/>
        <v>23269.68</v>
      </c>
      <c r="BV340" s="17">
        <f t="shared" si="1463"/>
        <v>3412</v>
      </c>
      <c r="BW340" s="17">
        <f t="shared" si="1464"/>
        <v>242.85728880000002</v>
      </c>
      <c r="BX340" s="17">
        <f t="shared" si="1465"/>
        <v>17495.999999999989</v>
      </c>
      <c r="BY340" s="17">
        <f t="shared" si="1466"/>
        <v>2614.1753040076801</v>
      </c>
      <c r="BZ340" s="17"/>
      <c r="CA340" s="17">
        <f t="shared" si="1467"/>
        <v>85810.166416660228</v>
      </c>
      <c r="CB340" s="17">
        <f t="shared" si="1468"/>
        <v>241341.0930468569</v>
      </c>
      <c r="CC340" s="17">
        <f t="shared" si="1469"/>
        <v>13737.190003381735</v>
      </c>
      <c r="CD340" s="17">
        <f t="shared" si="1470"/>
        <v>123634.7100304356</v>
      </c>
      <c r="CE340" s="17">
        <f t="shared" si="1471"/>
        <v>50460.989264807671</v>
      </c>
      <c r="CF340" s="17">
        <f t="shared" si="1472"/>
        <v>464523.15949733445</v>
      </c>
      <c r="CG340" s="17">
        <f t="shared" si="1473"/>
        <v>514984.14876214211</v>
      </c>
      <c r="CH340" s="17">
        <f t="shared" si="1474"/>
        <v>14.400000000000006</v>
      </c>
      <c r="CI340" s="17">
        <f t="shared" si="1475"/>
        <v>-43.2</v>
      </c>
      <c r="CJ340" s="17">
        <f t="shared" si="1476"/>
        <v>16</v>
      </c>
      <c r="CK340" s="17">
        <f t="shared" si="1477"/>
        <v>90</v>
      </c>
      <c r="CL340" s="17">
        <f t="shared" si="1478"/>
        <v>71.46880726181422</v>
      </c>
      <c r="CM340" s="17">
        <f t="shared" si="1479"/>
        <v>24</v>
      </c>
      <c r="CN340" s="17">
        <f t="shared" si="1480"/>
        <v>50</v>
      </c>
      <c r="CO340" s="17">
        <f t="shared" si="1481"/>
        <v>65.062647806544774</v>
      </c>
      <c r="CP340" s="17">
        <f t="shared" si="1482"/>
        <v>6.4061594552694459</v>
      </c>
      <c r="CQ340" s="17">
        <f t="shared" si="1483"/>
        <v>0</v>
      </c>
      <c r="CR340" s="17">
        <f t="shared" si="1484"/>
        <v>100</v>
      </c>
      <c r="CS340" s="17">
        <f t="shared" si="1485"/>
        <v>26.404773030064671</v>
      </c>
      <c r="CT340" s="17">
        <f t="shared" si="1486"/>
        <v>24</v>
      </c>
      <c r="CU340" s="17">
        <f t="shared" si="1487"/>
        <v>50</v>
      </c>
      <c r="CV340" s="17">
        <f t="shared" si="1488"/>
        <v>65.062647806544774</v>
      </c>
      <c r="CW340" s="17">
        <f t="shared" si="1489"/>
        <v>-38.657874776480099</v>
      </c>
      <c r="CX340" s="17">
        <f t="shared" si="1427"/>
        <v>-3915.744768</v>
      </c>
      <c r="CY340" s="17">
        <f t="shared" si="1427"/>
        <v>-3915.744768</v>
      </c>
      <c r="CZ340" s="17">
        <f t="shared" si="1490"/>
        <v>263.55974400000014</v>
      </c>
      <c r="DA340" s="17">
        <f t="shared" si="1491"/>
        <v>-790.67923200000007</v>
      </c>
      <c r="DB340" s="17">
        <f t="shared" si="1492"/>
        <v>-26593.920000000002</v>
      </c>
      <c r="DC340" s="17">
        <f t="shared" si="1493"/>
        <v>3412</v>
      </c>
      <c r="DD340" s="17">
        <f t="shared" si="1494"/>
        <v>242.85728880000002</v>
      </c>
      <c r="DE340" s="17">
        <f t="shared" si="1495"/>
        <v>17496.000000000007</v>
      </c>
      <c r="DF340" s="17">
        <f t="shared" si="1496"/>
        <v>-2987.6289188659202</v>
      </c>
      <c r="DG340" s="17"/>
      <c r="DH340" s="17">
        <f t="shared" si="1497"/>
        <v>-10514.941939202587</v>
      </c>
      <c r="DI340" s="17">
        <f t="shared" si="1498"/>
        <v>-29573.274204007277</v>
      </c>
      <c r="DJ340" s="17">
        <f t="shared" si="1499"/>
        <v>-1683.3175056668888</v>
      </c>
      <c r="DK340" s="17">
        <f t="shared" si="1500"/>
        <v>2510.5467839992198</v>
      </c>
      <c r="DL340" s="17">
        <f t="shared" si="1501"/>
        <v>-12873.555886065915</v>
      </c>
      <c r="DM340" s="17">
        <f t="shared" si="1502"/>
        <v>-39260.986864877537</v>
      </c>
      <c r="DN340" s="17">
        <f t="shared" si="1503"/>
        <v>-52134.542750943452</v>
      </c>
    </row>
    <row r="341" spans="3:120" ht="18.600000000000001">
      <c r="C341" s="13">
        <f>IF(D341&lt;&gt;"",COUNTA($D$10:D341),"")</f>
        <v>284</v>
      </c>
      <c r="D341" s="14" t="s">
        <v>211</v>
      </c>
      <c r="E341" s="14">
        <v>1.8</v>
      </c>
      <c r="F341" s="14">
        <v>1.9</v>
      </c>
      <c r="G341" s="14">
        <v>2.4</v>
      </c>
      <c r="H341" s="14">
        <v>2</v>
      </c>
      <c r="I341" s="14">
        <v>1</v>
      </c>
      <c r="J341" s="14">
        <v>1.75</v>
      </c>
      <c r="K341" s="14">
        <v>3</v>
      </c>
      <c r="L341" s="15">
        <v>0.1</v>
      </c>
      <c r="M341" s="15">
        <v>0</v>
      </c>
      <c r="N341" s="14">
        <v>24</v>
      </c>
      <c r="O341" s="14">
        <v>50</v>
      </c>
      <c r="P341" s="13">
        <v>45</v>
      </c>
      <c r="Q341" s="13">
        <v>85</v>
      </c>
      <c r="R341" s="13" t="s">
        <v>17</v>
      </c>
      <c r="S341" s="13">
        <v>120</v>
      </c>
      <c r="T341" s="13">
        <v>0</v>
      </c>
      <c r="U341" s="13">
        <v>100</v>
      </c>
      <c r="V341" s="13" t="str">
        <f t="shared" si="1428"/>
        <v>ISO 6</v>
      </c>
      <c r="W341" s="13">
        <f t="shared" si="1429"/>
        <v>120</v>
      </c>
      <c r="X341" s="16">
        <f t="shared" si="1430"/>
        <v>36.799199999999999</v>
      </c>
      <c r="Y341" s="16">
        <f t="shared" si="1431"/>
        <v>289.68330239999995</v>
      </c>
      <c r="Z341" s="16">
        <f t="shared" si="1432"/>
        <v>579.36660479999989</v>
      </c>
      <c r="AA341" s="16">
        <f t="shared" si="1433"/>
        <v>57.936660479999993</v>
      </c>
      <c r="AB341" s="16">
        <f t="shared" si="1434"/>
        <v>0</v>
      </c>
      <c r="AC341" s="16">
        <f t="shared" si="1435"/>
        <v>5.3297155300560322</v>
      </c>
      <c r="AD341" s="16">
        <f t="shared" si="1504"/>
        <v>2125</v>
      </c>
      <c r="AE341" s="16">
        <f t="shared" si="1437"/>
        <v>2125</v>
      </c>
      <c r="AF341" s="16">
        <f t="shared" si="1438"/>
        <v>14</v>
      </c>
      <c r="AG341" s="16">
        <f t="shared" si="1439"/>
        <v>5.5</v>
      </c>
      <c r="AH341" s="838" t="s">
        <v>85</v>
      </c>
      <c r="AI341" s="17">
        <f t="shared" si="1440"/>
        <v>4.5</v>
      </c>
      <c r="AJ341" s="17">
        <f t="shared" si="1441"/>
        <v>5.5</v>
      </c>
      <c r="AK341" s="891"/>
      <c r="AL341" s="18"/>
      <c r="AM341" s="889"/>
      <c r="AN341" s="891"/>
      <c r="AO341" s="888"/>
      <c r="AP341" s="891"/>
      <c r="AQ341" s="891"/>
      <c r="AR341" s="889"/>
      <c r="AS341" s="888"/>
      <c r="AT341" s="888"/>
      <c r="AU341" s="890"/>
      <c r="AV341" s="888"/>
      <c r="AW341" s="888"/>
      <c r="AX341" s="888"/>
      <c r="AY341" s="887"/>
      <c r="AZ341" s="888"/>
      <c r="BA341" s="17">
        <f t="shared" si="1442"/>
        <v>14.399999999999991</v>
      </c>
      <c r="BB341" s="17">
        <f t="shared" si="1443"/>
        <v>37.799999999999997</v>
      </c>
      <c r="BC341" s="17">
        <f t="shared" si="1444"/>
        <v>32</v>
      </c>
      <c r="BD341" s="17">
        <f t="shared" si="1445"/>
        <v>85</v>
      </c>
      <c r="BE341" s="17">
        <f t="shared" si="1446"/>
        <v>180.86341983910182</v>
      </c>
      <c r="BF341" s="17">
        <f t="shared" si="1447"/>
        <v>24</v>
      </c>
      <c r="BG341" s="17">
        <f t="shared" si="1448"/>
        <v>50</v>
      </c>
      <c r="BH341" s="17">
        <f t="shared" si="1449"/>
        <v>65.062647806544774</v>
      </c>
      <c r="BI341" s="17">
        <f t="shared" si="1450"/>
        <v>115.80077203255705</v>
      </c>
      <c r="BJ341" s="17">
        <f t="shared" si="1451"/>
        <v>45</v>
      </c>
      <c r="BK341" s="17">
        <f t="shared" si="1452"/>
        <v>85</v>
      </c>
      <c r="BL341" s="17">
        <f t="shared" si="1453"/>
        <v>380.54120080897206</v>
      </c>
      <c r="BM341" s="17">
        <f t="shared" si="1454"/>
        <v>24</v>
      </c>
      <c r="BN341" s="17">
        <f t="shared" si="1455"/>
        <v>50</v>
      </c>
      <c r="BO341" s="17">
        <f t="shared" si="1456"/>
        <v>65.062647806544774</v>
      </c>
      <c r="BP341" s="17">
        <f t="shared" si="1457"/>
        <v>315.4785530024273</v>
      </c>
      <c r="BQ341" s="17">
        <f t="shared" si="1458"/>
        <v>3250.5701760000002</v>
      </c>
      <c r="BR341" s="17">
        <f t="shared" si="1459"/>
        <v>1238.3124479999992</v>
      </c>
      <c r="BS341" s="17">
        <f t="shared" si="1460"/>
        <v>238.45881599999987</v>
      </c>
      <c r="BT341" s="17">
        <f t="shared" si="1461"/>
        <v>625.95439199999998</v>
      </c>
      <c r="BU341" s="17">
        <f t="shared" si="1462"/>
        <v>23269.68</v>
      </c>
      <c r="BV341" s="17">
        <f t="shared" si="1463"/>
        <v>3412</v>
      </c>
      <c r="BW341" s="17">
        <f t="shared" si="1464"/>
        <v>219.7280232</v>
      </c>
      <c r="BX341" s="17">
        <f t="shared" si="1465"/>
        <v>17495.999999999989</v>
      </c>
      <c r="BY341" s="17">
        <f t="shared" si="1466"/>
        <v>2365.2062274355198</v>
      </c>
      <c r="BZ341" s="17"/>
      <c r="CA341" s="17">
        <f t="shared" si="1467"/>
        <v>85810.166416660228</v>
      </c>
      <c r="CB341" s="17">
        <f t="shared" si="1468"/>
        <v>241341.0930468569</v>
      </c>
      <c r="CC341" s="17">
        <f t="shared" si="1469"/>
        <v>12428.886193535853</v>
      </c>
      <c r="CD341" s="17">
        <f t="shared" si="1470"/>
        <v>111859.97574182268</v>
      </c>
      <c r="CE341" s="17">
        <f t="shared" si="1471"/>
        <v>50013.184426635511</v>
      </c>
      <c r="CF341" s="17">
        <f t="shared" si="1472"/>
        <v>451440.12139887566</v>
      </c>
      <c r="CG341" s="17">
        <f t="shared" si="1473"/>
        <v>501453.30582551117</v>
      </c>
      <c r="CH341" s="17">
        <f t="shared" si="1474"/>
        <v>14.400000000000006</v>
      </c>
      <c r="CI341" s="17">
        <f t="shared" si="1475"/>
        <v>-43.2</v>
      </c>
      <c r="CJ341" s="17">
        <f t="shared" si="1476"/>
        <v>16</v>
      </c>
      <c r="CK341" s="17">
        <f t="shared" si="1477"/>
        <v>90</v>
      </c>
      <c r="CL341" s="17">
        <f t="shared" si="1478"/>
        <v>71.46880726181422</v>
      </c>
      <c r="CM341" s="17">
        <f t="shared" si="1479"/>
        <v>24</v>
      </c>
      <c r="CN341" s="17">
        <f t="shared" si="1480"/>
        <v>50</v>
      </c>
      <c r="CO341" s="17">
        <f t="shared" si="1481"/>
        <v>65.062647806544774</v>
      </c>
      <c r="CP341" s="17">
        <f t="shared" si="1482"/>
        <v>6.4061594552694459</v>
      </c>
      <c r="CQ341" s="17">
        <f t="shared" si="1483"/>
        <v>0</v>
      </c>
      <c r="CR341" s="17">
        <f t="shared" si="1484"/>
        <v>100</v>
      </c>
      <c r="CS341" s="17">
        <f t="shared" si="1485"/>
        <v>26.404773030064671</v>
      </c>
      <c r="CT341" s="17">
        <f t="shared" si="1486"/>
        <v>24</v>
      </c>
      <c r="CU341" s="17">
        <f t="shared" si="1487"/>
        <v>50</v>
      </c>
      <c r="CV341" s="17">
        <f t="shared" si="1488"/>
        <v>65.062647806544774</v>
      </c>
      <c r="CW341" s="17">
        <f t="shared" si="1489"/>
        <v>-38.657874776480099</v>
      </c>
      <c r="CX341" s="17">
        <f t="shared" si="1427"/>
        <v>-3714.9373440000004</v>
      </c>
      <c r="CY341" s="17">
        <f t="shared" si="1427"/>
        <v>-3714.9373440000004</v>
      </c>
      <c r="CZ341" s="17">
        <f t="shared" si="1490"/>
        <v>238.45881600000007</v>
      </c>
      <c r="DA341" s="17">
        <f t="shared" si="1491"/>
        <v>-715.3764480000001</v>
      </c>
      <c r="DB341" s="17">
        <f t="shared" si="1492"/>
        <v>-26593.920000000002</v>
      </c>
      <c r="DC341" s="17">
        <f t="shared" si="1493"/>
        <v>3412</v>
      </c>
      <c r="DD341" s="17">
        <f t="shared" si="1494"/>
        <v>219.7280232</v>
      </c>
      <c r="DE341" s="17">
        <f t="shared" si="1495"/>
        <v>17496.000000000007</v>
      </c>
      <c r="DF341" s="17">
        <f t="shared" si="1496"/>
        <v>-2703.0928313548802</v>
      </c>
      <c r="DG341" s="17"/>
      <c r="DH341" s="17">
        <f t="shared" si="1497"/>
        <v>-10514.941939202587</v>
      </c>
      <c r="DI341" s="17">
        <f t="shared" si="1498"/>
        <v>-29573.274204007277</v>
      </c>
      <c r="DJ341" s="17">
        <f t="shared" si="1499"/>
        <v>-1523.0015527462326</v>
      </c>
      <c r="DK341" s="17">
        <f t="shared" si="1500"/>
        <v>2271.447090285008</v>
      </c>
      <c r="DL341" s="17">
        <f t="shared" si="1501"/>
        <v>-12361.139784154871</v>
      </c>
      <c r="DM341" s="17">
        <f t="shared" si="1502"/>
        <v>-39339.770605671089</v>
      </c>
      <c r="DN341" s="17">
        <f t="shared" si="1503"/>
        <v>-51700.910389825964</v>
      </c>
    </row>
    <row r="342" spans="3:120" ht="18.600000000000001">
      <c r="C342" s="13">
        <f>IF(D342&lt;&gt;"",COUNTA($D$10:D342),"")</f>
        <v>285</v>
      </c>
      <c r="D342" s="14" t="s">
        <v>212</v>
      </c>
      <c r="E342" s="14">
        <v>1.9</v>
      </c>
      <c r="F342" s="14">
        <v>2</v>
      </c>
      <c r="G342" s="14">
        <v>2.4</v>
      </c>
      <c r="H342" s="14">
        <v>2</v>
      </c>
      <c r="I342" s="14">
        <v>1</v>
      </c>
      <c r="J342" s="14">
        <v>1.75</v>
      </c>
      <c r="K342" s="14">
        <v>3</v>
      </c>
      <c r="L342" s="15">
        <v>0.1</v>
      </c>
      <c r="M342" s="15">
        <v>0</v>
      </c>
      <c r="N342" s="14">
        <v>24</v>
      </c>
      <c r="O342" s="14">
        <v>50</v>
      </c>
      <c r="P342" s="13">
        <v>45</v>
      </c>
      <c r="Q342" s="13">
        <v>85</v>
      </c>
      <c r="R342" s="13" t="s">
        <v>17</v>
      </c>
      <c r="S342" s="13">
        <v>120</v>
      </c>
      <c r="T342" s="13">
        <v>0</v>
      </c>
      <c r="U342" s="13">
        <v>100</v>
      </c>
      <c r="V342" s="13" t="str">
        <f t="shared" si="1428"/>
        <v>ISO 6</v>
      </c>
      <c r="W342" s="13">
        <f t="shared" si="1429"/>
        <v>120</v>
      </c>
      <c r="X342" s="16">
        <f t="shared" si="1430"/>
        <v>40.887999999999998</v>
      </c>
      <c r="Y342" s="16">
        <f t="shared" si="1431"/>
        <v>321.87033599999995</v>
      </c>
      <c r="Z342" s="16">
        <f t="shared" si="1432"/>
        <v>643.7406719999999</v>
      </c>
      <c r="AA342" s="16">
        <f t="shared" si="1433"/>
        <v>64.374067199999999</v>
      </c>
      <c r="AB342" s="16">
        <f t="shared" si="1434"/>
        <v>0</v>
      </c>
      <c r="AC342" s="16">
        <f t="shared" si="1435"/>
        <v>5.9219061445067043</v>
      </c>
      <c r="AD342" s="16">
        <f t="shared" si="1504"/>
        <v>2175</v>
      </c>
      <c r="AE342" s="16">
        <f t="shared" si="1437"/>
        <v>2175</v>
      </c>
      <c r="AF342" s="16">
        <f t="shared" si="1438"/>
        <v>14</v>
      </c>
      <c r="AG342" s="16">
        <f t="shared" si="1439"/>
        <v>5.5</v>
      </c>
      <c r="AH342" s="838" t="s">
        <v>85</v>
      </c>
      <c r="AI342" s="17">
        <f t="shared" si="1440"/>
        <v>4.5</v>
      </c>
      <c r="AJ342" s="17">
        <f t="shared" si="1441"/>
        <v>5.5</v>
      </c>
      <c r="AK342" s="891"/>
      <c r="AL342" s="18"/>
      <c r="AM342" s="889"/>
      <c r="AN342" s="891"/>
      <c r="AO342" s="888"/>
      <c r="AP342" s="891"/>
      <c r="AQ342" s="891"/>
      <c r="AR342" s="889"/>
      <c r="AS342" s="888"/>
      <c r="AT342" s="888"/>
      <c r="AU342" s="890"/>
      <c r="AV342" s="888"/>
      <c r="AW342" s="888"/>
      <c r="AX342" s="888"/>
      <c r="AY342" s="887"/>
      <c r="AZ342" s="888"/>
      <c r="BA342" s="17">
        <f t="shared" si="1442"/>
        <v>14.399999999999991</v>
      </c>
      <c r="BB342" s="17">
        <f t="shared" si="1443"/>
        <v>37.799999999999997</v>
      </c>
      <c r="BC342" s="17">
        <f t="shared" si="1444"/>
        <v>32</v>
      </c>
      <c r="BD342" s="17">
        <f t="shared" si="1445"/>
        <v>85</v>
      </c>
      <c r="BE342" s="17">
        <f t="shared" si="1446"/>
        <v>180.86341983910182</v>
      </c>
      <c r="BF342" s="17">
        <f t="shared" si="1447"/>
        <v>24</v>
      </c>
      <c r="BG342" s="17">
        <f t="shared" si="1448"/>
        <v>50</v>
      </c>
      <c r="BH342" s="17">
        <f t="shared" si="1449"/>
        <v>65.062647806544774</v>
      </c>
      <c r="BI342" s="17">
        <f t="shared" si="1450"/>
        <v>115.80077203255705</v>
      </c>
      <c r="BJ342" s="17">
        <f t="shared" si="1451"/>
        <v>45</v>
      </c>
      <c r="BK342" s="17">
        <f t="shared" si="1452"/>
        <v>85</v>
      </c>
      <c r="BL342" s="17">
        <f t="shared" si="1453"/>
        <v>380.54120080897206</v>
      </c>
      <c r="BM342" s="17">
        <f t="shared" si="1454"/>
        <v>24</v>
      </c>
      <c r="BN342" s="17">
        <f t="shared" si="1455"/>
        <v>50</v>
      </c>
      <c r="BO342" s="17">
        <f t="shared" si="1456"/>
        <v>65.062647806544774</v>
      </c>
      <c r="BP342" s="17">
        <f t="shared" si="1457"/>
        <v>315.4785530024273</v>
      </c>
      <c r="BQ342" s="17">
        <f t="shared" si="1458"/>
        <v>3426.2766719999991</v>
      </c>
      <c r="BR342" s="17">
        <f t="shared" si="1459"/>
        <v>1305.2482559999989</v>
      </c>
      <c r="BS342" s="17">
        <f t="shared" si="1460"/>
        <v>264.95423999999986</v>
      </c>
      <c r="BT342" s="17">
        <f t="shared" si="1461"/>
        <v>695.50487999999984</v>
      </c>
      <c r="BU342" s="17">
        <f t="shared" si="1462"/>
        <v>23269.68</v>
      </c>
      <c r="BV342" s="17">
        <f t="shared" si="1463"/>
        <v>3412</v>
      </c>
      <c r="BW342" s="17">
        <f t="shared" si="1464"/>
        <v>244.142248</v>
      </c>
      <c r="BX342" s="17">
        <f t="shared" si="1465"/>
        <v>17495.999999999989</v>
      </c>
      <c r="BY342" s="17">
        <f t="shared" si="1466"/>
        <v>2628.0069193727995</v>
      </c>
      <c r="BZ342" s="17"/>
      <c r="CA342" s="17">
        <f t="shared" si="1467"/>
        <v>85810.166416660228</v>
      </c>
      <c r="CB342" s="17">
        <f t="shared" si="1468"/>
        <v>241341.0930468569</v>
      </c>
      <c r="CC342" s="17">
        <f t="shared" si="1469"/>
        <v>13809.873548373173</v>
      </c>
      <c r="CD342" s="17">
        <f t="shared" si="1470"/>
        <v>124288.86193535852</v>
      </c>
      <c r="CE342" s="17">
        <f t="shared" si="1471"/>
        <v>50476.105839372787</v>
      </c>
      <c r="CF342" s="17">
        <f t="shared" si="1472"/>
        <v>465249.99494724884</v>
      </c>
      <c r="CG342" s="17">
        <f t="shared" si="1473"/>
        <v>515726.10078662162</v>
      </c>
      <c r="CH342" s="17">
        <f t="shared" si="1474"/>
        <v>14.400000000000006</v>
      </c>
      <c r="CI342" s="17">
        <f t="shared" si="1475"/>
        <v>-43.2</v>
      </c>
      <c r="CJ342" s="17">
        <f t="shared" si="1476"/>
        <v>16</v>
      </c>
      <c r="CK342" s="17">
        <f t="shared" si="1477"/>
        <v>90</v>
      </c>
      <c r="CL342" s="17">
        <f t="shared" si="1478"/>
        <v>71.46880726181422</v>
      </c>
      <c r="CM342" s="17">
        <f t="shared" si="1479"/>
        <v>24</v>
      </c>
      <c r="CN342" s="17">
        <f t="shared" si="1480"/>
        <v>50</v>
      </c>
      <c r="CO342" s="17">
        <f t="shared" si="1481"/>
        <v>65.062647806544774</v>
      </c>
      <c r="CP342" s="17">
        <f t="shared" si="1482"/>
        <v>6.4061594552694459</v>
      </c>
      <c r="CQ342" s="17">
        <f t="shared" si="1483"/>
        <v>0</v>
      </c>
      <c r="CR342" s="17">
        <f t="shared" si="1484"/>
        <v>100</v>
      </c>
      <c r="CS342" s="17">
        <f t="shared" si="1485"/>
        <v>26.404773030064671</v>
      </c>
      <c r="CT342" s="17">
        <f t="shared" si="1486"/>
        <v>24</v>
      </c>
      <c r="CU342" s="17">
        <f t="shared" si="1487"/>
        <v>50</v>
      </c>
      <c r="CV342" s="17">
        <f t="shared" si="1488"/>
        <v>65.062647806544774</v>
      </c>
      <c r="CW342" s="17">
        <f t="shared" si="1489"/>
        <v>-38.657874776480099</v>
      </c>
      <c r="CX342" s="17">
        <f t="shared" si="1427"/>
        <v>-3915.744768</v>
      </c>
      <c r="CY342" s="17">
        <f t="shared" si="1427"/>
        <v>-3915.744768</v>
      </c>
      <c r="CZ342" s="17">
        <f t="shared" si="1490"/>
        <v>264.95424000000008</v>
      </c>
      <c r="DA342" s="17">
        <f t="shared" si="1491"/>
        <v>-794.86271999999997</v>
      </c>
      <c r="DB342" s="17">
        <f t="shared" si="1492"/>
        <v>-26593.920000000002</v>
      </c>
      <c r="DC342" s="17">
        <f t="shared" si="1493"/>
        <v>3412</v>
      </c>
      <c r="DD342" s="17">
        <f t="shared" si="1494"/>
        <v>244.142248</v>
      </c>
      <c r="DE342" s="17">
        <f t="shared" si="1495"/>
        <v>17496.000000000007</v>
      </c>
      <c r="DF342" s="17">
        <f t="shared" si="1496"/>
        <v>-3003.4364792832002</v>
      </c>
      <c r="DG342" s="17"/>
      <c r="DH342" s="17">
        <f t="shared" si="1497"/>
        <v>-10514.941939202587</v>
      </c>
      <c r="DI342" s="17">
        <f t="shared" si="1498"/>
        <v>-29573.274204007277</v>
      </c>
      <c r="DJ342" s="17">
        <f t="shared" si="1499"/>
        <v>-1692.2239474958142</v>
      </c>
      <c r="DK342" s="17">
        <f t="shared" si="1500"/>
        <v>2523.8301003166753</v>
      </c>
      <c r="DL342" s="17">
        <f t="shared" si="1501"/>
        <v>-12890.867479283193</v>
      </c>
      <c r="DM342" s="17">
        <f t="shared" si="1502"/>
        <v>-39256.609990388999</v>
      </c>
      <c r="DN342" s="17">
        <f t="shared" si="1503"/>
        <v>-52147.477469672194</v>
      </c>
    </row>
    <row r="343" spans="3:120" ht="18.600000000000001">
      <c r="C343" s="13">
        <f>IF(D343&lt;&gt;"",COUNTA($D$10:D343),"")</f>
        <v>286</v>
      </c>
      <c r="D343" s="14" t="s">
        <v>213</v>
      </c>
      <c r="E343" s="14">
        <v>2.2999999999999998</v>
      </c>
      <c r="F343" s="14">
        <v>2.2000000000000002</v>
      </c>
      <c r="G343" s="14">
        <v>2.4</v>
      </c>
      <c r="H343" s="14">
        <v>2</v>
      </c>
      <c r="I343" s="14">
        <v>1</v>
      </c>
      <c r="J343" s="14">
        <v>1.75</v>
      </c>
      <c r="K343" s="14">
        <v>3</v>
      </c>
      <c r="L343" s="15">
        <v>0.1</v>
      </c>
      <c r="M343" s="15">
        <v>0</v>
      </c>
      <c r="N343" s="14">
        <v>24</v>
      </c>
      <c r="O343" s="14">
        <v>50</v>
      </c>
      <c r="P343" s="13">
        <v>45</v>
      </c>
      <c r="Q343" s="13">
        <v>85</v>
      </c>
      <c r="R343" s="13" t="s">
        <v>17</v>
      </c>
      <c r="S343" s="13">
        <v>120</v>
      </c>
      <c r="T343" s="13">
        <v>0</v>
      </c>
      <c r="U343" s="13">
        <v>100</v>
      </c>
      <c r="V343" s="13" t="str">
        <f t="shared" si="1428"/>
        <v>ISO 6</v>
      </c>
      <c r="W343" s="13">
        <f t="shared" si="1429"/>
        <v>120</v>
      </c>
      <c r="X343" s="16">
        <f t="shared" si="1430"/>
        <v>54.445599999999992</v>
      </c>
      <c r="Y343" s="16">
        <f t="shared" si="1431"/>
        <v>428.59576319999991</v>
      </c>
      <c r="Z343" s="16">
        <f t="shared" si="1432"/>
        <v>857.19152639999982</v>
      </c>
      <c r="AA343" s="16">
        <f t="shared" si="1433"/>
        <v>85.71915263999999</v>
      </c>
      <c r="AB343" s="16">
        <f t="shared" si="1434"/>
        <v>0</v>
      </c>
      <c r="AC343" s="16">
        <f t="shared" si="1435"/>
        <v>7.8854855503168197</v>
      </c>
      <c r="AD343" s="16">
        <f t="shared" si="1504"/>
        <v>2400</v>
      </c>
      <c r="AE343" s="16">
        <f t="shared" si="1437"/>
        <v>2400</v>
      </c>
      <c r="AF343" s="16">
        <f t="shared" si="1438"/>
        <v>14</v>
      </c>
      <c r="AG343" s="16">
        <f t="shared" si="1439"/>
        <v>6</v>
      </c>
      <c r="AH343" s="838" t="s">
        <v>85</v>
      </c>
      <c r="AI343" s="17">
        <f t="shared" si="1440"/>
        <v>4.5</v>
      </c>
      <c r="AJ343" s="17">
        <f t="shared" si="1441"/>
        <v>6</v>
      </c>
      <c r="AK343" s="891"/>
      <c r="AL343" s="18"/>
      <c r="AM343" s="889"/>
      <c r="AN343" s="891"/>
      <c r="AO343" s="888"/>
      <c r="AP343" s="891"/>
      <c r="AQ343" s="891"/>
      <c r="AR343" s="889"/>
      <c r="AS343" s="888"/>
      <c r="AT343" s="888"/>
      <c r="AU343" s="890"/>
      <c r="AV343" s="888"/>
      <c r="AW343" s="888"/>
      <c r="AX343" s="888"/>
      <c r="AY343" s="887"/>
      <c r="AZ343" s="888"/>
      <c r="BA343" s="17">
        <f t="shared" si="1442"/>
        <v>14.399999999999991</v>
      </c>
      <c r="BB343" s="17">
        <f t="shared" si="1443"/>
        <v>37.799999999999997</v>
      </c>
      <c r="BC343" s="17">
        <f t="shared" si="1444"/>
        <v>32</v>
      </c>
      <c r="BD343" s="17">
        <f t="shared" si="1445"/>
        <v>85</v>
      </c>
      <c r="BE343" s="17">
        <f t="shared" si="1446"/>
        <v>180.86341983910182</v>
      </c>
      <c r="BF343" s="17">
        <f t="shared" si="1447"/>
        <v>24</v>
      </c>
      <c r="BG343" s="17">
        <f t="shared" si="1448"/>
        <v>50</v>
      </c>
      <c r="BH343" s="17">
        <f t="shared" si="1449"/>
        <v>65.062647806544774</v>
      </c>
      <c r="BI343" s="17">
        <f t="shared" si="1450"/>
        <v>115.80077203255705</v>
      </c>
      <c r="BJ343" s="17">
        <f t="shared" si="1451"/>
        <v>45</v>
      </c>
      <c r="BK343" s="17">
        <f t="shared" si="1452"/>
        <v>85</v>
      </c>
      <c r="BL343" s="17">
        <f t="shared" si="1453"/>
        <v>380.54120080897206</v>
      </c>
      <c r="BM343" s="17">
        <f t="shared" si="1454"/>
        <v>24</v>
      </c>
      <c r="BN343" s="17">
        <f t="shared" si="1455"/>
        <v>50</v>
      </c>
      <c r="BO343" s="17">
        <f t="shared" si="1456"/>
        <v>65.062647806544774</v>
      </c>
      <c r="BP343" s="17">
        <f t="shared" si="1457"/>
        <v>315.4785530024273</v>
      </c>
      <c r="BQ343" s="17">
        <f t="shared" si="1458"/>
        <v>3953.3961599999993</v>
      </c>
      <c r="BR343" s="17">
        <f t="shared" si="1459"/>
        <v>1506.0556799999993</v>
      </c>
      <c r="BS343" s="17">
        <f t="shared" si="1460"/>
        <v>352.80748799999975</v>
      </c>
      <c r="BT343" s="17">
        <f t="shared" si="1461"/>
        <v>926.11965599999974</v>
      </c>
      <c r="BU343" s="17">
        <f t="shared" si="1462"/>
        <v>23269.68</v>
      </c>
      <c r="BV343" s="17">
        <f t="shared" si="1463"/>
        <v>3412</v>
      </c>
      <c r="BW343" s="17">
        <f t="shared" si="1464"/>
        <v>325.0946775999999</v>
      </c>
      <c r="BX343" s="17">
        <f t="shared" si="1465"/>
        <v>17495.999999999989</v>
      </c>
      <c r="BY343" s="17">
        <f t="shared" si="1466"/>
        <v>3499.3986873753597</v>
      </c>
      <c r="BZ343" s="17"/>
      <c r="CA343" s="17">
        <f t="shared" si="1467"/>
        <v>85810.166416660228</v>
      </c>
      <c r="CB343" s="17">
        <f t="shared" si="1468"/>
        <v>241341.0930468569</v>
      </c>
      <c r="CC343" s="17">
        <f t="shared" si="1469"/>
        <v>18388.936882833746</v>
      </c>
      <c r="CD343" s="17">
        <f t="shared" si="1470"/>
        <v>165500.43194550375</v>
      </c>
      <c r="CE343" s="17">
        <f t="shared" si="1471"/>
        <v>51955.569524975348</v>
      </c>
      <c r="CF343" s="17">
        <f t="shared" si="1472"/>
        <v>511040.62829185458</v>
      </c>
      <c r="CG343" s="17">
        <f t="shared" si="1473"/>
        <v>562996.1978168299</v>
      </c>
      <c r="CH343" s="17">
        <f t="shared" si="1474"/>
        <v>14.400000000000006</v>
      </c>
      <c r="CI343" s="17">
        <f t="shared" si="1475"/>
        <v>-43.2</v>
      </c>
      <c r="CJ343" s="17">
        <f t="shared" si="1476"/>
        <v>16</v>
      </c>
      <c r="CK343" s="17">
        <f t="shared" si="1477"/>
        <v>90</v>
      </c>
      <c r="CL343" s="17">
        <f t="shared" si="1478"/>
        <v>71.46880726181422</v>
      </c>
      <c r="CM343" s="17">
        <f t="shared" si="1479"/>
        <v>24</v>
      </c>
      <c r="CN343" s="17">
        <f t="shared" si="1480"/>
        <v>50</v>
      </c>
      <c r="CO343" s="17">
        <f t="shared" si="1481"/>
        <v>65.062647806544774</v>
      </c>
      <c r="CP343" s="17">
        <f t="shared" si="1482"/>
        <v>6.4061594552694459</v>
      </c>
      <c r="CQ343" s="17">
        <f t="shared" si="1483"/>
        <v>0</v>
      </c>
      <c r="CR343" s="17">
        <f t="shared" si="1484"/>
        <v>100</v>
      </c>
      <c r="CS343" s="17">
        <f t="shared" si="1485"/>
        <v>26.404773030064671</v>
      </c>
      <c r="CT343" s="17">
        <f t="shared" si="1486"/>
        <v>24</v>
      </c>
      <c r="CU343" s="17">
        <f t="shared" si="1487"/>
        <v>50</v>
      </c>
      <c r="CV343" s="17">
        <f t="shared" si="1488"/>
        <v>65.062647806544774</v>
      </c>
      <c r="CW343" s="17">
        <f t="shared" si="1489"/>
        <v>-38.657874776480099</v>
      </c>
      <c r="CX343" s="17">
        <f t="shared" si="1427"/>
        <v>-4518.1670400000012</v>
      </c>
      <c r="CY343" s="17">
        <f t="shared" si="1427"/>
        <v>-4518.1670400000012</v>
      </c>
      <c r="CZ343" s="17">
        <f t="shared" si="1490"/>
        <v>352.80748800000009</v>
      </c>
      <c r="DA343" s="17">
        <f t="shared" si="1491"/>
        <v>-1058.422464</v>
      </c>
      <c r="DB343" s="17">
        <f t="shared" si="1492"/>
        <v>-26593.920000000002</v>
      </c>
      <c r="DC343" s="17">
        <f t="shared" si="1493"/>
        <v>3412</v>
      </c>
      <c r="DD343" s="17">
        <f t="shared" si="1494"/>
        <v>325.0946775999999</v>
      </c>
      <c r="DE343" s="17">
        <f t="shared" si="1495"/>
        <v>17496.000000000007</v>
      </c>
      <c r="DF343" s="17">
        <f t="shared" si="1496"/>
        <v>-3999.3127855718403</v>
      </c>
      <c r="DG343" s="17"/>
      <c r="DH343" s="17">
        <f t="shared" si="1497"/>
        <v>-10514.941939202587</v>
      </c>
      <c r="DI343" s="17">
        <f t="shared" si="1498"/>
        <v>-29573.274204007277</v>
      </c>
      <c r="DJ343" s="17">
        <f t="shared" si="1499"/>
        <v>-2253.32978271811</v>
      </c>
      <c r="DK343" s="17">
        <f t="shared" si="1500"/>
        <v>3360.6790283164155</v>
      </c>
      <c r="DL343" s="17">
        <f t="shared" si="1501"/>
        <v>-14583.920123971839</v>
      </c>
      <c r="DM343" s="17">
        <f t="shared" si="1502"/>
        <v>-38980.866897611559</v>
      </c>
      <c r="DN343" s="17">
        <f t="shared" si="1503"/>
        <v>-53564.787021583397</v>
      </c>
    </row>
    <row r="344" spans="3:120" ht="18.600000000000001">
      <c r="C344" s="13">
        <f>IF(D344&lt;&gt;"",COUNTA($D$10:D344),"")</f>
        <v>287</v>
      </c>
      <c r="D344" s="14" t="s">
        <v>214</v>
      </c>
      <c r="E344" s="14">
        <v>2.2000000000000002</v>
      </c>
      <c r="F344" s="14">
        <v>2.8</v>
      </c>
      <c r="G344" s="14">
        <v>2.4</v>
      </c>
      <c r="H344" s="14">
        <v>2</v>
      </c>
      <c r="I344" s="14">
        <v>1</v>
      </c>
      <c r="J344" s="14">
        <v>1.75</v>
      </c>
      <c r="K344" s="14">
        <v>3</v>
      </c>
      <c r="L344" s="15">
        <v>0.1</v>
      </c>
      <c r="M344" s="15">
        <v>0</v>
      </c>
      <c r="N344" s="14">
        <v>24</v>
      </c>
      <c r="O344" s="14">
        <v>50</v>
      </c>
      <c r="P344" s="13">
        <v>45</v>
      </c>
      <c r="Q344" s="13">
        <v>85</v>
      </c>
      <c r="R344" s="13" t="s">
        <v>17</v>
      </c>
      <c r="S344" s="13">
        <v>120</v>
      </c>
      <c r="T344" s="13">
        <v>0</v>
      </c>
      <c r="U344" s="13">
        <v>100</v>
      </c>
      <c r="V344" s="13" t="str">
        <f t="shared" si="1428"/>
        <v>ISO 6</v>
      </c>
      <c r="W344" s="13">
        <f t="shared" si="1429"/>
        <v>120</v>
      </c>
      <c r="X344" s="16">
        <f t="shared" si="1430"/>
        <v>66.281599999999997</v>
      </c>
      <c r="Y344" s="16">
        <f t="shared" si="1431"/>
        <v>521.76875519999999</v>
      </c>
      <c r="Z344" s="16">
        <f t="shared" si="1432"/>
        <v>1043.5375104</v>
      </c>
      <c r="AA344" s="16">
        <f t="shared" si="1433"/>
        <v>104.35375104000001</v>
      </c>
      <c r="AB344" s="16">
        <f t="shared" si="1434"/>
        <v>0</v>
      </c>
      <c r="AC344" s="16">
        <f t="shared" si="1435"/>
        <v>9.5997215395161284</v>
      </c>
      <c r="AD344" s="16">
        <f t="shared" si="1504"/>
        <v>2575</v>
      </c>
      <c r="AE344" s="16">
        <f t="shared" si="1437"/>
        <v>2575</v>
      </c>
      <c r="AF344" s="16">
        <f t="shared" si="1438"/>
        <v>16</v>
      </c>
      <c r="AG344" s="16">
        <f t="shared" si="1439"/>
        <v>6.5</v>
      </c>
      <c r="AH344" s="838" t="s">
        <v>85</v>
      </c>
      <c r="AI344" s="17">
        <f t="shared" si="1440"/>
        <v>4.5</v>
      </c>
      <c r="AJ344" s="17">
        <f t="shared" si="1441"/>
        <v>6.5</v>
      </c>
      <c r="AK344" s="891"/>
      <c r="AL344" s="18"/>
      <c r="AM344" s="889"/>
      <c r="AN344" s="891"/>
      <c r="AO344" s="888"/>
      <c r="AP344" s="891"/>
      <c r="AQ344" s="891"/>
      <c r="AR344" s="889"/>
      <c r="AS344" s="888"/>
      <c r="AT344" s="888"/>
      <c r="AU344" s="890"/>
      <c r="AV344" s="888"/>
      <c r="AW344" s="888"/>
      <c r="AX344" s="888"/>
      <c r="AY344" s="887"/>
      <c r="AZ344" s="888"/>
      <c r="BA344" s="17">
        <f t="shared" si="1442"/>
        <v>14.399999999999991</v>
      </c>
      <c r="BB344" s="17">
        <f t="shared" si="1443"/>
        <v>37.799999999999997</v>
      </c>
      <c r="BC344" s="17">
        <f t="shared" si="1444"/>
        <v>32</v>
      </c>
      <c r="BD344" s="17">
        <f t="shared" si="1445"/>
        <v>85</v>
      </c>
      <c r="BE344" s="17">
        <f t="shared" si="1446"/>
        <v>180.86341983910182</v>
      </c>
      <c r="BF344" s="17">
        <f t="shared" si="1447"/>
        <v>24</v>
      </c>
      <c r="BG344" s="17">
        <f t="shared" si="1448"/>
        <v>50</v>
      </c>
      <c r="BH344" s="17">
        <f t="shared" si="1449"/>
        <v>65.062647806544774</v>
      </c>
      <c r="BI344" s="17">
        <f t="shared" si="1450"/>
        <v>115.80077203255705</v>
      </c>
      <c r="BJ344" s="17">
        <f t="shared" si="1451"/>
        <v>45</v>
      </c>
      <c r="BK344" s="17">
        <f t="shared" si="1452"/>
        <v>85</v>
      </c>
      <c r="BL344" s="17">
        <f t="shared" si="1453"/>
        <v>380.54120080897206</v>
      </c>
      <c r="BM344" s="17">
        <f t="shared" si="1454"/>
        <v>24</v>
      </c>
      <c r="BN344" s="17">
        <f t="shared" si="1455"/>
        <v>50</v>
      </c>
      <c r="BO344" s="17">
        <f t="shared" si="1456"/>
        <v>65.062647806544774</v>
      </c>
      <c r="BP344" s="17">
        <f t="shared" si="1457"/>
        <v>315.4785530024273</v>
      </c>
      <c r="BQ344" s="17">
        <f t="shared" si="1458"/>
        <v>4392.6624000000002</v>
      </c>
      <c r="BR344" s="17">
        <f t="shared" si="1459"/>
        <v>1673.3951999999992</v>
      </c>
      <c r="BS344" s="17">
        <f t="shared" si="1460"/>
        <v>429.50476799999973</v>
      </c>
      <c r="BT344" s="17">
        <f t="shared" si="1461"/>
        <v>1127.4500159999998</v>
      </c>
      <c r="BU344" s="17">
        <f t="shared" si="1462"/>
        <v>23269.68</v>
      </c>
      <c r="BV344" s="17">
        <f t="shared" si="1463"/>
        <v>3412</v>
      </c>
      <c r="BW344" s="17">
        <f t="shared" si="1464"/>
        <v>395.76743359999995</v>
      </c>
      <c r="BX344" s="17">
        <f t="shared" si="1465"/>
        <v>17495.999999999989</v>
      </c>
      <c r="BY344" s="17">
        <f t="shared" si="1466"/>
        <v>4260.1375324569599</v>
      </c>
      <c r="BZ344" s="17"/>
      <c r="CA344" s="17">
        <f t="shared" si="1467"/>
        <v>85810.166416660228</v>
      </c>
      <c r="CB344" s="17">
        <f t="shared" si="1468"/>
        <v>241341.0930468569</v>
      </c>
      <c r="CC344" s="17">
        <f t="shared" si="1469"/>
        <v>22386.531857362828</v>
      </c>
      <c r="CD344" s="17">
        <f t="shared" si="1470"/>
        <v>201478.78671626543</v>
      </c>
      <c r="CE344" s="17">
        <f t="shared" si="1471"/>
        <v>53226.247366056945</v>
      </c>
      <c r="CF344" s="17">
        <f t="shared" si="1472"/>
        <v>551016.57803714531</v>
      </c>
      <c r="CG344" s="17">
        <f t="shared" si="1473"/>
        <v>604242.82540320221</v>
      </c>
      <c r="CH344" s="17">
        <f t="shared" si="1474"/>
        <v>14.400000000000006</v>
      </c>
      <c r="CI344" s="17">
        <f t="shared" si="1475"/>
        <v>-43.2</v>
      </c>
      <c r="CJ344" s="17">
        <f t="shared" si="1476"/>
        <v>16</v>
      </c>
      <c r="CK344" s="17">
        <f t="shared" si="1477"/>
        <v>90</v>
      </c>
      <c r="CL344" s="17">
        <f t="shared" si="1478"/>
        <v>71.46880726181422</v>
      </c>
      <c r="CM344" s="17">
        <f t="shared" si="1479"/>
        <v>24</v>
      </c>
      <c r="CN344" s="17">
        <f t="shared" si="1480"/>
        <v>50</v>
      </c>
      <c r="CO344" s="17">
        <f t="shared" si="1481"/>
        <v>65.062647806544774</v>
      </c>
      <c r="CP344" s="17">
        <f t="shared" si="1482"/>
        <v>6.4061594552694459</v>
      </c>
      <c r="CQ344" s="17">
        <f t="shared" si="1483"/>
        <v>0</v>
      </c>
      <c r="CR344" s="17">
        <f t="shared" si="1484"/>
        <v>100</v>
      </c>
      <c r="CS344" s="17">
        <f t="shared" si="1485"/>
        <v>26.404773030064671</v>
      </c>
      <c r="CT344" s="17">
        <f t="shared" si="1486"/>
        <v>24</v>
      </c>
      <c r="CU344" s="17">
        <f t="shared" si="1487"/>
        <v>50</v>
      </c>
      <c r="CV344" s="17">
        <f t="shared" si="1488"/>
        <v>65.062647806544774</v>
      </c>
      <c r="CW344" s="17">
        <f t="shared" si="1489"/>
        <v>-38.657874776480099</v>
      </c>
      <c r="CX344" s="17">
        <f t="shared" si="1427"/>
        <v>-5020.1856000000007</v>
      </c>
      <c r="CY344" s="17">
        <f t="shared" si="1427"/>
        <v>-5020.1856000000007</v>
      </c>
      <c r="CZ344" s="17">
        <f t="shared" si="1490"/>
        <v>429.50476800000018</v>
      </c>
      <c r="DA344" s="17">
        <f t="shared" si="1491"/>
        <v>-1288.514304</v>
      </c>
      <c r="DB344" s="17">
        <f t="shared" si="1492"/>
        <v>-26593.920000000002</v>
      </c>
      <c r="DC344" s="17">
        <f t="shared" si="1493"/>
        <v>3412</v>
      </c>
      <c r="DD344" s="17">
        <f t="shared" si="1494"/>
        <v>395.76743359999995</v>
      </c>
      <c r="DE344" s="17">
        <f t="shared" si="1495"/>
        <v>17496.000000000007</v>
      </c>
      <c r="DF344" s="17">
        <f t="shared" si="1496"/>
        <v>-4868.7286085222404</v>
      </c>
      <c r="DG344" s="17"/>
      <c r="DH344" s="17">
        <f t="shared" si="1497"/>
        <v>-10514.941939202587</v>
      </c>
      <c r="DI344" s="17">
        <f t="shared" si="1498"/>
        <v>-29573.274204007277</v>
      </c>
      <c r="DJ344" s="17">
        <f t="shared" si="1499"/>
        <v>-2743.1840833090046</v>
      </c>
      <c r="DK344" s="17">
        <f t="shared" si="1500"/>
        <v>4091.2614257765063</v>
      </c>
      <c r="DL344" s="17">
        <f t="shared" si="1501"/>
        <v>-16038.076310922239</v>
      </c>
      <c r="DM344" s="17">
        <f t="shared" si="1502"/>
        <v>-38740.138800742359</v>
      </c>
      <c r="DN344" s="17">
        <f t="shared" si="1503"/>
        <v>-54778.215111664598</v>
      </c>
    </row>
    <row r="345" spans="3:120" ht="18.600000000000001">
      <c r="C345" s="13">
        <f>IF(D345&lt;&gt;"",COUNTA($D$10:D345),"")</f>
        <v>288</v>
      </c>
      <c r="D345" s="14" t="s">
        <v>215</v>
      </c>
      <c r="E345" s="14">
        <v>2.8</v>
      </c>
      <c r="F345" s="14">
        <v>2.4</v>
      </c>
      <c r="G345" s="14">
        <v>2.4</v>
      </c>
      <c r="H345" s="14">
        <v>2</v>
      </c>
      <c r="I345" s="14">
        <v>1</v>
      </c>
      <c r="J345" s="14">
        <v>1.75</v>
      </c>
      <c r="K345" s="14">
        <v>3</v>
      </c>
      <c r="L345" s="15">
        <v>0.1</v>
      </c>
      <c r="M345" s="15">
        <v>0</v>
      </c>
      <c r="N345" s="14">
        <v>24</v>
      </c>
      <c r="O345" s="14">
        <v>50</v>
      </c>
      <c r="P345" s="13">
        <v>45</v>
      </c>
      <c r="Q345" s="13">
        <v>85</v>
      </c>
      <c r="R345" s="13" t="s">
        <v>17</v>
      </c>
      <c r="S345" s="13">
        <v>120</v>
      </c>
      <c r="T345" s="13">
        <v>0</v>
      </c>
      <c r="U345" s="13">
        <v>100</v>
      </c>
      <c r="V345" s="13" t="str">
        <f t="shared" si="1428"/>
        <v>ISO 6</v>
      </c>
      <c r="W345" s="13">
        <f t="shared" si="1429"/>
        <v>120</v>
      </c>
      <c r="X345" s="16">
        <f t="shared" si="1430"/>
        <v>72.307199999999995</v>
      </c>
      <c r="Y345" s="16">
        <f t="shared" si="1431"/>
        <v>569.20227839999995</v>
      </c>
      <c r="Z345" s="16">
        <f t="shared" si="1432"/>
        <v>1138.4045567999999</v>
      </c>
      <c r="AA345" s="16">
        <f t="shared" si="1433"/>
        <v>113.84045567999999</v>
      </c>
      <c r="AB345" s="16">
        <f t="shared" si="1434"/>
        <v>0</v>
      </c>
      <c r="AC345" s="16">
        <f t="shared" si="1435"/>
        <v>10.472423497653956</v>
      </c>
      <c r="AD345" s="16">
        <f t="shared" si="1504"/>
        <v>2675</v>
      </c>
      <c r="AE345" s="16">
        <f t="shared" si="1437"/>
        <v>2675</v>
      </c>
      <c r="AF345" s="16">
        <f t="shared" si="1438"/>
        <v>16</v>
      </c>
      <c r="AG345" s="16">
        <f t="shared" si="1439"/>
        <v>7</v>
      </c>
      <c r="AH345" s="838" t="s">
        <v>85</v>
      </c>
      <c r="AI345" s="17">
        <f t="shared" si="1440"/>
        <v>4.5</v>
      </c>
      <c r="AJ345" s="17">
        <f t="shared" si="1441"/>
        <v>7</v>
      </c>
      <c r="AK345" s="891"/>
      <c r="AL345" s="18"/>
      <c r="AM345" s="889"/>
      <c r="AN345" s="891"/>
      <c r="AO345" s="888"/>
      <c r="AP345" s="891"/>
      <c r="AQ345" s="891"/>
      <c r="AR345" s="889"/>
      <c r="AS345" s="888"/>
      <c r="AT345" s="888"/>
      <c r="AU345" s="890"/>
      <c r="AV345" s="888"/>
      <c r="AW345" s="888"/>
      <c r="AX345" s="888"/>
      <c r="AY345" s="887"/>
      <c r="AZ345" s="888"/>
      <c r="BA345" s="17">
        <f t="shared" si="1442"/>
        <v>14.399999999999991</v>
      </c>
      <c r="BB345" s="17">
        <f t="shared" si="1443"/>
        <v>37.799999999999997</v>
      </c>
      <c r="BC345" s="17">
        <f t="shared" si="1444"/>
        <v>32</v>
      </c>
      <c r="BD345" s="17">
        <f t="shared" si="1445"/>
        <v>85</v>
      </c>
      <c r="BE345" s="17">
        <f t="shared" si="1446"/>
        <v>180.86341983910182</v>
      </c>
      <c r="BF345" s="17">
        <f t="shared" si="1447"/>
        <v>24</v>
      </c>
      <c r="BG345" s="17">
        <f t="shared" si="1448"/>
        <v>50</v>
      </c>
      <c r="BH345" s="17">
        <f t="shared" si="1449"/>
        <v>65.062647806544774</v>
      </c>
      <c r="BI345" s="17">
        <f t="shared" si="1450"/>
        <v>115.80077203255705</v>
      </c>
      <c r="BJ345" s="17">
        <f t="shared" si="1451"/>
        <v>45</v>
      </c>
      <c r="BK345" s="17">
        <f t="shared" si="1452"/>
        <v>85</v>
      </c>
      <c r="BL345" s="17">
        <f t="shared" si="1453"/>
        <v>380.54120080897206</v>
      </c>
      <c r="BM345" s="17">
        <f t="shared" si="1454"/>
        <v>24</v>
      </c>
      <c r="BN345" s="17">
        <f t="shared" si="1455"/>
        <v>50</v>
      </c>
      <c r="BO345" s="17">
        <f t="shared" si="1456"/>
        <v>65.062647806544774</v>
      </c>
      <c r="BP345" s="17">
        <f t="shared" si="1457"/>
        <v>315.4785530024273</v>
      </c>
      <c r="BQ345" s="17">
        <f t="shared" si="1458"/>
        <v>4568.368895999999</v>
      </c>
      <c r="BR345" s="17">
        <f t="shared" si="1459"/>
        <v>1740.331007999999</v>
      </c>
      <c r="BS345" s="17">
        <f t="shared" si="1460"/>
        <v>468.55065599999972</v>
      </c>
      <c r="BT345" s="17">
        <f t="shared" si="1461"/>
        <v>1229.9454719999999</v>
      </c>
      <c r="BU345" s="17">
        <f t="shared" si="1462"/>
        <v>23269.68</v>
      </c>
      <c r="BV345" s="17">
        <f t="shared" si="1463"/>
        <v>3412</v>
      </c>
      <c r="BW345" s="17">
        <f t="shared" si="1464"/>
        <v>431.74629119999997</v>
      </c>
      <c r="BX345" s="17">
        <f t="shared" si="1465"/>
        <v>17495.999999999989</v>
      </c>
      <c r="BY345" s="17">
        <f t="shared" si="1466"/>
        <v>4647.4227626803195</v>
      </c>
      <c r="BZ345" s="17"/>
      <c r="CA345" s="17">
        <f t="shared" si="1467"/>
        <v>85810.166416660228</v>
      </c>
      <c r="CB345" s="17">
        <f t="shared" si="1468"/>
        <v>241341.0930468569</v>
      </c>
      <c r="CC345" s="17">
        <f t="shared" si="1469"/>
        <v>24421.671117123082</v>
      </c>
      <c r="CD345" s="17">
        <f t="shared" si="1470"/>
        <v>219795.04005410775</v>
      </c>
      <c r="CE345" s="17">
        <f t="shared" si="1471"/>
        <v>53825.217949880309</v>
      </c>
      <c r="CF345" s="17">
        <f t="shared" si="1472"/>
        <v>571367.970634748</v>
      </c>
      <c r="CG345" s="17">
        <f t="shared" si="1473"/>
        <v>625193.18858462828</v>
      </c>
      <c r="CH345" s="17">
        <f t="shared" si="1474"/>
        <v>14.400000000000006</v>
      </c>
      <c r="CI345" s="17">
        <f t="shared" si="1475"/>
        <v>-43.2</v>
      </c>
      <c r="CJ345" s="17">
        <f t="shared" si="1476"/>
        <v>16</v>
      </c>
      <c r="CK345" s="17">
        <f t="shared" si="1477"/>
        <v>90</v>
      </c>
      <c r="CL345" s="17">
        <f t="shared" si="1478"/>
        <v>71.46880726181422</v>
      </c>
      <c r="CM345" s="17">
        <f t="shared" si="1479"/>
        <v>24</v>
      </c>
      <c r="CN345" s="17">
        <f t="shared" si="1480"/>
        <v>50</v>
      </c>
      <c r="CO345" s="17">
        <f t="shared" si="1481"/>
        <v>65.062647806544774</v>
      </c>
      <c r="CP345" s="17">
        <f t="shared" si="1482"/>
        <v>6.4061594552694459</v>
      </c>
      <c r="CQ345" s="17">
        <f t="shared" si="1483"/>
        <v>0</v>
      </c>
      <c r="CR345" s="17">
        <f t="shared" si="1484"/>
        <v>100</v>
      </c>
      <c r="CS345" s="17">
        <f t="shared" si="1485"/>
        <v>26.404773030064671</v>
      </c>
      <c r="CT345" s="17">
        <f t="shared" si="1486"/>
        <v>24</v>
      </c>
      <c r="CU345" s="17">
        <f t="shared" si="1487"/>
        <v>50</v>
      </c>
      <c r="CV345" s="17">
        <f t="shared" si="1488"/>
        <v>65.062647806544774</v>
      </c>
      <c r="CW345" s="17">
        <f t="shared" si="1489"/>
        <v>-38.657874776480099</v>
      </c>
      <c r="CX345" s="17">
        <f t="shared" si="1427"/>
        <v>-5220.9930240000003</v>
      </c>
      <c r="CY345" s="17">
        <f t="shared" si="1427"/>
        <v>-5220.9930240000003</v>
      </c>
      <c r="CZ345" s="17">
        <f t="shared" si="1490"/>
        <v>468.55065600000012</v>
      </c>
      <c r="DA345" s="17">
        <f t="shared" si="1491"/>
        <v>-1405.6519680000001</v>
      </c>
      <c r="DB345" s="17">
        <f t="shared" si="1492"/>
        <v>-26593.920000000002</v>
      </c>
      <c r="DC345" s="17">
        <f t="shared" si="1493"/>
        <v>3412</v>
      </c>
      <c r="DD345" s="17">
        <f t="shared" si="1494"/>
        <v>431.74629119999997</v>
      </c>
      <c r="DE345" s="17">
        <f t="shared" si="1495"/>
        <v>17496.000000000007</v>
      </c>
      <c r="DF345" s="17">
        <f t="shared" si="1496"/>
        <v>-5311.3403002060804</v>
      </c>
      <c r="DG345" s="17"/>
      <c r="DH345" s="17">
        <f t="shared" si="1497"/>
        <v>-10514.941939202587</v>
      </c>
      <c r="DI345" s="17">
        <f t="shared" si="1498"/>
        <v>-29573.274204007277</v>
      </c>
      <c r="DJ345" s="17">
        <f t="shared" si="1499"/>
        <v>-2992.5644545189134</v>
      </c>
      <c r="DK345" s="17">
        <f t="shared" si="1500"/>
        <v>4463.1942826652794</v>
      </c>
      <c r="DL345" s="17">
        <f t="shared" si="1501"/>
        <v>-16723.608345006072</v>
      </c>
      <c r="DM345" s="17">
        <f t="shared" si="1502"/>
        <v>-38617.586315063498</v>
      </c>
      <c r="DN345" s="17">
        <f t="shared" si="1503"/>
        <v>-55341.194660069566</v>
      </c>
    </row>
    <row r="346" spans="3:120">
      <c r="C346" s="19"/>
      <c r="D346" s="19"/>
      <c r="E346" s="19"/>
      <c r="F346" s="19"/>
      <c r="G346" s="19"/>
      <c r="H346" s="19"/>
      <c r="I346" s="19"/>
      <c r="J346" s="19"/>
      <c r="K346" s="19"/>
      <c r="L346" s="19"/>
      <c r="M346" s="19"/>
      <c r="N346" s="19"/>
      <c r="O346" s="19"/>
      <c r="P346" s="19"/>
      <c r="Q346" s="19"/>
      <c r="R346" s="19"/>
      <c r="S346" s="19"/>
      <c r="T346" s="19"/>
      <c r="U346" s="19"/>
      <c r="V346" s="19"/>
      <c r="W346" s="19"/>
      <c r="X346" s="20">
        <f>SUM(X330:X345)</f>
        <v>1144.1108000000002</v>
      </c>
      <c r="Y346" s="20">
        <f t="shared" ref="Y346:AG346" si="1505">SUM(Y330:Y345)</f>
        <v>9006.4402175999985</v>
      </c>
      <c r="Z346" s="20">
        <f t="shared" si="1505"/>
        <v>18012.880435199997</v>
      </c>
      <c r="AA346" s="20">
        <f t="shared" si="1505"/>
        <v>1801.2880435199995</v>
      </c>
      <c r="AB346" s="20">
        <f t="shared" si="1505"/>
        <v>0</v>
      </c>
      <c r="AC346" s="20">
        <f t="shared" si="1505"/>
        <v>165.70428430142042</v>
      </c>
      <c r="AD346" s="20">
        <f t="shared" si="1505"/>
        <v>42375</v>
      </c>
      <c r="AE346" s="20">
        <f t="shared" si="1505"/>
        <v>42375</v>
      </c>
      <c r="AF346" s="20">
        <f t="shared" si="1505"/>
        <v>260</v>
      </c>
      <c r="AG346" s="20">
        <f t="shared" si="1505"/>
        <v>108.5</v>
      </c>
      <c r="AH346" s="841"/>
      <c r="AI346" s="20">
        <f t="shared" ref="AI346:AJ346" si="1506">SUM(AI330:AI345)</f>
        <v>76.5</v>
      </c>
      <c r="AJ346" s="20">
        <f t="shared" si="1506"/>
        <v>108.5</v>
      </c>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2"/>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row>
    <row r="348" spans="3:120" ht="29.1">
      <c r="C348" s="8" t="str">
        <f>"Zoning Area  AHU - " &amp; INT((ROW()-8)/20)+1 &amp; "  " &amp;IF(AQ350&gt;0,"Air-Conditioning System " &amp; IF(AH350="D","(DX)",IF(AH350="C","(Chilled Water)","")),IF(AND(N350="Amb",AQ350=0),"Ventilation System","Refer"))</f>
        <v>Zoning Area  AHU - 18  Air-Conditioning System (Chilled Water)</v>
      </c>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39"/>
      <c r="AI348" s="8"/>
      <c r="AJ348" s="8"/>
      <c r="AK348" s="8"/>
      <c r="AL348" s="8"/>
      <c r="AM348" s="8"/>
      <c r="AN348" s="8"/>
      <c r="AO348" s="8"/>
      <c r="AP348" s="8"/>
      <c r="AQ348" s="8"/>
      <c r="AR348" s="8"/>
      <c r="AS348" s="9" t="s">
        <v>221</v>
      </c>
      <c r="AT348" s="10"/>
      <c r="AU348" s="10"/>
      <c r="AV348" s="11"/>
      <c r="AW348" s="9" t="s">
        <v>222</v>
      </c>
      <c r="AX348" s="10"/>
      <c r="AY348" s="10"/>
      <c r="AZ348" s="11"/>
      <c r="BA348" s="12" t="s">
        <v>483</v>
      </c>
      <c r="BB348" s="12"/>
      <c r="BC348" s="12"/>
      <c r="BD348" s="12"/>
      <c r="BE348" s="12"/>
      <c r="BF348" s="12"/>
      <c r="BG348" s="12"/>
      <c r="BH348" s="12"/>
      <c r="BI348" s="12"/>
      <c r="BJ348" s="12"/>
      <c r="BK348" s="12"/>
      <c r="BL348" s="12"/>
      <c r="BM348" s="12"/>
      <c r="BN348" s="12"/>
      <c r="BO348" s="12"/>
      <c r="BP348" s="12"/>
      <c r="BQ348" s="9" t="s">
        <v>484</v>
      </c>
      <c r="BR348" s="10"/>
      <c r="BS348" s="10"/>
      <c r="BT348" s="10"/>
      <c r="BU348" s="10"/>
      <c r="BV348" s="10"/>
      <c r="BW348" s="10"/>
      <c r="BX348" s="10"/>
      <c r="BY348" s="10"/>
      <c r="BZ348" s="11"/>
      <c r="CA348" s="9" t="s">
        <v>485</v>
      </c>
      <c r="CB348" s="10"/>
      <c r="CC348" s="10"/>
      <c r="CD348" s="10"/>
      <c r="CE348" s="9" t="s">
        <v>486</v>
      </c>
      <c r="CF348" s="10"/>
      <c r="CG348" s="11"/>
      <c r="CH348" s="12" t="s">
        <v>487</v>
      </c>
      <c r="CI348" s="12"/>
      <c r="CJ348" s="12"/>
      <c r="CK348" s="12"/>
      <c r="CL348" s="12"/>
      <c r="CM348" s="12"/>
      <c r="CN348" s="12"/>
      <c r="CO348" s="12"/>
      <c r="CP348" s="12"/>
      <c r="CQ348" s="12"/>
      <c r="CR348" s="12"/>
      <c r="CS348" s="12"/>
      <c r="CT348" s="12"/>
      <c r="CU348" s="12"/>
      <c r="CV348" s="12"/>
      <c r="CW348" s="12"/>
      <c r="CX348" s="9" t="s">
        <v>488</v>
      </c>
      <c r="CY348" s="10"/>
      <c r="CZ348" s="10"/>
      <c r="DA348" s="10"/>
      <c r="DB348" s="10"/>
      <c r="DC348" s="10"/>
      <c r="DD348" s="10"/>
      <c r="DE348" s="10"/>
      <c r="DF348" s="10"/>
      <c r="DG348" s="11"/>
      <c r="DH348" s="9" t="s">
        <v>489</v>
      </c>
      <c r="DI348" s="10"/>
      <c r="DJ348" s="10"/>
      <c r="DK348" s="10"/>
      <c r="DL348" s="9"/>
      <c r="DM348" s="10"/>
      <c r="DN348" s="11"/>
      <c r="DO348" s="1"/>
      <c r="DP348" s="1"/>
    </row>
    <row r="349" spans="3:120" ht="120" customHeight="1">
      <c r="C349" s="13">
        <f>IF(D349&lt;&gt;"",COUNTA($D$10:D349),"")</f>
        <v>289</v>
      </c>
      <c r="D349" s="5" t="s">
        <v>165</v>
      </c>
      <c r="E349" s="5" t="s">
        <v>166</v>
      </c>
      <c r="F349" s="5" t="s">
        <v>167</v>
      </c>
      <c r="G349" s="5" t="s">
        <v>168</v>
      </c>
      <c r="H349" s="5" t="s">
        <v>169</v>
      </c>
      <c r="I349" s="5" t="s">
        <v>170</v>
      </c>
      <c r="J349" s="5" t="s">
        <v>171</v>
      </c>
      <c r="K349" s="5" t="s">
        <v>172</v>
      </c>
      <c r="L349" s="5" t="s">
        <v>173</v>
      </c>
      <c r="M349" s="5" t="s">
        <v>174</v>
      </c>
      <c r="N349" s="5" t="s">
        <v>175</v>
      </c>
      <c r="O349" s="5" t="s">
        <v>176</v>
      </c>
      <c r="P349" s="5" t="s">
        <v>177</v>
      </c>
      <c r="Q349" s="5" t="s">
        <v>178</v>
      </c>
      <c r="R349" s="5" t="s">
        <v>199</v>
      </c>
      <c r="S349" s="5" t="s">
        <v>180</v>
      </c>
      <c r="T349" s="5" t="s">
        <v>223</v>
      </c>
      <c r="U349" s="5" t="s">
        <v>224</v>
      </c>
      <c r="V349" s="5" t="s">
        <v>199</v>
      </c>
      <c r="W349" s="5" t="s">
        <v>180</v>
      </c>
      <c r="X349" s="5" t="s">
        <v>225</v>
      </c>
      <c r="Y349" s="5" t="s">
        <v>226</v>
      </c>
      <c r="Z349" s="5" t="s">
        <v>227</v>
      </c>
      <c r="AA349" s="5" t="s">
        <v>228</v>
      </c>
      <c r="AB349" s="5" t="s">
        <v>229</v>
      </c>
      <c r="AC349" s="5" t="s">
        <v>230</v>
      </c>
      <c r="AD349" s="5" t="s">
        <v>231</v>
      </c>
      <c r="AE349" s="5" t="s">
        <v>232</v>
      </c>
      <c r="AF349" s="6" t="s">
        <v>233</v>
      </c>
      <c r="AG349" s="6" t="s">
        <v>234</v>
      </c>
      <c r="AH349" s="6" t="s">
        <v>235</v>
      </c>
      <c r="AI349" s="5" t="s">
        <v>236</v>
      </c>
      <c r="AJ349" s="5" t="s">
        <v>237</v>
      </c>
      <c r="AK349" s="5" t="s">
        <v>238</v>
      </c>
      <c r="AL349" s="5" t="s">
        <v>239</v>
      </c>
      <c r="AM349" s="5" t="s">
        <v>240</v>
      </c>
      <c r="AN349" s="5" t="s">
        <v>241</v>
      </c>
      <c r="AO349" s="5" t="s">
        <v>242</v>
      </c>
      <c r="AP349" s="5" t="s">
        <v>243</v>
      </c>
      <c r="AQ349" s="5" t="s">
        <v>244</v>
      </c>
      <c r="AR349" s="5" t="s">
        <v>245</v>
      </c>
      <c r="AS349" s="5" t="s">
        <v>246</v>
      </c>
      <c r="AT349" s="5" t="s">
        <v>247</v>
      </c>
      <c r="AU349" s="5" t="s">
        <v>248</v>
      </c>
      <c r="AV349" s="5" t="s">
        <v>249</v>
      </c>
      <c r="AW349" s="5" t="s">
        <v>250</v>
      </c>
      <c r="AX349" s="5" t="s">
        <v>251</v>
      </c>
      <c r="AY349" s="5" t="s">
        <v>252</v>
      </c>
      <c r="AZ349" s="5" t="s">
        <v>253</v>
      </c>
      <c r="BA349" s="5" t="s">
        <v>490</v>
      </c>
      <c r="BB349" s="5" t="s">
        <v>491</v>
      </c>
      <c r="BC349" s="5" t="s">
        <v>492</v>
      </c>
      <c r="BD349" s="5" t="s">
        <v>493</v>
      </c>
      <c r="BE349" s="5" t="s">
        <v>494</v>
      </c>
      <c r="BF349" s="5" t="s">
        <v>492</v>
      </c>
      <c r="BG349" s="5" t="s">
        <v>493</v>
      </c>
      <c r="BH349" s="5" t="s">
        <v>495</v>
      </c>
      <c r="BI349" s="5" t="s">
        <v>496</v>
      </c>
      <c r="BJ349" s="5" t="s">
        <v>492</v>
      </c>
      <c r="BK349" s="5" t="s">
        <v>493</v>
      </c>
      <c r="BL349" s="5" t="s">
        <v>497</v>
      </c>
      <c r="BM349" s="5" t="s">
        <v>492</v>
      </c>
      <c r="BN349" s="5" t="s">
        <v>493</v>
      </c>
      <c r="BO349" s="5" t="s">
        <v>495</v>
      </c>
      <c r="BP349" s="5" t="s">
        <v>498</v>
      </c>
      <c r="BQ349" s="5" t="s">
        <v>499</v>
      </c>
      <c r="BR349" s="5" t="s">
        <v>500</v>
      </c>
      <c r="BS349" s="5" t="s">
        <v>501</v>
      </c>
      <c r="BT349" s="5" t="s">
        <v>502</v>
      </c>
      <c r="BU349" s="5" t="s">
        <v>503</v>
      </c>
      <c r="BV349" s="5" t="s">
        <v>504</v>
      </c>
      <c r="BW349" s="5" t="s">
        <v>505</v>
      </c>
      <c r="BX349" s="5" t="s">
        <v>506</v>
      </c>
      <c r="BY349" s="5" t="s">
        <v>173</v>
      </c>
      <c r="BZ349" s="5" t="s">
        <v>174</v>
      </c>
      <c r="CA349" s="5" t="s">
        <v>503</v>
      </c>
      <c r="CB349" s="5" t="s">
        <v>507</v>
      </c>
      <c r="CC349" s="5" t="s">
        <v>173</v>
      </c>
      <c r="CD349" s="5" t="s">
        <v>508</v>
      </c>
      <c r="CE349" s="7" t="s">
        <v>509</v>
      </c>
      <c r="CF349" s="7" t="s">
        <v>510</v>
      </c>
      <c r="CG349" s="7" t="s">
        <v>511</v>
      </c>
      <c r="CH349" s="5" t="s">
        <v>512</v>
      </c>
      <c r="CI349" s="5" t="s">
        <v>513</v>
      </c>
      <c r="CJ349" s="5" t="s">
        <v>492</v>
      </c>
      <c r="CK349" s="5" t="s">
        <v>493</v>
      </c>
      <c r="CL349" s="5" t="s">
        <v>494</v>
      </c>
      <c r="CM349" s="5" t="s">
        <v>492</v>
      </c>
      <c r="CN349" s="5" t="s">
        <v>493</v>
      </c>
      <c r="CO349" s="5" t="s">
        <v>495</v>
      </c>
      <c r="CP349" s="5" t="s">
        <v>496</v>
      </c>
      <c r="CQ349" s="5" t="s">
        <v>492</v>
      </c>
      <c r="CR349" s="5" t="s">
        <v>493</v>
      </c>
      <c r="CS349" s="5" t="s">
        <v>497</v>
      </c>
      <c r="CT349" s="5" t="s">
        <v>492</v>
      </c>
      <c r="CU349" s="5" t="s">
        <v>493</v>
      </c>
      <c r="CV349" s="5" t="s">
        <v>495</v>
      </c>
      <c r="CW349" s="5" t="s">
        <v>498</v>
      </c>
      <c r="CX349" s="5" t="s">
        <v>499</v>
      </c>
      <c r="CY349" s="5" t="s">
        <v>500</v>
      </c>
      <c r="CZ349" s="5" t="s">
        <v>501</v>
      </c>
      <c r="DA349" s="5" t="s">
        <v>502</v>
      </c>
      <c r="DB349" s="5" t="s">
        <v>503</v>
      </c>
      <c r="DC349" s="5" t="s">
        <v>504</v>
      </c>
      <c r="DD349" s="5" t="s">
        <v>505</v>
      </c>
      <c r="DE349" s="5" t="s">
        <v>506</v>
      </c>
      <c r="DF349" s="5" t="s">
        <v>173</v>
      </c>
      <c r="DG349" s="5" t="s">
        <v>174</v>
      </c>
      <c r="DH349" s="5" t="s">
        <v>503</v>
      </c>
      <c r="DI349" s="5" t="s">
        <v>507</v>
      </c>
      <c r="DJ349" s="5" t="s">
        <v>173</v>
      </c>
      <c r="DK349" s="5" t="s">
        <v>508</v>
      </c>
      <c r="DL349" s="7" t="s">
        <v>509</v>
      </c>
      <c r="DM349" s="7" t="s">
        <v>510</v>
      </c>
      <c r="DN349" s="7" t="s">
        <v>511</v>
      </c>
      <c r="DO349" s="2"/>
      <c r="DP349" s="2"/>
    </row>
    <row r="350" spans="3:120" ht="18.600000000000001" customHeight="1">
      <c r="C350" s="13">
        <f>IF(D350&lt;&gt;"",COUNTA($D$10:D350),"")</f>
        <v>290</v>
      </c>
      <c r="D350" s="14" t="s">
        <v>200</v>
      </c>
      <c r="E350" s="14">
        <v>3</v>
      </c>
      <c r="F350" s="14">
        <v>3</v>
      </c>
      <c r="G350" s="14">
        <v>2.4</v>
      </c>
      <c r="H350" s="14">
        <v>1</v>
      </c>
      <c r="I350" s="14">
        <v>2</v>
      </c>
      <c r="J350" s="14">
        <v>1.75</v>
      </c>
      <c r="K350" s="14">
        <v>3</v>
      </c>
      <c r="L350" s="15">
        <v>0.1</v>
      </c>
      <c r="M350" s="15">
        <v>0</v>
      </c>
      <c r="N350" s="14">
        <v>24</v>
      </c>
      <c r="O350" s="14">
        <v>50</v>
      </c>
      <c r="P350" s="13">
        <v>45</v>
      </c>
      <c r="Q350" s="13">
        <v>85</v>
      </c>
      <c r="R350" s="13" t="s">
        <v>21</v>
      </c>
      <c r="S350" s="13">
        <v>120</v>
      </c>
      <c r="T350" s="13">
        <v>0</v>
      </c>
      <c r="U350" s="13">
        <v>100</v>
      </c>
      <c r="V350" s="13" t="str">
        <f>R350</f>
        <v>ISO 5</v>
      </c>
      <c r="W350" s="13">
        <f>S350</f>
        <v>120</v>
      </c>
      <c r="X350" s="16">
        <f>E350*F350*10.76</f>
        <v>96.84</v>
      </c>
      <c r="Y350" s="16">
        <f>X350*G350*3.28</f>
        <v>762.32447999999999</v>
      </c>
      <c r="Z350" s="16">
        <f>Y350*S350/60</f>
        <v>1524.64896</v>
      </c>
      <c r="AA350" s="16">
        <f>Z350*L350</f>
        <v>152.46489600000001</v>
      </c>
      <c r="AB350" s="16">
        <f>IF(N350="Amb",Z350,Z350*M350)</f>
        <v>0</v>
      </c>
      <c r="AC350" s="16">
        <f>IF(ISNUMBER(N350), (AA350*0.075*60/2.20462)*BP350/7000, "Ambient")</f>
        <v>14.025567184357984</v>
      </c>
      <c r="AD350" s="16">
        <f>IF(ISNUMBER(N350), CEILING(CF350/(0.68*BP350),25), "Ambient")</f>
        <v>2850</v>
      </c>
      <c r="AE350" s="16">
        <f>CEILING(MAX((Z350+AA350),AD350),25)</f>
        <v>2850</v>
      </c>
      <c r="AF350" s="16">
        <f>CEILING(IF(OR($R350="ISO 6",$R350="GRADE B",$R350="1K",$R350=1000),AE350*1/175,IF(OR($R350="ISO 5",$R350="GRADE A",$R350=100),AE350*1/100,IF(OR($R350="ISO 7",$R350="GRADE C",$R350="10K",$R350=10000),$AE350*1/250,IF(OR($R350="ISO 8",$R350="GRADE D",$R350="100K",$R350=100000),$AE350*1/250,IF(OR($R350="NC",$R350="20 Micron",$R350="5 Micron",$R350="N C"),$AE350*1/350,0))))),2)</f>
        <v>30</v>
      </c>
      <c r="AG350" s="16">
        <f>IF(ISNUMBER(N350), CEILING(MAX(AI350,AJ350),0.5), "Ambient")</f>
        <v>7.5</v>
      </c>
      <c r="AH350" s="838" t="s">
        <v>85</v>
      </c>
      <c r="AI350" s="17">
        <f>IF(ISNUMBER(N350), CEILING(CE350/12000,0.5), "Ambient")</f>
        <v>4.5</v>
      </c>
      <c r="AJ350" s="17">
        <f>IF(ISNUMBER(N350),CEILING(AE350/(IF(AH350="C",400,300)),0.5), "Ambient")</f>
        <v>7.5</v>
      </c>
      <c r="AK350" s="891">
        <f>CEILING(SUM(AE350:AE365),250)</f>
        <v>42500</v>
      </c>
      <c r="AL350" s="18" t="s">
        <v>254</v>
      </c>
      <c r="AM350" s="889">
        <v>150</v>
      </c>
      <c r="AN350" s="891">
        <f>IF(AK350&lt;=1300,200,IF(AK350&lt;=1600,225,IF(AK350&lt;=2100,250,IF(AK350&lt;=2700,280,IF(AK350&lt;=3450,315,IF(AK350&lt;=4250,355,IF(AK350&lt;=5250,400,IF(AK350&lt;=6750,450,IF(AK350&lt;=8500,500,IF(AK350&lt;=10750,560,IF(AK350&lt;=13500,630,IF(AK350&lt;=17000,710,IF(AK350&lt;=21500,800,IF(AK350&lt;=27000,900,IF(AK350&lt;=34000,1000,IF(AK350&lt;=43000,1120,IF(AK350&lt;=49000,1200,IF(AK350&lt;=68000,1450,"Refer"))))))))))))))))))</f>
        <v>1120</v>
      </c>
      <c r="AO350" s="888">
        <f>IF(AK350*AM350/(6356*0.7*0.9*1.1*25.4)&lt;=1,1,IF(AK350*AM350/(6356*0.7*0.9*1.1*25.4)&lt;=1.5,1.5,IF(AK350*AM350/(6356*0.7*0.9*1.1*25.4)&lt;=2,2,IF(AK350*AM350/(6356*0.7*0.9*1.1*25.4)&lt;=3,3,IF(AK350*AM350/(6356*0.7*0.9*1.1*25.4)&lt;=5,5,IF(AK350*AM350/(6356*0.7*0.9*1.1*25.4)&lt;=7.5,7.5,IF(AK350*AM350/(6356*0.7*0.9*1.1*25.4)&lt;=10,10,IF(AK350*AM350/(6356*0.7*0.9*1.1*25.4)&lt;=12.5,12.5,IF(AK350*AM350/(6356*0.7*0.9*1.1*25.4)&lt;=15,15,IF(AK350*AM350/(6356*0.7*0.9*1.1*25.4)&lt;=20,20,IF(AK350*AM350/(6356*0.7*0.9*1.1*25.4)&lt;=25,25,IF(AK350*AM350/(6356*0.7*0.9*1.1*25.4)&lt;=30,30,IF(AK350*AM350/(6356*0.7*0.9*1.1*25.4)&lt;=40,40,IF(AK350*AM350/(6356*0.7*0.9*1.1*25.4)&lt;=50,50,IF(AK350*AM350/(6356*0.7*0.9*1.1*25.4)&lt;=60,60,IF(AK350*AM350/(6356*0.7*0.9*1.1*25.4)&lt;=75,75,"Refer"))))))))))))))))</f>
        <v>60</v>
      </c>
      <c r="AP350" s="891">
        <f>IF(AND(AQ350=0, N350="Amb"), "Amb",IF((AL351-250)*(AL353-150)*10.76/(1000*1000) &gt;= MAX(AI366,AJ366), 4,IF((AL351-250)*(AL353-150)*10.76*1.5/(1000*1000) &gt;= MAX(AI366,AJ366), 6,IF((AL351-250)*(AL353-150)*10.76*2/(1000*1000) &gt;= MAX(AI366,AJ366), 8, 0))
 )
)</f>
        <v>4</v>
      </c>
      <c r="AQ350" s="891">
        <f>AG366</f>
        <v>108.5</v>
      </c>
      <c r="AR350" s="889">
        <f>_xlfn.SWITCH(TRIM(UPPER(R350)),"ISO 9", 3,"ISO 8", 4,"Grade D", 4,"Class 100,000", 4,"Class 100K", 4,"ISO 7", 3,"Grade C", 3,"Class 10,000", 3,"Class 10K", 3,"ISO 6", 3,"Class 1,000", 3,"Class 1K", 3,"ISO 5", 4,"Grade A", 4,"Grade B", 4,"Class 100", 4,"ISO 4", 3,"ISO 3", 4,"ISO 2", 4,"ISO 1", 4,"NCV20",1,"NCV-10",2,"NCV-5",3,"NCAC-10",1,"NCAC-5",2,"NCAC-1",3,3)</f>
        <v>4</v>
      </c>
      <c r="AS350" s="888">
        <f>MAX(AI366,AJ366)*24/6</f>
        <v>434</v>
      </c>
      <c r="AT350" s="888">
        <f>AS350*0.06309</f>
        <v>27.381059999999998</v>
      </c>
      <c r="AU350" s="890">
        <v>2</v>
      </c>
      <c r="AV350" s="888">
        <f>SQRT((4*AS350*0.00006309)/(3.14*AU350))*1000</f>
        <v>132.06121915647887</v>
      </c>
      <c r="AW350" s="888"/>
      <c r="AX350" s="888"/>
      <c r="AY350" s="887"/>
      <c r="AZ350" s="888"/>
      <c r="BA350" s="17">
        <f>-CONVERT(N350,"C","F")+CONVERT((N350+8),"C","F")</f>
        <v>14.399999999999991</v>
      </c>
      <c r="BB350" s="17">
        <f>CONVERT(P350,"C","F")-CONVERT(N350,"C","F")</f>
        <v>37.799999999999997</v>
      </c>
      <c r="BC350" s="17">
        <f>N350+8</f>
        <v>32</v>
      </c>
      <c r="BD350" s="17">
        <f>BG350+35</f>
        <v>85</v>
      </c>
      <c r="BE350" s="17">
        <f>0.622*7000*(BD350/100)*(6.1078*10^((7.5*BC350)/(237.3+BC350)))/(1013.25-(6.1078*10^((7.5*BC350)/(237.3+BC350)))*BD350/100)</f>
        <v>180.86341983910182</v>
      </c>
      <c r="BF350" s="17">
        <f>N350</f>
        <v>24</v>
      </c>
      <c r="BG350" s="17">
        <f>O350</f>
        <v>50</v>
      </c>
      <c r="BH350" s="17">
        <f>0.622*7000*(BG350/100)*(6.1078*10^((7.5*BF350)/(237.3+BF350)))/(1013.25-(6.1078*10^((7.5*BF350)/(237.3+BF350)))*BG350/100)</f>
        <v>65.062647806544774</v>
      </c>
      <c r="BI350" s="17">
        <f>BE350-BH350</f>
        <v>115.80077203255705</v>
      </c>
      <c r="BJ350" s="17">
        <f>P350</f>
        <v>45</v>
      </c>
      <c r="BK350" s="17">
        <f>Q350</f>
        <v>85</v>
      </c>
      <c r="BL350" s="17">
        <f>0.622*7000*(BK350/100)*(6.1078*10^((7.5*BJ350)/(237.3+BJ350)))/(1013.25-(6.1078*10^((7.5*BJ350)/(237.3+BJ350)))*BK350/100)</f>
        <v>380.54120080897206</v>
      </c>
      <c r="BM350" s="17">
        <f>N350</f>
        <v>24</v>
      </c>
      <c r="BN350" s="17">
        <f>BG350</f>
        <v>50</v>
      </c>
      <c r="BO350" s="17">
        <f>0.622*7000*(BN350/100)*(6.1078*10^((7.5*BM350)/(237.3+BM350)))/(1013.25-(6.1078*10^((7.5*BM350)/(237.3+BM350)))*BN350/100)</f>
        <v>65.062647806544774</v>
      </c>
      <c r="BP350" s="17">
        <f>BL350-BO350</f>
        <v>315.4785530024273</v>
      </c>
      <c r="BQ350" s="17">
        <f>($E350*$G350*10.76*2+$F350*$G350*2*10.76)*$BB350*0.45</f>
        <v>5271.1948799999991</v>
      </c>
      <c r="BR350" s="17">
        <f>($E350*$G350*10.76*2+$F350*$G350*2*10.76)*$BA350*0.45</f>
        <v>2008.0742399999988</v>
      </c>
      <c r="BS350" s="17">
        <f>($E350*$F350*10.76)*$BA350*0.45</f>
        <v>627.52319999999963</v>
      </c>
      <c r="BT350" s="17">
        <f>($E350*$F350*10.76)*$BB350*0.45</f>
        <v>1647.2483999999999</v>
      </c>
      <c r="BU350" s="17">
        <f>$H350*285*1.08*$BB350</f>
        <v>11634.84</v>
      </c>
      <c r="BV350" s="17">
        <f>$I350*1000*3.412</f>
        <v>6824</v>
      </c>
      <c r="BW350" s="17">
        <f>$J350*$X350*3.412</f>
        <v>578.23163999999997</v>
      </c>
      <c r="BX350" s="17">
        <f>$K350*1.08*375*$BA350</f>
        <v>17495.999999999989</v>
      </c>
      <c r="BY350" s="17">
        <f>($AA350+$AB350)*1.08*$BB350</f>
        <v>6224.2269143040003</v>
      </c>
      <c r="BZ350" s="17"/>
      <c r="CA350" s="17">
        <f>$H350*200*0.68*$BP350</f>
        <v>42905.083208330114</v>
      </c>
      <c r="CB350" s="17">
        <f>$K350*375*0.68*$BP350</f>
        <v>241341.0930468569</v>
      </c>
      <c r="CC350" s="17">
        <f>($AA350+$AB350)*0.68*$BP350</f>
        <v>32707.59524614699</v>
      </c>
      <c r="CD350" s="17">
        <f>($Z350-$AA350)*0.68*$BP350</f>
        <v>294368.3572153229</v>
      </c>
      <c r="CE350" s="17">
        <f>$BQ350+$BU350+$BV350+$BW350+$BX350+$BY350</f>
        <v>48028.493434303993</v>
      </c>
      <c r="CF350" s="17">
        <f>$CA350+$CB350+$CC350+$CD350</f>
        <v>611322.12871665694</v>
      </c>
      <c r="CG350" s="17">
        <f>$CE350+$CF350</f>
        <v>659350.62215096096</v>
      </c>
      <c r="CH350" s="17">
        <f>CONVERT(N350,"C","F")-CONVERT((N350-8),"C","F")</f>
        <v>14.400000000000006</v>
      </c>
      <c r="CI350" s="17">
        <f>CONVERT(T350,"C","F")-CONVERT(N350,"C","F")</f>
        <v>-43.2</v>
      </c>
      <c r="CJ350" s="17">
        <f>CM350-8</f>
        <v>16</v>
      </c>
      <c r="CK350" s="17">
        <f>O350+40</f>
        <v>90</v>
      </c>
      <c r="CL350" s="17">
        <f>0.622*7000*(CK350/100)*(6.1078*10^((7.5*CJ350)/(237.3+CJ350)))/(1013.25-(6.1078*10^((7.5*CJ350)/(237.3+CJ350)))*CK350/100)</f>
        <v>71.46880726181422</v>
      </c>
      <c r="CM350" s="17">
        <f>N350</f>
        <v>24</v>
      </c>
      <c r="CN350" s="17">
        <f>O350</f>
        <v>50</v>
      </c>
      <c r="CO350" s="17">
        <f>0.622*7000*(CN350/100)*(6.1078*10^((7.5*CM350)/(237.3+CM350)))/(1013.25-(6.1078*10^((7.5*CM350)/(237.3+CM350)))*CN350/100)</f>
        <v>65.062647806544774</v>
      </c>
      <c r="CP350" s="17">
        <f>CL350-CO350</f>
        <v>6.4061594552694459</v>
      </c>
      <c r="CQ350" s="17">
        <f>T350</f>
        <v>0</v>
      </c>
      <c r="CR350" s="17">
        <f>U350</f>
        <v>100</v>
      </c>
      <c r="CS350" s="17">
        <f>0.622*7000*(CR350/100)*(6.1078*10^((7.5*CQ350)/(237.3+CQ350)))/(1013.25-(6.1078*10^((7.5*CQ350)/(237.3+CQ350)))*CR350/100)</f>
        <v>26.404773030064671</v>
      </c>
      <c r="CT350" s="17">
        <f>CM350</f>
        <v>24</v>
      </c>
      <c r="CU350" s="17">
        <f>O350</f>
        <v>50</v>
      </c>
      <c r="CV350" s="17">
        <f>0.622*7000*(CU350/100)*(6.1078*10^((7.5*CT350)/(237.3+CT350)))/(1013.25-(6.1078*10^((7.5*CT350)/(237.3+CT350)))*CU350/100)</f>
        <v>65.062647806544774</v>
      </c>
      <c r="CW350" s="17">
        <f>CS350-CV350</f>
        <v>-38.657874776480099</v>
      </c>
      <c r="CX350" s="17">
        <f t="shared" ref="CX350:CY365" si="1507">($E350*$G350*10.76*2+$F350*$G350*2*10.76)*$CI350*0.45</f>
        <v>-6024.2227199999998</v>
      </c>
      <c r="CY350" s="17">
        <f t="shared" si="1507"/>
        <v>-6024.2227199999998</v>
      </c>
      <c r="CZ350" s="17">
        <f>($E350*$F350*10.76)*$CH350*0.45</f>
        <v>627.52320000000032</v>
      </c>
      <c r="DA350" s="17">
        <f>($E350*$F350*10.76)*$CI350*0.45</f>
        <v>-1882.5696000000003</v>
      </c>
      <c r="DB350" s="17">
        <f>$H350*285*1.08*$CI350</f>
        <v>-13296.960000000001</v>
      </c>
      <c r="DC350" s="17">
        <f>$I350*1000*3.412</f>
        <v>6824</v>
      </c>
      <c r="DD350" s="17">
        <f>$J350*$X350*3.412</f>
        <v>578.23163999999997</v>
      </c>
      <c r="DE350" s="17">
        <f>$K350*1.08*375*$CH350</f>
        <v>17496.000000000007</v>
      </c>
      <c r="DF350" s="17">
        <f>($AA350+$AB350)*1.08*$CI350</f>
        <v>-7113.4021877760015</v>
      </c>
      <c r="DG350" s="17"/>
      <c r="DH350" s="17">
        <f>$H350*200*0.68*CW350</f>
        <v>-5257.4709696012933</v>
      </c>
      <c r="DI350" s="17">
        <f>$K350*375*0.68*CW350</f>
        <v>-29573.274204007277</v>
      </c>
      <c r="DJ350" s="17">
        <f>(AA350+AB350)*0.68*CW350</f>
        <v>-4007.8988230164023</v>
      </c>
      <c r="DK350" s="17">
        <f>(Z350-AA350)*0.68*CP350</f>
        <v>5977.4923428552856</v>
      </c>
      <c r="DL350" s="17">
        <f>CX350+DA350+CZ350+DB350+DC350+DD350+DE350+DF350</f>
        <v>-2791.3996677759942</v>
      </c>
      <c r="DM350" s="17">
        <f>DH350+DI350+DJ350+DK350</f>
        <v>-32861.151653769688</v>
      </c>
      <c r="DN350" s="17">
        <f>DL350+DM350</f>
        <v>-35652.551321545681</v>
      </c>
    </row>
    <row r="351" spans="3:120" ht="18.600000000000001">
      <c r="C351" s="13">
        <f>IF(D351&lt;&gt;"",COUNTA($D$10:D351),"")</f>
        <v>291</v>
      </c>
      <c r="D351" s="14" t="s">
        <v>201</v>
      </c>
      <c r="E351" s="14">
        <v>1.8</v>
      </c>
      <c r="F351" s="14">
        <v>2.2000000000000002</v>
      </c>
      <c r="G351" s="14">
        <v>2.4</v>
      </c>
      <c r="H351" s="14">
        <v>2</v>
      </c>
      <c r="I351" s="14">
        <v>1</v>
      </c>
      <c r="J351" s="14">
        <v>1.75</v>
      </c>
      <c r="K351" s="14">
        <v>3</v>
      </c>
      <c r="L351" s="15">
        <v>0.1</v>
      </c>
      <c r="M351" s="15">
        <v>0</v>
      </c>
      <c r="N351" s="14">
        <v>24</v>
      </c>
      <c r="O351" s="14">
        <v>50</v>
      </c>
      <c r="P351" s="13">
        <v>45</v>
      </c>
      <c r="Q351" s="13">
        <v>85</v>
      </c>
      <c r="R351" s="13" t="s">
        <v>21</v>
      </c>
      <c r="S351" s="13">
        <v>120</v>
      </c>
      <c r="T351" s="13">
        <v>0</v>
      </c>
      <c r="U351" s="13">
        <v>100</v>
      </c>
      <c r="V351" s="13" t="str">
        <f t="shared" ref="V351:V365" si="1508">R351</f>
        <v>ISO 5</v>
      </c>
      <c r="W351" s="13">
        <f t="shared" ref="W351:W365" si="1509">S351</f>
        <v>120</v>
      </c>
      <c r="X351" s="16">
        <f t="shared" ref="X351:X365" si="1510">E351*F351*10.76</f>
        <v>42.6096</v>
      </c>
      <c r="Y351" s="16">
        <f t="shared" ref="Y351:Y365" si="1511">X351*G351*3.28</f>
        <v>335.4227712</v>
      </c>
      <c r="Z351" s="16">
        <f t="shared" ref="Z351:Z365" si="1512">Y351*S351/60</f>
        <v>670.8455424</v>
      </c>
      <c r="AA351" s="16">
        <f t="shared" ref="AA351:AA365" si="1513">Z351*L351</f>
        <v>67.084554240000003</v>
      </c>
      <c r="AB351" s="16">
        <f t="shared" ref="AB351:AB365" si="1514">IF(N351="Amb",Z351,Z351*M351)</f>
        <v>0</v>
      </c>
      <c r="AC351" s="16">
        <f t="shared" ref="AC351:AC365" si="1515">IF(ISNUMBER(N351), (AA351*0.075*60/2.20462)*BP351/7000, "Ambient")</f>
        <v>6.1712495611175129</v>
      </c>
      <c r="AD351" s="16">
        <f t="shared" ref="AD351:AD357" si="1516">IF(ISNUMBER(N351), CEILING(CF351/(0.68*BP351),25), "Ambient")</f>
        <v>2200</v>
      </c>
      <c r="AE351" s="16">
        <f t="shared" ref="AE351:AE365" si="1517">CEILING(MAX((Z351+AA351),AD351),25)</f>
        <v>2200</v>
      </c>
      <c r="AF351" s="16">
        <f t="shared" ref="AF351:AF365" si="1518">CEILING(IF(OR($R351="ISO 6",$R351="GRADE B",$R351="1K",$R351=1000),AE351*1/175,IF(OR($R351="ISO 5",$R351="GRADE A",$R351=100),AE351*1/100,IF(OR($R351="ISO 7",$R351="GRADE C",$R351="10K",$R351=10000),$AE351*1/250,IF(OR($R351="ISO 8",$R351="GRADE D",$R351="100K",$R351=100000),$AE351*1/250,IF(OR($R351="NC",$R351="20 Micron",$R351="5 Micron",$R351="N C"),$AE351*1/350,0))))),2)</f>
        <v>22</v>
      </c>
      <c r="AG351" s="16">
        <f t="shared" ref="AG351:AG365" si="1519">IF(ISNUMBER(N351), CEILING(MAX(AI351,AJ351),0.5), "Ambient")</f>
        <v>5.5</v>
      </c>
      <c r="AH351" s="838" t="s">
        <v>85</v>
      </c>
      <c r="AI351" s="17">
        <f t="shared" ref="AI351:AI365" si="1520">IF(ISNUMBER(N351), CEILING(CE351/12000,0.5), "Ambient")</f>
        <v>4.5</v>
      </c>
      <c r="AJ351" s="17">
        <f t="shared" ref="AJ351:AJ365" si="1521">IF(ISNUMBER(N351),CEILING(AE351/(IF(AH351="C",400,300)),0.5), "Ambient")</f>
        <v>5.5</v>
      </c>
      <c r="AK351" s="891"/>
      <c r="AL351" s="18">
        <f>IF(AK350&lt;=2000,950,(IF(AK350&lt;=3000,1150,(IF(AK350&lt;=8000,1550,(IF(AK350&lt;=10000,1750,(IF(AK350&lt;=18000,2050,(IF(AK350&lt;=32000,2900,(IF(AK350&lt;=40000,3600,4000)))))))))))))</f>
        <v>4000</v>
      </c>
      <c r="AM351" s="889"/>
      <c r="AN351" s="891"/>
      <c r="AO351" s="888"/>
      <c r="AP351" s="891"/>
      <c r="AQ351" s="891"/>
      <c r="AR351" s="889"/>
      <c r="AS351" s="888"/>
      <c r="AT351" s="888"/>
      <c r="AU351" s="890"/>
      <c r="AV351" s="888"/>
      <c r="AW351" s="888"/>
      <c r="AX351" s="888"/>
      <c r="AY351" s="887"/>
      <c r="AZ351" s="888"/>
      <c r="BA351" s="17">
        <f t="shared" ref="BA351:BA365" si="1522">-CONVERT(N351,"C","F")+CONVERT((N351+8),"C","F")</f>
        <v>14.399999999999991</v>
      </c>
      <c r="BB351" s="17">
        <f t="shared" ref="BB351:BB365" si="1523">CONVERT(P351,"C","F")-CONVERT(N351,"C","F")</f>
        <v>37.799999999999997</v>
      </c>
      <c r="BC351" s="17">
        <f t="shared" ref="BC351:BC365" si="1524">BF351+8</f>
        <v>32</v>
      </c>
      <c r="BD351" s="17">
        <f t="shared" ref="BD351:BD365" si="1525">BG351+35</f>
        <v>85</v>
      </c>
      <c r="BE351" s="17">
        <f t="shared" ref="BE351:BE365" si="1526">0.622*7000*(BD351/100)*(6.1078*10^((7.5*BC351)/(237.3+BC351)))/(1013.25-(6.1078*10^((7.5*BC351)/(237.3+BC351)))*BD351/100)</f>
        <v>180.86341983910182</v>
      </c>
      <c r="BF351" s="17">
        <f t="shared" ref="BF351:BF365" si="1527">N351</f>
        <v>24</v>
      </c>
      <c r="BG351" s="17">
        <f t="shared" ref="BG351:BG365" si="1528">O351</f>
        <v>50</v>
      </c>
      <c r="BH351" s="17">
        <f t="shared" ref="BH351:BH365" si="1529">0.622*7000*(BG351/100)*(6.1078*10^((7.5*BF351)/(237.3+BF351)))/(1013.25-(6.1078*10^((7.5*BF351)/(237.3+BF351)))*BG351/100)</f>
        <v>65.062647806544774</v>
      </c>
      <c r="BI351" s="17">
        <f t="shared" ref="BI351:BI365" si="1530">BE351-BH351</f>
        <v>115.80077203255705</v>
      </c>
      <c r="BJ351" s="17">
        <f t="shared" ref="BJ351:BJ365" si="1531">P351</f>
        <v>45</v>
      </c>
      <c r="BK351" s="17">
        <f t="shared" ref="BK351:BK365" si="1532">Q351</f>
        <v>85</v>
      </c>
      <c r="BL351" s="17">
        <f t="shared" ref="BL351:BL365" si="1533">0.622*7000*(BK351/100)*(6.1078*10^((7.5*BJ351)/(237.3+BJ351)))/(1013.25-(6.1078*10^((7.5*BJ351)/(237.3+BJ351)))*BK351/100)</f>
        <v>380.54120080897206</v>
      </c>
      <c r="BM351" s="17">
        <f t="shared" ref="BM351:BM365" si="1534">BF351</f>
        <v>24</v>
      </c>
      <c r="BN351" s="17">
        <f t="shared" ref="BN351:BN365" si="1535">BG351</f>
        <v>50</v>
      </c>
      <c r="BO351" s="17">
        <f t="shared" ref="BO351:BO365" si="1536">0.622*7000*(BN351/100)*(6.1078*10^((7.5*BM351)/(237.3+BM351)))/(1013.25-(6.1078*10^((7.5*BM351)/(237.3+BM351)))*BN351/100)</f>
        <v>65.062647806544774</v>
      </c>
      <c r="BP351" s="17">
        <f t="shared" ref="BP351:BP365" si="1537">BL351-BO351</f>
        <v>315.4785530024273</v>
      </c>
      <c r="BQ351" s="17">
        <f t="shared" ref="BQ351:BQ365" si="1538">(E351*G351*10.76*2+F351*G351*2*10.76)*BB351*0.45</f>
        <v>3514.1299199999999</v>
      </c>
      <c r="BR351" s="17">
        <f t="shared" ref="BR351:BR365" si="1539">(E351*G351*10.76*2+F351*G351*2*10.76)*BA351*0.45</f>
        <v>1338.7161599999993</v>
      </c>
      <c r="BS351" s="17">
        <f t="shared" ref="BS351:BS365" si="1540">(E351*F351*10.76)*BA351*0.45</f>
        <v>276.11020799999983</v>
      </c>
      <c r="BT351" s="17">
        <f t="shared" ref="BT351:BT365" si="1541">(E351*F351*10.76)*BB351*0.45</f>
        <v>724.78929599999992</v>
      </c>
      <c r="BU351" s="17">
        <f t="shared" ref="BU351:BU365" si="1542">H351*285*1.08*BB351</f>
        <v>23269.68</v>
      </c>
      <c r="BV351" s="17">
        <f t="shared" ref="BV351:BV365" si="1543">I351*1000*3.412</f>
        <v>3412</v>
      </c>
      <c r="BW351" s="17">
        <f t="shared" ref="BW351:BW365" si="1544">J351*X351*3.412</f>
        <v>254.42192159999999</v>
      </c>
      <c r="BX351" s="17">
        <f t="shared" ref="BX351:BX365" si="1545">K351*1.08*375*BA351</f>
        <v>17495.999999999989</v>
      </c>
      <c r="BY351" s="17">
        <f t="shared" ref="BY351:BY365" si="1546">(AA351+AB351)*1.08*BB351</f>
        <v>2738.65984229376</v>
      </c>
      <c r="BZ351" s="17"/>
      <c r="CA351" s="17">
        <f t="shared" ref="CA351:CA365" si="1547">H351*200*0.68*BP351</f>
        <v>85810.166416660228</v>
      </c>
      <c r="CB351" s="17">
        <f t="shared" ref="CB351:CB365" si="1548">K351*375*0.68*BP351</f>
        <v>241341.0930468569</v>
      </c>
      <c r="CC351" s="17">
        <f t="shared" ref="CC351:CC365" si="1549">(AA351+AB351)*0.68*BP351</f>
        <v>14391.341908304676</v>
      </c>
      <c r="CD351" s="17">
        <f t="shared" ref="CD351:CD365" si="1550">($Z351-$AA351)*0.68*$BP351</f>
        <v>129522.07717474207</v>
      </c>
      <c r="CE351" s="17">
        <f t="shared" ref="CE351:CE365" si="1551">$BQ351+$BU351+$BV351+$BW351+$BX351+$BY351</f>
        <v>50684.891683893751</v>
      </c>
      <c r="CF351" s="17">
        <f t="shared" ref="CF351:CF365" si="1552">$CA351+$CB351+$CC351+$CD351</f>
        <v>471064.67854656384</v>
      </c>
      <c r="CG351" s="17">
        <f t="shared" ref="CG351:CG365" si="1553">$CE351+$CF351</f>
        <v>521749.57023045758</v>
      </c>
      <c r="CH351" s="17">
        <f t="shared" ref="CH351:CH365" si="1554">CONVERT(N351,"C","F")-CONVERT((N351-8),"C","F")</f>
        <v>14.400000000000006</v>
      </c>
      <c r="CI351" s="17">
        <f t="shared" ref="CI351:CI365" si="1555">CONVERT(T351,"C","F")-CONVERT(N351,"C","F")</f>
        <v>-43.2</v>
      </c>
      <c r="CJ351" s="17">
        <f t="shared" ref="CJ351:CJ365" si="1556">CM351-8</f>
        <v>16</v>
      </c>
      <c r="CK351" s="17">
        <f t="shared" ref="CK351:CK365" si="1557">O351+40</f>
        <v>90</v>
      </c>
      <c r="CL351" s="17">
        <f t="shared" ref="CL351:CL365" si="1558">0.622*7000*(CK351/100)*(6.1078*10^((7.5*CJ351)/(237.3+CJ351)))/(1013.25-(6.1078*10^((7.5*CJ351)/(237.3+CJ351)))*CK351/100)</f>
        <v>71.46880726181422</v>
      </c>
      <c r="CM351" s="17">
        <f t="shared" ref="CM351:CM365" si="1559">N351</f>
        <v>24</v>
      </c>
      <c r="CN351" s="17">
        <f t="shared" ref="CN351:CN365" si="1560">O351</f>
        <v>50</v>
      </c>
      <c r="CO351" s="17">
        <f t="shared" ref="CO351:CO365" si="1561">0.622*7000*(CN351/100)*(6.1078*10^((7.5*CM351)/(237.3+CM351)))/(1013.25-(6.1078*10^((7.5*CM351)/(237.3+CM351)))*CN351/100)</f>
        <v>65.062647806544774</v>
      </c>
      <c r="CP351" s="17">
        <f t="shared" ref="CP351:CP365" si="1562">CL351-CO351</f>
        <v>6.4061594552694459</v>
      </c>
      <c r="CQ351" s="17">
        <f t="shared" ref="CQ351:CQ365" si="1563">T351</f>
        <v>0</v>
      </c>
      <c r="CR351" s="17">
        <f t="shared" ref="CR351:CR365" si="1564">U351</f>
        <v>100</v>
      </c>
      <c r="CS351" s="17">
        <f t="shared" ref="CS351:CS365" si="1565">0.622*7000*(CR351/100)*(6.1078*10^((7.5*CQ351)/(237.3+CQ351)))/(1013.25-(6.1078*10^((7.5*CQ351)/(237.3+CQ351)))*CR351/100)</f>
        <v>26.404773030064671</v>
      </c>
      <c r="CT351" s="17">
        <f t="shared" ref="CT351:CT365" si="1566">CM351</f>
        <v>24</v>
      </c>
      <c r="CU351" s="17">
        <f t="shared" ref="CU351:CU365" si="1567">O351</f>
        <v>50</v>
      </c>
      <c r="CV351" s="17">
        <f t="shared" ref="CV351:CV365" si="1568">0.622*7000*(CU351/100)*(6.1078*10^((7.5*CT351)/(237.3+CT351)))/(1013.25-(6.1078*10^((7.5*CT351)/(237.3+CT351)))*CU351/100)</f>
        <v>65.062647806544774</v>
      </c>
      <c r="CW351" s="17">
        <f t="shared" ref="CW351:CW365" si="1569">CS351-CV351</f>
        <v>-38.657874776480099</v>
      </c>
      <c r="CX351" s="17">
        <f t="shared" si="1507"/>
        <v>-4016.1484800000003</v>
      </c>
      <c r="CY351" s="17">
        <f t="shared" si="1507"/>
        <v>-4016.1484800000003</v>
      </c>
      <c r="CZ351" s="17">
        <f t="shared" ref="CZ351:CZ365" si="1570">($E351*$F351*10.76)*$CH351*0.45</f>
        <v>276.11020800000011</v>
      </c>
      <c r="DA351" s="17">
        <f t="shared" ref="DA351:DA365" si="1571">($E351*$F351*10.76)*$CI351*0.45</f>
        <v>-828.33062400000006</v>
      </c>
      <c r="DB351" s="17">
        <f t="shared" ref="DB351:DB365" si="1572">$H351*285*1.08*$CI351</f>
        <v>-26593.920000000002</v>
      </c>
      <c r="DC351" s="17">
        <f t="shared" ref="DC351:DC365" si="1573">$I351*1000*3.412</f>
        <v>3412</v>
      </c>
      <c r="DD351" s="17">
        <f t="shared" ref="DD351:DD365" si="1574">$J351*$X351*3.412</f>
        <v>254.42192159999999</v>
      </c>
      <c r="DE351" s="17">
        <f t="shared" ref="DE351:DE365" si="1575">$K351*1.08*375*$CH351</f>
        <v>17496.000000000007</v>
      </c>
      <c r="DF351" s="17">
        <f t="shared" ref="DF351:DF365" si="1576">($AA351+$AB351)*1.08*$CI351</f>
        <v>-3129.8969626214403</v>
      </c>
      <c r="DG351" s="17"/>
      <c r="DH351" s="17">
        <f t="shared" ref="DH351:DH365" si="1577">$H351*200*0.68*CW351</f>
        <v>-10514.941939202587</v>
      </c>
      <c r="DI351" s="17">
        <f t="shared" ref="DI351:DI365" si="1578">$K351*375*0.68*CW351</f>
        <v>-29573.274204007277</v>
      </c>
      <c r="DJ351" s="17">
        <f t="shared" ref="DJ351:DJ365" si="1579">(AA351+AB351)*0.68*CW351</f>
        <v>-1763.475482127217</v>
      </c>
      <c r="DK351" s="17">
        <f t="shared" ref="DK351:DK365" si="1580">(Z351-AA351)*0.68*CP351</f>
        <v>2630.0966308563256</v>
      </c>
      <c r="DL351" s="17">
        <f t="shared" ref="DL351:DL365" si="1581">CX351+DA351+CZ351+DB351+DC351+DD351+DE351+DF351</f>
        <v>-13129.763937021437</v>
      </c>
      <c r="DM351" s="17">
        <f t="shared" ref="DM351:DM365" si="1582">DH351+DI351+DJ351+DK351</f>
        <v>-39221.594994480751</v>
      </c>
      <c r="DN351" s="17">
        <f t="shared" ref="DN351:DN365" si="1583">DL351+DM351</f>
        <v>-52351.358931502189</v>
      </c>
    </row>
    <row r="352" spans="3:120" ht="18.600000000000001">
      <c r="C352" s="13">
        <f>IF(D352&lt;&gt;"",COUNTA($D$10:D352),"")</f>
        <v>292</v>
      </c>
      <c r="D352" s="14" t="s">
        <v>202</v>
      </c>
      <c r="E352" s="14">
        <v>1.5</v>
      </c>
      <c r="F352" s="14">
        <v>2.8</v>
      </c>
      <c r="G352" s="14">
        <v>2.4</v>
      </c>
      <c r="H352" s="14">
        <v>2</v>
      </c>
      <c r="I352" s="14">
        <v>3</v>
      </c>
      <c r="J352" s="14">
        <v>1.75</v>
      </c>
      <c r="K352" s="14">
        <v>3</v>
      </c>
      <c r="L352" s="15">
        <v>0.1</v>
      </c>
      <c r="M352" s="15">
        <v>0</v>
      </c>
      <c r="N352" s="14">
        <v>24</v>
      </c>
      <c r="O352" s="14">
        <v>50</v>
      </c>
      <c r="P352" s="13">
        <v>45</v>
      </c>
      <c r="Q352" s="13">
        <v>85</v>
      </c>
      <c r="R352" s="13" t="s">
        <v>21</v>
      </c>
      <c r="S352" s="13">
        <v>120</v>
      </c>
      <c r="T352" s="13">
        <v>0</v>
      </c>
      <c r="U352" s="13">
        <v>100</v>
      </c>
      <c r="V352" s="13" t="str">
        <f t="shared" si="1508"/>
        <v>ISO 5</v>
      </c>
      <c r="W352" s="13">
        <f t="shared" si="1509"/>
        <v>120</v>
      </c>
      <c r="X352" s="16">
        <f t="shared" si="1510"/>
        <v>45.191999999999993</v>
      </c>
      <c r="Y352" s="16">
        <f t="shared" si="1511"/>
        <v>355.75142399999993</v>
      </c>
      <c r="Z352" s="16">
        <f t="shared" si="1512"/>
        <v>711.50284799999986</v>
      </c>
      <c r="AA352" s="16">
        <f t="shared" si="1513"/>
        <v>71.150284799999994</v>
      </c>
      <c r="AB352" s="16">
        <f t="shared" si="1514"/>
        <v>0</v>
      </c>
      <c r="AC352" s="16">
        <f t="shared" si="1515"/>
        <v>6.5452646860337245</v>
      </c>
      <c r="AD352" s="16">
        <f t="shared" si="1516"/>
        <v>2250</v>
      </c>
      <c r="AE352" s="16">
        <f t="shared" si="1517"/>
        <v>2250</v>
      </c>
      <c r="AF352" s="16">
        <f t="shared" si="1518"/>
        <v>24</v>
      </c>
      <c r="AG352" s="16">
        <f t="shared" si="1519"/>
        <v>6</v>
      </c>
      <c r="AH352" s="838" t="s">
        <v>85</v>
      </c>
      <c r="AI352" s="17">
        <f t="shared" si="1520"/>
        <v>5</v>
      </c>
      <c r="AJ352" s="17">
        <f t="shared" si="1521"/>
        <v>6</v>
      </c>
      <c r="AK352" s="891"/>
      <c r="AL352" s="18" t="s">
        <v>255</v>
      </c>
      <c r="AM352" s="889"/>
      <c r="AN352" s="891"/>
      <c r="AO352" s="888"/>
      <c r="AP352" s="891"/>
      <c r="AQ352" s="891"/>
      <c r="AR352" s="889"/>
      <c r="AS352" s="888"/>
      <c r="AT352" s="888"/>
      <c r="AU352" s="890"/>
      <c r="AV352" s="888"/>
      <c r="AW352" s="888"/>
      <c r="AX352" s="888"/>
      <c r="AY352" s="887"/>
      <c r="AZ352" s="888"/>
      <c r="BA352" s="17">
        <f t="shared" si="1522"/>
        <v>14.399999999999991</v>
      </c>
      <c r="BB352" s="17">
        <f t="shared" si="1523"/>
        <v>37.799999999999997</v>
      </c>
      <c r="BC352" s="17">
        <f t="shared" si="1524"/>
        <v>32</v>
      </c>
      <c r="BD352" s="17">
        <f t="shared" si="1525"/>
        <v>85</v>
      </c>
      <c r="BE352" s="17">
        <f t="shared" si="1526"/>
        <v>180.86341983910182</v>
      </c>
      <c r="BF352" s="17">
        <f t="shared" si="1527"/>
        <v>24</v>
      </c>
      <c r="BG352" s="17">
        <f t="shared" si="1528"/>
        <v>50</v>
      </c>
      <c r="BH352" s="17">
        <f t="shared" si="1529"/>
        <v>65.062647806544774</v>
      </c>
      <c r="BI352" s="17">
        <f t="shared" si="1530"/>
        <v>115.80077203255705</v>
      </c>
      <c r="BJ352" s="17">
        <f t="shared" si="1531"/>
        <v>45</v>
      </c>
      <c r="BK352" s="17">
        <f t="shared" si="1532"/>
        <v>85</v>
      </c>
      <c r="BL352" s="17">
        <f t="shared" si="1533"/>
        <v>380.54120080897206</v>
      </c>
      <c r="BM352" s="17">
        <f t="shared" si="1534"/>
        <v>24</v>
      </c>
      <c r="BN352" s="17">
        <f t="shared" si="1535"/>
        <v>50</v>
      </c>
      <c r="BO352" s="17">
        <f t="shared" si="1536"/>
        <v>65.062647806544774</v>
      </c>
      <c r="BP352" s="17">
        <f t="shared" si="1537"/>
        <v>315.4785530024273</v>
      </c>
      <c r="BQ352" s="17">
        <f t="shared" si="1538"/>
        <v>3777.6896639999995</v>
      </c>
      <c r="BR352" s="17">
        <f t="shared" si="1539"/>
        <v>1439.1198719999991</v>
      </c>
      <c r="BS352" s="17">
        <f t="shared" si="1540"/>
        <v>292.84415999999976</v>
      </c>
      <c r="BT352" s="17">
        <f t="shared" si="1541"/>
        <v>768.71591999999987</v>
      </c>
      <c r="BU352" s="17">
        <f t="shared" si="1542"/>
        <v>23269.68</v>
      </c>
      <c r="BV352" s="17">
        <f t="shared" si="1543"/>
        <v>10236</v>
      </c>
      <c r="BW352" s="17">
        <f t="shared" si="1544"/>
        <v>269.84143199999994</v>
      </c>
      <c r="BX352" s="17">
        <f t="shared" si="1545"/>
        <v>17495.999999999989</v>
      </c>
      <c r="BY352" s="17">
        <f t="shared" si="1546"/>
        <v>2904.6392266751996</v>
      </c>
      <c r="BZ352" s="17"/>
      <c r="CA352" s="17">
        <f t="shared" si="1547"/>
        <v>85810.166416660228</v>
      </c>
      <c r="CB352" s="17">
        <f t="shared" si="1548"/>
        <v>241341.0930468569</v>
      </c>
      <c r="CC352" s="17">
        <f t="shared" si="1549"/>
        <v>15263.544448201927</v>
      </c>
      <c r="CD352" s="17">
        <f t="shared" si="1550"/>
        <v>137371.90003381731</v>
      </c>
      <c r="CE352" s="17">
        <f t="shared" si="1551"/>
        <v>57953.850322675185</v>
      </c>
      <c r="CF352" s="17">
        <f t="shared" si="1552"/>
        <v>479786.7039455364</v>
      </c>
      <c r="CG352" s="17">
        <f t="shared" si="1553"/>
        <v>537740.55426821159</v>
      </c>
      <c r="CH352" s="17">
        <f t="shared" si="1554"/>
        <v>14.400000000000006</v>
      </c>
      <c r="CI352" s="17">
        <f t="shared" si="1555"/>
        <v>-43.2</v>
      </c>
      <c r="CJ352" s="17">
        <f t="shared" si="1556"/>
        <v>16</v>
      </c>
      <c r="CK352" s="17">
        <f t="shared" si="1557"/>
        <v>90</v>
      </c>
      <c r="CL352" s="17">
        <f t="shared" si="1558"/>
        <v>71.46880726181422</v>
      </c>
      <c r="CM352" s="17">
        <f t="shared" si="1559"/>
        <v>24</v>
      </c>
      <c r="CN352" s="17">
        <f t="shared" si="1560"/>
        <v>50</v>
      </c>
      <c r="CO352" s="17">
        <f t="shared" si="1561"/>
        <v>65.062647806544774</v>
      </c>
      <c r="CP352" s="17">
        <f t="shared" si="1562"/>
        <v>6.4061594552694459</v>
      </c>
      <c r="CQ352" s="17">
        <f t="shared" si="1563"/>
        <v>0</v>
      </c>
      <c r="CR352" s="17">
        <f t="shared" si="1564"/>
        <v>100</v>
      </c>
      <c r="CS352" s="17">
        <f t="shared" si="1565"/>
        <v>26.404773030064671</v>
      </c>
      <c r="CT352" s="17">
        <f t="shared" si="1566"/>
        <v>24</v>
      </c>
      <c r="CU352" s="17">
        <f t="shared" si="1567"/>
        <v>50</v>
      </c>
      <c r="CV352" s="17">
        <f t="shared" si="1568"/>
        <v>65.062647806544774</v>
      </c>
      <c r="CW352" s="17">
        <f t="shared" si="1569"/>
        <v>-38.657874776480099</v>
      </c>
      <c r="CX352" s="17">
        <f t="shared" si="1507"/>
        <v>-4317.3596159999997</v>
      </c>
      <c r="CY352" s="17">
        <f t="shared" si="1507"/>
        <v>-4317.3596159999997</v>
      </c>
      <c r="CZ352" s="17">
        <f t="shared" si="1570"/>
        <v>292.8441600000001</v>
      </c>
      <c r="DA352" s="17">
        <f t="shared" si="1571"/>
        <v>-878.53247999999996</v>
      </c>
      <c r="DB352" s="17">
        <f t="shared" si="1572"/>
        <v>-26593.920000000002</v>
      </c>
      <c r="DC352" s="17">
        <f t="shared" si="1573"/>
        <v>10236</v>
      </c>
      <c r="DD352" s="17">
        <f t="shared" si="1574"/>
        <v>269.84143199999994</v>
      </c>
      <c r="DE352" s="17">
        <f t="shared" si="1575"/>
        <v>17496.000000000007</v>
      </c>
      <c r="DF352" s="17">
        <f t="shared" si="1576"/>
        <v>-3319.5876876288003</v>
      </c>
      <c r="DG352" s="17"/>
      <c r="DH352" s="17">
        <f t="shared" si="1577"/>
        <v>-10514.941939202587</v>
      </c>
      <c r="DI352" s="17">
        <f t="shared" si="1578"/>
        <v>-29573.274204007277</v>
      </c>
      <c r="DJ352" s="17">
        <f t="shared" si="1579"/>
        <v>-1870.3527840743209</v>
      </c>
      <c r="DK352" s="17">
        <f t="shared" si="1580"/>
        <v>2789.4964266657994</v>
      </c>
      <c r="DL352" s="17">
        <f t="shared" si="1581"/>
        <v>-6814.7141916287928</v>
      </c>
      <c r="DM352" s="17">
        <f t="shared" si="1582"/>
        <v>-39169.072500618386</v>
      </c>
      <c r="DN352" s="17">
        <f t="shared" si="1583"/>
        <v>-45983.78669224718</v>
      </c>
    </row>
    <row r="353" spans="3:120" ht="18.600000000000001">
      <c r="C353" s="13">
        <f>IF(D353&lt;&gt;"",COUNTA($D$10:D353),"")</f>
        <v>293</v>
      </c>
      <c r="D353" s="14" t="s">
        <v>203</v>
      </c>
      <c r="E353" s="14">
        <v>2.1</v>
      </c>
      <c r="F353" s="14">
        <v>3.5</v>
      </c>
      <c r="G353" s="14">
        <v>2.4</v>
      </c>
      <c r="H353" s="14">
        <v>0</v>
      </c>
      <c r="I353" s="14">
        <v>1</v>
      </c>
      <c r="J353" s="14">
        <v>1.75</v>
      </c>
      <c r="K353" s="14">
        <v>3</v>
      </c>
      <c r="L353" s="15">
        <v>0.1</v>
      </c>
      <c r="M353" s="15">
        <v>0</v>
      </c>
      <c r="N353" s="14">
        <v>24</v>
      </c>
      <c r="O353" s="14">
        <v>50</v>
      </c>
      <c r="P353" s="13">
        <v>45</v>
      </c>
      <c r="Q353" s="13">
        <v>85</v>
      </c>
      <c r="R353" s="13" t="s">
        <v>21</v>
      </c>
      <c r="S353" s="13">
        <v>120</v>
      </c>
      <c r="T353" s="13">
        <v>0</v>
      </c>
      <c r="U353" s="13">
        <v>100</v>
      </c>
      <c r="V353" s="13" t="str">
        <f t="shared" si="1508"/>
        <v>ISO 5</v>
      </c>
      <c r="W353" s="13">
        <f t="shared" si="1509"/>
        <v>120</v>
      </c>
      <c r="X353" s="16">
        <f t="shared" si="1510"/>
        <v>79.085999999999999</v>
      </c>
      <c r="Y353" s="16">
        <f t="shared" si="1511"/>
        <v>622.56499199999996</v>
      </c>
      <c r="Z353" s="16">
        <f t="shared" si="1512"/>
        <v>1245.1299839999999</v>
      </c>
      <c r="AA353" s="16">
        <f t="shared" si="1513"/>
        <v>124.5129984</v>
      </c>
      <c r="AB353" s="16">
        <f t="shared" si="1514"/>
        <v>0</v>
      </c>
      <c r="AC353" s="16">
        <f t="shared" si="1515"/>
        <v>11.454213200559018</v>
      </c>
      <c r="AD353" s="16">
        <f t="shared" si="1516"/>
        <v>2375</v>
      </c>
      <c r="AE353" s="16">
        <f t="shared" si="1517"/>
        <v>2375</v>
      </c>
      <c r="AF353" s="16">
        <f t="shared" si="1518"/>
        <v>24</v>
      </c>
      <c r="AG353" s="16">
        <f t="shared" si="1519"/>
        <v>6</v>
      </c>
      <c r="AH353" s="838" t="s">
        <v>85</v>
      </c>
      <c r="AI353" s="17">
        <f t="shared" si="1520"/>
        <v>3</v>
      </c>
      <c r="AJ353" s="17">
        <f t="shared" si="1521"/>
        <v>6</v>
      </c>
      <c r="AK353" s="891"/>
      <c r="AL353" s="18">
        <f>IF(AK350&lt;=2000,950,(IF(AK350&lt;=4000,1100,(IF(AK350&lt;=6000,1250,(IF(AK350&lt;=10000,1550,(IF(AK350&lt;=15000,1750,(IF(AK350&lt;=24000,2050,(IF(AK350&lt;=40000,2900,3600)))))))))))))</f>
        <v>3600</v>
      </c>
      <c r="AM353" s="889"/>
      <c r="AN353" s="891"/>
      <c r="AO353" s="888"/>
      <c r="AP353" s="891"/>
      <c r="AQ353" s="891"/>
      <c r="AR353" s="889"/>
      <c r="AS353" s="888"/>
      <c r="AT353" s="888"/>
      <c r="AU353" s="890"/>
      <c r="AV353" s="888"/>
      <c r="AW353" s="888"/>
      <c r="AX353" s="888"/>
      <c r="AY353" s="887"/>
      <c r="AZ353" s="888"/>
      <c r="BA353" s="17">
        <f t="shared" si="1522"/>
        <v>14.399999999999991</v>
      </c>
      <c r="BB353" s="17">
        <f t="shared" si="1523"/>
        <v>37.799999999999997</v>
      </c>
      <c r="BC353" s="17">
        <f t="shared" si="1524"/>
        <v>32</v>
      </c>
      <c r="BD353" s="17">
        <f t="shared" si="1525"/>
        <v>85</v>
      </c>
      <c r="BE353" s="17">
        <f t="shared" si="1526"/>
        <v>180.86341983910182</v>
      </c>
      <c r="BF353" s="17">
        <f t="shared" si="1527"/>
        <v>24</v>
      </c>
      <c r="BG353" s="17">
        <f t="shared" si="1528"/>
        <v>50</v>
      </c>
      <c r="BH353" s="17">
        <f t="shared" si="1529"/>
        <v>65.062647806544774</v>
      </c>
      <c r="BI353" s="17">
        <f t="shared" si="1530"/>
        <v>115.80077203255705</v>
      </c>
      <c r="BJ353" s="17">
        <f t="shared" si="1531"/>
        <v>45</v>
      </c>
      <c r="BK353" s="17">
        <f t="shared" si="1532"/>
        <v>85</v>
      </c>
      <c r="BL353" s="17">
        <f t="shared" si="1533"/>
        <v>380.54120080897206</v>
      </c>
      <c r="BM353" s="17">
        <f t="shared" si="1534"/>
        <v>24</v>
      </c>
      <c r="BN353" s="17">
        <f t="shared" si="1535"/>
        <v>50</v>
      </c>
      <c r="BO353" s="17">
        <f t="shared" si="1536"/>
        <v>65.062647806544774</v>
      </c>
      <c r="BP353" s="17">
        <f t="shared" si="1537"/>
        <v>315.4785530024273</v>
      </c>
      <c r="BQ353" s="17">
        <f t="shared" si="1538"/>
        <v>4919.7818879999995</v>
      </c>
      <c r="BR353" s="17">
        <f t="shared" si="1539"/>
        <v>1874.2026239999989</v>
      </c>
      <c r="BS353" s="17">
        <f t="shared" si="1540"/>
        <v>512.47727999999972</v>
      </c>
      <c r="BT353" s="17">
        <f t="shared" si="1541"/>
        <v>1345.2528599999998</v>
      </c>
      <c r="BU353" s="17">
        <f t="shared" si="1542"/>
        <v>0</v>
      </c>
      <c r="BV353" s="17">
        <f t="shared" si="1543"/>
        <v>3412</v>
      </c>
      <c r="BW353" s="17">
        <f t="shared" si="1544"/>
        <v>472.22250599999995</v>
      </c>
      <c r="BX353" s="17">
        <f t="shared" si="1545"/>
        <v>17495.999999999989</v>
      </c>
      <c r="BY353" s="17">
        <f t="shared" si="1546"/>
        <v>5083.1186466815998</v>
      </c>
      <c r="BZ353" s="17"/>
      <c r="CA353" s="17">
        <f t="shared" si="1547"/>
        <v>0</v>
      </c>
      <c r="CB353" s="17">
        <f t="shared" si="1548"/>
        <v>241341.0930468569</v>
      </c>
      <c r="CC353" s="17">
        <f t="shared" si="1549"/>
        <v>26711.202784353376</v>
      </c>
      <c r="CD353" s="17">
        <f t="shared" si="1550"/>
        <v>240400.82505918032</v>
      </c>
      <c r="CE353" s="17">
        <f t="shared" si="1551"/>
        <v>31383.123040681588</v>
      </c>
      <c r="CF353" s="17">
        <f t="shared" si="1552"/>
        <v>508453.12089039059</v>
      </c>
      <c r="CG353" s="17">
        <f t="shared" si="1553"/>
        <v>539836.24393107218</v>
      </c>
      <c r="CH353" s="17">
        <f t="shared" si="1554"/>
        <v>14.400000000000006</v>
      </c>
      <c r="CI353" s="17">
        <f t="shared" si="1555"/>
        <v>-43.2</v>
      </c>
      <c r="CJ353" s="17">
        <f t="shared" si="1556"/>
        <v>16</v>
      </c>
      <c r="CK353" s="17">
        <f t="shared" si="1557"/>
        <v>90</v>
      </c>
      <c r="CL353" s="17">
        <f t="shared" si="1558"/>
        <v>71.46880726181422</v>
      </c>
      <c r="CM353" s="17">
        <f t="shared" si="1559"/>
        <v>24</v>
      </c>
      <c r="CN353" s="17">
        <f t="shared" si="1560"/>
        <v>50</v>
      </c>
      <c r="CO353" s="17">
        <f t="shared" si="1561"/>
        <v>65.062647806544774</v>
      </c>
      <c r="CP353" s="17">
        <f t="shared" si="1562"/>
        <v>6.4061594552694459</v>
      </c>
      <c r="CQ353" s="17">
        <f t="shared" si="1563"/>
        <v>0</v>
      </c>
      <c r="CR353" s="17">
        <f t="shared" si="1564"/>
        <v>100</v>
      </c>
      <c r="CS353" s="17">
        <f t="shared" si="1565"/>
        <v>26.404773030064671</v>
      </c>
      <c r="CT353" s="17">
        <f t="shared" si="1566"/>
        <v>24</v>
      </c>
      <c r="CU353" s="17">
        <f t="shared" si="1567"/>
        <v>50</v>
      </c>
      <c r="CV353" s="17">
        <f t="shared" si="1568"/>
        <v>65.062647806544774</v>
      </c>
      <c r="CW353" s="17">
        <f t="shared" si="1569"/>
        <v>-38.657874776480099</v>
      </c>
      <c r="CX353" s="17">
        <f t="shared" si="1507"/>
        <v>-5622.6078720000005</v>
      </c>
      <c r="CY353" s="17">
        <f t="shared" si="1507"/>
        <v>-5622.6078720000005</v>
      </c>
      <c r="CZ353" s="17">
        <f t="shared" si="1570"/>
        <v>512.47728000000018</v>
      </c>
      <c r="DA353" s="17">
        <f t="shared" si="1571"/>
        <v>-1537.4318400000002</v>
      </c>
      <c r="DB353" s="17">
        <f t="shared" si="1572"/>
        <v>0</v>
      </c>
      <c r="DC353" s="17">
        <f t="shared" si="1573"/>
        <v>3412</v>
      </c>
      <c r="DD353" s="17">
        <f t="shared" si="1574"/>
        <v>472.22250599999995</v>
      </c>
      <c r="DE353" s="17">
        <f t="shared" si="1575"/>
        <v>17496.000000000007</v>
      </c>
      <c r="DF353" s="17">
        <f t="shared" si="1576"/>
        <v>-5809.2784533504</v>
      </c>
      <c r="DG353" s="17"/>
      <c r="DH353" s="17">
        <f t="shared" si="1577"/>
        <v>0</v>
      </c>
      <c r="DI353" s="17">
        <f t="shared" si="1578"/>
        <v>-29573.274204007277</v>
      </c>
      <c r="DJ353" s="17">
        <f t="shared" si="1579"/>
        <v>-3273.117372130062</v>
      </c>
      <c r="DK353" s="17">
        <f t="shared" si="1580"/>
        <v>4881.618746665149</v>
      </c>
      <c r="DL353" s="17">
        <f t="shared" si="1581"/>
        <v>8923.3816206496067</v>
      </c>
      <c r="DM353" s="17">
        <f t="shared" si="1582"/>
        <v>-27964.772829472186</v>
      </c>
      <c r="DN353" s="17">
        <f t="shared" si="1583"/>
        <v>-19041.391208822577</v>
      </c>
    </row>
    <row r="354" spans="3:120" ht="18.600000000000001">
      <c r="C354" s="13">
        <f>IF(D354&lt;&gt;"",COUNTA($D$10:D354),"")</f>
        <v>294</v>
      </c>
      <c r="D354" s="14" t="s">
        <v>204</v>
      </c>
      <c r="E354" s="14">
        <v>2.7</v>
      </c>
      <c r="F354" s="14">
        <v>4</v>
      </c>
      <c r="G354" s="14">
        <v>2.4</v>
      </c>
      <c r="H354" s="14">
        <v>2</v>
      </c>
      <c r="I354" s="14">
        <v>1</v>
      </c>
      <c r="J354" s="14">
        <v>1.75</v>
      </c>
      <c r="K354" s="14">
        <v>3</v>
      </c>
      <c r="L354" s="15">
        <v>0.1</v>
      </c>
      <c r="M354" s="15">
        <v>0</v>
      </c>
      <c r="N354" s="14">
        <v>24</v>
      </c>
      <c r="O354" s="14">
        <v>50</v>
      </c>
      <c r="P354" s="13">
        <v>45</v>
      </c>
      <c r="Q354" s="13">
        <v>85</v>
      </c>
      <c r="R354" s="13" t="s">
        <v>21</v>
      </c>
      <c r="S354" s="13">
        <v>120</v>
      </c>
      <c r="T354" s="13">
        <v>0</v>
      </c>
      <c r="U354" s="13">
        <v>100</v>
      </c>
      <c r="V354" s="13" t="str">
        <f t="shared" si="1508"/>
        <v>ISO 5</v>
      </c>
      <c r="W354" s="13">
        <f t="shared" si="1509"/>
        <v>120</v>
      </c>
      <c r="X354" s="16">
        <f t="shared" si="1510"/>
        <v>116.208</v>
      </c>
      <c r="Y354" s="16">
        <f t="shared" si="1511"/>
        <v>914.78937599999995</v>
      </c>
      <c r="Z354" s="16">
        <f t="shared" si="1512"/>
        <v>1829.5787519999999</v>
      </c>
      <c r="AA354" s="16">
        <f t="shared" si="1513"/>
        <v>182.95787519999999</v>
      </c>
      <c r="AB354" s="16">
        <f t="shared" si="1514"/>
        <v>0</v>
      </c>
      <c r="AC354" s="16">
        <f t="shared" si="1515"/>
        <v>16.830680621229575</v>
      </c>
      <c r="AD354" s="16">
        <f t="shared" si="1516"/>
        <v>3375</v>
      </c>
      <c r="AE354" s="16">
        <f t="shared" si="1517"/>
        <v>3375</v>
      </c>
      <c r="AF354" s="16">
        <f t="shared" si="1518"/>
        <v>34</v>
      </c>
      <c r="AG354" s="16">
        <f t="shared" si="1519"/>
        <v>8.5</v>
      </c>
      <c r="AH354" s="838" t="s">
        <v>85</v>
      </c>
      <c r="AI354" s="17">
        <f t="shared" si="1520"/>
        <v>5</v>
      </c>
      <c r="AJ354" s="17">
        <f t="shared" si="1521"/>
        <v>8.5</v>
      </c>
      <c r="AK354" s="891"/>
      <c r="AL354" s="18" t="s">
        <v>256</v>
      </c>
      <c r="AM354" s="889"/>
      <c r="AN354" s="891"/>
      <c r="AO354" s="888"/>
      <c r="AP354" s="891"/>
      <c r="AQ354" s="891"/>
      <c r="AR354" s="889"/>
      <c r="AS354" s="888"/>
      <c r="AT354" s="888"/>
      <c r="AU354" s="890"/>
      <c r="AV354" s="888"/>
      <c r="AW354" s="888"/>
      <c r="AX354" s="888"/>
      <c r="AY354" s="887"/>
      <c r="AZ354" s="888"/>
      <c r="BA354" s="17">
        <f t="shared" si="1522"/>
        <v>14.399999999999991</v>
      </c>
      <c r="BB354" s="17">
        <f t="shared" si="1523"/>
        <v>37.799999999999997</v>
      </c>
      <c r="BC354" s="17">
        <f t="shared" si="1524"/>
        <v>32</v>
      </c>
      <c r="BD354" s="17">
        <f t="shared" si="1525"/>
        <v>85</v>
      </c>
      <c r="BE354" s="17">
        <f t="shared" si="1526"/>
        <v>180.86341983910182</v>
      </c>
      <c r="BF354" s="17">
        <f t="shared" si="1527"/>
        <v>24</v>
      </c>
      <c r="BG354" s="17">
        <f t="shared" si="1528"/>
        <v>50</v>
      </c>
      <c r="BH354" s="17">
        <f t="shared" si="1529"/>
        <v>65.062647806544774</v>
      </c>
      <c r="BI354" s="17">
        <f t="shared" si="1530"/>
        <v>115.80077203255705</v>
      </c>
      <c r="BJ354" s="17">
        <f t="shared" si="1531"/>
        <v>45</v>
      </c>
      <c r="BK354" s="17">
        <f t="shared" si="1532"/>
        <v>85</v>
      </c>
      <c r="BL354" s="17">
        <f t="shared" si="1533"/>
        <v>380.54120080897206</v>
      </c>
      <c r="BM354" s="17">
        <f t="shared" si="1534"/>
        <v>24</v>
      </c>
      <c r="BN354" s="17">
        <f t="shared" si="1535"/>
        <v>50</v>
      </c>
      <c r="BO354" s="17">
        <f t="shared" si="1536"/>
        <v>65.062647806544774</v>
      </c>
      <c r="BP354" s="17">
        <f t="shared" si="1537"/>
        <v>315.4785530024273</v>
      </c>
      <c r="BQ354" s="17">
        <f t="shared" si="1538"/>
        <v>5886.1676159999997</v>
      </c>
      <c r="BR354" s="17">
        <f t="shared" si="1539"/>
        <v>2242.3495679999987</v>
      </c>
      <c r="BS354" s="17">
        <f t="shared" si="1540"/>
        <v>753.02783999999963</v>
      </c>
      <c r="BT354" s="17">
        <f t="shared" si="1541"/>
        <v>1976.6980799999997</v>
      </c>
      <c r="BU354" s="17">
        <f t="shared" si="1542"/>
        <v>23269.68</v>
      </c>
      <c r="BV354" s="17">
        <f t="shared" si="1543"/>
        <v>3412</v>
      </c>
      <c r="BW354" s="17">
        <f t="shared" si="1544"/>
        <v>693.87796800000001</v>
      </c>
      <c r="BX354" s="17">
        <f t="shared" si="1545"/>
        <v>17495.999999999989</v>
      </c>
      <c r="BY354" s="17">
        <f t="shared" si="1546"/>
        <v>7469.0722971647992</v>
      </c>
      <c r="BZ354" s="17"/>
      <c r="CA354" s="17">
        <f t="shared" si="1547"/>
        <v>85810.166416660228</v>
      </c>
      <c r="CB354" s="17">
        <f t="shared" si="1548"/>
        <v>241341.0930468569</v>
      </c>
      <c r="CC354" s="17">
        <f t="shared" si="1549"/>
        <v>39249.114295376385</v>
      </c>
      <c r="CD354" s="17">
        <f t="shared" si="1550"/>
        <v>353242.02865838748</v>
      </c>
      <c r="CE354" s="17">
        <f t="shared" si="1551"/>
        <v>58226.797881164784</v>
      </c>
      <c r="CF354" s="17">
        <f t="shared" si="1552"/>
        <v>719642.40241728094</v>
      </c>
      <c r="CG354" s="17">
        <f t="shared" si="1553"/>
        <v>777869.20029844576</v>
      </c>
      <c r="CH354" s="17">
        <f t="shared" si="1554"/>
        <v>14.400000000000006</v>
      </c>
      <c r="CI354" s="17">
        <f t="shared" si="1555"/>
        <v>-43.2</v>
      </c>
      <c r="CJ354" s="17">
        <f t="shared" si="1556"/>
        <v>16</v>
      </c>
      <c r="CK354" s="17">
        <f t="shared" si="1557"/>
        <v>90</v>
      </c>
      <c r="CL354" s="17">
        <f t="shared" si="1558"/>
        <v>71.46880726181422</v>
      </c>
      <c r="CM354" s="17">
        <f t="shared" si="1559"/>
        <v>24</v>
      </c>
      <c r="CN354" s="17">
        <f t="shared" si="1560"/>
        <v>50</v>
      </c>
      <c r="CO354" s="17">
        <f t="shared" si="1561"/>
        <v>65.062647806544774</v>
      </c>
      <c r="CP354" s="17">
        <f t="shared" si="1562"/>
        <v>6.4061594552694459</v>
      </c>
      <c r="CQ354" s="17">
        <f t="shared" si="1563"/>
        <v>0</v>
      </c>
      <c r="CR354" s="17">
        <f t="shared" si="1564"/>
        <v>100</v>
      </c>
      <c r="CS354" s="17">
        <f t="shared" si="1565"/>
        <v>26.404773030064671</v>
      </c>
      <c r="CT354" s="17">
        <f t="shared" si="1566"/>
        <v>24</v>
      </c>
      <c r="CU354" s="17">
        <f t="shared" si="1567"/>
        <v>50</v>
      </c>
      <c r="CV354" s="17">
        <f t="shared" si="1568"/>
        <v>65.062647806544774</v>
      </c>
      <c r="CW354" s="17">
        <f t="shared" si="1569"/>
        <v>-38.657874776480099</v>
      </c>
      <c r="CX354" s="17">
        <f t="shared" si="1507"/>
        <v>-6727.0487040000007</v>
      </c>
      <c r="CY354" s="17">
        <f t="shared" si="1507"/>
        <v>-6727.0487040000007</v>
      </c>
      <c r="CZ354" s="17">
        <f t="shared" si="1570"/>
        <v>753.02784000000031</v>
      </c>
      <c r="DA354" s="17">
        <f t="shared" si="1571"/>
        <v>-2259.0835200000006</v>
      </c>
      <c r="DB354" s="17">
        <f t="shared" si="1572"/>
        <v>-26593.920000000002</v>
      </c>
      <c r="DC354" s="17">
        <f t="shared" si="1573"/>
        <v>3412</v>
      </c>
      <c r="DD354" s="17">
        <f t="shared" si="1574"/>
        <v>693.87796800000001</v>
      </c>
      <c r="DE354" s="17">
        <f t="shared" si="1575"/>
        <v>17496.000000000007</v>
      </c>
      <c r="DF354" s="17">
        <f t="shared" si="1576"/>
        <v>-8536.0826253312007</v>
      </c>
      <c r="DG354" s="17"/>
      <c r="DH354" s="17">
        <f t="shared" si="1577"/>
        <v>-10514.941939202587</v>
      </c>
      <c r="DI354" s="17">
        <f t="shared" si="1578"/>
        <v>-29573.274204007277</v>
      </c>
      <c r="DJ354" s="17">
        <f t="shared" si="1579"/>
        <v>-4809.478587619682</v>
      </c>
      <c r="DK354" s="17">
        <f t="shared" si="1580"/>
        <v>7172.9908114263426</v>
      </c>
      <c r="DL354" s="17">
        <f t="shared" si="1581"/>
        <v>-21761.229041331197</v>
      </c>
      <c r="DM354" s="17">
        <f t="shared" si="1582"/>
        <v>-37724.703919403204</v>
      </c>
      <c r="DN354" s="17">
        <f t="shared" si="1583"/>
        <v>-59485.932960734397</v>
      </c>
    </row>
    <row r="355" spans="3:120" ht="18.600000000000001">
      <c r="C355" s="13">
        <f>IF(D355&lt;&gt;"",COUNTA($D$10:D355),"")</f>
        <v>295</v>
      </c>
      <c r="D355" s="14" t="s">
        <v>205</v>
      </c>
      <c r="E355" s="14">
        <v>3.8</v>
      </c>
      <c r="F355" s="14">
        <v>4.2</v>
      </c>
      <c r="G355" s="14">
        <v>2.4</v>
      </c>
      <c r="H355" s="14">
        <v>3</v>
      </c>
      <c r="I355" s="14">
        <v>3</v>
      </c>
      <c r="J355" s="14">
        <v>1.75</v>
      </c>
      <c r="K355" s="14">
        <v>3</v>
      </c>
      <c r="L355" s="15">
        <v>0.1</v>
      </c>
      <c r="M355" s="15">
        <v>0</v>
      </c>
      <c r="N355" s="14">
        <v>24</v>
      </c>
      <c r="O355" s="14">
        <v>50</v>
      </c>
      <c r="P355" s="13">
        <v>45</v>
      </c>
      <c r="Q355" s="13">
        <v>85</v>
      </c>
      <c r="R355" s="13" t="s">
        <v>21</v>
      </c>
      <c r="S355" s="13">
        <v>120</v>
      </c>
      <c r="T355" s="13">
        <v>0</v>
      </c>
      <c r="U355" s="13">
        <v>100</v>
      </c>
      <c r="V355" s="13" t="str">
        <f t="shared" si="1508"/>
        <v>ISO 5</v>
      </c>
      <c r="W355" s="13">
        <f t="shared" si="1509"/>
        <v>120</v>
      </c>
      <c r="X355" s="16">
        <f t="shared" si="1510"/>
        <v>171.72959999999998</v>
      </c>
      <c r="Y355" s="16">
        <f t="shared" si="1511"/>
        <v>1351.8554111999997</v>
      </c>
      <c r="Z355" s="16">
        <f t="shared" si="1512"/>
        <v>2703.7108223999994</v>
      </c>
      <c r="AA355" s="16">
        <f t="shared" si="1513"/>
        <v>270.37108223999996</v>
      </c>
      <c r="AB355" s="16">
        <f t="shared" si="1514"/>
        <v>0</v>
      </c>
      <c r="AC355" s="16">
        <f t="shared" si="1515"/>
        <v>24.872005806928151</v>
      </c>
      <c r="AD355" s="16">
        <f t="shared" si="1516"/>
        <v>4450</v>
      </c>
      <c r="AE355" s="16">
        <f t="shared" si="1517"/>
        <v>4450</v>
      </c>
      <c r="AF355" s="16">
        <f t="shared" si="1518"/>
        <v>46</v>
      </c>
      <c r="AG355" s="16">
        <f t="shared" si="1519"/>
        <v>11.5</v>
      </c>
      <c r="AH355" s="838" t="s">
        <v>85</v>
      </c>
      <c r="AI355" s="17">
        <f t="shared" si="1520"/>
        <v>7</v>
      </c>
      <c r="AJ355" s="17">
        <f t="shared" si="1521"/>
        <v>11.5</v>
      </c>
      <c r="AK355" s="891"/>
      <c r="AL355" s="18">
        <f>IF(AL359&lt;4000,AL359,AL359+400)</f>
        <v>6800</v>
      </c>
      <c r="AM355" s="889"/>
      <c r="AN355" s="891"/>
      <c r="AO355" s="888"/>
      <c r="AP355" s="891"/>
      <c r="AQ355" s="891"/>
      <c r="AR355" s="889"/>
      <c r="AS355" s="888"/>
      <c r="AT355" s="888"/>
      <c r="AU355" s="890"/>
      <c r="AV355" s="888"/>
      <c r="AW355" s="888"/>
      <c r="AX355" s="888"/>
      <c r="AY355" s="887"/>
      <c r="AZ355" s="888"/>
      <c r="BA355" s="17">
        <f t="shared" si="1522"/>
        <v>14.399999999999991</v>
      </c>
      <c r="BB355" s="17">
        <f t="shared" si="1523"/>
        <v>37.799999999999997</v>
      </c>
      <c r="BC355" s="17">
        <f t="shared" si="1524"/>
        <v>32</v>
      </c>
      <c r="BD355" s="17">
        <f t="shared" si="1525"/>
        <v>85</v>
      </c>
      <c r="BE355" s="17">
        <f t="shared" si="1526"/>
        <v>180.86341983910182</v>
      </c>
      <c r="BF355" s="17">
        <f t="shared" si="1527"/>
        <v>24</v>
      </c>
      <c r="BG355" s="17">
        <f t="shared" si="1528"/>
        <v>50</v>
      </c>
      <c r="BH355" s="17">
        <f t="shared" si="1529"/>
        <v>65.062647806544774</v>
      </c>
      <c r="BI355" s="17">
        <f t="shared" si="1530"/>
        <v>115.80077203255705</v>
      </c>
      <c r="BJ355" s="17">
        <f t="shared" si="1531"/>
        <v>45</v>
      </c>
      <c r="BK355" s="17">
        <f t="shared" si="1532"/>
        <v>85</v>
      </c>
      <c r="BL355" s="17">
        <f t="shared" si="1533"/>
        <v>380.54120080897206</v>
      </c>
      <c r="BM355" s="17">
        <f t="shared" si="1534"/>
        <v>24</v>
      </c>
      <c r="BN355" s="17">
        <f t="shared" si="1535"/>
        <v>50</v>
      </c>
      <c r="BO355" s="17">
        <f t="shared" si="1536"/>
        <v>65.062647806544774</v>
      </c>
      <c r="BP355" s="17">
        <f t="shared" si="1537"/>
        <v>315.4785530024273</v>
      </c>
      <c r="BQ355" s="17">
        <f t="shared" si="1538"/>
        <v>7028.2598399999997</v>
      </c>
      <c r="BR355" s="17">
        <f t="shared" si="1539"/>
        <v>2677.4323199999981</v>
      </c>
      <c r="BS355" s="17">
        <f t="shared" si="1540"/>
        <v>1112.8078079999991</v>
      </c>
      <c r="BT355" s="17">
        <f t="shared" si="1541"/>
        <v>2921.1204959999995</v>
      </c>
      <c r="BU355" s="17">
        <f t="shared" si="1542"/>
        <v>34904.520000000004</v>
      </c>
      <c r="BV355" s="17">
        <f t="shared" si="1543"/>
        <v>10236</v>
      </c>
      <c r="BW355" s="17">
        <f t="shared" si="1544"/>
        <v>1025.3974415999999</v>
      </c>
      <c r="BX355" s="17">
        <f t="shared" si="1545"/>
        <v>17495.999999999989</v>
      </c>
      <c r="BY355" s="17">
        <f t="shared" si="1546"/>
        <v>11037.62906136576</v>
      </c>
      <c r="BZ355" s="17"/>
      <c r="CA355" s="17">
        <f t="shared" si="1547"/>
        <v>128715.24962499036</v>
      </c>
      <c r="CB355" s="17">
        <f t="shared" si="1548"/>
        <v>241341.0930468569</v>
      </c>
      <c r="CC355" s="17">
        <f t="shared" si="1549"/>
        <v>58001.468903167319</v>
      </c>
      <c r="CD355" s="17">
        <f t="shared" si="1550"/>
        <v>522013.22012850584</v>
      </c>
      <c r="CE355" s="17">
        <f t="shared" si="1551"/>
        <v>81727.806342965749</v>
      </c>
      <c r="CF355" s="17">
        <f t="shared" si="1552"/>
        <v>950071.03170352045</v>
      </c>
      <c r="CG355" s="17">
        <f t="shared" si="1553"/>
        <v>1031798.8380464863</v>
      </c>
      <c r="CH355" s="17">
        <f t="shared" si="1554"/>
        <v>14.400000000000006</v>
      </c>
      <c r="CI355" s="17">
        <f t="shared" si="1555"/>
        <v>-43.2</v>
      </c>
      <c r="CJ355" s="17">
        <f t="shared" si="1556"/>
        <v>16</v>
      </c>
      <c r="CK355" s="17">
        <f t="shared" si="1557"/>
        <v>90</v>
      </c>
      <c r="CL355" s="17">
        <f t="shared" si="1558"/>
        <v>71.46880726181422</v>
      </c>
      <c r="CM355" s="17">
        <f t="shared" si="1559"/>
        <v>24</v>
      </c>
      <c r="CN355" s="17">
        <f t="shared" si="1560"/>
        <v>50</v>
      </c>
      <c r="CO355" s="17">
        <f t="shared" si="1561"/>
        <v>65.062647806544774</v>
      </c>
      <c r="CP355" s="17">
        <f t="shared" si="1562"/>
        <v>6.4061594552694459</v>
      </c>
      <c r="CQ355" s="17">
        <f t="shared" si="1563"/>
        <v>0</v>
      </c>
      <c r="CR355" s="17">
        <f t="shared" si="1564"/>
        <v>100</v>
      </c>
      <c r="CS355" s="17">
        <f t="shared" si="1565"/>
        <v>26.404773030064671</v>
      </c>
      <c r="CT355" s="17">
        <f t="shared" si="1566"/>
        <v>24</v>
      </c>
      <c r="CU355" s="17">
        <f t="shared" si="1567"/>
        <v>50</v>
      </c>
      <c r="CV355" s="17">
        <f t="shared" si="1568"/>
        <v>65.062647806544774</v>
      </c>
      <c r="CW355" s="17">
        <f t="shared" si="1569"/>
        <v>-38.657874776480099</v>
      </c>
      <c r="CX355" s="17">
        <f t="shared" si="1507"/>
        <v>-8032.2969600000006</v>
      </c>
      <c r="CY355" s="17">
        <f t="shared" si="1507"/>
        <v>-8032.2969600000006</v>
      </c>
      <c r="CZ355" s="17">
        <f t="shared" si="1570"/>
        <v>1112.8078080000003</v>
      </c>
      <c r="DA355" s="17">
        <f t="shared" si="1571"/>
        <v>-3338.4234240000001</v>
      </c>
      <c r="DB355" s="17">
        <f t="shared" si="1572"/>
        <v>-39890.880000000005</v>
      </c>
      <c r="DC355" s="17">
        <f t="shared" si="1573"/>
        <v>10236</v>
      </c>
      <c r="DD355" s="17">
        <f t="shared" si="1574"/>
        <v>1025.3974415999999</v>
      </c>
      <c r="DE355" s="17">
        <f t="shared" si="1575"/>
        <v>17496.000000000007</v>
      </c>
      <c r="DF355" s="17">
        <f t="shared" si="1576"/>
        <v>-12614.433212989441</v>
      </c>
      <c r="DG355" s="17"/>
      <c r="DH355" s="17">
        <f t="shared" si="1577"/>
        <v>-15772.412908803883</v>
      </c>
      <c r="DI355" s="17">
        <f t="shared" si="1578"/>
        <v>-29573.274204007277</v>
      </c>
      <c r="DJ355" s="17">
        <f t="shared" si="1579"/>
        <v>-7107.3405794824193</v>
      </c>
      <c r="DK355" s="17">
        <f t="shared" si="1580"/>
        <v>10600.086421330037</v>
      </c>
      <c r="DL355" s="17">
        <f t="shared" si="1581"/>
        <v>-34005.828347389441</v>
      </c>
      <c r="DM355" s="17">
        <f t="shared" si="1582"/>
        <v>-41852.941270963544</v>
      </c>
      <c r="DN355" s="17">
        <f t="shared" si="1583"/>
        <v>-75858.769618352992</v>
      </c>
    </row>
    <row r="356" spans="3:120" ht="18.600000000000001">
      <c r="C356" s="13">
        <f>IF(D356&lt;&gt;"",COUNTA($D$10:D356),"")</f>
        <v>296</v>
      </c>
      <c r="D356" s="14" t="s">
        <v>206</v>
      </c>
      <c r="E356" s="14">
        <v>3.1</v>
      </c>
      <c r="F356" s="14">
        <v>2.6</v>
      </c>
      <c r="G356" s="14">
        <v>2.4</v>
      </c>
      <c r="H356" s="14">
        <v>2</v>
      </c>
      <c r="I356" s="14">
        <v>1</v>
      </c>
      <c r="J356" s="14">
        <v>1.75</v>
      </c>
      <c r="K356" s="14">
        <v>3</v>
      </c>
      <c r="L356" s="15">
        <v>0.1</v>
      </c>
      <c r="M356" s="15">
        <v>0</v>
      </c>
      <c r="N356" s="14">
        <v>24</v>
      </c>
      <c r="O356" s="14">
        <v>50</v>
      </c>
      <c r="P356" s="13">
        <v>45</v>
      </c>
      <c r="Q356" s="13">
        <v>85</v>
      </c>
      <c r="R356" s="13" t="s">
        <v>21</v>
      </c>
      <c r="S356" s="13">
        <v>120</v>
      </c>
      <c r="T356" s="13">
        <v>0</v>
      </c>
      <c r="U356" s="13">
        <v>100</v>
      </c>
      <c r="V356" s="13" t="str">
        <f t="shared" si="1508"/>
        <v>ISO 5</v>
      </c>
      <c r="W356" s="13">
        <f t="shared" si="1509"/>
        <v>120</v>
      </c>
      <c r="X356" s="16">
        <f t="shared" si="1510"/>
        <v>86.7256</v>
      </c>
      <c r="Y356" s="16">
        <f t="shared" si="1511"/>
        <v>682.70392319999996</v>
      </c>
      <c r="Z356" s="16">
        <f t="shared" si="1512"/>
        <v>1365.4078463999999</v>
      </c>
      <c r="AA356" s="16">
        <f t="shared" si="1513"/>
        <v>136.54078464</v>
      </c>
      <c r="AB356" s="16">
        <f t="shared" si="1514"/>
        <v>0</v>
      </c>
      <c r="AC356" s="16">
        <f t="shared" si="1515"/>
        <v>12.560674611769482</v>
      </c>
      <c r="AD356" s="16">
        <f t="shared" si="1516"/>
        <v>2900</v>
      </c>
      <c r="AE356" s="16">
        <f t="shared" si="1517"/>
        <v>2900</v>
      </c>
      <c r="AF356" s="16">
        <f t="shared" si="1518"/>
        <v>30</v>
      </c>
      <c r="AG356" s="16">
        <f t="shared" si="1519"/>
        <v>7.5</v>
      </c>
      <c r="AH356" s="838" t="s">
        <v>85</v>
      </c>
      <c r="AI356" s="17">
        <f t="shared" si="1520"/>
        <v>5</v>
      </c>
      <c r="AJ356" s="17">
        <f t="shared" si="1521"/>
        <v>7.5</v>
      </c>
      <c r="AK356" s="891"/>
      <c r="AL356" s="18"/>
      <c r="AM356" s="889"/>
      <c r="AN356" s="891"/>
      <c r="AO356" s="888"/>
      <c r="AP356" s="891"/>
      <c r="AQ356" s="891"/>
      <c r="AR356" s="889"/>
      <c r="AS356" s="888"/>
      <c r="AT356" s="888"/>
      <c r="AU356" s="890"/>
      <c r="AV356" s="888"/>
      <c r="AW356" s="888"/>
      <c r="AX356" s="888"/>
      <c r="AY356" s="887"/>
      <c r="AZ356" s="888"/>
      <c r="BA356" s="17">
        <f t="shared" si="1522"/>
        <v>14.399999999999991</v>
      </c>
      <c r="BB356" s="17">
        <f t="shared" si="1523"/>
        <v>37.799999999999997</v>
      </c>
      <c r="BC356" s="17">
        <f t="shared" si="1524"/>
        <v>32</v>
      </c>
      <c r="BD356" s="17">
        <f t="shared" si="1525"/>
        <v>85</v>
      </c>
      <c r="BE356" s="17">
        <f t="shared" si="1526"/>
        <v>180.86341983910182</v>
      </c>
      <c r="BF356" s="17">
        <f t="shared" si="1527"/>
        <v>24</v>
      </c>
      <c r="BG356" s="17">
        <f t="shared" si="1528"/>
        <v>50</v>
      </c>
      <c r="BH356" s="17">
        <f t="shared" si="1529"/>
        <v>65.062647806544774</v>
      </c>
      <c r="BI356" s="17">
        <f t="shared" si="1530"/>
        <v>115.80077203255705</v>
      </c>
      <c r="BJ356" s="17">
        <f t="shared" si="1531"/>
        <v>45</v>
      </c>
      <c r="BK356" s="17">
        <f t="shared" si="1532"/>
        <v>85</v>
      </c>
      <c r="BL356" s="17">
        <f t="shared" si="1533"/>
        <v>380.54120080897206</v>
      </c>
      <c r="BM356" s="17">
        <f t="shared" si="1534"/>
        <v>24</v>
      </c>
      <c r="BN356" s="17">
        <f t="shared" si="1535"/>
        <v>50</v>
      </c>
      <c r="BO356" s="17">
        <f t="shared" si="1536"/>
        <v>65.062647806544774</v>
      </c>
      <c r="BP356" s="17">
        <f t="shared" si="1537"/>
        <v>315.4785530024273</v>
      </c>
      <c r="BQ356" s="17">
        <f t="shared" si="1538"/>
        <v>5007.6351359999999</v>
      </c>
      <c r="BR356" s="17">
        <f t="shared" si="1539"/>
        <v>1907.670527999999</v>
      </c>
      <c r="BS356" s="17">
        <f t="shared" si="1540"/>
        <v>561.98188799999969</v>
      </c>
      <c r="BT356" s="17">
        <f t="shared" si="1541"/>
        <v>1475.202456</v>
      </c>
      <c r="BU356" s="17">
        <f t="shared" si="1542"/>
        <v>23269.68</v>
      </c>
      <c r="BV356" s="17">
        <f t="shared" si="1543"/>
        <v>3412</v>
      </c>
      <c r="BW356" s="17">
        <f t="shared" si="1544"/>
        <v>517.83855759999994</v>
      </c>
      <c r="BX356" s="17">
        <f t="shared" si="1545"/>
        <v>17495.999999999989</v>
      </c>
      <c r="BY356" s="17">
        <f t="shared" si="1546"/>
        <v>5574.1409921433597</v>
      </c>
      <c r="BZ356" s="17"/>
      <c r="CA356" s="17">
        <f t="shared" si="1547"/>
        <v>85810.166416660228</v>
      </c>
      <c r="CB356" s="17">
        <f t="shared" si="1548"/>
        <v>241341.0930468569</v>
      </c>
      <c r="CC356" s="17">
        <f t="shared" si="1549"/>
        <v>29291.468631549415</v>
      </c>
      <c r="CD356" s="17">
        <f t="shared" si="1550"/>
        <v>263623.21768394468</v>
      </c>
      <c r="CE356" s="17">
        <f t="shared" si="1551"/>
        <v>55277.294685743349</v>
      </c>
      <c r="CF356" s="17">
        <f t="shared" si="1552"/>
        <v>620065.94577901112</v>
      </c>
      <c r="CG356" s="17">
        <f t="shared" si="1553"/>
        <v>675343.24046475452</v>
      </c>
      <c r="CH356" s="17">
        <f t="shared" si="1554"/>
        <v>14.400000000000006</v>
      </c>
      <c r="CI356" s="17">
        <f t="shared" si="1555"/>
        <v>-43.2</v>
      </c>
      <c r="CJ356" s="17">
        <f t="shared" si="1556"/>
        <v>16</v>
      </c>
      <c r="CK356" s="17">
        <f t="shared" si="1557"/>
        <v>90</v>
      </c>
      <c r="CL356" s="17">
        <f t="shared" si="1558"/>
        <v>71.46880726181422</v>
      </c>
      <c r="CM356" s="17">
        <f t="shared" si="1559"/>
        <v>24</v>
      </c>
      <c r="CN356" s="17">
        <f t="shared" si="1560"/>
        <v>50</v>
      </c>
      <c r="CO356" s="17">
        <f t="shared" si="1561"/>
        <v>65.062647806544774</v>
      </c>
      <c r="CP356" s="17">
        <f t="shared" si="1562"/>
        <v>6.4061594552694459</v>
      </c>
      <c r="CQ356" s="17">
        <f t="shared" si="1563"/>
        <v>0</v>
      </c>
      <c r="CR356" s="17">
        <f t="shared" si="1564"/>
        <v>100</v>
      </c>
      <c r="CS356" s="17">
        <f t="shared" si="1565"/>
        <v>26.404773030064671</v>
      </c>
      <c r="CT356" s="17">
        <f t="shared" si="1566"/>
        <v>24</v>
      </c>
      <c r="CU356" s="17">
        <f t="shared" si="1567"/>
        <v>50</v>
      </c>
      <c r="CV356" s="17">
        <f t="shared" si="1568"/>
        <v>65.062647806544774</v>
      </c>
      <c r="CW356" s="17">
        <f t="shared" si="1569"/>
        <v>-38.657874776480099</v>
      </c>
      <c r="CX356" s="17">
        <f t="shared" si="1507"/>
        <v>-5723.0115840000008</v>
      </c>
      <c r="CY356" s="17">
        <f t="shared" si="1507"/>
        <v>-5723.0115840000008</v>
      </c>
      <c r="CZ356" s="17">
        <f t="shared" si="1570"/>
        <v>561.98188800000014</v>
      </c>
      <c r="DA356" s="17">
        <f t="shared" si="1571"/>
        <v>-1685.9456640000001</v>
      </c>
      <c r="DB356" s="17">
        <f t="shared" si="1572"/>
        <v>-26593.920000000002</v>
      </c>
      <c r="DC356" s="17">
        <f t="shared" si="1573"/>
        <v>3412</v>
      </c>
      <c r="DD356" s="17">
        <f t="shared" si="1574"/>
        <v>517.83855759999994</v>
      </c>
      <c r="DE356" s="17">
        <f t="shared" si="1575"/>
        <v>17496.000000000007</v>
      </c>
      <c r="DF356" s="17">
        <f t="shared" si="1576"/>
        <v>-6370.4468481638405</v>
      </c>
      <c r="DG356" s="17"/>
      <c r="DH356" s="17">
        <f t="shared" si="1577"/>
        <v>-10514.941939202587</v>
      </c>
      <c r="DI356" s="17">
        <f t="shared" si="1578"/>
        <v>-29573.274204007277</v>
      </c>
      <c r="DJ356" s="17">
        <f t="shared" si="1579"/>
        <v>-3589.2960570569112</v>
      </c>
      <c r="DK356" s="17">
        <f t="shared" si="1580"/>
        <v>5353.1764759348434</v>
      </c>
      <c r="DL356" s="17">
        <f t="shared" si="1581"/>
        <v>-18385.503650563835</v>
      </c>
      <c r="DM356" s="17">
        <f t="shared" si="1582"/>
        <v>-38324.335724331933</v>
      </c>
      <c r="DN356" s="17">
        <f t="shared" si="1583"/>
        <v>-56709.839374895768</v>
      </c>
    </row>
    <row r="357" spans="3:120" ht="18.600000000000001">
      <c r="C357" s="13">
        <f>IF(D357&lt;&gt;"",COUNTA($D$10:D357),"")</f>
        <v>297</v>
      </c>
      <c r="D357" s="14" t="s">
        <v>207</v>
      </c>
      <c r="E357" s="14">
        <v>1.9</v>
      </c>
      <c r="F357" s="14">
        <v>2.4</v>
      </c>
      <c r="G357" s="14">
        <v>2.4</v>
      </c>
      <c r="H357" s="14">
        <v>3</v>
      </c>
      <c r="I357" s="14">
        <v>2</v>
      </c>
      <c r="J357" s="14">
        <v>1.75</v>
      </c>
      <c r="K357" s="14">
        <v>3</v>
      </c>
      <c r="L357" s="15">
        <v>0.1</v>
      </c>
      <c r="M357" s="15">
        <v>0</v>
      </c>
      <c r="N357" s="14">
        <v>24</v>
      </c>
      <c r="O357" s="14">
        <v>50</v>
      </c>
      <c r="P357" s="13">
        <v>45</v>
      </c>
      <c r="Q357" s="13">
        <v>85</v>
      </c>
      <c r="R357" s="13" t="s">
        <v>21</v>
      </c>
      <c r="S357" s="13">
        <v>120</v>
      </c>
      <c r="T357" s="13">
        <v>0</v>
      </c>
      <c r="U357" s="13">
        <v>100</v>
      </c>
      <c r="V357" s="13" t="str">
        <f t="shared" si="1508"/>
        <v>ISO 5</v>
      </c>
      <c r="W357" s="13">
        <f t="shared" si="1509"/>
        <v>120</v>
      </c>
      <c r="X357" s="16">
        <f t="shared" si="1510"/>
        <v>49.065599999999996</v>
      </c>
      <c r="Y357" s="16">
        <f t="shared" si="1511"/>
        <v>386.24440319999997</v>
      </c>
      <c r="Z357" s="16">
        <f t="shared" si="1512"/>
        <v>772.48880639999993</v>
      </c>
      <c r="AA357" s="16">
        <f t="shared" si="1513"/>
        <v>77.248880639999996</v>
      </c>
      <c r="AB357" s="16">
        <f t="shared" si="1514"/>
        <v>0</v>
      </c>
      <c r="AC357" s="16">
        <f t="shared" si="1515"/>
        <v>7.1062873734080432</v>
      </c>
      <c r="AD357" s="16">
        <f t="shared" si="1516"/>
        <v>2500</v>
      </c>
      <c r="AE357" s="16">
        <f t="shared" si="1517"/>
        <v>2500</v>
      </c>
      <c r="AF357" s="16">
        <f t="shared" si="1518"/>
        <v>26</v>
      </c>
      <c r="AG357" s="16">
        <f t="shared" si="1519"/>
        <v>6.5</v>
      </c>
      <c r="AH357" s="838" t="s">
        <v>85</v>
      </c>
      <c r="AI357" s="17">
        <f t="shared" si="1520"/>
        <v>6</v>
      </c>
      <c r="AJ357" s="17">
        <f t="shared" si="1521"/>
        <v>6.5</v>
      </c>
      <c r="AK357" s="891"/>
      <c r="AL357" s="18"/>
      <c r="AM357" s="889"/>
      <c r="AN357" s="891"/>
      <c r="AO357" s="888"/>
      <c r="AP357" s="891"/>
      <c r="AQ357" s="891"/>
      <c r="AR357" s="889"/>
      <c r="AS357" s="888"/>
      <c r="AT357" s="888"/>
      <c r="AU357" s="890"/>
      <c r="AV357" s="888"/>
      <c r="AW357" s="888"/>
      <c r="AX357" s="888"/>
      <c r="AY357" s="887"/>
      <c r="AZ357" s="888"/>
      <c r="BA357" s="17">
        <f t="shared" si="1522"/>
        <v>14.399999999999991</v>
      </c>
      <c r="BB357" s="17">
        <f t="shared" si="1523"/>
        <v>37.799999999999997</v>
      </c>
      <c r="BC357" s="17">
        <f t="shared" si="1524"/>
        <v>32</v>
      </c>
      <c r="BD357" s="17">
        <f t="shared" si="1525"/>
        <v>85</v>
      </c>
      <c r="BE357" s="17">
        <f t="shared" si="1526"/>
        <v>180.86341983910182</v>
      </c>
      <c r="BF357" s="17">
        <f t="shared" si="1527"/>
        <v>24</v>
      </c>
      <c r="BG357" s="17">
        <f t="shared" si="1528"/>
        <v>50</v>
      </c>
      <c r="BH357" s="17">
        <f t="shared" si="1529"/>
        <v>65.062647806544774</v>
      </c>
      <c r="BI357" s="17">
        <f t="shared" si="1530"/>
        <v>115.80077203255705</v>
      </c>
      <c r="BJ357" s="17">
        <f t="shared" si="1531"/>
        <v>45</v>
      </c>
      <c r="BK357" s="17">
        <f t="shared" si="1532"/>
        <v>85</v>
      </c>
      <c r="BL357" s="17">
        <f t="shared" si="1533"/>
        <v>380.54120080897206</v>
      </c>
      <c r="BM357" s="17">
        <f t="shared" si="1534"/>
        <v>24</v>
      </c>
      <c r="BN357" s="17">
        <f t="shared" si="1535"/>
        <v>50</v>
      </c>
      <c r="BO357" s="17">
        <f t="shared" si="1536"/>
        <v>65.062647806544774</v>
      </c>
      <c r="BP357" s="17">
        <f t="shared" si="1537"/>
        <v>315.4785530024273</v>
      </c>
      <c r="BQ357" s="17">
        <f t="shared" si="1538"/>
        <v>3777.6896639999995</v>
      </c>
      <c r="BR357" s="17">
        <f t="shared" si="1539"/>
        <v>1439.1198719999991</v>
      </c>
      <c r="BS357" s="17">
        <f t="shared" si="1540"/>
        <v>317.94508799999977</v>
      </c>
      <c r="BT357" s="17">
        <f t="shared" si="1541"/>
        <v>834.6058559999999</v>
      </c>
      <c r="BU357" s="17">
        <f t="shared" si="1542"/>
        <v>34904.520000000004</v>
      </c>
      <c r="BV357" s="17">
        <f t="shared" si="1543"/>
        <v>6824</v>
      </c>
      <c r="BW357" s="17">
        <f t="shared" si="1544"/>
        <v>292.97069759999994</v>
      </c>
      <c r="BX357" s="17">
        <f t="shared" si="1545"/>
        <v>17495.999999999989</v>
      </c>
      <c r="BY357" s="17">
        <f t="shared" si="1546"/>
        <v>3153.6083032473598</v>
      </c>
      <c r="BZ357" s="17"/>
      <c r="CA357" s="17">
        <f t="shared" si="1547"/>
        <v>128715.24962499036</v>
      </c>
      <c r="CB357" s="17">
        <f t="shared" si="1548"/>
        <v>241341.0930468569</v>
      </c>
      <c r="CC357" s="17">
        <f t="shared" si="1549"/>
        <v>16571.848258047805</v>
      </c>
      <c r="CD357" s="17">
        <f t="shared" si="1550"/>
        <v>149146.63432243024</v>
      </c>
      <c r="CE357" s="17">
        <f t="shared" si="1551"/>
        <v>66448.78866484735</v>
      </c>
      <c r="CF357" s="17">
        <f t="shared" si="1552"/>
        <v>535774.82525232527</v>
      </c>
      <c r="CG357" s="17">
        <f t="shared" si="1553"/>
        <v>602223.61391717265</v>
      </c>
      <c r="CH357" s="17">
        <f t="shared" si="1554"/>
        <v>14.400000000000006</v>
      </c>
      <c r="CI357" s="17">
        <f t="shared" si="1555"/>
        <v>-43.2</v>
      </c>
      <c r="CJ357" s="17">
        <f t="shared" si="1556"/>
        <v>16</v>
      </c>
      <c r="CK357" s="17">
        <f t="shared" si="1557"/>
        <v>90</v>
      </c>
      <c r="CL357" s="17">
        <f t="shared" si="1558"/>
        <v>71.46880726181422</v>
      </c>
      <c r="CM357" s="17">
        <f t="shared" si="1559"/>
        <v>24</v>
      </c>
      <c r="CN357" s="17">
        <f t="shared" si="1560"/>
        <v>50</v>
      </c>
      <c r="CO357" s="17">
        <f t="shared" si="1561"/>
        <v>65.062647806544774</v>
      </c>
      <c r="CP357" s="17">
        <f t="shared" si="1562"/>
        <v>6.4061594552694459</v>
      </c>
      <c r="CQ357" s="17">
        <f t="shared" si="1563"/>
        <v>0</v>
      </c>
      <c r="CR357" s="17">
        <f t="shared" si="1564"/>
        <v>100</v>
      </c>
      <c r="CS357" s="17">
        <f t="shared" si="1565"/>
        <v>26.404773030064671</v>
      </c>
      <c r="CT357" s="17">
        <f t="shared" si="1566"/>
        <v>24</v>
      </c>
      <c r="CU357" s="17">
        <f t="shared" si="1567"/>
        <v>50</v>
      </c>
      <c r="CV357" s="17">
        <f t="shared" si="1568"/>
        <v>65.062647806544774</v>
      </c>
      <c r="CW357" s="17">
        <f t="shared" si="1569"/>
        <v>-38.657874776480099</v>
      </c>
      <c r="CX357" s="17">
        <f t="shared" si="1507"/>
        <v>-4317.3596159999997</v>
      </c>
      <c r="CY357" s="17">
        <f t="shared" si="1507"/>
        <v>-4317.3596159999997</v>
      </c>
      <c r="CZ357" s="17">
        <f t="shared" si="1570"/>
        <v>317.94508800000011</v>
      </c>
      <c r="DA357" s="17">
        <f t="shared" si="1571"/>
        <v>-953.83526399999994</v>
      </c>
      <c r="DB357" s="17">
        <f t="shared" si="1572"/>
        <v>-39890.880000000005</v>
      </c>
      <c r="DC357" s="17">
        <f t="shared" si="1573"/>
        <v>6824</v>
      </c>
      <c r="DD357" s="17">
        <f t="shared" si="1574"/>
        <v>292.97069759999994</v>
      </c>
      <c r="DE357" s="17">
        <f t="shared" si="1575"/>
        <v>17496.000000000007</v>
      </c>
      <c r="DF357" s="17">
        <f t="shared" si="1576"/>
        <v>-3604.1237751398403</v>
      </c>
      <c r="DG357" s="17"/>
      <c r="DH357" s="17">
        <f t="shared" si="1577"/>
        <v>-15772.412908803883</v>
      </c>
      <c r="DI357" s="17">
        <f t="shared" si="1578"/>
        <v>-29573.274204007277</v>
      </c>
      <c r="DJ357" s="17">
        <f t="shared" si="1579"/>
        <v>-2030.6687369949768</v>
      </c>
      <c r="DK357" s="17">
        <f t="shared" si="1580"/>
        <v>3028.5961203800107</v>
      </c>
      <c r="DL357" s="17">
        <f t="shared" si="1581"/>
        <v>-23835.282869539838</v>
      </c>
      <c r="DM357" s="17">
        <f t="shared" si="1582"/>
        <v>-44347.759729426129</v>
      </c>
      <c r="DN357" s="17">
        <f t="shared" si="1583"/>
        <v>-68183.042598965971</v>
      </c>
    </row>
    <row r="358" spans="3:120" ht="18.600000000000001">
      <c r="C358" s="13">
        <f>IF(D358&lt;&gt;"",COUNTA($D$10:D358),"")</f>
        <v>298</v>
      </c>
      <c r="D358" s="14" t="s">
        <v>208</v>
      </c>
      <c r="E358" s="14">
        <v>3</v>
      </c>
      <c r="F358" s="14">
        <v>2.9</v>
      </c>
      <c r="G358" s="14">
        <v>2.4</v>
      </c>
      <c r="H358" s="14">
        <v>2</v>
      </c>
      <c r="I358" s="14">
        <v>1</v>
      </c>
      <c r="J358" s="14">
        <v>1.75</v>
      </c>
      <c r="K358" s="14">
        <v>3</v>
      </c>
      <c r="L358" s="15">
        <v>0.1</v>
      </c>
      <c r="M358" s="15">
        <v>0</v>
      </c>
      <c r="N358" s="14">
        <v>24</v>
      </c>
      <c r="O358" s="14">
        <v>50</v>
      </c>
      <c r="P358" s="13">
        <v>45</v>
      </c>
      <c r="Q358" s="13">
        <v>85</v>
      </c>
      <c r="R358" s="13" t="s">
        <v>21</v>
      </c>
      <c r="S358" s="13">
        <v>120</v>
      </c>
      <c r="T358" s="13">
        <v>0</v>
      </c>
      <c r="U358" s="13">
        <v>100</v>
      </c>
      <c r="V358" s="13" t="str">
        <f t="shared" si="1508"/>
        <v>ISO 5</v>
      </c>
      <c r="W358" s="13">
        <f t="shared" si="1509"/>
        <v>120</v>
      </c>
      <c r="X358" s="16">
        <f t="shared" si="1510"/>
        <v>93.611999999999995</v>
      </c>
      <c r="Y358" s="16">
        <f t="shared" si="1511"/>
        <v>736.91366399999993</v>
      </c>
      <c r="Z358" s="16">
        <f t="shared" si="1512"/>
        <v>1473.8273279999999</v>
      </c>
      <c r="AA358" s="16">
        <f t="shared" si="1513"/>
        <v>147.38273279999999</v>
      </c>
      <c r="AB358" s="16">
        <f t="shared" si="1514"/>
        <v>0</v>
      </c>
      <c r="AC358" s="16">
        <f t="shared" si="1515"/>
        <v>13.558048278212716</v>
      </c>
      <c r="AD358" s="16">
        <f>IF(ISNUMBER(N358), CEILING(CF358/(0.68*BP358),25), "Ambient")</f>
        <v>3000</v>
      </c>
      <c r="AE358" s="16">
        <f t="shared" si="1517"/>
        <v>3000</v>
      </c>
      <c r="AF358" s="16">
        <f t="shared" si="1518"/>
        <v>30</v>
      </c>
      <c r="AG358" s="16">
        <f t="shared" si="1519"/>
        <v>7.5</v>
      </c>
      <c r="AH358" s="838" t="s">
        <v>85</v>
      </c>
      <c r="AI358" s="17">
        <f t="shared" si="1520"/>
        <v>5</v>
      </c>
      <c r="AJ358" s="17">
        <f t="shared" si="1521"/>
        <v>7.5</v>
      </c>
      <c r="AK358" s="891"/>
      <c r="AL358" s="18"/>
      <c r="AM358" s="889"/>
      <c r="AN358" s="891"/>
      <c r="AO358" s="888"/>
      <c r="AP358" s="891"/>
      <c r="AQ358" s="891"/>
      <c r="AR358" s="889"/>
      <c r="AS358" s="888"/>
      <c r="AT358" s="888"/>
      <c r="AU358" s="890"/>
      <c r="AV358" s="888"/>
      <c r="AW358" s="888"/>
      <c r="AX358" s="888"/>
      <c r="AY358" s="887"/>
      <c r="AZ358" s="888"/>
      <c r="BA358" s="17">
        <f t="shared" si="1522"/>
        <v>14.399999999999991</v>
      </c>
      <c r="BB358" s="17">
        <f t="shared" si="1523"/>
        <v>37.799999999999997</v>
      </c>
      <c r="BC358" s="17">
        <f t="shared" si="1524"/>
        <v>32</v>
      </c>
      <c r="BD358" s="17">
        <f t="shared" si="1525"/>
        <v>85</v>
      </c>
      <c r="BE358" s="17">
        <f t="shared" si="1526"/>
        <v>180.86341983910182</v>
      </c>
      <c r="BF358" s="17">
        <f t="shared" si="1527"/>
        <v>24</v>
      </c>
      <c r="BG358" s="17">
        <f t="shared" si="1528"/>
        <v>50</v>
      </c>
      <c r="BH358" s="17">
        <f t="shared" si="1529"/>
        <v>65.062647806544774</v>
      </c>
      <c r="BI358" s="17">
        <f t="shared" si="1530"/>
        <v>115.80077203255705</v>
      </c>
      <c r="BJ358" s="17">
        <f t="shared" si="1531"/>
        <v>45</v>
      </c>
      <c r="BK358" s="17">
        <f t="shared" si="1532"/>
        <v>85</v>
      </c>
      <c r="BL358" s="17">
        <f t="shared" si="1533"/>
        <v>380.54120080897206</v>
      </c>
      <c r="BM358" s="17">
        <f t="shared" si="1534"/>
        <v>24</v>
      </c>
      <c r="BN358" s="17">
        <f t="shared" si="1535"/>
        <v>50</v>
      </c>
      <c r="BO358" s="17">
        <f t="shared" si="1536"/>
        <v>65.062647806544774</v>
      </c>
      <c r="BP358" s="17">
        <f t="shared" si="1537"/>
        <v>315.4785530024273</v>
      </c>
      <c r="BQ358" s="17">
        <f t="shared" si="1538"/>
        <v>5183.3416319999997</v>
      </c>
      <c r="BR358" s="17">
        <f t="shared" si="1539"/>
        <v>1974.6063359999991</v>
      </c>
      <c r="BS358" s="17">
        <f t="shared" si="1540"/>
        <v>606.60575999999958</v>
      </c>
      <c r="BT358" s="17">
        <f t="shared" si="1541"/>
        <v>1592.3401199999998</v>
      </c>
      <c r="BU358" s="17">
        <f t="shared" si="1542"/>
        <v>23269.68</v>
      </c>
      <c r="BV358" s="17">
        <f t="shared" si="1543"/>
        <v>3412</v>
      </c>
      <c r="BW358" s="17">
        <f t="shared" si="1544"/>
        <v>558.95725199999993</v>
      </c>
      <c r="BX358" s="17">
        <f t="shared" si="1545"/>
        <v>17495.999999999989</v>
      </c>
      <c r="BY358" s="17">
        <f t="shared" si="1546"/>
        <v>6016.7526838271997</v>
      </c>
      <c r="BZ358" s="17"/>
      <c r="CA358" s="17">
        <f t="shared" si="1547"/>
        <v>85810.166416660228</v>
      </c>
      <c r="CB358" s="17">
        <f t="shared" si="1548"/>
        <v>241341.0930468569</v>
      </c>
      <c r="CC358" s="17">
        <f t="shared" si="1549"/>
        <v>31617.34207127542</v>
      </c>
      <c r="CD358" s="17">
        <f t="shared" si="1550"/>
        <v>284556.07864147879</v>
      </c>
      <c r="CE358" s="17">
        <f t="shared" si="1551"/>
        <v>55936.731567827192</v>
      </c>
      <c r="CF358" s="17">
        <f t="shared" si="1552"/>
        <v>643324.68017627136</v>
      </c>
      <c r="CG358" s="17">
        <f t="shared" si="1553"/>
        <v>699261.41174409853</v>
      </c>
      <c r="CH358" s="17">
        <f t="shared" si="1554"/>
        <v>14.400000000000006</v>
      </c>
      <c r="CI358" s="17">
        <f t="shared" si="1555"/>
        <v>-43.2</v>
      </c>
      <c r="CJ358" s="17">
        <f t="shared" si="1556"/>
        <v>16</v>
      </c>
      <c r="CK358" s="17">
        <f t="shared" si="1557"/>
        <v>90</v>
      </c>
      <c r="CL358" s="17">
        <f t="shared" si="1558"/>
        <v>71.46880726181422</v>
      </c>
      <c r="CM358" s="17">
        <f t="shared" si="1559"/>
        <v>24</v>
      </c>
      <c r="CN358" s="17">
        <f t="shared" si="1560"/>
        <v>50</v>
      </c>
      <c r="CO358" s="17">
        <f t="shared" si="1561"/>
        <v>65.062647806544774</v>
      </c>
      <c r="CP358" s="17">
        <f t="shared" si="1562"/>
        <v>6.4061594552694459</v>
      </c>
      <c r="CQ358" s="17">
        <f t="shared" si="1563"/>
        <v>0</v>
      </c>
      <c r="CR358" s="17">
        <f t="shared" si="1564"/>
        <v>100</v>
      </c>
      <c r="CS358" s="17">
        <f t="shared" si="1565"/>
        <v>26.404773030064671</v>
      </c>
      <c r="CT358" s="17">
        <f t="shared" si="1566"/>
        <v>24</v>
      </c>
      <c r="CU358" s="17">
        <f t="shared" si="1567"/>
        <v>50</v>
      </c>
      <c r="CV358" s="17">
        <f t="shared" si="1568"/>
        <v>65.062647806544774</v>
      </c>
      <c r="CW358" s="17">
        <f t="shared" si="1569"/>
        <v>-38.657874776480099</v>
      </c>
      <c r="CX358" s="17">
        <f t="shared" si="1507"/>
        <v>-5923.8190080000013</v>
      </c>
      <c r="CY358" s="17">
        <f t="shared" si="1507"/>
        <v>-5923.8190080000013</v>
      </c>
      <c r="CZ358" s="17">
        <f t="shared" si="1570"/>
        <v>606.60576000000026</v>
      </c>
      <c r="DA358" s="17">
        <f t="shared" si="1571"/>
        <v>-1819.81728</v>
      </c>
      <c r="DB358" s="17">
        <f t="shared" si="1572"/>
        <v>-26593.920000000002</v>
      </c>
      <c r="DC358" s="17">
        <f t="shared" si="1573"/>
        <v>3412</v>
      </c>
      <c r="DD358" s="17">
        <f t="shared" si="1574"/>
        <v>558.95725199999993</v>
      </c>
      <c r="DE358" s="17">
        <f t="shared" si="1575"/>
        <v>17496.000000000007</v>
      </c>
      <c r="DF358" s="17">
        <f t="shared" si="1576"/>
        <v>-6876.2887815168006</v>
      </c>
      <c r="DG358" s="17"/>
      <c r="DH358" s="17">
        <f t="shared" si="1577"/>
        <v>-10514.941939202587</v>
      </c>
      <c r="DI358" s="17">
        <f t="shared" si="1578"/>
        <v>-29573.274204007277</v>
      </c>
      <c r="DJ358" s="17">
        <f t="shared" si="1579"/>
        <v>-3874.3021955825216</v>
      </c>
      <c r="DK358" s="17">
        <f t="shared" si="1580"/>
        <v>5778.2425980934422</v>
      </c>
      <c r="DL358" s="17">
        <f t="shared" si="1581"/>
        <v>-19140.282057516793</v>
      </c>
      <c r="DM358" s="17">
        <f t="shared" si="1582"/>
        <v>-38184.275740698948</v>
      </c>
      <c r="DN358" s="17">
        <f t="shared" si="1583"/>
        <v>-57324.557798215741</v>
      </c>
    </row>
    <row r="359" spans="3:120" ht="18.600000000000001">
      <c r="C359" s="13">
        <f>IF(D359&lt;&gt;"",COUNTA($D$10:D359),"")</f>
        <v>299</v>
      </c>
      <c r="D359" s="14" t="s">
        <v>209</v>
      </c>
      <c r="E359" s="14">
        <v>2.4</v>
      </c>
      <c r="F359" s="14">
        <v>2</v>
      </c>
      <c r="G359" s="14">
        <v>2.4</v>
      </c>
      <c r="H359" s="14">
        <v>2</v>
      </c>
      <c r="I359" s="14">
        <v>1</v>
      </c>
      <c r="J359" s="14">
        <v>1.75</v>
      </c>
      <c r="K359" s="14">
        <v>3</v>
      </c>
      <c r="L359" s="15">
        <v>0.1</v>
      </c>
      <c r="M359" s="15">
        <v>0</v>
      </c>
      <c r="N359" s="14">
        <v>24</v>
      </c>
      <c r="O359" s="14">
        <v>50</v>
      </c>
      <c r="P359" s="13">
        <v>45</v>
      </c>
      <c r="Q359" s="13">
        <v>85</v>
      </c>
      <c r="R359" s="13" t="s">
        <v>21</v>
      </c>
      <c r="S359" s="13">
        <v>120</v>
      </c>
      <c r="T359" s="13">
        <v>0</v>
      </c>
      <c r="U359" s="13">
        <v>100</v>
      </c>
      <c r="V359" s="13" t="str">
        <f t="shared" si="1508"/>
        <v>ISO 5</v>
      </c>
      <c r="W359" s="13">
        <f t="shared" si="1509"/>
        <v>120</v>
      </c>
      <c r="X359" s="16">
        <f t="shared" si="1510"/>
        <v>51.647999999999996</v>
      </c>
      <c r="Y359" s="16">
        <f t="shared" si="1511"/>
        <v>406.57305599999995</v>
      </c>
      <c r="Z359" s="16">
        <f t="shared" si="1512"/>
        <v>813.1461119999999</v>
      </c>
      <c r="AA359" s="16">
        <f t="shared" si="1513"/>
        <v>81.314611200000002</v>
      </c>
      <c r="AB359" s="16">
        <f t="shared" si="1514"/>
        <v>0</v>
      </c>
      <c r="AC359" s="16">
        <f t="shared" si="1515"/>
        <v>7.4803024983242565</v>
      </c>
      <c r="AD359" s="16">
        <f t="shared" ref="AD359:AD365" si="1584">IF(ISNUMBER(N359), CEILING(CF359/(0.68*BP359),25), "Ambient")</f>
        <v>2350</v>
      </c>
      <c r="AE359" s="16">
        <f t="shared" si="1517"/>
        <v>2350</v>
      </c>
      <c r="AF359" s="16">
        <f t="shared" si="1518"/>
        <v>24</v>
      </c>
      <c r="AG359" s="16">
        <f t="shared" si="1519"/>
        <v>6</v>
      </c>
      <c r="AH359" s="838" t="s">
        <v>85</v>
      </c>
      <c r="AI359" s="17">
        <f t="shared" si="1520"/>
        <v>4.5</v>
      </c>
      <c r="AJ359" s="17">
        <f t="shared" si="1521"/>
        <v>6</v>
      </c>
      <c r="AK359" s="891"/>
      <c r="AL359" s="174">
        <f>IF(AN350&lt;=315,1600,(IF(AN350=355,1650,(IF(AN350=400,1650,(IF(AN350=450,1700,(IF(AN350=500,1700,(IF(AN350=560,1800,(IF(AN350=630,2000,(IF(AN350=710,2200,2500)))))))))))))))+IF(AR350=2,1800,(IF(AR350=3,2300,(IF(AR350=4,3300,0)))))+IF(AP350&lt;=4,600,(IF(AP350&lt;=6,800,(IF(AP350&lt;=8,1000,1200)))))</f>
        <v>6400</v>
      </c>
      <c r="AM359" s="889"/>
      <c r="AN359" s="891"/>
      <c r="AO359" s="888"/>
      <c r="AP359" s="891"/>
      <c r="AQ359" s="891"/>
      <c r="AR359" s="889"/>
      <c r="AS359" s="888"/>
      <c r="AT359" s="888"/>
      <c r="AU359" s="890"/>
      <c r="AV359" s="888"/>
      <c r="AW359" s="888"/>
      <c r="AX359" s="888"/>
      <c r="AY359" s="887"/>
      <c r="AZ359" s="888"/>
      <c r="BA359" s="17">
        <f t="shared" si="1522"/>
        <v>14.399999999999991</v>
      </c>
      <c r="BB359" s="17">
        <f t="shared" si="1523"/>
        <v>37.799999999999997</v>
      </c>
      <c r="BC359" s="17">
        <f t="shared" si="1524"/>
        <v>32</v>
      </c>
      <c r="BD359" s="17">
        <f t="shared" si="1525"/>
        <v>85</v>
      </c>
      <c r="BE359" s="17">
        <f t="shared" si="1526"/>
        <v>180.86341983910182</v>
      </c>
      <c r="BF359" s="17">
        <f t="shared" si="1527"/>
        <v>24</v>
      </c>
      <c r="BG359" s="17">
        <f t="shared" si="1528"/>
        <v>50</v>
      </c>
      <c r="BH359" s="17">
        <f t="shared" si="1529"/>
        <v>65.062647806544774</v>
      </c>
      <c r="BI359" s="17">
        <f t="shared" si="1530"/>
        <v>115.80077203255705</v>
      </c>
      <c r="BJ359" s="17">
        <f t="shared" si="1531"/>
        <v>45</v>
      </c>
      <c r="BK359" s="17">
        <f t="shared" si="1532"/>
        <v>85</v>
      </c>
      <c r="BL359" s="17">
        <f t="shared" si="1533"/>
        <v>380.54120080897206</v>
      </c>
      <c r="BM359" s="17">
        <f t="shared" si="1534"/>
        <v>24</v>
      </c>
      <c r="BN359" s="17">
        <f t="shared" si="1535"/>
        <v>50</v>
      </c>
      <c r="BO359" s="17">
        <f t="shared" si="1536"/>
        <v>65.062647806544774</v>
      </c>
      <c r="BP359" s="17">
        <f t="shared" si="1537"/>
        <v>315.4785530024273</v>
      </c>
      <c r="BQ359" s="17">
        <f t="shared" si="1538"/>
        <v>3865.5429119999999</v>
      </c>
      <c r="BR359" s="17">
        <f t="shared" si="1539"/>
        <v>1472.5877759999992</v>
      </c>
      <c r="BS359" s="17">
        <f t="shared" si="1540"/>
        <v>334.67903999999976</v>
      </c>
      <c r="BT359" s="17">
        <f t="shared" si="1541"/>
        <v>878.53247999999996</v>
      </c>
      <c r="BU359" s="17">
        <f t="shared" si="1542"/>
        <v>23269.68</v>
      </c>
      <c r="BV359" s="17">
        <f t="shared" si="1543"/>
        <v>3412</v>
      </c>
      <c r="BW359" s="17">
        <f t="shared" si="1544"/>
        <v>308.39020799999997</v>
      </c>
      <c r="BX359" s="17">
        <f t="shared" si="1545"/>
        <v>17495.999999999989</v>
      </c>
      <c r="BY359" s="17">
        <f t="shared" si="1546"/>
        <v>3319.5876876287998</v>
      </c>
      <c r="BZ359" s="17"/>
      <c r="CA359" s="17">
        <f t="shared" si="1547"/>
        <v>85810.166416660228</v>
      </c>
      <c r="CB359" s="17">
        <f t="shared" si="1548"/>
        <v>241341.0930468569</v>
      </c>
      <c r="CC359" s="17">
        <f t="shared" si="1549"/>
        <v>17444.050797945059</v>
      </c>
      <c r="CD359" s="17">
        <f t="shared" si="1550"/>
        <v>156996.45718150554</v>
      </c>
      <c r="CE359" s="17">
        <f t="shared" si="1551"/>
        <v>51671.200807628797</v>
      </c>
      <c r="CF359" s="17">
        <f t="shared" si="1552"/>
        <v>501591.76744296774</v>
      </c>
      <c r="CG359" s="17">
        <f t="shared" si="1553"/>
        <v>553262.96825059655</v>
      </c>
      <c r="CH359" s="17">
        <f t="shared" si="1554"/>
        <v>14.400000000000006</v>
      </c>
      <c r="CI359" s="17">
        <f t="shared" si="1555"/>
        <v>-43.2</v>
      </c>
      <c r="CJ359" s="17">
        <f t="shared" si="1556"/>
        <v>16</v>
      </c>
      <c r="CK359" s="17">
        <f t="shared" si="1557"/>
        <v>90</v>
      </c>
      <c r="CL359" s="17">
        <f t="shared" si="1558"/>
        <v>71.46880726181422</v>
      </c>
      <c r="CM359" s="17">
        <f t="shared" si="1559"/>
        <v>24</v>
      </c>
      <c r="CN359" s="17">
        <f t="shared" si="1560"/>
        <v>50</v>
      </c>
      <c r="CO359" s="17">
        <f t="shared" si="1561"/>
        <v>65.062647806544774</v>
      </c>
      <c r="CP359" s="17">
        <f t="shared" si="1562"/>
        <v>6.4061594552694459</v>
      </c>
      <c r="CQ359" s="17">
        <f t="shared" si="1563"/>
        <v>0</v>
      </c>
      <c r="CR359" s="17">
        <f t="shared" si="1564"/>
        <v>100</v>
      </c>
      <c r="CS359" s="17">
        <f t="shared" si="1565"/>
        <v>26.404773030064671</v>
      </c>
      <c r="CT359" s="17">
        <f t="shared" si="1566"/>
        <v>24</v>
      </c>
      <c r="CU359" s="17">
        <f t="shared" si="1567"/>
        <v>50</v>
      </c>
      <c r="CV359" s="17">
        <f t="shared" si="1568"/>
        <v>65.062647806544774</v>
      </c>
      <c r="CW359" s="17">
        <f t="shared" si="1569"/>
        <v>-38.657874776480099</v>
      </c>
      <c r="CX359" s="17">
        <f t="shared" si="1507"/>
        <v>-4417.7633280000009</v>
      </c>
      <c r="CY359" s="17">
        <f t="shared" si="1507"/>
        <v>-4417.7633280000009</v>
      </c>
      <c r="CZ359" s="17">
        <f t="shared" si="1570"/>
        <v>334.67904000000016</v>
      </c>
      <c r="DA359" s="17">
        <f t="shared" si="1571"/>
        <v>-1004.0371200000001</v>
      </c>
      <c r="DB359" s="17">
        <f t="shared" si="1572"/>
        <v>-26593.920000000002</v>
      </c>
      <c r="DC359" s="17">
        <f t="shared" si="1573"/>
        <v>3412</v>
      </c>
      <c r="DD359" s="17">
        <f t="shared" si="1574"/>
        <v>308.39020799999997</v>
      </c>
      <c r="DE359" s="17">
        <f t="shared" si="1575"/>
        <v>17496.000000000007</v>
      </c>
      <c r="DF359" s="17">
        <f t="shared" si="1576"/>
        <v>-3793.8145001472003</v>
      </c>
      <c r="DG359" s="17"/>
      <c r="DH359" s="17">
        <f t="shared" si="1577"/>
        <v>-10514.941939202587</v>
      </c>
      <c r="DI359" s="17">
        <f t="shared" si="1578"/>
        <v>-29573.274204007277</v>
      </c>
      <c r="DJ359" s="17">
        <f t="shared" si="1579"/>
        <v>-2137.5460389420814</v>
      </c>
      <c r="DK359" s="17">
        <f t="shared" si="1580"/>
        <v>3187.9959161894853</v>
      </c>
      <c r="DL359" s="17">
        <f t="shared" si="1581"/>
        <v>-14258.465700147197</v>
      </c>
      <c r="DM359" s="17">
        <f t="shared" si="1582"/>
        <v>-39037.766265962462</v>
      </c>
      <c r="DN359" s="17">
        <f t="shared" si="1583"/>
        <v>-53296.231966109655</v>
      </c>
    </row>
    <row r="360" spans="3:120" ht="18.600000000000001">
      <c r="C360" s="13">
        <f>IF(D360&lt;&gt;"",COUNTA($D$10:D360),"")</f>
        <v>300</v>
      </c>
      <c r="D360" s="14" t="s">
        <v>210</v>
      </c>
      <c r="E360" s="14">
        <v>2.1</v>
      </c>
      <c r="F360" s="14">
        <v>1.8</v>
      </c>
      <c r="G360" s="14">
        <v>2.4</v>
      </c>
      <c r="H360" s="14">
        <v>2</v>
      </c>
      <c r="I360" s="14">
        <v>1</v>
      </c>
      <c r="J360" s="14">
        <v>1.75</v>
      </c>
      <c r="K360" s="14">
        <v>3</v>
      </c>
      <c r="L360" s="15">
        <v>0.1</v>
      </c>
      <c r="M360" s="15">
        <v>0</v>
      </c>
      <c r="N360" s="14">
        <v>24</v>
      </c>
      <c r="O360" s="14">
        <v>50</v>
      </c>
      <c r="P360" s="13">
        <v>45</v>
      </c>
      <c r="Q360" s="13">
        <v>85</v>
      </c>
      <c r="R360" s="13" t="s">
        <v>21</v>
      </c>
      <c r="S360" s="13">
        <v>120</v>
      </c>
      <c r="T360" s="13">
        <v>0</v>
      </c>
      <c r="U360" s="13">
        <v>100</v>
      </c>
      <c r="V360" s="13" t="str">
        <f t="shared" si="1508"/>
        <v>ISO 5</v>
      </c>
      <c r="W360" s="13">
        <f t="shared" si="1509"/>
        <v>120</v>
      </c>
      <c r="X360" s="16">
        <f t="shared" si="1510"/>
        <v>40.672800000000002</v>
      </c>
      <c r="Y360" s="16">
        <f t="shared" si="1511"/>
        <v>320.17628159999998</v>
      </c>
      <c r="Z360" s="16">
        <f t="shared" si="1512"/>
        <v>640.35256319999996</v>
      </c>
      <c r="AA360" s="16">
        <f t="shared" si="1513"/>
        <v>64.035256320000002</v>
      </c>
      <c r="AB360" s="16">
        <f t="shared" si="1514"/>
        <v>0</v>
      </c>
      <c r="AC360" s="16">
        <f t="shared" si="1515"/>
        <v>5.8907382174303526</v>
      </c>
      <c r="AD360" s="16">
        <f t="shared" si="1584"/>
        <v>2175</v>
      </c>
      <c r="AE360" s="16">
        <f t="shared" si="1517"/>
        <v>2175</v>
      </c>
      <c r="AF360" s="16">
        <f t="shared" si="1518"/>
        <v>22</v>
      </c>
      <c r="AG360" s="16">
        <f t="shared" si="1519"/>
        <v>5.5</v>
      </c>
      <c r="AH360" s="838" t="s">
        <v>85</v>
      </c>
      <c r="AI360" s="17">
        <f t="shared" si="1520"/>
        <v>4.5</v>
      </c>
      <c r="AJ360" s="17">
        <f t="shared" si="1521"/>
        <v>5.5</v>
      </c>
      <c r="AK360" s="891"/>
      <c r="AL360" s="18"/>
      <c r="AM360" s="889"/>
      <c r="AN360" s="891"/>
      <c r="AO360" s="888"/>
      <c r="AP360" s="891"/>
      <c r="AQ360" s="891"/>
      <c r="AR360" s="889"/>
      <c r="AS360" s="888"/>
      <c r="AT360" s="888"/>
      <c r="AU360" s="890"/>
      <c r="AV360" s="888"/>
      <c r="AW360" s="888"/>
      <c r="AX360" s="888"/>
      <c r="AY360" s="887"/>
      <c r="AZ360" s="888"/>
      <c r="BA360" s="17">
        <f t="shared" si="1522"/>
        <v>14.399999999999991</v>
      </c>
      <c r="BB360" s="17">
        <f t="shared" si="1523"/>
        <v>37.799999999999997</v>
      </c>
      <c r="BC360" s="17">
        <f t="shared" si="1524"/>
        <v>32</v>
      </c>
      <c r="BD360" s="17">
        <f t="shared" si="1525"/>
        <v>85</v>
      </c>
      <c r="BE360" s="17">
        <f t="shared" si="1526"/>
        <v>180.86341983910182</v>
      </c>
      <c r="BF360" s="17">
        <f t="shared" si="1527"/>
        <v>24</v>
      </c>
      <c r="BG360" s="17">
        <f t="shared" si="1528"/>
        <v>50</v>
      </c>
      <c r="BH360" s="17">
        <f t="shared" si="1529"/>
        <v>65.062647806544774</v>
      </c>
      <c r="BI360" s="17">
        <f t="shared" si="1530"/>
        <v>115.80077203255705</v>
      </c>
      <c r="BJ360" s="17">
        <f t="shared" si="1531"/>
        <v>45</v>
      </c>
      <c r="BK360" s="17">
        <f t="shared" si="1532"/>
        <v>85</v>
      </c>
      <c r="BL360" s="17">
        <f t="shared" si="1533"/>
        <v>380.54120080897206</v>
      </c>
      <c r="BM360" s="17">
        <f t="shared" si="1534"/>
        <v>24</v>
      </c>
      <c r="BN360" s="17">
        <f t="shared" si="1535"/>
        <v>50</v>
      </c>
      <c r="BO360" s="17">
        <f t="shared" si="1536"/>
        <v>65.062647806544774</v>
      </c>
      <c r="BP360" s="17">
        <f t="shared" si="1537"/>
        <v>315.4785530024273</v>
      </c>
      <c r="BQ360" s="17">
        <f t="shared" si="1538"/>
        <v>3426.2766719999995</v>
      </c>
      <c r="BR360" s="17">
        <f t="shared" si="1539"/>
        <v>1305.2482559999992</v>
      </c>
      <c r="BS360" s="17">
        <f t="shared" si="1540"/>
        <v>263.55974399999985</v>
      </c>
      <c r="BT360" s="17">
        <f t="shared" si="1541"/>
        <v>691.84432800000002</v>
      </c>
      <c r="BU360" s="17">
        <f t="shared" si="1542"/>
        <v>23269.68</v>
      </c>
      <c r="BV360" s="17">
        <f t="shared" si="1543"/>
        <v>3412</v>
      </c>
      <c r="BW360" s="17">
        <f t="shared" si="1544"/>
        <v>242.85728880000002</v>
      </c>
      <c r="BX360" s="17">
        <f t="shared" si="1545"/>
        <v>17495.999999999989</v>
      </c>
      <c r="BY360" s="17">
        <f t="shared" si="1546"/>
        <v>2614.1753040076801</v>
      </c>
      <c r="BZ360" s="17"/>
      <c r="CA360" s="17">
        <f t="shared" si="1547"/>
        <v>85810.166416660228</v>
      </c>
      <c r="CB360" s="17">
        <f t="shared" si="1548"/>
        <v>241341.0930468569</v>
      </c>
      <c r="CC360" s="17">
        <f t="shared" si="1549"/>
        <v>13737.190003381735</v>
      </c>
      <c r="CD360" s="17">
        <f t="shared" si="1550"/>
        <v>123634.7100304356</v>
      </c>
      <c r="CE360" s="17">
        <f t="shared" si="1551"/>
        <v>50460.989264807671</v>
      </c>
      <c r="CF360" s="17">
        <f t="shared" si="1552"/>
        <v>464523.15949733445</v>
      </c>
      <c r="CG360" s="17">
        <f t="shared" si="1553"/>
        <v>514984.14876214211</v>
      </c>
      <c r="CH360" s="17">
        <f t="shared" si="1554"/>
        <v>14.400000000000006</v>
      </c>
      <c r="CI360" s="17">
        <f t="shared" si="1555"/>
        <v>-43.2</v>
      </c>
      <c r="CJ360" s="17">
        <f t="shared" si="1556"/>
        <v>16</v>
      </c>
      <c r="CK360" s="17">
        <f t="shared" si="1557"/>
        <v>90</v>
      </c>
      <c r="CL360" s="17">
        <f t="shared" si="1558"/>
        <v>71.46880726181422</v>
      </c>
      <c r="CM360" s="17">
        <f t="shared" si="1559"/>
        <v>24</v>
      </c>
      <c r="CN360" s="17">
        <f t="shared" si="1560"/>
        <v>50</v>
      </c>
      <c r="CO360" s="17">
        <f t="shared" si="1561"/>
        <v>65.062647806544774</v>
      </c>
      <c r="CP360" s="17">
        <f t="shared" si="1562"/>
        <v>6.4061594552694459</v>
      </c>
      <c r="CQ360" s="17">
        <f t="shared" si="1563"/>
        <v>0</v>
      </c>
      <c r="CR360" s="17">
        <f t="shared" si="1564"/>
        <v>100</v>
      </c>
      <c r="CS360" s="17">
        <f t="shared" si="1565"/>
        <v>26.404773030064671</v>
      </c>
      <c r="CT360" s="17">
        <f t="shared" si="1566"/>
        <v>24</v>
      </c>
      <c r="CU360" s="17">
        <f t="shared" si="1567"/>
        <v>50</v>
      </c>
      <c r="CV360" s="17">
        <f t="shared" si="1568"/>
        <v>65.062647806544774</v>
      </c>
      <c r="CW360" s="17">
        <f t="shared" si="1569"/>
        <v>-38.657874776480099</v>
      </c>
      <c r="CX360" s="17">
        <f t="shared" si="1507"/>
        <v>-3915.744768</v>
      </c>
      <c r="CY360" s="17">
        <f t="shared" si="1507"/>
        <v>-3915.744768</v>
      </c>
      <c r="CZ360" s="17">
        <f t="shared" si="1570"/>
        <v>263.55974400000014</v>
      </c>
      <c r="DA360" s="17">
        <f t="shared" si="1571"/>
        <v>-790.67923200000007</v>
      </c>
      <c r="DB360" s="17">
        <f t="shared" si="1572"/>
        <v>-26593.920000000002</v>
      </c>
      <c r="DC360" s="17">
        <f t="shared" si="1573"/>
        <v>3412</v>
      </c>
      <c r="DD360" s="17">
        <f t="shared" si="1574"/>
        <v>242.85728880000002</v>
      </c>
      <c r="DE360" s="17">
        <f t="shared" si="1575"/>
        <v>17496.000000000007</v>
      </c>
      <c r="DF360" s="17">
        <f t="shared" si="1576"/>
        <v>-2987.6289188659202</v>
      </c>
      <c r="DG360" s="17"/>
      <c r="DH360" s="17">
        <f t="shared" si="1577"/>
        <v>-10514.941939202587</v>
      </c>
      <c r="DI360" s="17">
        <f t="shared" si="1578"/>
        <v>-29573.274204007277</v>
      </c>
      <c r="DJ360" s="17">
        <f t="shared" si="1579"/>
        <v>-1683.3175056668888</v>
      </c>
      <c r="DK360" s="17">
        <f t="shared" si="1580"/>
        <v>2510.5467839992198</v>
      </c>
      <c r="DL360" s="17">
        <f t="shared" si="1581"/>
        <v>-12873.555886065915</v>
      </c>
      <c r="DM360" s="17">
        <f t="shared" si="1582"/>
        <v>-39260.986864877537</v>
      </c>
      <c r="DN360" s="17">
        <f t="shared" si="1583"/>
        <v>-52134.542750943452</v>
      </c>
    </row>
    <row r="361" spans="3:120" ht="18.600000000000001">
      <c r="C361" s="13">
        <f>IF(D361&lt;&gt;"",COUNTA($D$10:D361),"")</f>
        <v>301</v>
      </c>
      <c r="D361" s="14" t="s">
        <v>211</v>
      </c>
      <c r="E361" s="14">
        <v>1.8</v>
      </c>
      <c r="F361" s="14">
        <v>1.9</v>
      </c>
      <c r="G361" s="14">
        <v>2.4</v>
      </c>
      <c r="H361" s="14">
        <v>2</v>
      </c>
      <c r="I361" s="14">
        <v>1</v>
      </c>
      <c r="J361" s="14">
        <v>1.75</v>
      </c>
      <c r="K361" s="14">
        <v>3</v>
      </c>
      <c r="L361" s="15">
        <v>0.1</v>
      </c>
      <c r="M361" s="15">
        <v>0</v>
      </c>
      <c r="N361" s="14">
        <v>24</v>
      </c>
      <c r="O361" s="14">
        <v>50</v>
      </c>
      <c r="P361" s="13">
        <v>45</v>
      </c>
      <c r="Q361" s="13">
        <v>85</v>
      </c>
      <c r="R361" s="13" t="s">
        <v>21</v>
      </c>
      <c r="S361" s="13">
        <v>120</v>
      </c>
      <c r="T361" s="13">
        <v>0</v>
      </c>
      <c r="U361" s="13">
        <v>100</v>
      </c>
      <c r="V361" s="13" t="str">
        <f t="shared" si="1508"/>
        <v>ISO 5</v>
      </c>
      <c r="W361" s="13">
        <f t="shared" si="1509"/>
        <v>120</v>
      </c>
      <c r="X361" s="16">
        <f t="shared" si="1510"/>
        <v>36.799199999999999</v>
      </c>
      <c r="Y361" s="16">
        <f t="shared" si="1511"/>
        <v>289.68330239999995</v>
      </c>
      <c r="Z361" s="16">
        <f t="shared" si="1512"/>
        <v>579.36660479999989</v>
      </c>
      <c r="AA361" s="16">
        <f t="shared" si="1513"/>
        <v>57.936660479999993</v>
      </c>
      <c r="AB361" s="16">
        <f t="shared" si="1514"/>
        <v>0</v>
      </c>
      <c r="AC361" s="16">
        <f t="shared" si="1515"/>
        <v>5.3297155300560322</v>
      </c>
      <c r="AD361" s="16">
        <f t="shared" si="1584"/>
        <v>2125</v>
      </c>
      <c r="AE361" s="16">
        <f t="shared" si="1517"/>
        <v>2125</v>
      </c>
      <c r="AF361" s="16">
        <f t="shared" si="1518"/>
        <v>22</v>
      </c>
      <c r="AG361" s="16">
        <f t="shared" si="1519"/>
        <v>5.5</v>
      </c>
      <c r="AH361" s="838" t="s">
        <v>85</v>
      </c>
      <c r="AI361" s="17">
        <f t="shared" si="1520"/>
        <v>4.5</v>
      </c>
      <c r="AJ361" s="17">
        <f t="shared" si="1521"/>
        <v>5.5</v>
      </c>
      <c r="AK361" s="891"/>
      <c r="AL361" s="18"/>
      <c r="AM361" s="889"/>
      <c r="AN361" s="891"/>
      <c r="AO361" s="888"/>
      <c r="AP361" s="891"/>
      <c r="AQ361" s="891"/>
      <c r="AR361" s="889"/>
      <c r="AS361" s="888"/>
      <c r="AT361" s="888"/>
      <c r="AU361" s="890"/>
      <c r="AV361" s="888"/>
      <c r="AW361" s="888"/>
      <c r="AX361" s="888"/>
      <c r="AY361" s="887"/>
      <c r="AZ361" s="888"/>
      <c r="BA361" s="17">
        <f t="shared" si="1522"/>
        <v>14.399999999999991</v>
      </c>
      <c r="BB361" s="17">
        <f t="shared" si="1523"/>
        <v>37.799999999999997</v>
      </c>
      <c r="BC361" s="17">
        <f t="shared" si="1524"/>
        <v>32</v>
      </c>
      <c r="BD361" s="17">
        <f t="shared" si="1525"/>
        <v>85</v>
      </c>
      <c r="BE361" s="17">
        <f t="shared" si="1526"/>
        <v>180.86341983910182</v>
      </c>
      <c r="BF361" s="17">
        <f t="shared" si="1527"/>
        <v>24</v>
      </c>
      <c r="BG361" s="17">
        <f t="shared" si="1528"/>
        <v>50</v>
      </c>
      <c r="BH361" s="17">
        <f t="shared" si="1529"/>
        <v>65.062647806544774</v>
      </c>
      <c r="BI361" s="17">
        <f t="shared" si="1530"/>
        <v>115.80077203255705</v>
      </c>
      <c r="BJ361" s="17">
        <f t="shared" si="1531"/>
        <v>45</v>
      </c>
      <c r="BK361" s="17">
        <f t="shared" si="1532"/>
        <v>85</v>
      </c>
      <c r="BL361" s="17">
        <f t="shared" si="1533"/>
        <v>380.54120080897206</v>
      </c>
      <c r="BM361" s="17">
        <f t="shared" si="1534"/>
        <v>24</v>
      </c>
      <c r="BN361" s="17">
        <f t="shared" si="1535"/>
        <v>50</v>
      </c>
      <c r="BO361" s="17">
        <f t="shared" si="1536"/>
        <v>65.062647806544774</v>
      </c>
      <c r="BP361" s="17">
        <f t="shared" si="1537"/>
        <v>315.4785530024273</v>
      </c>
      <c r="BQ361" s="17">
        <f t="shared" si="1538"/>
        <v>3250.5701760000002</v>
      </c>
      <c r="BR361" s="17">
        <f t="shared" si="1539"/>
        <v>1238.3124479999992</v>
      </c>
      <c r="BS361" s="17">
        <f t="shared" si="1540"/>
        <v>238.45881599999987</v>
      </c>
      <c r="BT361" s="17">
        <f t="shared" si="1541"/>
        <v>625.95439199999998</v>
      </c>
      <c r="BU361" s="17">
        <f t="shared" si="1542"/>
        <v>23269.68</v>
      </c>
      <c r="BV361" s="17">
        <f t="shared" si="1543"/>
        <v>3412</v>
      </c>
      <c r="BW361" s="17">
        <f t="shared" si="1544"/>
        <v>219.7280232</v>
      </c>
      <c r="BX361" s="17">
        <f t="shared" si="1545"/>
        <v>17495.999999999989</v>
      </c>
      <c r="BY361" s="17">
        <f t="shared" si="1546"/>
        <v>2365.2062274355198</v>
      </c>
      <c r="BZ361" s="17"/>
      <c r="CA361" s="17">
        <f t="shared" si="1547"/>
        <v>85810.166416660228</v>
      </c>
      <c r="CB361" s="17">
        <f t="shared" si="1548"/>
        <v>241341.0930468569</v>
      </c>
      <c r="CC361" s="17">
        <f t="shared" si="1549"/>
        <v>12428.886193535853</v>
      </c>
      <c r="CD361" s="17">
        <f t="shared" si="1550"/>
        <v>111859.97574182268</v>
      </c>
      <c r="CE361" s="17">
        <f t="shared" si="1551"/>
        <v>50013.184426635511</v>
      </c>
      <c r="CF361" s="17">
        <f t="shared" si="1552"/>
        <v>451440.12139887566</v>
      </c>
      <c r="CG361" s="17">
        <f t="shared" si="1553"/>
        <v>501453.30582551117</v>
      </c>
      <c r="CH361" s="17">
        <f t="shared" si="1554"/>
        <v>14.400000000000006</v>
      </c>
      <c r="CI361" s="17">
        <f t="shared" si="1555"/>
        <v>-43.2</v>
      </c>
      <c r="CJ361" s="17">
        <f t="shared" si="1556"/>
        <v>16</v>
      </c>
      <c r="CK361" s="17">
        <f t="shared" si="1557"/>
        <v>90</v>
      </c>
      <c r="CL361" s="17">
        <f t="shared" si="1558"/>
        <v>71.46880726181422</v>
      </c>
      <c r="CM361" s="17">
        <f t="shared" si="1559"/>
        <v>24</v>
      </c>
      <c r="CN361" s="17">
        <f t="shared" si="1560"/>
        <v>50</v>
      </c>
      <c r="CO361" s="17">
        <f t="shared" si="1561"/>
        <v>65.062647806544774</v>
      </c>
      <c r="CP361" s="17">
        <f t="shared" si="1562"/>
        <v>6.4061594552694459</v>
      </c>
      <c r="CQ361" s="17">
        <f t="shared" si="1563"/>
        <v>0</v>
      </c>
      <c r="CR361" s="17">
        <f t="shared" si="1564"/>
        <v>100</v>
      </c>
      <c r="CS361" s="17">
        <f t="shared" si="1565"/>
        <v>26.404773030064671</v>
      </c>
      <c r="CT361" s="17">
        <f t="shared" si="1566"/>
        <v>24</v>
      </c>
      <c r="CU361" s="17">
        <f t="shared" si="1567"/>
        <v>50</v>
      </c>
      <c r="CV361" s="17">
        <f t="shared" si="1568"/>
        <v>65.062647806544774</v>
      </c>
      <c r="CW361" s="17">
        <f t="shared" si="1569"/>
        <v>-38.657874776480099</v>
      </c>
      <c r="CX361" s="17">
        <f t="shared" si="1507"/>
        <v>-3714.9373440000004</v>
      </c>
      <c r="CY361" s="17">
        <f t="shared" si="1507"/>
        <v>-3714.9373440000004</v>
      </c>
      <c r="CZ361" s="17">
        <f t="shared" si="1570"/>
        <v>238.45881600000007</v>
      </c>
      <c r="DA361" s="17">
        <f t="shared" si="1571"/>
        <v>-715.3764480000001</v>
      </c>
      <c r="DB361" s="17">
        <f t="shared" si="1572"/>
        <v>-26593.920000000002</v>
      </c>
      <c r="DC361" s="17">
        <f t="shared" si="1573"/>
        <v>3412</v>
      </c>
      <c r="DD361" s="17">
        <f t="shared" si="1574"/>
        <v>219.7280232</v>
      </c>
      <c r="DE361" s="17">
        <f t="shared" si="1575"/>
        <v>17496.000000000007</v>
      </c>
      <c r="DF361" s="17">
        <f t="shared" si="1576"/>
        <v>-2703.0928313548802</v>
      </c>
      <c r="DG361" s="17"/>
      <c r="DH361" s="17">
        <f t="shared" si="1577"/>
        <v>-10514.941939202587</v>
      </c>
      <c r="DI361" s="17">
        <f t="shared" si="1578"/>
        <v>-29573.274204007277</v>
      </c>
      <c r="DJ361" s="17">
        <f t="shared" si="1579"/>
        <v>-1523.0015527462326</v>
      </c>
      <c r="DK361" s="17">
        <f t="shared" si="1580"/>
        <v>2271.447090285008</v>
      </c>
      <c r="DL361" s="17">
        <f t="shared" si="1581"/>
        <v>-12361.139784154871</v>
      </c>
      <c r="DM361" s="17">
        <f t="shared" si="1582"/>
        <v>-39339.770605671089</v>
      </c>
      <c r="DN361" s="17">
        <f t="shared" si="1583"/>
        <v>-51700.910389825964</v>
      </c>
    </row>
    <row r="362" spans="3:120" ht="18.600000000000001">
      <c r="C362" s="13">
        <f>IF(D362&lt;&gt;"",COUNTA($D$10:D362),"")</f>
        <v>302</v>
      </c>
      <c r="D362" s="14" t="s">
        <v>212</v>
      </c>
      <c r="E362" s="14">
        <v>1.9</v>
      </c>
      <c r="F362" s="14">
        <v>2</v>
      </c>
      <c r="G362" s="14">
        <v>2.4</v>
      </c>
      <c r="H362" s="14">
        <v>2</v>
      </c>
      <c r="I362" s="14">
        <v>1</v>
      </c>
      <c r="J362" s="14">
        <v>1.75</v>
      </c>
      <c r="K362" s="14">
        <v>3</v>
      </c>
      <c r="L362" s="15">
        <v>0.1</v>
      </c>
      <c r="M362" s="15">
        <v>0</v>
      </c>
      <c r="N362" s="14">
        <v>24</v>
      </c>
      <c r="O362" s="14">
        <v>50</v>
      </c>
      <c r="P362" s="13">
        <v>45</v>
      </c>
      <c r="Q362" s="13">
        <v>85</v>
      </c>
      <c r="R362" s="13" t="s">
        <v>21</v>
      </c>
      <c r="S362" s="13">
        <v>120</v>
      </c>
      <c r="T362" s="13">
        <v>0</v>
      </c>
      <c r="U362" s="13">
        <v>100</v>
      </c>
      <c r="V362" s="13" t="str">
        <f t="shared" si="1508"/>
        <v>ISO 5</v>
      </c>
      <c r="W362" s="13">
        <f t="shared" si="1509"/>
        <v>120</v>
      </c>
      <c r="X362" s="16">
        <f t="shared" si="1510"/>
        <v>40.887999999999998</v>
      </c>
      <c r="Y362" s="16">
        <f t="shared" si="1511"/>
        <v>321.87033599999995</v>
      </c>
      <c r="Z362" s="16">
        <f t="shared" si="1512"/>
        <v>643.7406719999999</v>
      </c>
      <c r="AA362" s="16">
        <f t="shared" si="1513"/>
        <v>64.374067199999999</v>
      </c>
      <c r="AB362" s="16">
        <f t="shared" si="1514"/>
        <v>0</v>
      </c>
      <c r="AC362" s="16">
        <f t="shared" si="1515"/>
        <v>5.9219061445067043</v>
      </c>
      <c r="AD362" s="16">
        <f t="shared" si="1584"/>
        <v>2175</v>
      </c>
      <c r="AE362" s="16">
        <f t="shared" si="1517"/>
        <v>2175</v>
      </c>
      <c r="AF362" s="16">
        <f t="shared" si="1518"/>
        <v>22</v>
      </c>
      <c r="AG362" s="16">
        <f t="shared" si="1519"/>
        <v>5.5</v>
      </c>
      <c r="AH362" s="838" t="s">
        <v>85</v>
      </c>
      <c r="AI362" s="17">
        <f t="shared" si="1520"/>
        <v>4.5</v>
      </c>
      <c r="AJ362" s="17">
        <f t="shared" si="1521"/>
        <v>5.5</v>
      </c>
      <c r="AK362" s="891"/>
      <c r="AL362" s="18"/>
      <c r="AM362" s="889"/>
      <c r="AN362" s="891"/>
      <c r="AO362" s="888"/>
      <c r="AP362" s="891"/>
      <c r="AQ362" s="891"/>
      <c r="AR362" s="889"/>
      <c r="AS362" s="888"/>
      <c r="AT362" s="888"/>
      <c r="AU362" s="890"/>
      <c r="AV362" s="888"/>
      <c r="AW362" s="888"/>
      <c r="AX362" s="888"/>
      <c r="AY362" s="887"/>
      <c r="AZ362" s="888"/>
      <c r="BA362" s="17">
        <f t="shared" si="1522"/>
        <v>14.399999999999991</v>
      </c>
      <c r="BB362" s="17">
        <f t="shared" si="1523"/>
        <v>37.799999999999997</v>
      </c>
      <c r="BC362" s="17">
        <f t="shared" si="1524"/>
        <v>32</v>
      </c>
      <c r="BD362" s="17">
        <f t="shared" si="1525"/>
        <v>85</v>
      </c>
      <c r="BE362" s="17">
        <f t="shared" si="1526"/>
        <v>180.86341983910182</v>
      </c>
      <c r="BF362" s="17">
        <f t="shared" si="1527"/>
        <v>24</v>
      </c>
      <c r="BG362" s="17">
        <f t="shared" si="1528"/>
        <v>50</v>
      </c>
      <c r="BH362" s="17">
        <f t="shared" si="1529"/>
        <v>65.062647806544774</v>
      </c>
      <c r="BI362" s="17">
        <f t="shared" si="1530"/>
        <v>115.80077203255705</v>
      </c>
      <c r="BJ362" s="17">
        <f t="shared" si="1531"/>
        <v>45</v>
      </c>
      <c r="BK362" s="17">
        <f t="shared" si="1532"/>
        <v>85</v>
      </c>
      <c r="BL362" s="17">
        <f t="shared" si="1533"/>
        <v>380.54120080897206</v>
      </c>
      <c r="BM362" s="17">
        <f t="shared" si="1534"/>
        <v>24</v>
      </c>
      <c r="BN362" s="17">
        <f t="shared" si="1535"/>
        <v>50</v>
      </c>
      <c r="BO362" s="17">
        <f t="shared" si="1536"/>
        <v>65.062647806544774</v>
      </c>
      <c r="BP362" s="17">
        <f t="shared" si="1537"/>
        <v>315.4785530024273</v>
      </c>
      <c r="BQ362" s="17">
        <f t="shared" si="1538"/>
        <v>3426.2766719999991</v>
      </c>
      <c r="BR362" s="17">
        <f t="shared" si="1539"/>
        <v>1305.2482559999989</v>
      </c>
      <c r="BS362" s="17">
        <f t="shared" si="1540"/>
        <v>264.95423999999986</v>
      </c>
      <c r="BT362" s="17">
        <f t="shared" si="1541"/>
        <v>695.50487999999984</v>
      </c>
      <c r="BU362" s="17">
        <f t="shared" si="1542"/>
        <v>23269.68</v>
      </c>
      <c r="BV362" s="17">
        <f t="shared" si="1543"/>
        <v>3412</v>
      </c>
      <c r="BW362" s="17">
        <f t="shared" si="1544"/>
        <v>244.142248</v>
      </c>
      <c r="BX362" s="17">
        <f t="shared" si="1545"/>
        <v>17495.999999999989</v>
      </c>
      <c r="BY362" s="17">
        <f t="shared" si="1546"/>
        <v>2628.0069193727995</v>
      </c>
      <c r="BZ362" s="17"/>
      <c r="CA362" s="17">
        <f t="shared" si="1547"/>
        <v>85810.166416660228</v>
      </c>
      <c r="CB362" s="17">
        <f t="shared" si="1548"/>
        <v>241341.0930468569</v>
      </c>
      <c r="CC362" s="17">
        <f t="shared" si="1549"/>
        <v>13809.873548373173</v>
      </c>
      <c r="CD362" s="17">
        <f t="shared" si="1550"/>
        <v>124288.86193535852</v>
      </c>
      <c r="CE362" s="17">
        <f t="shared" si="1551"/>
        <v>50476.105839372787</v>
      </c>
      <c r="CF362" s="17">
        <f t="shared" si="1552"/>
        <v>465249.99494724884</v>
      </c>
      <c r="CG362" s="17">
        <f t="shared" si="1553"/>
        <v>515726.10078662162</v>
      </c>
      <c r="CH362" s="17">
        <f t="shared" si="1554"/>
        <v>14.400000000000006</v>
      </c>
      <c r="CI362" s="17">
        <f t="shared" si="1555"/>
        <v>-43.2</v>
      </c>
      <c r="CJ362" s="17">
        <f t="shared" si="1556"/>
        <v>16</v>
      </c>
      <c r="CK362" s="17">
        <f t="shared" si="1557"/>
        <v>90</v>
      </c>
      <c r="CL362" s="17">
        <f t="shared" si="1558"/>
        <v>71.46880726181422</v>
      </c>
      <c r="CM362" s="17">
        <f t="shared" si="1559"/>
        <v>24</v>
      </c>
      <c r="CN362" s="17">
        <f t="shared" si="1560"/>
        <v>50</v>
      </c>
      <c r="CO362" s="17">
        <f t="shared" si="1561"/>
        <v>65.062647806544774</v>
      </c>
      <c r="CP362" s="17">
        <f t="shared" si="1562"/>
        <v>6.4061594552694459</v>
      </c>
      <c r="CQ362" s="17">
        <f t="shared" si="1563"/>
        <v>0</v>
      </c>
      <c r="CR362" s="17">
        <f t="shared" si="1564"/>
        <v>100</v>
      </c>
      <c r="CS362" s="17">
        <f t="shared" si="1565"/>
        <v>26.404773030064671</v>
      </c>
      <c r="CT362" s="17">
        <f t="shared" si="1566"/>
        <v>24</v>
      </c>
      <c r="CU362" s="17">
        <f t="shared" si="1567"/>
        <v>50</v>
      </c>
      <c r="CV362" s="17">
        <f t="shared" si="1568"/>
        <v>65.062647806544774</v>
      </c>
      <c r="CW362" s="17">
        <f t="shared" si="1569"/>
        <v>-38.657874776480099</v>
      </c>
      <c r="CX362" s="17">
        <f t="shared" si="1507"/>
        <v>-3915.744768</v>
      </c>
      <c r="CY362" s="17">
        <f t="shared" si="1507"/>
        <v>-3915.744768</v>
      </c>
      <c r="CZ362" s="17">
        <f t="shared" si="1570"/>
        <v>264.95424000000008</v>
      </c>
      <c r="DA362" s="17">
        <f t="shared" si="1571"/>
        <v>-794.86271999999997</v>
      </c>
      <c r="DB362" s="17">
        <f t="shared" si="1572"/>
        <v>-26593.920000000002</v>
      </c>
      <c r="DC362" s="17">
        <f t="shared" si="1573"/>
        <v>3412</v>
      </c>
      <c r="DD362" s="17">
        <f t="shared" si="1574"/>
        <v>244.142248</v>
      </c>
      <c r="DE362" s="17">
        <f t="shared" si="1575"/>
        <v>17496.000000000007</v>
      </c>
      <c r="DF362" s="17">
        <f t="shared" si="1576"/>
        <v>-3003.4364792832002</v>
      </c>
      <c r="DG362" s="17"/>
      <c r="DH362" s="17">
        <f t="shared" si="1577"/>
        <v>-10514.941939202587</v>
      </c>
      <c r="DI362" s="17">
        <f t="shared" si="1578"/>
        <v>-29573.274204007277</v>
      </c>
      <c r="DJ362" s="17">
        <f t="shared" si="1579"/>
        <v>-1692.2239474958142</v>
      </c>
      <c r="DK362" s="17">
        <f t="shared" si="1580"/>
        <v>2523.8301003166753</v>
      </c>
      <c r="DL362" s="17">
        <f t="shared" si="1581"/>
        <v>-12890.867479283193</v>
      </c>
      <c r="DM362" s="17">
        <f t="shared" si="1582"/>
        <v>-39256.609990388999</v>
      </c>
      <c r="DN362" s="17">
        <f t="shared" si="1583"/>
        <v>-52147.477469672194</v>
      </c>
    </row>
    <row r="363" spans="3:120" ht="18.600000000000001">
      <c r="C363" s="13">
        <f>IF(D363&lt;&gt;"",COUNTA($D$10:D363),"")</f>
        <v>303</v>
      </c>
      <c r="D363" s="14" t="s">
        <v>213</v>
      </c>
      <c r="E363" s="14">
        <v>2.2999999999999998</v>
      </c>
      <c r="F363" s="14">
        <v>2.2000000000000002</v>
      </c>
      <c r="G363" s="14">
        <v>2.4</v>
      </c>
      <c r="H363" s="14">
        <v>2</v>
      </c>
      <c r="I363" s="14">
        <v>1</v>
      </c>
      <c r="J363" s="14">
        <v>1.75</v>
      </c>
      <c r="K363" s="14">
        <v>3</v>
      </c>
      <c r="L363" s="15">
        <v>0.1</v>
      </c>
      <c r="M363" s="15">
        <v>0</v>
      </c>
      <c r="N363" s="14">
        <v>24</v>
      </c>
      <c r="O363" s="14">
        <v>50</v>
      </c>
      <c r="P363" s="13">
        <v>45</v>
      </c>
      <c r="Q363" s="13">
        <v>85</v>
      </c>
      <c r="R363" s="13" t="s">
        <v>21</v>
      </c>
      <c r="S363" s="13">
        <v>120</v>
      </c>
      <c r="T363" s="13">
        <v>0</v>
      </c>
      <c r="U363" s="13">
        <v>100</v>
      </c>
      <c r="V363" s="13" t="str">
        <f t="shared" si="1508"/>
        <v>ISO 5</v>
      </c>
      <c r="W363" s="13">
        <f t="shared" si="1509"/>
        <v>120</v>
      </c>
      <c r="X363" s="16">
        <f t="shared" si="1510"/>
        <v>54.445599999999992</v>
      </c>
      <c r="Y363" s="16">
        <f t="shared" si="1511"/>
        <v>428.59576319999991</v>
      </c>
      <c r="Z363" s="16">
        <f t="shared" si="1512"/>
        <v>857.19152639999982</v>
      </c>
      <c r="AA363" s="16">
        <f t="shared" si="1513"/>
        <v>85.71915263999999</v>
      </c>
      <c r="AB363" s="16">
        <f t="shared" si="1514"/>
        <v>0</v>
      </c>
      <c r="AC363" s="16">
        <f t="shared" si="1515"/>
        <v>7.8854855503168197</v>
      </c>
      <c r="AD363" s="16">
        <f t="shared" si="1584"/>
        <v>2400</v>
      </c>
      <c r="AE363" s="16">
        <f t="shared" si="1517"/>
        <v>2400</v>
      </c>
      <c r="AF363" s="16">
        <f t="shared" si="1518"/>
        <v>24</v>
      </c>
      <c r="AG363" s="16">
        <f t="shared" si="1519"/>
        <v>6</v>
      </c>
      <c r="AH363" s="838" t="s">
        <v>85</v>
      </c>
      <c r="AI363" s="17">
        <f t="shared" si="1520"/>
        <v>4.5</v>
      </c>
      <c r="AJ363" s="17">
        <f t="shared" si="1521"/>
        <v>6</v>
      </c>
      <c r="AK363" s="891"/>
      <c r="AL363" s="18"/>
      <c r="AM363" s="889"/>
      <c r="AN363" s="891"/>
      <c r="AO363" s="888"/>
      <c r="AP363" s="891"/>
      <c r="AQ363" s="891"/>
      <c r="AR363" s="889"/>
      <c r="AS363" s="888"/>
      <c r="AT363" s="888"/>
      <c r="AU363" s="890"/>
      <c r="AV363" s="888"/>
      <c r="AW363" s="888"/>
      <c r="AX363" s="888"/>
      <c r="AY363" s="887"/>
      <c r="AZ363" s="888"/>
      <c r="BA363" s="17">
        <f t="shared" si="1522"/>
        <v>14.399999999999991</v>
      </c>
      <c r="BB363" s="17">
        <f t="shared" si="1523"/>
        <v>37.799999999999997</v>
      </c>
      <c r="BC363" s="17">
        <f t="shared" si="1524"/>
        <v>32</v>
      </c>
      <c r="BD363" s="17">
        <f t="shared" si="1525"/>
        <v>85</v>
      </c>
      <c r="BE363" s="17">
        <f t="shared" si="1526"/>
        <v>180.86341983910182</v>
      </c>
      <c r="BF363" s="17">
        <f t="shared" si="1527"/>
        <v>24</v>
      </c>
      <c r="BG363" s="17">
        <f t="shared" si="1528"/>
        <v>50</v>
      </c>
      <c r="BH363" s="17">
        <f t="shared" si="1529"/>
        <v>65.062647806544774</v>
      </c>
      <c r="BI363" s="17">
        <f t="shared" si="1530"/>
        <v>115.80077203255705</v>
      </c>
      <c r="BJ363" s="17">
        <f t="shared" si="1531"/>
        <v>45</v>
      </c>
      <c r="BK363" s="17">
        <f t="shared" si="1532"/>
        <v>85</v>
      </c>
      <c r="BL363" s="17">
        <f t="shared" si="1533"/>
        <v>380.54120080897206</v>
      </c>
      <c r="BM363" s="17">
        <f t="shared" si="1534"/>
        <v>24</v>
      </c>
      <c r="BN363" s="17">
        <f t="shared" si="1535"/>
        <v>50</v>
      </c>
      <c r="BO363" s="17">
        <f t="shared" si="1536"/>
        <v>65.062647806544774</v>
      </c>
      <c r="BP363" s="17">
        <f t="shared" si="1537"/>
        <v>315.4785530024273</v>
      </c>
      <c r="BQ363" s="17">
        <f t="shared" si="1538"/>
        <v>3953.3961599999993</v>
      </c>
      <c r="BR363" s="17">
        <f t="shared" si="1539"/>
        <v>1506.0556799999993</v>
      </c>
      <c r="BS363" s="17">
        <f t="shared" si="1540"/>
        <v>352.80748799999975</v>
      </c>
      <c r="BT363" s="17">
        <f t="shared" si="1541"/>
        <v>926.11965599999974</v>
      </c>
      <c r="BU363" s="17">
        <f t="shared" si="1542"/>
        <v>23269.68</v>
      </c>
      <c r="BV363" s="17">
        <f t="shared" si="1543"/>
        <v>3412</v>
      </c>
      <c r="BW363" s="17">
        <f t="shared" si="1544"/>
        <v>325.0946775999999</v>
      </c>
      <c r="BX363" s="17">
        <f t="shared" si="1545"/>
        <v>17495.999999999989</v>
      </c>
      <c r="BY363" s="17">
        <f t="shared" si="1546"/>
        <v>3499.3986873753597</v>
      </c>
      <c r="BZ363" s="17"/>
      <c r="CA363" s="17">
        <f t="shared" si="1547"/>
        <v>85810.166416660228</v>
      </c>
      <c r="CB363" s="17">
        <f t="shared" si="1548"/>
        <v>241341.0930468569</v>
      </c>
      <c r="CC363" s="17">
        <f t="shared" si="1549"/>
        <v>18388.936882833746</v>
      </c>
      <c r="CD363" s="17">
        <f t="shared" si="1550"/>
        <v>165500.43194550375</v>
      </c>
      <c r="CE363" s="17">
        <f t="shared" si="1551"/>
        <v>51955.569524975348</v>
      </c>
      <c r="CF363" s="17">
        <f t="shared" si="1552"/>
        <v>511040.62829185458</v>
      </c>
      <c r="CG363" s="17">
        <f t="shared" si="1553"/>
        <v>562996.1978168299</v>
      </c>
      <c r="CH363" s="17">
        <f t="shared" si="1554"/>
        <v>14.400000000000006</v>
      </c>
      <c r="CI363" s="17">
        <f t="shared" si="1555"/>
        <v>-43.2</v>
      </c>
      <c r="CJ363" s="17">
        <f t="shared" si="1556"/>
        <v>16</v>
      </c>
      <c r="CK363" s="17">
        <f t="shared" si="1557"/>
        <v>90</v>
      </c>
      <c r="CL363" s="17">
        <f t="shared" si="1558"/>
        <v>71.46880726181422</v>
      </c>
      <c r="CM363" s="17">
        <f t="shared" si="1559"/>
        <v>24</v>
      </c>
      <c r="CN363" s="17">
        <f t="shared" si="1560"/>
        <v>50</v>
      </c>
      <c r="CO363" s="17">
        <f t="shared" si="1561"/>
        <v>65.062647806544774</v>
      </c>
      <c r="CP363" s="17">
        <f t="shared" si="1562"/>
        <v>6.4061594552694459</v>
      </c>
      <c r="CQ363" s="17">
        <f t="shared" si="1563"/>
        <v>0</v>
      </c>
      <c r="CR363" s="17">
        <f t="shared" si="1564"/>
        <v>100</v>
      </c>
      <c r="CS363" s="17">
        <f t="shared" si="1565"/>
        <v>26.404773030064671</v>
      </c>
      <c r="CT363" s="17">
        <f t="shared" si="1566"/>
        <v>24</v>
      </c>
      <c r="CU363" s="17">
        <f t="shared" si="1567"/>
        <v>50</v>
      </c>
      <c r="CV363" s="17">
        <f t="shared" si="1568"/>
        <v>65.062647806544774</v>
      </c>
      <c r="CW363" s="17">
        <f t="shared" si="1569"/>
        <v>-38.657874776480099</v>
      </c>
      <c r="CX363" s="17">
        <f t="shared" si="1507"/>
        <v>-4518.1670400000012</v>
      </c>
      <c r="CY363" s="17">
        <f t="shared" si="1507"/>
        <v>-4518.1670400000012</v>
      </c>
      <c r="CZ363" s="17">
        <f t="shared" si="1570"/>
        <v>352.80748800000009</v>
      </c>
      <c r="DA363" s="17">
        <f t="shared" si="1571"/>
        <v>-1058.422464</v>
      </c>
      <c r="DB363" s="17">
        <f t="shared" si="1572"/>
        <v>-26593.920000000002</v>
      </c>
      <c r="DC363" s="17">
        <f t="shared" si="1573"/>
        <v>3412</v>
      </c>
      <c r="DD363" s="17">
        <f t="shared" si="1574"/>
        <v>325.0946775999999</v>
      </c>
      <c r="DE363" s="17">
        <f t="shared" si="1575"/>
        <v>17496.000000000007</v>
      </c>
      <c r="DF363" s="17">
        <f t="shared" si="1576"/>
        <v>-3999.3127855718403</v>
      </c>
      <c r="DG363" s="17"/>
      <c r="DH363" s="17">
        <f t="shared" si="1577"/>
        <v>-10514.941939202587</v>
      </c>
      <c r="DI363" s="17">
        <f t="shared" si="1578"/>
        <v>-29573.274204007277</v>
      </c>
      <c r="DJ363" s="17">
        <f t="shared" si="1579"/>
        <v>-2253.32978271811</v>
      </c>
      <c r="DK363" s="17">
        <f t="shared" si="1580"/>
        <v>3360.6790283164155</v>
      </c>
      <c r="DL363" s="17">
        <f t="shared" si="1581"/>
        <v>-14583.920123971839</v>
      </c>
      <c r="DM363" s="17">
        <f t="shared" si="1582"/>
        <v>-38980.866897611559</v>
      </c>
      <c r="DN363" s="17">
        <f t="shared" si="1583"/>
        <v>-53564.787021583397</v>
      </c>
    </row>
    <row r="364" spans="3:120" ht="18.600000000000001">
      <c r="C364" s="13">
        <f>IF(D364&lt;&gt;"",COUNTA($D$10:D364),"")</f>
        <v>304</v>
      </c>
      <c r="D364" s="14" t="s">
        <v>214</v>
      </c>
      <c r="E364" s="14">
        <v>2.2000000000000002</v>
      </c>
      <c r="F364" s="14">
        <v>2.8</v>
      </c>
      <c r="G364" s="14">
        <v>2.4</v>
      </c>
      <c r="H364" s="14">
        <v>2</v>
      </c>
      <c r="I364" s="14">
        <v>1</v>
      </c>
      <c r="J364" s="14">
        <v>1.75</v>
      </c>
      <c r="K364" s="14">
        <v>3</v>
      </c>
      <c r="L364" s="15">
        <v>0.1</v>
      </c>
      <c r="M364" s="15">
        <v>0</v>
      </c>
      <c r="N364" s="14">
        <v>24</v>
      </c>
      <c r="O364" s="14">
        <v>50</v>
      </c>
      <c r="P364" s="13">
        <v>45</v>
      </c>
      <c r="Q364" s="13">
        <v>85</v>
      </c>
      <c r="R364" s="13" t="s">
        <v>21</v>
      </c>
      <c r="S364" s="13">
        <v>120</v>
      </c>
      <c r="T364" s="13">
        <v>0</v>
      </c>
      <c r="U364" s="13">
        <v>100</v>
      </c>
      <c r="V364" s="13" t="str">
        <f t="shared" si="1508"/>
        <v>ISO 5</v>
      </c>
      <c r="W364" s="13">
        <f t="shared" si="1509"/>
        <v>120</v>
      </c>
      <c r="X364" s="16">
        <f t="shared" si="1510"/>
        <v>66.281599999999997</v>
      </c>
      <c r="Y364" s="16">
        <f t="shared" si="1511"/>
        <v>521.76875519999999</v>
      </c>
      <c r="Z364" s="16">
        <f t="shared" si="1512"/>
        <v>1043.5375104</v>
      </c>
      <c r="AA364" s="16">
        <f t="shared" si="1513"/>
        <v>104.35375104000001</v>
      </c>
      <c r="AB364" s="16">
        <f t="shared" si="1514"/>
        <v>0</v>
      </c>
      <c r="AC364" s="16">
        <f t="shared" si="1515"/>
        <v>9.5997215395161284</v>
      </c>
      <c r="AD364" s="16">
        <f t="shared" si="1584"/>
        <v>2575</v>
      </c>
      <c r="AE364" s="16">
        <f t="shared" si="1517"/>
        <v>2575</v>
      </c>
      <c r="AF364" s="16">
        <f t="shared" si="1518"/>
        <v>26</v>
      </c>
      <c r="AG364" s="16">
        <f t="shared" si="1519"/>
        <v>6.5</v>
      </c>
      <c r="AH364" s="838" t="s">
        <v>85</v>
      </c>
      <c r="AI364" s="17">
        <f t="shared" si="1520"/>
        <v>4.5</v>
      </c>
      <c r="AJ364" s="17">
        <f t="shared" si="1521"/>
        <v>6.5</v>
      </c>
      <c r="AK364" s="891"/>
      <c r="AL364" s="18"/>
      <c r="AM364" s="889"/>
      <c r="AN364" s="891"/>
      <c r="AO364" s="888"/>
      <c r="AP364" s="891"/>
      <c r="AQ364" s="891"/>
      <c r="AR364" s="889"/>
      <c r="AS364" s="888"/>
      <c r="AT364" s="888"/>
      <c r="AU364" s="890"/>
      <c r="AV364" s="888"/>
      <c r="AW364" s="888"/>
      <c r="AX364" s="888"/>
      <c r="AY364" s="887"/>
      <c r="AZ364" s="888"/>
      <c r="BA364" s="17">
        <f t="shared" si="1522"/>
        <v>14.399999999999991</v>
      </c>
      <c r="BB364" s="17">
        <f t="shared" si="1523"/>
        <v>37.799999999999997</v>
      </c>
      <c r="BC364" s="17">
        <f t="shared" si="1524"/>
        <v>32</v>
      </c>
      <c r="BD364" s="17">
        <f t="shared" si="1525"/>
        <v>85</v>
      </c>
      <c r="BE364" s="17">
        <f t="shared" si="1526"/>
        <v>180.86341983910182</v>
      </c>
      <c r="BF364" s="17">
        <f t="shared" si="1527"/>
        <v>24</v>
      </c>
      <c r="BG364" s="17">
        <f t="shared" si="1528"/>
        <v>50</v>
      </c>
      <c r="BH364" s="17">
        <f t="shared" si="1529"/>
        <v>65.062647806544774</v>
      </c>
      <c r="BI364" s="17">
        <f t="shared" si="1530"/>
        <v>115.80077203255705</v>
      </c>
      <c r="BJ364" s="17">
        <f t="shared" si="1531"/>
        <v>45</v>
      </c>
      <c r="BK364" s="17">
        <f t="shared" si="1532"/>
        <v>85</v>
      </c>
      <c r="BL364" s="17">
        <f t="shared" si="1533"/>
        <v>380.54120080897206</v>
      </c>
      <c r="BM364" s="17">
        <f t="shared" si="1534"/>
        <v>24</v>
      </c>
      <c r="BN364" s="17">
        <f t="shared" si="1535"/>
        <v>50</v>
      </c>
      <c r="BO364" s="17">
        <f t="shared" si="1536"/>
        <v>65.062647806544774</v>
      </c>
      <c r="BP364" s="17">
        <f t="shared" si="1537"/>
        <v>315.4785530024273</v>
      </c>
      <c r="BQ364" s="17">
        <f t="shared" si="1538"/>
        <v>4392.6624000000002</v>
      </c>
      <c r="BR364" s="17">
        <f t="shared" si="1539"/>
        <v>1673.3951999999992</v>
      </c>
      <c r="BS364" s="17">
        <f t="shared" si="1540"/>
        <v>429.50476799999973</v>
      </c>
      <c r="BT364" s="17">
        <f t="shared" si="1541"/>
        <v>1127.4500159999998</v>
      </c>
      <c r="BU364" s="17">
        <f t="shared" si="1542"/>
        <v>23269.68</v>
      </c>
      <c r="BV364" s="17">
        <f t="shared" si="1543"/>
        <v>3412</v>
      </c>
      <c r="BW364" s="17">
        <f t="shared" si="1544"/>
        <v>395.76743359999995</v>
      </c>
      <c r="BX364" s="17">
        <f t="shared" si="1545"/>
        <v>17495.999999999989</v>
      </c>
      <c r="BY364" s="17">
        <f t="shared" si="1546"/>
        <v>4260.1375324569599</v>
      </c>
      <c r="BZ364" s="17"/>
      <c r="CA364" s="17">
        <f t="shared" si="1547"/>
        <v>85810.166416660228</v>
      </c>
      <c r="CB364" s="17">
        <f t="shared" si="1548"/>
        <v>241341.0930468569</v>
      </c>
      <c r="CC364" s="17">
        <f t="shared" si="1549"/>
        <v>22386.531857362828</v>
      </c>
      <c r="CD364" s="17">
        <f t="shared" si="1550"/>
        <v>201478.78671626543</v>
      </c>
      <c r="CE364" s="17">
        <f t="shared" si="1551"/>
        <v>53226.247366056945</v>
      </c>
      <c r="CF364" s="17">
        <f t="shared" si="1552"/>
        <v>551016.57803714531</v>
      </c>
      <c r="CG364" s="17">
        <f t="shared" si="1553"/>
        <v>604242.82540320221</v>
      </c>
      <c r="CH364" s="17">
        <f t="shared" si="1554"/>
        <v>14.400000000000006</v>
      </c>
      <c r="CI364" s="17">
        <f t="shared" si="1555"/>
        <v>-43.2</v>
      </c>
      <c r="CJ364" s="17">
        <f t="shared" si="1556"/>
        <v>16</v>
      </c>
      <c r="CK364" s="17">
        <f t="shared" si="1557"/>
        <v>90</v>
      </c>
      <c r="CL364" s="17">
        <f t="shared" si="1558"/>
        <v>71.46880726181422</v>
      </c>
      <c r="CM364" s="17">
        <f t="shared" si="1559"/>
        <v>24</v>
      </c>
      <c r="CN364" s="17">
        <f t="shared" si="1560"/>
        <v>50</v>
      </c>
      <c r="CO364" s="17">
        <f t="shared" si="1561"/>
        <v>65.062647806544774</v>
      </c>
      <c r="CP364" s="17">
        <f t="shared" si="1562"/>
        <v>6.4061594552694459</v>
      </c>
      <c r="CQ364" s="17">
        <f t="shared" si="1563"/>
        <v>0</v>
      </c>
      <c r="CR364" s="17">
        <f t="shared" si="1564"/>
        <v>100</v>
      </c>
      <c r="CS364" s="17">
        <f t="shared" si="1565"/>
        <v>26.404773030064671</v>
      </c>
      <c r="CT364" s="17">
        <f t="shared" si="1566"/>
        <v>24</v>
      </c>
      <c r="CU364" s="17">
        <f t="shared" si="1567"/>
        <v>50</v>
      </c>
      <c r="CV364" s="17">
        <f t="shared" si="1568"/>
        <v>65.062647806544774</v>
      </c>
      <c r="CW364" s="17">
        <f t="shared" si="1569"/>
        <v>-38.657874776480099</v>
      </c>
      <c r="CX364" s="17">
        <f t="shared" si="1507"/>
        <v>-5020.1856000000007</v>
      </c>
      <c r="CY364" s="17">
        <f t="shared" si="1507"/>
        <v>-5020.1856000000007</v>
      </c>
      <c r="CZ364" s="17">
        <f t="shared" si="1570"/>
        <v>429.50476800000018</v>
      </c>
      <c r="DA364" s="17">
        <f t="shared" si="1571"/>
        <v>-1288.514304</v>
      </c>
      <c r="DB364" s="17">
        <f t="shared" si="1572"/>
        <v>-26593.920000000002</v>
      </c>
      <c r="DC364" s="17">
        <f t="shared" si="1573"/>
        <v>3412</v>
      </c>
      <c r="DD364" s="17">
        <f t="shared" si="1574"/>
        <v>395.76743359999995</v>
      </c>
      <c r="DE364" s="17">
        <f t="shared" si="1575"/>
        <v>17496.000000000007</v>
      </c>
      <c r="DF364" s="17">
        <f t="shared" si="1576"/>
        <v>-4868.7286085222404</v>
      </c>
      <c r="DG364" s="17"/>
      <c r="DH364" s="17">
        <f t="shared" si="1577"/>
        <v>-10514.941939202587</v>
      </c>
      <c r="DI364" s="17">
        <f t="shared" si="1578"/>
        <v>-29573.274204007277</v>
      </c>
      <c r="DJ364" s="17">
        <f t="shared" si="1579"/>
        <v>-2743.1840833090046</v>
      </c>
      <c r="DK364" s="17">
        <f t="shared" si="1580"/>
        <v>4091.2614257765063</v>
      </c>
      <c r="DL364" s="17">
        <f t="shared" si="1581"/>
        <v>-16038.076310922239</v>
      </c>
      <c r="DM364" s="17">
        <f t="shared" si="1582"/>
        <v>-38740.138800742359</v>
      </c>
      <c r="DN364" s="17">
        <f t="shared" si="1583"/>
        <v>-54778.215111664598</v>
      </c>
    </row>
    <row r="365" spans="3:120" ht="18.600000000000001">
      <c r="C365" s="13">
        <f>IF(D365&lt;&gt;"",COUNTA($D$10:D365),"")</f>
        <v>305</v>
      </c>
      <c r="D365" s="14" t="s">
        <v>215</v>
      </c>
      <c r="E365" s="14">
        <v>2.8</v>
      </c>
      <c r="F365" s="14">
        <v>2.4</v>
      </c>
      <c r="G365" s="14">
        <v>2.4</v>
      </c>
      <c r="H365" s="14">
        <v>2</v>
      </c>
      <c r="I365" s="14">
        <v>1</v>
      </c>
      <c r="J365" s="14">
        <v>1.75</v>
      </c>
      <c r="K365" s="14">
        <v>3</v>
      </c>
      <c r="L365" s="15">
        <v>0.1</v>
      </c>
      <c r="M365" s="15">
        <v>0</v>
      </c>
      <c r="N365" s="14">
        <v>24</v>
      </c>
      <c r="O365" s="14">
        <v>50</v>
      </c>
      <c r="P365" s="13">
        <v>45</v>
      </c>
      <c r="Q365" s="13">
        <v>85</v>
      </c>
      <c r="R365" s="13" t="s">
        <v>21</v>
      </c>
      <c r="S365" s="13">
        <v>120</v>
      </c>
      <c r="T365" s="13">
        <v>0</v>
      </c>
      <c r="U365" s="13">
        <v>100</v>
      </c>
      <c r="V365" s="13" t="str">
        <f t="shared" si="1508"/>
        <v>ISO 5</v>
      </c>
      <c r="W365" s="13">
        <f t="shared" si="1509"/>
        <v>120</v>
      </c>
      <c r="X365" s="16">
        <f t="shared" si="1510"/>
        <v>72.307199999999995</v>
      </c>
      <c r="Y365" s="16">
        <f t="shared" si="1511"/>
        <v>569.20227839999995</v>
      </c>
      <c r="Z365" s="16">
        <f t="shared" si="1512"/>
        <v>1138.4045567999999</v>
      </c>
      <c r="AA365" s="16">
        <f t="shared" si="1513"/>
        <v>113.84045567999999</v>
      </c>
      <c r="AB365" s="16">
        <f t="shared" si="1514"/>
        <v>0</v>
      </c>
      <c r="AC365" s="16">
        <f t="shared" si="1515"/>
        <v>10.472423497653956</v>
      </c>
      <c r="AD365" s="16">
        <f t="shared" si="1584"/>
        <v>2675</v>
      </c>
      <c r="AE365" s="16">
        <f t="shared" si="1517"/>
        <v>2675</v>
      </c>
      <c r="AF365" s="16">
        <f t="shared" si="1518"/>
        <v>28</v>
      </c>
      <c r="AG365" s="16">
        <f t="shared" si="1519"/>
        <v>7</v>
      </c>
      <c r="AH365" s="838" t="s">
        <v>85</v>
      </c>
      <c r="AI365" s="17">
        <f t="shared" si="1520"/>
        <v>4.5</v>
      </c>
      <c r="AJ365" s="17">
        <f t="shared" si="1521"/>
        <v>7</v>
      </c>
      <c r="AK365" s="891"/>
      <c r="AL365" s="18"/>
      <c r="AM365" s="889"/>
      <c r="AN365" s="891"/>
      <c r="AO365" s="888"/>
      <c r="AP365" s="891"/>
      <c r="AQ365" s="891"/>
      <c r="AR365" s="889"/>
      <c r="AS365" s="888"/>
      <c r="AT365" s="888"/>
      <c r="AU365" s="890"/>
      <c r="AV365" s="888"/>
      <c r="AW365" s="888"/>
      <c r="AX365" s="888"/>
      <c r="AY365" s="887"/>
      <c r="AZ365" s="888"/>
      <c r="BA365" s="17">
        <f t="shared" si="1522"/>
        <v>14.399999999999991</v>
      </c>
      <c r="BB365" s="17">
        <f t="shared" si="1523"/>
        <v>37.799999999999997</v>
      </c>
      <c r="BC365" s="17">
        <f t="shared" si="1524"/>
        <v>32</v>
      </c>
      <c r="BD365" s="17">
        <f t="shared" si="1525"/>
        <v>85</v>
      </c>
      <c r="BE365" s="17">
        <f t="shared" si="1526"/>
        <v>180.86341983910182</v>
      </c>
      <c r="BF365" s="17">
        <f t="shared" si="1527"/>
        <v>24</v>
      </c>
      <c r="BG365" s="17">
        <f t="shared" si="1528"/>
        <v>50</v>
      </c>
      <c r="BH365" s="17">
        <f t="shared" si="1529"/>
        <v>65.062647806544774</v>
      </c>
      <c r="BI365" s="17">
        <f t="shared" si="1530"/>
        <v>115.80077203255705</v>
      </c>
      <c r="BJ365" s="17">
        <f t="shared" si="1531"/>
        <v>45</v>
      </c>
      <c r="BK365" s="17">
        <f t="shared" si="1532"/>
        <v>85</v>
      </c>
      <c r="BL365" s="17">
        <f t="shared" si="1533"/>
        <v>380.54120080897206</v>
      </c>
      <c r="BM365" s="17">
        <f t="shared" si="1534"/>
        <v>24</v>
      </c>
      <c r="BN365" s="17">
        <f t="shared" si="1535"/>
        <v>50</v>
      </c>
      <c r="BO365" s="17">
        <f t="shared" si="1536"/>
        <v>65.062647806544774</v>
      </c>
      <c r="BP365" s="17">
        <f t="shared" si="1537"/>
        <v>315.4785530024273</v>
      </c>
      <c r="BQ365" s="17">
        <f t="shared" si="1538"/>
        <v>4568.368895999999</v>
      </c>
      <c r="BR365" s="17">
        <f t="shared" si="1539"/>
        <v>1740.331007999999</v>
      </c>
      <c r="BS365" s="17">
        <f t="shared" si="1540"/>
        <v>468.55065599999972</v>
      </c>
      <c r="BT365" s="17">
        <f t="shared" si="1541"/>
        <v>1229.9454719999999</v>
      </c>
      <c r="BU365" s="17">
        <f t="shared" si="1542"/>
        <v>23269.68</v>
      </c>
      <c r="BV365" s="17">
        <f t="shared" si="1543"/>
        <v>3412</v>
      </c>
      <c r="BW365" s="17">
        <f t="shared" si="1544"/>
        <v>431.74629119999997</v>
      </c>
      <c r="BX365" s="17">
        <f t="shared" si="1545"/>
        <v>17495.999999999989</v>
      </c>
      <c r="BY365" s="17">
        <f t="shared" si="1546"/>
        <v>4647.4227626803195</v>
      </c>
      <c r="BZ365" s="17"/>
      <c r="CA365" s="17">
        <f t="shared" si="1547"/>
        <v>85810.166416660228</v>
      </c>
      <c r="CB365" s="17">
        <f t="shared" si="1548"/>
        <v>241341.0930468569</v>
      </c>
      <c r="CC365" s="17">
        <f t="shared" si="1549"/>
        <v>24421.671117123082</v>
      </c>
      <c r="CD365" s="17">
        <f t="shared" si="1550"/>
        <v>219795.04005410775</v>
      </c>
      <c r="CE365" s="17">
        <f t="shared" si="1551"/>
        <v>53825.217949880309</v>
      </c>
      <c r="CF365" s="17">
        <f t="shared" si="1552"/>
        <v>571367.970634748</v>
      </c>
      <c r="CG365" s="17">
        <f t="shared" si="1553"/>
        <v>625193.18858462828</v>
      </c>
      <c r="CH365" s="17">
        <f t="shared" si="1554"/>
        <v>14.400000000000006</v>
      </c>
      <c r="CI365" s="17">
        <f t="shared" si="1555"/>
        <v>-43.2</v>
      </c>
      <c r="CJ365" s="17">
        <f t="shared" si="1556"/>
        <v>16</v>
      </c>
      <c r="CK365" s="17">
        <f t="shared" si="1557"/>
        <v>90</v>
      </c>
      <c r="CL365" s="17">
        <f t="shared" si="1558"/>
        <v>71.46880726181422</v>
      </c>
      <c r="CM365" s="17">
        <f t="shared" si="1559"/>
        <v>24</v>
      </c>
      <c r="CN365" s="17">
        <f t="shared" si="1560"/>
        <v>50</v>
      </c>
      <c r="CO365" s="17">
        <f t="shared" si="1561"/>
        <v>65.062647806544774</v>
      </c>
      <c r="CP365" s="17">
        <f t="shared" si="1562"/>
        <v>6.4061594552694459</v>
      </c>
      <c r="CQ365" s="17">
        <f t="shared" si="1563"/>
        <v>0</v>
      </c>
      <c r="CR365" s="17">
        <f t="shared" si="1564"/>
        <v>100</v>
      </c>
      <c r="CS365" s="17">
        <f t="shared" si="1565"/>
        <v>26.404773030064671</v>
      </c>
      <c r="CT365" s="17">
        <f t="shared" si="1566"/>
        <v>24</v>
      </c>
      <c r="CU365" s="17">
        <f t="shared" si="1567"/>
        <v>50</v>
      </c>
      <c r="CV365" s="17">
        <f t="shared" si="1568"/>
        <v>65.062647806544774</v>
      </c>
      <c r="CW365" s="17">
        <f t="shared" si="1569"/>
        <v>-38.657874776480099</v>
      </c>
      <c r="CX365" s="17">
        <f t="shared" si="1507"/>
        <v>-5220.9930240000003</v>
      </c>
      <c r="CY365" s="17">
        <f t="shared" si="1507"/>
        <v>-5220.9930240000003</v>
      </c>
      <c r="CZ365" s="17">
        <f t="shared" si="1570"/>
        <v>468.55065600000012</v>
      </c>
      <c r="DA365" s="17">
        <f t="shared" si="1571"/>
        <v>-1405.6519680000001</v>
      </c>
      <c r="DB365" s="17">
        <f t="shared" si="1572"/>
        <v>-26593.920000000002</v>
      </c>
      <c r="DC365" s="17">
        <f t="shared" si="1573"/>
        <v>3412</v>
      </c>
      <c r="DD365" s="17">
        <f t="shared" si="1574"/>
        <v>431.74629119999997</v>
      </c>
      <c r="DE365" s="17">
        <f t="shared" si="1575"/>
        <v>17496.000000000007</v>
      </c>
      <c r="DF365" s="17">
        <f t="shared" si="1576"/>
        <v>-5311.3403002060804</v>
      </c>
      <c r="DG365" s="17"/>
      <c r="DH365" s="17">
        <f t="shared" si="1577"/>
        <v>-10514.941939202587</v>
      </c>
      <c r="DI365" s="17">
        <f t="shared" si="1578"/>
        <v>-29573.274204007277</v>
      </c>
      <c r="DJ365" s="17">
        <f t="shared" si="1579"/>
        <v>-2992.5644545189134</v>
      </c>
      <c r="DK365" s="17">
        <f t="shared" si="1580"/>
        <v>4463.1942826652794</v>
      </c>
      <c r="DL365" s="17">
        <f t="shared" si="1581"/>
        <v>-16723.608345006072</v>
      </c>
      <c r="DM365" s="17">
        <f t="shared" si="1582"/>
        <v>-38617.586315063498</v>
      </c>
      <c r="DN365" s="17">
        <f t="shared" si="1583"/>
        <v>-55341.194660069566</v>
      </c>
    </row>
    <row r="366" spans="3:120">
      <c r="C366" s="19"/>
      <c r="D366" s="19"/>
      <c r="E366" s="19"/>
      <c r="F366" s="19"/>
      <c r="G366" s="19"/>
      <c r="H366" s="19"/>
      <c r="I366" s="19"/>
      <c r="J366" s="19"/>
      <c r="K366" s="19"/>
      <c r="L366" s="19"/>
      <c r="M366" s="19"/>
      <c r="N366" s="19"/>
      <c r="O366" s="19"/>
      <c r="P366" s="19"/>
      <c r="Q366" s="19"/>
      <c r="R366" s="19"/>
      <c r="S366" s="19"/>
      <c r="T366" s="19"/>
      <c r="U366" s="19"/>
      <c r="V366" s="19"/>
      <c r="W366" s="19"/>
      <c r="X366" s="20">
        <f>SUM(X350:X365)</f>
        <v>1144.1108000000002</v>
      </c>
      <c r="Y366" s="20">
        <f t="shared" ref="Y366:AG366" si="1585">SUM(Y350:Y365)</f>
        <v>9006.4402175999985</v>
      </c>
      <c r="Z366" s="20">
        <f t="shared" si="1585"/>
        <v>18012.880435199997</v>
      </c>
      <c r="AA366" s="20">
        <f t="shared" si="1585"/>
        <v>1801.2880435199995</v>
      </c>
      <c r="AB366" s="20">
        <f t="shared" si="1585"/>
        <v>0</v>
      </c>
      <c r="AC366" s="20">
        <f t="shared" si="1585"/>
        <v>165.70428430142042</v>
      </c>
      <c r="AD366" s="20">
        <f t="shared" si="1585"/>
        <v>42375</v>
      </c>
      <c r="AE366" s="20">
        <f t="shared" si="1585"/>
        <v>42375</v>
      </c>
      <c r="AF366" s="20">
        <f t="shared" si="1585"/>
        <v>434</v>
      </c>
      <c r="AG366" s="20">
        <f t="shared" si="1585"/>
        <v>108.5</v>
      </c>
      <c r="AH366" s="841"/>
      <c r="AI366" s="20">
        <f t="shared" ref="AI366:AJ366" si="1586">SUM(AI350:AI365)</f>
        <v>76.5</v>
      </c>
      <c r="AJ366" s="20">
        <f t="shared" si="1586"/>
        <v>108.5</v>
      </c>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2"/>
      <c r="CI366" s="21"/>
      <c r="CJ366" s="21"/>
      <c r="CK366" s="21"/>
      <c r="CL366" s="21"/>
      <c r="CM366" s="21"/>
      <c r="CN366" s="21"/>
      <c r="CO366" s="21"/>
      <c r="CP366" s="21"/>
      <c r="CQ366" s="21"/>
      <c r="CR366" s="21"/>
      <c r="CS366" s="21"/>
      <c r="CT366" s="21"/>
      <c r="CU366" s="21"/>
      <c r="CV366" s="21"/>
      <c r="CW366" s="21"/>
      <c r="CX366" s="21"/>
      <c r="CY366" s="21"/>
      <c r="CZ366" s="21"/>
      <c r="DA366" s="21"/>
      <c r="DB366" s="21"/>
      <c r="DC366" s="21"/>
      <c r="DD366" s="21"/>
      <c r="DE366" s="21"/>
      <c r="DF366" s="21"/>
      <c r="DG366" s="21"/>
      <c r="DH366" s="21"/>
      <c r="DI366" s="21"/>
      <c r="DJ366" s="21"/>
      <c r="DK366" s="21"/>
      <c r="DL366" s="21"/>
      <c r="DM366" s="21"/>
      <c r="DN366" s="21"/>
    </row>
    <row r="368" spans="3:120" ht="29.1">
      <c r="C368" s="8" t="str">
        <f>"Zoning Area  AHU - " &amp; INT((ROW()-8)/20)+1 &amp; "  " &amp;IF(AQ370&gt;0,"Air-Conditioning System " &amp; IF(AH370="D","(DX)",IF(AH370="C","(Chilled Water)","")),IF(AND(N370="Amb",AQ370=0),"Ventilation System","Refer"))</f>
        <v>Zoning Area  AHU - 19  Air-Conditioning System (Chilled Water)</v>
      </c>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39"/>
      <c r="AI368" s="8"/>
      <c r="AJ368" s="8"/>
      <c r="AK368" s="8"/>
      <c r="AL368" s="8"/>
      <c r="AM368" s="8"/>
      <c r="AN368" s="8"/>
      <c r="AO368" s="8"/>
      <c r="AP368" s="8"/>
      <c r="AQ368" s="8"/>
      <c r="AR368" s="8"/>
      <c r="AS368" s="9" t="s">
        <v>221</v>
      </c>
      <c r="AT368" s="10"/>
      <c r="AU368" s="10"/>
      <c r="AV368" s="11"/>
      <c r="AW368" s="9" t="s">
        <v>222</v>
      </c>
      <c r="AX368" s="10"/>
      <c r="AY368" s="10"/>
      <c r="AZ368" s="11"/>
      <c r="BA368" s="12" t="s">
        <v>483</v>
      </c>
      <c r="BB368" s="12"/>
      <c r="BC368" s="12"/>
      <c r="BD368" s="12"/>
      <c r="BE368" s="12"/>
      <c r="BF368" s="12"/>
      <c r="BG368" s="12"/>
      <c r="BH368" s="12"/>
      <c r="BI368" s="12"/>
      <c r="BJ368" s="12"/>
      <c r="BK368" s="12"/>
      <c r="BL368" s="12"/>
      <c r="BM368" s="12"/>
      <c r="BN368" s="12"/>
      <c r="BO368" s="12"/>
      <c r="BP368" s="12"/>
      <c r="BQ368" s="9" t="s">
        <v>484</v>
      </c>
      <c r="BR368" s="10"/>
      <c r="BS368" s="10"/>
      <c r="BT368" s="10"/>
      <c r="BU368" s="10"/>
      <c r="BV368" s="10"/>
      <c r="BW368" s="10"/>
      <c r="BX368" s="10"/>
      <c r="BY368" s="10"/>
      <c r="BZ368" s="11"/>
      <c r="CA368" s="9" t="s">
        <v>485</v>
      </c>
      <c r="CB368" s="10"/>
      <c r="CC368" s="10"/>
      <c r="CD368" s="10"/>
      <c r="CE368" s="9" t="s">
        <v>486</v>
      </c>
      <c r="CF368" s="10"/>
      <c r="CG368" s="11"/>
      <c r="CH368" s="12" t="s">
        <v>487</v>
      </c>
      <c r="CI368" s="12"/>
      <c r="CJ368" s="12"/>
      <c r="CK368" s="12"/>
      <c r="CL368" s="12"/>
      <c r="CM368" s="12"/>
      <c r="CN368" s="12"/>
      <c r="CO368" s="12"/>
      <c r="CP368" s="12"/>
      <c r="CQ368" s="12"/>
      <c r="CR368" s="12"/>
      <c r="CS368" s="12"/>
      <c r="CT368" s="12"/>
      <c r="CU368" s="12"/>
      <c r="CV368" s="12"/>
      <c r="CW368" s="12"/>
      <c r="CX368" s="9" t="s">
        <v>488</v>
      </c>
      <c r="CY368" s="10"/>
      <c r="CZ368" s="10"/>
      <c r="DA368" s="10"/>
      <c r="DB368" s="10"/>
      <c r="DC368" s="10"/>
      <c r="DD368" s="10"/>
      <c r="DE368" s="10"/>
      <c r="DF368" s="10"/>
      <c r="DG368" s="11"/>
      <c r="DH368" s="9" t="s">
        <v>489</v>
      </c>
      <c r="DI368" s="10"/>
      <c r="DJ368" s="10"/>
      <c r="DK368" s="10"/>
      <c r="DL368" s="9"/>
      <c r="DM368" s="10"/>
      <c r="DN368" s="11"/>
      <c r="DO368" s="1"/>
      <c r="DP368" s="1"/>
    </row>
    <row r="369" spans="3:120" ht="120" customHeight="1">
      <c r="C369" s="13">
        <f>IF(D369&lt;&gt;"",COUNTA($D$10:D369),"")</f>
        <v>306</v>
      </c>
      <c r="D369" s="5" t="s">
        <v>165</v>
      </c>
      <c r="E369" s="5" t="s">
        <v>166</v>
      </c>
      <c r="F369" s="5" t="s">
        <v>167</v>
      </c>
      <c r="G369" s="5" t="s">
        <v>168</v>
      </c>
      <c r="H369" s="5" t="s">
        <v>169</v>
      </c>
      <c r="I369" s="5" t="s">
        <v>170</v>
      </c>
      <c r="J369" s="5" t="s">
        <v>171</v>
      </c>
      <c r="K369" s="5" t="s">
        <v>172</v>
      </c>
      <c r="L369" s="5" t="s">
        <v>173</v>
      </c>
      <c r="M369" s="5" t="s">
        <v>174</v>
      </c>
      <c r="N369" s="5" t="s">
        <v>175</v>
      </c>
      <c r="O369" s="5" t="s">
        <v>176</v>
      </c>
      <c r="P369" s="5" t="s">
        <v>177</v>
      </c>
      <c r="Q369" s="5" t="s">
        <v>178</v>
      </c>
      <c r="R369" s="5" t="s">
        <v>199</v>
      </c>
      <c r="S369" s="5" t="s">
        <v>180</v>
      </c>
      <c r="T369" s="5" t="s">
        <v>223</v>
      </c>
      <c r="U369" s="5" t="s">
        <v>224</v>
      </c>
      <c r="V369" s="5" t="s">
        <v>199</v>
      </c>
      <c r="W369" s="5" t="s">
        <v>180</v>
      </c>
      <c r="X369" s="5" t="s">
        <v>225</v>
      </c>
      <c r="Y369" s="5" t="s">
        <v>226</v>
      </c>
      <c r="Z369" s="5" t="s">
        <v>227</v>
      </c>
      <c r="AA369" s="5" t="s">
        <v>228</v>
      </c>
      <c r="AB369" s="5" t="s">
        <v>229</v>
      </c>
      <c r="AC369" s="5" t="s">
        <v>230</v>
      </c>
      <c r="AD369" s="5" t="s">
        <v>231</v>
      </c>
      <c r="AE369" s="5" t="s">
        <v>232</v>
      </c>
      <c r="AF369" s="6" t="s">
        <v>233</v>
      </c>
      <c r="AG369" s="6" t="s">
        <v>234</v>
      </c>
      <c r="AH369" s="6" t="s">
        <v>235</v>
      </c>
      <c r="AI369" s="5" t="s">
        <v>236</v>
      </c>
      <c r="AJ369" s="5" t="s">
        <v>237</v>
      </c>
      <c r="AK369" s="5" t="s">
        <v>238</v>
      </c>
      <c r="AL369" s="5" t="s">
        <v>239</v>
      </c>
      <c r="AM369" s="5" t="s">
        <v>240</v>
      </c>
      <c r="AN369" s="5" t="s">
        <v>241</v>
      </c>
      <c r="AO369" s="5" t="s">
        <v>242</v>
      </c>
      <c r="AP369" s="5" t="s">
        <v>243</v>
      </c>
      <c r="AQ369" s="5" t="s">
        <v>244</v>
      </c>
      <c r="AR369" s="5" t="s">
        <v>245</v>
      </c>
      <c r="AS369" s="5" t="s">
        <v>246</v>
      </c>
      <c r="AT369" s="5" t="s">
        <v>247</v>
      </c>
      <c r="AU369" s="5" t="s">
        <v>248</v>
      </c>
      <c r="AV369" s="5" t="s">
        <v>249</v>
      </c>
      <c r="AW369" s="5" t="s">
        <v>250</v>
      </c>
      <c r="AX369" s="5" t="s">
        <v>251</v>
      </c>
      <c r="AY369" s="5" t="s">
        <v>252</v>
      </c>
      <c r="AZ369" s="5" t="s">
        <v>253</v>
      </c>
      <c r="BA369" s="5" t="s">
        <v>490</v>
      </c>
      <c r="BB369" s="5" t="s">
        <v>491</v>
      </c>
      <c r="BC369" s="5" t="s">
        <v>492</v>
      </c>
      <c r="BD369" s="5" t="s">
        <v>493</v>
      </c>
      <c r="BE369" s="5" t="s">
        <v>494</v>
      </c>
      <c r="BF369" s="5" t="s">
        <v>492</v>
      </c>
      <c r="BG369" s="5" t="s">
        <v>493</v>
      </c>
      <c r="BH369" s="5" t="s">
        <v>495</v>
      </c>
      <c r="BI369" s="5" t="s">
        <v>496</v>
      </c>
      <c r="BJ369" s="5" t="s">
        <v>492</v>
      </c>
      <c r="BK369" s="5" t="s">
        <v>493</v>
      </c>
      <c r="BL369" s="5" t="s">
        <v>497</v>
      </c>
      <c r="BM369" s="5" t="s">
        <v>492</v>
      </c>
      <c r="BN369" s="5" t="s">
        <v>493</v>
      </c>
      <c r="BO369" s="5" t="s">
        <v>495</v>
      </c>
      <c r="BP369" s="5" t="s">
        <v>498</v>
      </c>
      <c r="BQ369" s="5" t="s">
        <v>499</v>
      </c>
      <c r="BR369" s="5" t="s">
        <v>500</v>
      </c>
      <c r="BS369" s="5" t="s">
        <v>501</v>
      </c>
      <c r="BT369" s="5" t="s">
        <v>502</v>
      </c>
      <c r="BU369" s="5" t="s">
        <v>503</v>
      </c>
      <c r="BV369" s="5" t="s">
        <v>504</v>
      </c>
      <c r="BW369" s="5" t="s">
        <v>505</v>
      </c>
      <c r="BX369" s="5" t="s">
        <v>506</v>
      </c>
      <c r="BY369" s="5" t="s">
        <v>173</v>
      </c>
      <c r="BZ369" s="5" t="s">
        <v>174</v>
      </c>
      <c r="CA369" s="5" t="s">
        <v>503</v>
      </c>
      <c r="CB369" s="5" t="s">
        <v>507</v>
      </c>
      <c r="CC369" s="5" t="s">
        <v>173</v>
      </c>
      <c r="CD369" s="5" t="s">
        <v>508</v>
      </c>
      <c r="CE369" s="7" t="s">
        <v>509</v>
      </c>
      <c r="CF369" s="7" t="s">
        <v>510</v>
      </c>
      <c r="CG369" s="7" t="s">
        <v>511</v>
      </c>
      <c r="CH369" s="5" t="s">
        <v>512</v>
      </c>
      <c r="CI369" s="5" t="s">
        <v>513</v>
      </c>
      <c r="CJ369" s="5" t="s">
        <v>492</v>
      </c>
      <c r="CK369" s="5" t="s">
        <v>493</v>
      </c>
      <c r="CL369" s="5" t="s">
        <v>494</v>
      </c>
      <c r="CM369" s="5" t="s">
        <v>492</v>
      </c>
      <c r="CN369" s="5" t="s">
        <v>493</v>
      </c>
      <c r="CO369" s="5" t="s">
        <v>495</v>
      </c>
      <c r="CP369" s="5" t="s">
        <v>496</v>
      </c>
      <c r="CQ369" s="5" t="s">
        <v>492</v>
      </c>
      <c r="CR369" s="5" t="s">
        <v>493</v>
      </c>
      <c r="CS369" s="5" t="s">
        <v>497</v>
      </c>
      <c r="CT369" s="5" t="s">
        <v>492</v>
      </c>
      <c r="CU369" s="5" t="s">
        <v>493</v>
      </c>
      <c r="CV369" s="5" t="s">
        <v>495</v>
      </c>
      <c r="CW369" s="5" t="s">
        <v>498</v>
      </c>
      <c r="CX369" s="5" t="s">
        <v>499</v>
      </c>
      <c r="CY369" s="5" t="s">
        <v>500</v>
      </c>
      <c r="CZ369" s="5" t="s">
        <v>501</v>
      </c>
      <c r="DA369" s="5" t="s">
        <v>502</v>
      </c>
      <c r="DB369" s="5" t="s">
        <v>503</v>
      </c>
      <c r="DC369" s="5" t="s">
        <v>504</v>
      </c>
      <c r="DD369" s="5" t="s">
        <v>505</v>
      </c>
      <c r="DE369" s="5" t="s">
        <v>506</v>
      </c>
      <c r="DF369" s="5" t="s">
        <v>173</v>
      </c>
      <c r="DG369" s="5" t="s">
        <v>174</v>
      </c>
      <c r="DH369" s="5" t="s">
        <v>503</v>
      </c>
      <c r="DI369" s="5" t="s">
        <v>507</v>
      </c>
      <c r="DJ369" s="5" t="s">
        <v>173</v>
      </c>
      <c r="DK369" s="5" t="s">
        <v>508</v>
      </c>
      <c r="DL369" s="7" t="s">
        <v>509</v>
      </c>
      <c r="DM369" s="7" t="s">
        <v>510</v>
      </c>
      <c r="DN369" s="7" t="s">
        <v>511</v>
      </c>
      <c r="DO369" s="2"/>
      <c r="DP369" s="2"/>
    </row>
    <row r="370" spans="3:120" ht="18.600000000000001" customHeight="1">
      <c r="C370" s="13">
        <f>IF(D370&lt;&gt;"",COUNTA($D$10:D370),"")</f>
        <v>307</v>
      </c>
      <c r="D370" s="14" t="s">
        <v>200</v>
      </c>
      <c r="E370" s="14">
        <v>3</v>
      </c>
      <c r="F370" s="14">
        <v>3</v>
      </c>
      <c r="G370" s="14">
        <v>2.4</v>
      </c>
      <c r="H370" s="14">
        <v>1</v>
      </c>
      <c r="I370" s="14">
        <v>2</v>
      </c>
      <c r="J370" s="14">
        <v>1.75</v>
      </c>
      <c r="K370" s="14">
        <v>3</v>
      </c>
      <c r="L370" s="15">
        <v>0.1</v>
      </c>
      <c r="M370" s="15">
        <v>0</v>
      </c>
      <c r="N370" s="14">
        <v>24</v>
      </c>
      <c r="O370" s="14">
        <v>50</v>
      </c>
      <c r="P370" s="13">
        <v>45</v>
      </c>
      <c r="Q370" s="13">
        <v>85</v>
      </c>
      <c r="R370" s="13" t="s">
        <v>14</v>
      </c>
      <c r="S370" s="13">
        <v>120</v>
      </c>
      <c r="T370" s="13">
        <v>0</v>
      </c>
      <c r="U370" s="13">
        <v>100</v>
      </c>
      <c r="V370" s="13" t="str">
        <f>R370</f>
        <v>ISO 7</v>
      </c>
      <c r="W370" s="13">
        <f>S370</f>
        <v>120</v>
      </c>
      <c r="X370" s="16">
        <f>E370*F370*10.76</f>
        <v>96.84</v>
      </c>
      <c r="Y370" s="16">
        <f>X370*G370*3.28</f>
        <v>762.32447999999999</v>
      </c>
      <c r="Z370" s="16">
        <f>Y370*S370/60</f>
        <v>1524.64896</v>
      </c>
      <c r="AA370" s="16">
        <f>Z370*L370</f>
        <v>152.46489600000001</v>
      </c>
      <c r="AB370" s="16">
        <f>IF(N370="Amb",Z370,Z370*M370)</f>
        <v>0</v>
      </c>
      <c r="AC370" s="16">
        <f>IF(ISNUMBER(N370), (AA370*0.075*60/2.20462)*BP370/7000, "Ambient")</f>
        <v>14.025567184357984</v>
      </c>
      <c r="AD370" s="16">
        <f>IF(ISNUMBER(N370), CEILING(CF370/(0.68*BP370),25), "Ambient")</f>
        <v>2850</v>
      </c>
      <c r="AE370" s="16">
        <f>CEILING(MAX((Z370+AA370),AD370),25)</f>
        <v>2850</v>
      </c>
      <c r="AF370" s="16">
        <f>CEILING(IF(OR($R370="ISO 6",$R370="GRADE B",$R370="1K",$R370=1000),AE370*1/175,IF(OR($R370="ISO 5",$R370="GRADE A",$R370=100),AE370*1/100,IF(OR($R370="ISO 7",$R370="GRADE C",$R370="10K",$R370=10000),$AE370*1/250,IF(OR($R370="ISO 8",$R370="GRADE D",$R370="100K",$R370=100000),$AE370*1/250,IF(OR($R370="NC",$R370="20 Micron",$R370="5 Micron",$R370="N C"),$AE370*1/350,0))))),2)</f>
        <v>12</v>
      </c>
      <c r="AG370" s="16">
        <f>IF(ISNUMBER(N370), CEILING(MAX(AI370,AJ370),0.5), "Ambient")</f>
        <v>7.5</v>
      </c>
      <c r="AH370" s="838" t="s">
        <v>85</v>
      </c>
      <c r="AI370" s="17">
        <f>IF(ISNUMBER(N370), CEILING(CE370/12000,0.5), "Ambient")</f>
        <v>4.5</v>
      </c>
      <c r="AJ370" s="17">
        <f>IF(ISNUMBER(N370),CEILING(AE370/(IF(AH370="C",400,300)),0.5), "Ambient")</f>
        <v>7.5</v>
      </c>
      <c r="AK370" s="891">
        <f>CEILING(SUM(AE370:AE385),250)</f>
        <v>42500</v>
      </c>
      <c r="AL370" s="18" t="s">
        <v>254</v>
      </c>
      <c r="AM370" s="889">
        <v>150</v>
      </c>
      <c r="AN370" s="891">
        <f>IF(AK370&lt;=1300,200,IF(AK370&lt;=1600,225,IF(AK370&lt;=2100,250,IF(AK370&lt;=2700,280,IF(AK370&lt;=3450,315,IF(AK370&lt;=4250,355,IF(AK370&lt;=5250,400,IF(AK370&lt;=6750,450,IF(AK370&lt;=8500,500,IF(AK370&lt;=10750,560,IF(AK370&lt;=13500,630,IF(AK370&lt;=17000,710,IF(AK370&lt;=21500,800,IF(AK370&lt;=27000,900,IF(AK370&lt;=34000,1000,IF(AK370&lt;=43000,1120,IF(AK370&lt;=49000,1200,IF(AK370&lt;=68000,1450,"Refer"))))))))))))))))))</f>
        <v>1120</v>
      </c>
      <c r="AO370" s="888">
        <f>IF(AK370*AM370/(6356*0.7*0.9*1.1*25.4)&lt;=1,1,IF(AK370*AM370/(6356*0.7*0.9*1.1*25.4)&lt;=1.5,1.5,IF(AK370*AM370/(6356*0.7*0.9*1.1*25.4)&lt;=2,2,IF(AK370*AM370/(6356*0.7*0.9*1.1*25.4)&lt;=3,3,IF(AK370*AM370/(6356*0.7*0.9*1.1*25.4)&lt;=5,5,IF(AK370*AM370/(6356*0.7*0.9*1.1*25.4)&lt;=7.5,7.5,IF(AK370*AM370/(6356*0.7*0.9*1.1*25.4)&lt;=10,10,IF(AK370*AM370/(6356*0.7*0.9*1.1*25.4)&lt;=12.5,12.5,IF(AK370*AM370/(6356*0.7*0.9*1.1*25.4)&lt;=15,15,IF(AK370*AM370/(6356*0.7*0.9*1.1*25.4)&lt;=20,20,IF(AK370*AM370/(6356*0.7*0.9*1.1*25.4)&lt;=25,25,IF(AK370*AM370/(6356*0.7*0.9*1.1*25.4)&lt;=30,30,IF(AK370*AM370/(6356*0.7*0.9*1.1*25.4)&lt;=40,40,IF(AK370*AM370/(6356*0.7*0.9*1.1*25.4)&lt;=50,50,IF(AK370*AM370/(6356*0.7*0.9*1.1*25.4)&lt;=60,60,IF(AK370*AM370/(6356*0.7*0.9*1.1*25.4)&lt;=75,75,"Refer"))))))))))))))))</f>
        <v>60</v>
      </c>
      <c r="AP370" s="891">
        <f>IF(AND(AQ370=0, N370="Amb"), "Amb",IF((AL371-250)*(AL373-150)*10.76/(1000*1000) &gt;= MAX(AI386,AJ386), 4,IF((AL371-250)*(AL373-150)*10.76*1.5/(1000*1000) &gt;= MAX(AI386,AJ386), 6,IF((AL371-250)*(AL373-150)*10.76*2/(1000*1000) &gt;= MAX(AI386,AJ386), 8, 0))
 )
)</f>
        <v>4</v>
      </c>
      <c r="AQ370" s="891">
        <f>AG386</f>
        <v>108.5</v>
      </c>
      <c r="AR370" s="889">
        <f>_xlfn.SWITCH(TRIM(UPPER(R370)),"ISO 9", 3,"ISO 8", 4,"Grade D", 4,"Class 100,000", 4,"Class 100K", 4,"ISO 7", 3,"Grade C", 3,"Class 10,000", 3,"Class 10K", 3,"ISO 6", 3,"Class 1,000", 3,"Class 1K", 3,"ISO 5", 4,"Grade A", 4,"Grade B", 4,"Class 100", 4,"ISO 4", 3,"ISO 3", 4,"ISO 2", 4,"ISO 1", 4,"NCV20",1,"NCV-10",2,"NCV-5",3,"NCAC-10",1,"NCAC-5",2,"NCAC-1",3,3)</f>
        <v>3</v>
      </c>
      <c r="AS370" s="888">
        <f>MAX(AI386,AJ386)*24/6</f>
        <v>434</v>
      </c>
      <c r="AT370" s="888">
        <f>AS370*0.06309</f>
        <v>27.381059999999998</v>
      </c>
      <c r="AU370" s="890">
        <v>2</v>
      </c>
      <c r="AV370" s="888">
        <f>SQRT((4*AS370*0.00006309)/(3.14*AU370))*1000</f>
        <v>132.06121915647887</v>
      </c>
      <c r="AW370" s="888"/>
      <c r="AX370" s="888"/>
      <c r="AY370" s="887"/>
      <c r="AZ370" s="888"/>
      <c r="BA370" s="17">
        <f>-CONVERT(N370,"C","F")+CONVERT((N370+8),"C","F")</f>
        <v>14.399999999999991</v>
      </c>
      <c r="BB370" s="17">
        <f>CONVERT(P370,"C","F")-CONVERT(N370,"C","F")</f>
        <v>37.799999999999997</v>
      </c>
      <c r="BC370" s="17">
        <f>N370+8</f>
        <v>32</v>
      </c>
      <c r="BD370" s="17">
        <f>BG370+35</f>
        <v>85</v>
      </c>
      <c r="BE370" s="17">
        <f>0.622*7000*(BD370/100)*(6.1078*10^((7.5*BC370)/(237.3+BC370)))/(1013.25-(6.1078*10^((7.5*BC370)/(237.3+BC370)))*BD370/100)</f>
        <v>180.86341983910182</v>
      </c>
      <c r="BF370" s="17">
        <f>N370</f>
        <v>24</v>
      </c>
      <c r="BG370" s="17">
        <f>O370</f>
        <v>50</v>
      </c>
      <c r="BH370" s="17">
        <f>0.622*7000*(BG370/100)*(6.1078*10^((7.5*BF370)/(237.3+BF370)))/(1013.25-(6.1078*10^((7.5*BF370)/(237.3+BF370)))*BG370/100)</f>
        <v>65.062647806544774</v>
      </c>
      <c r="BI370" s="17">
        <f>BE370-BH370</f>
        <v>115.80077203255705</v>
      </c>
      <c r="BJ370" s="17">
        <f>P370</f>
        <v>45</v>
      </c>
      <c r="BK370" s="17">
        <f>Q370</f>
        <v>85</v>
      </c>
      <c r="BL370" s="17">
        <f>0.622*7000*(BK370/100)*(6.1078*10^((7.5*BJ370)/(237.3+BJ370)))/(1013.25-(6.1078*10^((7.5*BJ370)/(237.3+BJ370)))*BK370/100)</f>
        <v>380.54120080897206</v>
      </c>
      <c r="BM370" s="17">
        <f>N370</f>
        <v>24</v>
      </c>
      <c r="BN370" s="17">
        <f>BG370</f>
        <v>50</v>
      </c>
      <c r="BO370" s="17">
        <f>0.622*7000*(BN370/100)*(6.1078*10^((7.5*BM370)/(237.3+BM370)))/(1013.25-(6.1078*10^((7.5*BM370)/(237.3+BM370)))*BN370/100)</f>
        <v>65.062647806544774</v>
      </c>
      <c r="BP370" s="17">
        <f>BL370-BO370</f>
        <v>315.4785530024273</v>
      </c>
      <c r="BQ370" s="17">
        <f>($E370*$G370*10.76*2+$F370*$G370*2*10.76)*$BB370*0.45</f>
        <v>5271.1948799999991</v>
      </c>
      <c r="BR370" s="17">
        <f>($E370*$G370*10.76*2+$F370*$G370*2*10.76)*$BA370*0.45</f>
        <v>2008.0742399999988</v>
      </c>
      <c r="BS370" s="17">
        <f>($E370*$F370*10.76)*$BA370*0.45</f>
        <v>627.52319999999963</v>
      </c>
      <c r="BT370" s="17">
        <f>($E370*$F370*10.76)*$BB370*0.45</f>
        <v>1647.2483999999999</v>
      </c>
      <c r="BU370" s="17">
        <f>$H370*285*1.08*$BB370</f>
        <v>11634.84</v>
      </c>
      <c r="BV370" s="17">
        <f>$I370*1000*3.412</f>
        <v>6824</v>
      </c>
      <c r="BW370" s="17">
        <f>$J370*$X370*3.412</f>
        <v>578.23163999999997</v>
      </c>
      <c r="BX370" s="17">
        <f>$K370*1.08*375*$BA370</f>
        <v>17495.999999999989</v>
      </c>
      <c r="BY370" s="17">
        <f>($AA370+$AB370)*1.08*$BB370</f>
        <v>6224.2269143040003</v>
      </c>
      <c r="BZ370" s="17"/>
      <c r="CA370" s="17">
        <f>$H370*200*0.68*$BP370</f>
        <v>42905.083208330114</v>
      </c>
      <c r="CB370" s="17">
        <f>$K370*375*0.68*$BP370</f>
        <v>241341.0930468569</v>
      </c>
      <c r="CC370" s="17">
        <f>($AA370+$AB370)*0.68*$BP370</f>
        <v>32707.59524614699</v>
      </c>
      <c r="CD370" s="17">
        <f>($Z370-$AA370)*0.68*$BP370</f>
        <v>294368.3572153229</v>
      </c>
      <c r="CE370" s="17">
        <f>$BQ370+$BU370+$BV370+$BW370+$BX370+$BY370</f>
        <v>48028.493434303993</v>
      </c>
      <c r="CF370" s="17">
        <f>$CA370+$CB370+$CC370+$CD370</f>
        <v>611322.12871665694</v>
      </c>
      <c r="CG370" s="17">
        <f>$CE370+$CF370</f>
        <v>659350.62215096096</v>
      </c>
      <c r="CH370" s="17">
        <f>CONVERT(N370,"C","F")-CONVERT((N370-8),"C","F")</f>
        <v>14.400000000000006</v>
      </c>
      <c r="CI370" s="17">
        <f>CONVERT(T370,"C","F")-CONVERT(N370,"C","F")</f>
        <v>-43.2</v>
      </c>
      <c r="CJ370" s="17">
        <f>CM370-8</f>
        <v>16</v>
      </c>
      <c r="CK370" s="17">
        <f>O370+40</f>
        <v>90</v>
      </c>
      <c r="CL370" s="17">
        <f>0.622*7000*(CK370/100)*(6.1078*10^((7.5*CJ370)/(237.3+CJ370)))/(1013.25-(6.1078*10^((7.5*CJ370)/(237.3+CJ370)))*CK370/100)</f>
        <v>71.46880726181422</v>
      </c>
      <c r="CM370" s="17">
        <f>N370</f>
        <v>24</v>
      </c>
      <c r="CN370" s="17">
        <f>O370</f>
        <v>50</v>
      </c>
      <c r="CO370" s="17">
        <f>0.622*7000*(CN370/100)*(6.1078*10^((7.5*CM370)/(237.3+CM370)))/(1013.25-(6.1078*10^((7.5*CM370)/(237.3+CM370)))*CN370/100)</f>
        <v>65.062647806544774</v>
      </c>
      <c r="CP370" s="17">
        <f>CL370-CO370</f>
        <v>6.4061594552694459</v>
      </c>
      <c r="CQ370" s="17">
        <f>T370</f>
        <v>0</v>
      </c>
      <c r="CR370" s="17">
        <f>U370</f>
        <v>100</v>
      </c>
      <c r="CS370" s="17">
        <f>0.622*7000*(CR370/100)*(6.1078*10^((7.5*CQ370)/(237.3+CQ370)))/(1013.25-(6.1078*10^((7.5*CQ370)/(237.3+CQ370)))*CR370/100)</f>
        <v>26.404773030064671</v>
      </c>
      <c r="CT370" s="17">
        <f>CM370</f>
        <v>24</v>
      </c>
      <c r="CU370" s="17">
        <f>O370</f>
        <v>50</v>
      </c>
      <c r="CV370" s="17">
        <f>0.622*7000*(CU370/100)*(6.1078*10^((7.5*CT370)/(237.3+CT370)))/(1013.25-(6.1078*10^((7.5*CT370)/(237.3+CT370)))*CU370/100)</f>
        <v>65.062647806544774</v>
      </c>
      <c r="CW370" s="17">
        <f>CS370-CV370</f>
        <v>-38.657874776480099</v>
      </c>
      <c r="CX370" s="17">
        <f t="shared" ref="CX370:CY385" si="1587">($E370*$G370*10.76*2+$F370*$G370*2*10.76)*$CI370*0.45</f>
        <v>-6024.2227199999998</v>
      </c>
      <c r="CY370" s="17">
        <f t="shared" si="1587"/>
        <v>-6024.2227199999998</v>
      </c>
      <c r="CZ370" s="17">
        <f>($E370*$F370*10.76)*$CH370*0.45</f>
        <v>627.52320000000032</v>
      </c>
      <c r="DA370" s="17">
        <f>($E370*$F370*10.76)*$CI370*0.45</f>
        <v>-1882.5696000000003</v>
      </c>
      <c r="DB370" s="17">
        <f>$H370*285*1.08*$CI370</f>
        <v>-13296.960000000001</v>
      </c>
      <c r="DC370" s="17">
        <f>$I370*1000*3.412</f>
        <v>6824</v>
      </c>
      <c r="DD370" s="17">
        <f>$J370*$X370*3.412</f>
        <v>578.23163999999997</v>
      </c>
      <c r="DE370" s="17">
        <f>$K370*1.08*375*$CH370</f>
        <v>17496.000000000007</v>
      </c>
      <c r="DF370" s="17">
        <f>($AA370+$AB370)*1.08*$CI370</f>
        <v>-7113.4021877760015</v>
      </c>
      <c r="DG370" s="17"/>
      <c r="DH370" s="17">
        <f>$H370*200*0.68*CW370</f>
        <v>-5257.4709696012933</v>
      </c>
      <c r="DI370" s="17">
        <f>$K370*375*0.68*CW370</f>
        <v>-29573.274204007277</v>
      </c>
      <c r="DJ370" s="17">
        <f>(AA370+AB370)*0.68*CW370</f>
        <v>-4007.8988230164023</v>
      </c>
      <c r="DK370" s="17">
        <f>(Z370-AA370)*0.68*CP370</f>
        <v>5977.4923428552856</v>
      </c>
      <c r="DL370" s="17">
        <f>CX370+DA370+CZ370+DB370+DC370+DD370+DE370+DF370</f>
        <v>-2791.3996677759942</v>
      </c>
      <c r="DM370" s="17">
        <f>DH370+DI370+DJ370+DK370</f>
        <v>-32861.151653769688</v>
      </c>
      <c r="DN370" s="17">
        <f>DL370+DM370</f>
        <v>-35652.551321545681</v>
      </c>
    </row>
    <row r="371" spans="3:120" ht="18.600000000000001">
      <c r="C371" s="13">
        <f>IF(D371&lt;&gt;"",COUNTA($D$10:D371),"")</f>
        <v>308</v>
      </c>
      <c r="D371" s="14" t="s">
        <v>201</v>
      </c>
      <c r="E371" s="14">
        <v>1.8</v>
      </c>
      <c r="F371" s="14">
        <v>2.2000000000000002</v>
      </c>
      <c r="G371" s="14">
        <v>2.4</v>
      </c>
      <c r="H371" s="14">
        <v>2</v>
      </c>
      <c r="I371" s="14">
        <v>1</v>
      </c>
      <c r="J371" s="14">
        <v>1.75</v>
      </c>
      <c r="K371" s="14">
        <v>3</v>
      </c>
      <c r="L371" s="15">
        <v>0.1</v>
      </c>
      <c r="M371" s="15">
        <v>0</v>
      </c>
      <c r="N371" s="14">
        <v>24</v>
      </c>
      <c r="O371" s="14">
        <v>50</v>
      </c>
      <c r="P371" s="13">
        <v>45</v>
      </c>
      <c r="Q371" s="13">
        <v>85</v>
      </c>
      <c r="R371" s="13" t="s">
        <v>14</v>
      </c>
      <c r="S371" s="13">
        <v>120</v>
      </c>
      <c r="T371" s="13">
        <v>0</v>
      </c>
      <c r="U371" s="13">
        <v>100</v>
      </c>
      <c r="V371" s="13" t="str">
        <f t="shared" ref="V371:V385" si="1588">R371</f>
        <v>ISO 7</v>
      </c>
      <c r="W371" s="13">
        <f t="shared" ref="W371:W385" si="1589">S371</f>
        <v>120</v>
      </c>
      <c r="X371" s="16">
        <f t="shared" ref="X371:X385" si="1590">E371*F371*10.76</f>
        <v>42.6096</v>
      </c>
      <c r="Y371" s="16">
        <f t="shared" ref="Y371:Y385" si="1591">X371*G371*3.28</f>
        <v>335.4227712</v>
      </c>
      <c r="Z371" s="16">
        <f t="shared" ref="Z371:Z385" si="1592">Y371*S371/60</f>
        <v>670.8455424</v>
      </c>
      <c r="AA371" s="16">
        <f t="shared" ref="AA371:AA385" si="1593">Z371*L371</f>
        <v>67.084554240000003</v>
      </c>
      <c r="AB371" s="16">
        <f t="shared" ref="AB371:AB385" si="1594">IF(N371="Amb",Z371,Z371*M371)</f>
        <v>0</v>
      </c>
      <c r="AC371" s="16">
        <f t="shared" ref="AC371:AC385" si="1595">IF(ISNUMBER(N371), (AA371*0.075*60/2.20462)*BP371/7000, "Ambient")</f>
        <v>6.1712495611175129</v>
      </c>
      <c r="AD371" s="16">
        <f t="shared" ref="AD371:AD377" si="1596">IF(ISNUMBER(N371), CEILING(CF371/(0.68*BP371),25), "Ambient")</f>
        <v>2200</v>
      </c>
      <c r="AE371" s="16">
        <f t="shared" ref="AE371:AE385" si="1597">CEILING(MAX((Z371+AA371),AD371),25)</f>
        <v>2200</v>
      </c>
      <c r="AF371" s="16">
        <f t="shared" ref="AF371:AF385" si="1598">CEILING(IF(OR($R371="ISO 6",$R371="GRADE B",$R371="1K",$R371=1000),AE371*1/175,IF(OR($R371="ISO 5",$R371="GRADE A",$R371=100),AE371*1/100,IF(OR($R371="ISO 7",$R371="GRADE C",$R371="10K",$R371=10000),$AE371*1/250,IF(OR($R371="ISO 8",$R371="GRADE D",$R371="100K",$R371=100000),$AE371*1/250,IF(OR($R371="NC",$R371="20 Micron",$R371="5 Micron",$R371="N C"),$AE371*1/350,0))))),2)</f>
        <v>10</v>
      </c>
      <c r="AG371" s="16">
        <f t="shared" ref="AG371:AG385" si="1599">IF(ISNUMBER(N371), CEILING(MAX(AI371,AJ371),0.5), "Ambient")</f>
        <v>5.5</v>
      </c>
      <c r="AH371" s="838" t="s">
        <v>85</v>
      </c>
      <c r="AI371" s="17">
        <f t="shared" ref="AI371:AI385" si="1600">IF(ISNUMBER(N371), CEILING(CE371/12000,0.5), "Ambient")</f>
        <v>4.5</v>
      </c>
      <c r="AJ371" s="17">
        <f t="shared" ref="AJ371:AJ385" si="1601">IF(ISNUMBER(N371),CEILING(AE371/(IF(AH371="C",400,300)),0.5), "Ambient")</f>
        <v>5.5</v>
      </c>
      <c r="AK371" s="891"/>
      <c r="AL371" s="18">
        <f>IF(AK370&lt;=2000,950,(IF(AK370&lt;=3000,1150,(IF(AK370&lt;=8000,1550,(IF(AK370&lt;=10000,1750,(IF(AK370&lt;=18000,2050,(IF(AK370&lt;=32000,2900,(IF(AK370&lt;=40000,3600,4000)))))))))))))</f>
        <v>4000</v>
      </c>
      <c r="AM371" s="889"/>
      <c r="AN371" s="891"/>
      <c r="AO371" s="888"/>
      <c r="AP371" s="891"/>
      <c r="AQ371" s="891"/>
      <c r="AR371" s="889"/>
      <c r="AS371" s="888"/>
      <c r="AT371" s="888"/>
      <c r="AU371" s="890"/>
      <c r="AV371" s="888"/>
      <c r="AW371" s="888"/>
      <c r="AX371" s="888"/>
      <c r="AY371" s="887"/>
      <c r="AZ371" s="888"/>
      <c r="BA371" s="17">
        <f t="shared" ref="BA371:BA385" si="1602">-CONVERT(N371,"C","F")+CONVERT((N371+8),"C","F")</f>
        <v>14.399999999999991</v>
      </c>
      <c r="BB371" s="17">
        <f t="shared" ref="BB371:BB385" si="1603">CONVERT(P371,"C","F")-CONVERT(N371,"C","F")</f>
        <v>37.799999999999997</v>
      </c>
      <c r="BC371" s="17">
        <f t="shared" ref="BC371:BC385" si="1604">BF371+8</f>
        <v>32</v>
      </c>
      <c r="BD371" s="17">
        <f t="shared" ref="BD371:BD385" si="1605">BG371+35</f>
        <v>85</v>
      </c>
      <c r="BE371" s="17">
        <f t="shared" ref="BE371:BE385" si="1606">0.622*7000*(BD371/100)*(6.1078*10^((7.5*BC371)/(237.3+BC371)))/(1013.25-(6.1078*10^((7.5*BC371)/(237.3+BC371)))*BD371/100)</f>
        <v>180.86341983910182</v>
      </c>
      <c r="BF371" s="17">
        <f t="shared" ref="BF371:BF385" si="1607">N371</f>
        <v>24</v>
      </c>
      <c r="BG371" s="17">
        <f t="shared" ref="BG371:BG385" si="1608">O371</f>
        <v>50</v>
      </c>
      <c r="BH371" s="17">
        <f t="shared" ref="BH371:BH385" si="1609">0.622*7000*(BG371/100)*(6.1078*10^((7.5*BF371)/(237.3+BF371)))/(1013.25-(6.1078*10^((7.5*BF371)/(237.3+BF371)))*BG371/100)</f>
        <v>65.062647806544774</v>
      </c>
      <c r="BI371" s="17">
        <f t="shared" ref="BI371:BI385" si="1610">BE371-BH371</f>
        <v>115.80077203255705</v>
      </c>
      <c r="BJ371" s="17">
        <f t="shared" ref="BJ371:BJ385" si="1611">P371</f>
        <v>45</v>
      </c>
      <c r="BK371" s="17">
        <f t="shared" ref="BK371:BK385" si="1612">Q371</f>
        <v>85</v>
      </c>
      <c r="BL371" s="17">
        <f t="shared" ref="BL371:BL385" si="1613">0.622*7000*(BK371/100)*(6.1078*10^((7.5*BJ371)/(237.3+BJ371)))/(1013.25-(6.1078*10^((7.5*BJ371)/(237.3+BJ371)))*BK371/100)</f>
        <v>380.54120080897206</v>
      </c>
      <c r="BM371" s="17">
        <f t="shared" ref="BM371:BM385" si="1614">BF371</f>
        <v>24</v>
      </c>
      <c r="BN371" s="17">
        <f t="shared" ref="BN371:BN385" si="1615">BG371</f>
        <v>50</v>
      </c>
      <c r="BO371" s="17">
        <f t="shared" ref="BO371:BO385" si="1616">0.622*7000*(BN371/100)*(6.1078*10^((7.5*BM371)/(237.3+BM371)))/(1013.25-(6.1078*10^((7.5*BM371)/(237.3+BM371)))*BN371/100)</f>
        <v>65.062647806544774</v>
      </c>
      <c r="BP371" s="17">
        <f t="shared" ref="BP371:BP385" si="1617">BL371-BO371</f>
        <v>315.4785530024273</v>
      </c>
      <c r="BQ371" s="17">
        <f t="shared" ref="BQ371:BQ385" si="1618">(E371*G371*10.76*2+F371*G371*2*10.76)*BB371*0.45</f>
        <v>3514.1299199999999</v>
      </c>
      <c r="BR371" s="17">
        <f t="shared" ref="BR371:BR385" si="1619">(E371*G371*10.76*2+F371*G371*2*10.76)*BA371*0.45</f>
        <v>1338.7161599999993</v>
      </c>
      <c r="BS371" s="17">
        <f t="shared" ref="BS371:BS385" si="1620">(E371*F371*10.76)*BA371*0.45</f>
        <v>276.11020799999983</v>
      </c>
      <c r="BT371" s="17">
        <f t="shared" ref="BT371:BT385" si="1621">(E371*F371*10.76)*BB371*0.45</f>
        <v>724.78929599999992</v>
      </c>
      <c r="BU371" s="17">
        <f t="shared" ref="BU371:BU385" si="1622">H371*285*1.08*BB371</f>
        <v>23269.68</v>
      </c>
      <c r="BV371" s="17">
        <f t="shared" ref="BV371:BV385" si="1623">I371*1000*3.412</f>
        <v>3412</v>
      </c>
      <c r="BW371" s="17">
        <f t="shared" ref="BW371:BW385" si="1624">J371*X371*3.412</f>
        <v>254.42192159999999</v>
      </c>
      <c r="BX371" s="17">
        <f t="shared" ref="BX371:BX385" si="1625">K371*1.08*375*BA371</f>
        <v>17495.999999999989</v>
      </c>
      <c r="BY371" s="17">
        <f t="shared" ref="BY371:BY385" si="1626">(AA371+AB371)*1.08*BB371</f>
        <v>2738.65984229376</v>
      </c>
      <c r="BZ371" s="17"/>
      <c r="CA371" s="17">
        <f t="shared" ref="CA371:CA385" si="1627">H371*200*0.68*BP371</f>
        <v>85810.166416660228</v>
      </c>
      <c r="CB371" s="17">
        <f t="shared" ref="CB371:CB385" si="1628">K371*375*0.68*BP371</f>
        <v>241341.0930468569</v>
      </c>
      <c r="CC371" s="17">
        <f t="shared" ref="CC371:CC385" si="1629">(AA371+AB371)*0.68*BP371</f>
        <v>14391.341908304676</v>
      </c>
      <c r="CD371" s="17">
        <f t="shared" ref="CD371:CD385" si="1630">($Z371-$AA371)*0.68*$BP371</f>
        <v>129522.07717474207</v>
      </c>
      <c r="CE371" s="17">
        <f t="shared" ref="CE371:CE385" si="1631">$BQ371+$BU371+$BV371+$BW371+$BX371+$BY371</f>
        <v>50684.891683893751</v>
      </c>
      <c r="CF371" s="17">
        <f t="shared" ref="CF371:CF385" si="1632">$CA371+$CB371+$CC371+$CD371</f>
        <v>471064.67854656384</v>
      </c>
      <c r="CG371" s="17">
        <f t="shared" ref="CG371:CG385" si="1633">$CE371+$CF371</f>
        <v>521749.57023045758</v>
      </c>
      <c r="CH371" s="17">
        <f t="shared" ref="CH371:CH385" si="1634">CONVERT(N371,"C","F")-CONVERT((N371-8),"C","F")</f>
        <v>14.400000000000006</v>
      </c>
      <c r="CI371" s="17">
        <f t="shared" ref="CI371:CI385" si="1635">CONVERT(T371,"C","F")-CONVERT(N371,"C","F")</f>
        <v>-43.2</v>
      </c>
      <c r="CJ371" s="17">
        <f t="shared" ref="CJ371:CJ385" si="1636">CM371-8</f>
        <v>16</v>
      </c>
      <c r="CK371" s="17">
        <f t="shared" ref="CK371:CK385" si="1637">O371+40</f>
        <v>90</v>
      </c>
      <c r="CL371" s="17">
        <f t="shared" ref="CL371:CL385" si="1638">0.622*7000*(CK371/100)*(6.1078*10^((7.5*CJ371)/(237.3+CJ371)))/(1013.25-(6.1078*10^((7.5*CJ371)/(237.3+CJ371)))*CK371/100)</f>
        <v>71.46880726181422</v>
      </c>
      <c r="CM371" s="17">
        <f t="shared" ref="CM371:CM385" si="1639">N371</f>
        <v>24</v>
      </c>
      <c r="CN371" s="17">
        <f t="shared" ref="CN371:CN385" si="1640">O371</f>
        <v>50</v>
      </c>
      <c r="CO371" s="17">
        <f t="shared" ref="CO371:CO385" si="1641">0.622*7000*(CN371/100)*(6.1078*10^((7.5*CM371)/(237.3+CM371)))/(1013.25-(6.1078*10^((7.5*CM371)/(237.3+CM371)))*CN371/100)</f>
        <v>65.062647806544774</v>
      </c>
      <c r="CP371" s="17">
        <f t="shared" ref="CP371:CP385" si="1642">CL371-CO371</f>
        <v>6.4061594552694459</v>
      </c>
      <c r="CQ371" s="17">
        <f t="shared" ref="CQ371:CQ385" si="1643">T371</f>
        <v>0</v>
      </c>
      <c r="CR371" s="17">
        <f t="shared" ref="CR371:CR385" si="1644">U371</f>
        <v>100</v>
      </c>
      <c r="CS371" s="17">
        <f t="shared" ref="CS371:CS385" si="1645">0.622*7000*(CR371/100)*(6.1078*10^((7.5*CQ371)/(237.3+CQ371)))/(1013.25-(6.1078*10^((7.5*CQ371)/(237.3+CQ371)))*CR371/100)</f>
        <v>26.404773030064671</v>
      </c>
      <c r="CT371" s="17">
        <f t="shared" ref="CT371:CT385" si="1646">CM371</f>
        <v>24</v>
      </c>
      <c r="CU371" s="17">
        <f t="shared" ref="CU371:CU385" si="1647">O371</f>
        <v>50</v>
      </c>
      <c r="CV371" s="17">
        <f t="shared" ref="CV371:CV385" si="1648">0.622*7000*(CU371/100)*(6.1078*10^((7.5*CT371)/(237.3+CT371)))/(1013.25-(6.1078*10^((7.5*CT371)/(237.3+CT371)))*CU371/100)</f>
        <v>65.062647806544774</v>
      </c>
      <c r="CW371" s="17">
        <f t="shared" ref="CW371:CW385" si="1649">CS371-CV371</f>
        <v>-38.657874776480099</v>
      </c>
      <c r="CX371" s="17">
        <f t="shared" si="1587"/>
        <v>-4016.1484800000003</v>
      </c>
      <c r="CY371" s="17">
        <f t="shared" si="1587"/>
        <v>-4016.1484800000003</v>
      </c>
      <c r="CZ371" s="17">
        <f t="shared" ref="CZ371:CZ385" si="1650">($E371*$F371*10.76)*$CH371*0.45</f>
        <v>276.11020800000011</v>
      </c>
      <c r="DA371" s="17">
        <f t="shared" ref="DA371:DA385" si="1651">($E371*$F371*10.76)*$CI371*0.45</f>
        <v>-828.33062400000006</v>
      </c>
      <c r="DB371" s="17">
        <f t="shared" ref="DB371:DB385" si="1652">$H371*285*1.08*$CI371</f>
        <v>-26593.920000000002</v>
      </c>
      <c r="DC371" s="17">
        <f t="shared" ref="DC371:DC385" si="1653">$I371*1000*3.412</f>
        <v>3412</v>
      </c>
      <c r="DD371" s="17">
        <f t="shared" ref="DD371:DD385" si="1654">$J371*$X371*3.412</f>
        <v>254.42192159999999</v>
      </c>
      <c r="DE371" s="17">
        <f t="shared" ref="DE371:DE385" si="1655">$K371*1.08*375*$CH371</f>
        <v>17496.000000000007</v>
      </c>
      <c r="DF371" s="17">
        <f t="shared" ref="DF371:DF385" si="1656">($AA371+$AB371)*1.08*$CI371</f>
        <v>-3129.8969626214403</v>
      </c>
      <c r="DG371" s="17"/>
      <c r="DH371" s="17">
        <f t="shared" ref="DH371:DH385" si="1657">$H371*200*0.68*CW371</f>
        <v>-10514.941939202587</v>
      </c>
      <c r="DI371" s="17">
        <f t="shared" ref="DI371:DI385" si="1658">$K371*375*0.68*CW371</f>
        <v>-29573.274204007277</v>
      </c>
      <c r="DJ371" s="17">
        <f t="shared" ref="DJ371:DJ385" si="1659">(AA371+AB371)*0.68*CW371</f>
        <v>-1763.475482127217</v>
      </c>
      <c r="DK371" s="17">
        <f t="shared" ref="DK371:DK385" si="1660">(Z371-AA371)*0.68*CP371</f>
        <v>2630.0966308563256</v>
      </c>
      <c r="DL371" s="17">
        <f t="shared" ref="DL371:DL385" si="1661">CX371+DA371+CZ371+DB371+DC371+DD371+DE371+DF371</f>
        <v>-13129.763937021437</v>
      </c>
      <c r="DM371" s="17">
        <f t="shared" ref="DM371:DM385" si="1662">DH371+DI371+DJ371+DK371</f>
        <v>-39221.594994480751</v>
      </c>
      <c r="DN371" s="17">
        <f t="shared" ref="DN371:DN385" si="1663">DL371+DM371</f>
        <v>-52351.358931502189</v>
      </c>
    </row>
    <row r="372" spans="3:120" ht="18.600000000000001">
      <c r="C372" s="13">
        <f>IF(D372&lt;&gt;"",COUNTA($D$10:D372),"")</f>
        <v>309</v>
      </c>
      <c r="D372" s="14" t="s">
        <v>202</v>
      </c>
      <c r="E372" s="14">
        <v>1.5</v>
      </c>
      <c r="F372" s="14">
        <v>2.8</v>
      </c>
      <c r="G372" s="14">
        <v>2.4</v>
      </c>
      <c r="H372" s="14">
        <v>2</v>
      </c>
      <c r="I372" s="14">
        <v>3</v>
      </c>
      <c r="J372" s="14">
        <v>1.75</v>
      </c>
      <c r="K372" s="14">
        <v>3</v>
      </c>
      <c r="L372" s="15">
        <v>0.1</v>
      </c>
      <c r="M372" s="15">
        <v>0</v>
      </c>
      <c r="N372" s="14">
        <v>24</v>
      </c>
      <c r="O372" s="14">
        <v>50</v>
      </c>
      <c r="P372" s="13">
        <v>45</v>
      </c>
      <c r="Q372" s="13">
        <v>85</v>
      </c>
      <c r="R372" s="13" t="s">
        <v>14</v>
      </c>
      <c r="S372" s="13">
        <v>120</v>
      </c>
      <c r="T372" s="13">
        <v>0</v>
      </c>
      <c r="U372" s="13">
        <v>100</v>
      </c>
      <c r="V372" s="13" t="str">
        <f t="shared" si="1588"/>
        <v>ISO 7</v>
      </c>
      <c r="W372" s="13">
        <f t="shared" si="1589"/>
        <v>120</v>
      </c>
      <c r="X372" s="16">
        <f t="shared" si="1590"/>
        <v>45.191999999999993</v>
      </c>
      <c r="Y372" s="16">
        <f t="shared" si="1591"/>
        <v>355.75142399999993</v>
      </c>
      <c r="Z372" s="16">
        <f t="shared" si="1592"/>
        <v>711.50284799999986</v>
      </c>
      <c r="AA372" s="16">
        <f t="shared" si="1593"/>
        <v>71.150284799999994</v>
      </c>
      <c r="AB372" s="16">
        <f t="shared" si="1594"/>
        <v>0</v>
      </c>
      <c r="AC372" s="16">
        <f t="shared" si="1595"/>
        <v>6.5452646860337245</v>
      </c>
      <c r="AD372" s="16">
        <f t="shared" si="1596"/>
        <v>2250</v>
      </c>
      <c r="AE372" s="16">
        <f t="shared" si="1597"/>
        <v>2250</v>
      </c>
      <c r="AF372" s="16">
        <f t="shared" si="1598"/>
        <v>10</v>
      </c>
      <c r="AG372" s="16">
        <f t="shared" si="1599"/>
        <v>6</v>
      </c>
      <c r="AH372" s="838" t="s">
        <v>85</v>
      </c>
      <c r="AI372" s="17">
        <f t="shared" si="1600"/>
        <v>5</v>
      </c>
      <c r="AJ372" s="17">
        <f t="shared" si="1601"/>
        <v>6</v>
      </c>
      <c r="AK372" s="891"/>
      <c r="AL372" s="18" t="s">
        <v>255</v>
      </c>
      <c r="AM372" s="889"/>
      <c r="AN372" s="891"/>
      <c r="AO372" s="888"/>
      <c r="AP372" s="891"/>
      <c r="AQ372" s="891"/>
      <c r="AR372" s="889"/>
      <c r="AS372" s="888"/>
      <c r="AT372" s="888"/>
      <c r="AU372" s="890"/>
      <c r="AV372" s="888"/>
      <c r="AW372" s="888"/>
      <c r="AX372" s="888"/>
      <c r="AY372" s="887"/>
      <c r="AZ372" s="888"/>
      <c r="BA372" s="17">
        <f t="shared" si="1602"/>
        <v>14.399999999999991</v>
      </c>
      <c r="BB372" s="17">
        <f t="shared" si="1603"/>
        <v>37.799999999999997</v>
      </c>
      <c r="BC372" s="17">
        <f t="shared" si="1604"/>
        <v>32</v>
      </c>
      <c r="BD372" s="17">
        <f t="shared" si="1605"/>
        <v>85</v>
      </c>
      <c r="BE372" s="17">
        <f t="shared" si="1606"/>
        <v>180.86341983910182</v>
      </c>
      <c r="BF372" s="17">
        <f t="shared" si="1607"/>
        <v>24</v>
      </c>
      <c r="BG372" s="17">
        <f t="shared" si="1608"/>
        <v>50</v>
      </c>
      <c r="BH372" s="17">
        <f t="shared" si="1609"/>
        <v>65.062647806544774</v>
      </c>
      <c r="BI372" s="17">
        <f t="shared" si="1610"/>
        <v>115.80077203255705</v>
      </c>
      <c r="BJ372" s="17">
        <f t="shared" si="1611"/>
        <v>45</v>
      </c>
      <c r="BK372" s="17">
        <f t="shared" si="1612"/>
        <v>85</v>
      </c>
      <c r="BL372" s="17">
        <f t="shared" si="1613"/>
        <v>380.54120080897206</v>
      </c>
      <c r="BM372" s="17">
        <f t="shared" si="1614"/>
        <v>24</v>
      </c>
      <c r="BN372" s="17">
        <f t="shared" si="1615"/>
        <v>50</v>
      </c>
      <c r="BO372" s="17">
        <f t="shared" si="1616"/>
        <v>65.062647806544774</v>
      </c>
      <c r="BP372" s="17">
        <f t="shared" si="1617"/>
        <v>315.4785530024273</v>
      </c>
      <c r="BQ372" s="17">
        <f t="shared" si="1618"/>
        <v>3777.6896639999995</v>
      </c>
      <c r="BR372" s="17">
        <f t="shared" si="1619"/>
        <v>1439.1198719999991</v>
      </c>
      <c r="BS372" s="17">
        <f t="shared" si="1620"/>
        <v>292.84415999999976</v>
      </c>
      <c r="BT372" s="17">
        <f t="shared" si="1621"/>
        <v>768.71591999999987</v>
      </c>
      <c r="BU372" s="17">
        <f t="shared" si="1622"/>
        <v>23269.68</v>
      </c>
      <c r="BV372" s="17">
        <f t="shared" si="1623"/>
        <v>10236</v>
      </c>
      <c r="BW372" s="17">
        <f t="shared" si="1624"/>
        <v>269.84143199999994</v>
      </c>
      <c r="BX372" s="17">
        <f t="shared" si="1625"/>
        <v>17495.999999999989</v>
      </c>
      <c r="BY372" s="17">
        <f t="shared" si="1626"/>
        <v>2904.6392266751996</v>
      </c>
      <c r="BZ372" s="17"/>
      <c r="CA372" s="17">
        <f t="shared" si="1627"/>
        <v>85810.166416660228</v>
      </c>
      <c r="CB372" s="17">
        <f t="shared" si="1628"/>
        <v>241341.0930468569</v>
      </c>
      <c r="CC372" s="17">
        <f t="shared" si="1629"/>
        <v>15263.544448201927</v>
      </c>
      <c r="CD372" s="17">
        <f t="shared" si="1630"/>
        <v>137371.90003381731</v>
      </c>
      <c r="CE372" s="17">
        <f t="shared" si="1631"/>
        <v>57953.850322675185</v>
      </c>
      <c r="CF372" s="17">
        <f t="shared" si="1632"/>
        <v>479786.7039455364</v>
      </c>
      <c r="CG372" s="17">
        <f t="shared" si="1633"/>
        <v>537740.55426821159</v>
      </c>
      <c r="CH372" s="17">
        <f t="shared" si="1634"/>
        <v>14.400000000000006</v>
      </c>
      <c r="CI372" s="17">
        <f t="shared" si="1635"/>
        <v>-43.2</v>
      </c>
      <c r="CJ372" s="17">
        <f t="shared" si="1636"/>
        <v>16</v>
      </c>
      <c r="CK372" s="17">
        <f t="shared" si="1637"/>
        <v>90</v>
      </c>
      <c r="CL372" s="17">
        <f t="shared" si="1638"/>
        <v>71.46880726181422</v>
      </c>
      <c r="CM372" s="17">
        <f t="shared" si="1639"/>
        <v>24</v>
      </c>
      <c r="CN372" s="17">
        <f t="shared" si="1640"/>
        <v>50</v>
      </c>
      <c r="CO372" s="17">
        <f t="shared" si="1641"/>
        <v>65.062647806544774</v>
      </c>
      <c r="CP372" s="17">
        <f t="shared" si="1642"/>
        <v>6.4061594552694459</v>
      </c>
      <c r="CQ372" s="17">
        <f t="shared" si="1643"/>
        <v>0</v>
      </c>
      <c r="CR372" s="17">
        <f t="shared" si="1644"/>
        <v>100</v>
      </c>
      <c r="CS372" s="17">
        <f t="shared" si="1645"/>
        <v>26.404773030064671</v>
      </c>
      <c r="CT372" s="17">
        <f t="shared" si="1646"/>
        <v>24</v>
      </c>
      <c r="CU372" s="17">
        <f t="shared" si="1647"/>
        <v>50</v>
      </c>
      <c r="CV372" s="17">
        <f t="shared" si="1648"/>
        <v>65.062647806544774</v>
      </c>
      <c r="CW372" s="17">
        <f t="shared" si="1649"/>
        <v>-38.657874776480099</v>
      </c>
      <c r="CX372" s="17">
        <f t="shared" si="1587"/>
        <v>-4317.3596159999997</v>
      </c>
      <c r="CY372" s="17">
        <f t="shared" si="1587"/>
        <v>-4317.3596159999997</v>
      </c>
      <c r="CZ372" s="17">
        <f t="shared" si="1650"/>
        <v>292.8441600000001</v>
      </c>
      <c r="DA372" s="17">
        <f t="shared" si="1651"/>
        <v>-878.53247999999996</v>
      </c>
      <c r="DB372" s="17">
        <f t="shared" si="1652"/>
        <v>-26593.920000000002</v>
      </c>
      <c r="DC372" s="17">
        <f t="shared" si="1653"/>
        <v>10236</v>
      </c>
      <c r="DD372" s="17">
        <f t="shared" si="1654"/>
        <v>269.84143199999994</v>
      </c>
      <c r="DE372" s="17">
        <f t="shared" si="1655"/>
        <v>17496.000000000007</v>
      </c>
      <c r="DF372" s="17">
        <f t="shared" si="1656"/>
        <v>-3319.5876876288003</v>
      </c>
      <c r="DG372" s="17"/>
      <c r="DH372" s="17">
        <f t="shared" si="1657"/>
        <v>-10514.941939202587</v>
      </c>
      <c r="DI372" s="17">
        <f t="shared" si="1658"/>
        <v>-29573.274204007277</v>
      </c>
      <c r="DJ372" s="17">
        <f t="shared" si="1659"/>
        <v>-1870.3527840743209</v>
      </c>
      <c r="DK372" s="17">
        <f t="shared" si="1660"/>
        <v>2789.4964266657994</v>
      </c>
      <c r="DL372" s="17">
        <f t="shared" si="1661"/>
        <v>-6814.7141916287928</v>
      </c>
      <c r="DM372" s="17">
        <f t="shared" si="1662"/>
        <v>-39169.072500618386</v>
      </c>
      <c r="DN372" s="17">
        <f t="shared" si="1663"/>
        <v>-45983.78669224718</v>
      </c>
    </row>
    <row r="373" spans="3:120" ht="18.600000000000001">
      <c r="C373" s="13">
        <f>IF(D373&lt;&gt;"",COUNTA($D$10:D373),"")</f>
        <v>310</v>
      </c>
      <c r="D373" s="14" t="s">
        <v>203</v>
      </c>
      <c r="E373" s="14">
        <v>2.1</v>
      </c>
      <c r="F373" s="14">
        <v>3.5</v>
      </c>
      <c r="G373" s="14">
        <v>2.4</v>
      </c>
      <c r="H373" s="14">
        <v>0</v>
      </c>
      <c r="I373" s="14">
        <v>1</v>
      </c>
      <c r="J373" s="14">
        <v>1.75</v>
      </c>
      <c r="K373" s="14">
        <v>3</v>
      </c>
      <c r="L373" s="15">
        <v>0.1</v>
      </c>
      <c r="M373" s="15">
        <v>0</v>
      </c>
      <c r="N373" s="14">
        <v>24</v>
      </c>
      <c r="O373" s="14">
        <v>50</v>
      </c>
      <c r="P373" s="13">
        <v>45</v>
      </c>
      <c r="Q373" s="13">
        <v>85</v>
      </c>
      <c r="R373" s="13" t="s">
        <v>14</v>
      </c>
      <c r="S373" s="13">
        <v>120</v>
      </c>
      <c r="T373" s="13">
        <v>0</v>
      </c>
      <c r="U373" s="13">
        <v>100</v>
      </c>
      <c r="V373" s="13" t="str">
        <f t="shared" si="1588"/>
        <v>ISO 7</v>
      </c>
      <c r="W373" s="13">
        <f t="shared" si="1589"/>
        <v>120</v>
      </c>
      <c r="X373" s="16">
        <f t="shared" si="1590"/>
        <v>79.085999999999999</v>
      </c>
      <c r="Y373" s="16">
        <f t="shared" si="1591"/>
        <v>622.56499199999996</v>
      </c>
      <c r="Z373" s="16">
        <f t="shared" si="1592"/>
        <v>1245.1299839999999</v>
      </c>
      <c r="AA373" s="16">
        <f t="shared" si="1593"/>
        <v>124.5129984</v>
      </c>
      <c r="AB373" s="16">
        <f t="shared" si="1594"/>
        <v>0</v>
      </c>
      <c r="AC373" s="16">
        <f t="shared" si="1595"/>
        <v>11.454213200559018</v>
      </c>
      <c r="AD373" s="16">
        <f t="shared" si="1596"/>
        <v>2375</v>
      </c>
      <c r="AE373" s="16">
        <f t="shared" si="1597"/>
        <v>2375</v>
      </c>
      <c r="AF373" s="16">
        <f t="shared" si="1598"/>
        <v>10</v>
      </c>
      <c r="AG373" s="16">
        <f t="shared" si="1599"/>
        <v>6</v>
      </c>
      <c r="AH373" s="838" t="s">
        <v>85</v>
      </c>
      <c r="AI373" s="17">
        <f t="shared" si="1600"/>
        <v>3</v>
      </c>
      <c r="AJ373" s="17">
        <f t="shared" si="1601"/>
        <v>6</v>
      </c>
      <c r="AK373" s="891"/>
      <c r="AL373" s="18">
        <f>IF(AK370&lt;=2000,950,(IF(AK370&lt;=4000,1100,(IF(AK370&lt;=6000,1250,(IF(AK370&lt;=10000,1550,(IF(AK370&lt;=15000,1750,(IF(AK370&lt;=24000,2050,(IF(AK370&lt;=40000,2900,3600)))))))))))))</f>
        <v>3600</v>
      </c>
      <c r="AM373" s="889"/>
      <c r="AN373" s="891"/>
      <c r="AO373" s="888"/>
      <c r="AP373" s="891"/>
      <c r="AQ373" s="891"/>
      <c r="AR373" s="889"/>
      <c r="AS373" s="888"/>
      <c r="AT373" s="888"/>
      <c r="AU373" s="890"/>
      <c r="AV373" s="888"/>
      <c r="AW373" s="888"/>
      <c r="AX373" s="888"/>
      <c r="AY373" s="887"/>
      <c r="AZ373" s="888"/>
      <c r="BA373" s="17">
        <f t="shared" si="1602"/>
        <v>14.399999999999991</v>
      </c>
      <c r="BB373" s="17">
        <f t="shared" si="1603"/>
        <v>37.799999999999997</v>
      </c>
      <c r="BC373" s="17">
        <f t="shared" si="1604"/>
        <v>32</v>
      </c>
      <c r="BD373" s="17">
        <f t="shared" si="1605"/>
        <v>85</v>
      </c>
      <c r="BE373" s="17">
        <f t="shared" si="1606"/>
        <v>180.86341983910182</v>
      </c>
      <c r="BF373" s="17">
        <f t="shared" si="1607"/>
        <v>24</v>
      </c>
      <c r="BG373" s="17">
        <f t="shared" si="1608"/>
        <v>50</v>
      </c>
      <c r="BH373" s="17">
        <f t="shared" si="1609"/>
        <v>65.062647806544774</v>
      </c>
      <c r="BI373" s="17">
        <f t="shared" si="1610"/>
        <v>115.80077203255705</v>
      </c>
      <c r="BJ373" s="17">
        <f t="shared" si="1611"/>
        <v>45</v>
      </c>
      <c r="BK373" s="17">
        <f t="shared" si="1612"/>
        <v>85</v>
      </c>
      <c r="BL373" s="17">
        <f t="shared" si="1613"/>
        <v>380.54120080897206</v>
      </c>
      <c r="BM373" s="17">
        <f t="shared" si="1614"/>
        <v>24</v>
      </c>
      <c r="BN373" s="17">
        <f t="shared" si="1615"/>
        <v>50</v>
      </c>
      <c r="BO373" s="17">
        <f t="shared" si="1616"/>
        <v>65.062647806544774</v>
      </c>
      <c r="BP373" s="17">
        <f t="shared" si="1617"/>
        <v>315.4785530024273</v>
      </c>
      <c r="BQ373" s="17">
        <f t="shared" si="1618"/>
        <v>4919.7818879999995</v>
      </c>
      <c r="BR373" s="17">
        <f t="shared" si="1619"/>
        <v>1874.2026239999989</v>
      </c>
      <c r="BS373" s="17">
        <f t="shared" si="1620"/>
        <v>512.47727999999972</v>
      </c>
      <c r="BT373" s="17">
        <f t="shared" si="1621"/>
        <v>1345.2528599999998</v>
      </c>
      <c r="BU373" s="17">
        <f t="shared" si="1622"/>
        <v>0</v>
      </c>
      <c r="BV373" s="17">
        <f t="shared" si="1623"/>
        <v>3412</v>
      </c>
      <c r="BW373" s="17">
        <f t="shared" si="1624"/>
        <v>472.22250599999995</v>
      </c>
      <c r="BX373" s="17">
        <f t="shared" si="1625"/>
        <v>17495.999999999989</v>
      </c>
      <c r="BY373" s="17">
        <f t="shared" si="1626"/>
        <v>5083.1186466815998</v>
      </c>
      <c r="BZ373" s="17"/>
      <c r="CA373" s="17">
        <f t="shared" si="1627"/>
        <v>0</v>
      </c>
      <c r="CB373" s="17">
        <f t="shared" si="1628"/>
        <v>241341.0930468569</v>
      </c>
      <c r="CC373" s="17">
        <f t="shared" si="1629"/>
        <v>26711.202784353376</v>
      </c>
      <c r="CD373" s="17">
        <f t="shared" si="1630"/>
        <v>240400.82505918032</v>
      </c>
      <c r="CE373" s="17">
        <f t="shared" si="1631"/>
        <v>31383.123040681588</v>
      </c>
      <c r="CF373" s="17">
        <f t="shared" si="1632"/>
        <v>508453.12089039059</v>
      </c>
      <c r="CG373" s="17">
        <f t="shared" si="1633"/>
        <v>539836.24393107218</v>
      </c>
      <c r="CH373" s="17">
        <f t="shared" si="1634"/>
        <v>14.400000000000006</v>
      </c>
      <c r="CI373" s="17">
        <f t="shared" si="1635"/>
        <v>-43.2</v>
      </c>
      <c r="CJ373" s="17">
        <f t="shared" si="1636"/>
        <v>16</v>
      </c>
      <c r="CK373" s="17">
        <f t="shared" si="1637"/>
        <v>90</v>
      </c>
      <c r="CL373" s="17">
        <f t="shared" si="1638"/>
        <v>71.46880726181422</v>
      </c>
      <c r="CM373" s="17">
        <f t="shared" si="1639"/>
        <v>24</v>
      </c>
      <c r="CN373" s="17">
        <f t="shared" si="1640"/>
        <v>50</v>
      </c>
      <c r="CO373" s="17">
        <f t="shared" si="1641"/>
        <v>65.062647806544774</v>
      </c>
      <c r="CP373" s="17">
        <f t="shared" si="1642"/>
        <v>6.4061594552694459</v>
      </c>
      <c r="CQ373" s="17">
        <f t="shared" si="1643"/>
        <v>0</v>
      </c>
      <c r="CR373" s="17">
        <f t="shared" si="1644"/>
        <v>100</v>
      </c>
      <c r="CS373" s="17">
        <f t="shared" si="1645"/>
        <v>26.404773030064671</v>
      </c>
      <c r="CT373" s="17">
        <f t="shared" si="1646"/>
        <v>24</v>
      </c>
      <c r="CU373" s="17">
        <f t="shared" si="1647"/>
        <v>50</v>
      </c>
      <c r="CV373" s="17">
        <f t="shared" si="1648"/>
        <v>65.062647806544774</v>
      </c>
      <c r="CW373" s="17">
        <f t="shared" si="1649"/>
        <v>-38.657874776480099</v>
      </c>
      <c r="CX373" s="17">
        <f t="shared" si="1587"/>
        <v>-5622.6078720000005</v>
      </c>
      <c r="CY373" s="17">
        <f t="shared" si="1587"/>
        <v>-5622.6078720000005</v>
      </c>
      <c r="CZ373" s="17">
        <f t="shared" si="1650"/>
        <v>512.47728000000018</v>
      </c>
      <c r="DA373" s="17">
        <f t="shared" si="1651"/>
        <v>-1537.4318400000002</v>
      </c>
      <c r="DB373" s="17">
        <f t="shared" si="1652"/>
        <v>0</v>
      </c>
      <c r="DC373" s="17">
        <f t="shared" si="1653"/>
        <v>3412</v>
      </c>
      <c r="DD373" s="17">
        <f t="shared" si="1654"/>
        <v>472.22250599999995</v>
      </c>
      <c r="DE373" s="17">
        <f t="shared" si="1655"/>
        <v>17496.000000000007</v>
      </c>
      <c r="DF373" s="17">
        <f t="shared" si="1656"/>
        <v>-5809.2784533504</v>
      </c>
      <c r="DG373" s="17"/>
      <c r="DH373" s="17">
        <f t="shared" si="1657"/>
        <v>0</v>
      </c>
      <c r="DI373" s="17">
        <f t="shared" si="1658"/>
        <v>-29573.274204007277</v>
      </c>
      <c r="DJ373" s="17">
        <f t="shared" si="1659"/>
        <v>-3273.117372130062</v>
      </c>
      <c r="DK373" s="17">
        <f t="shared" si="1660"/>
        <v>4881.618746665149</v>
      </c>
      <c r="DL373" s="17">
        <f t="shared" si="1661"/>
        <v>8923.3816206496067</v>
      </c>
      <c r="DM373" s="17">
        <f t="shared" si="1662"/>
        <v>-27964.772829472186</v>
      </c>
      <c r="DN373" s="17">
        <f t="shared" si="1663"/>
        <v>-19041.391208822577</v>
      </c>
    </row>
    <row r="374" spans="3:120" ht="18.600000000000001">
      <c r="C374" s="13">
        <f>IF(D374&lt;&gt;"",COUNTA($D$10:D374),"")</f>
        <v>311</v>
      </c>
      <c r="D374" s="14" t="s">
        <v>204</v>
      </c>
      <c r="E374" s="14">
        <v>2.7</v>
      </c>
      <c r="F374" s="14">
        <v>4</v>
      </c>
      <c r="G374" s="14">
        <v>2.4</v>
      </c>
      <c r="H374" s="14">
        <v>2</v>
      </c>
      <c r="I374" s="14">
        <v>1</v>
      </c>
      <c r="J374" s="14">
        <v>1.75</v>
      </c>
      <c r="K374" s="14">
        <v>3</v>
      </c>
      <c r="L374" s="15">
        <v>0.1</v>
      </c>
      <c r="M374" s="15">
        <v>0</v>
      </c>
      <c r="N374" s="14">
        <v>24</v>
      </c>
      <c r="O374" s="14">
        <v>50</v>
      </c>
      <c r="P374" s="13">
        <v>45</v>
      </c>
      <c r="Q374" s="13">
        <v>85</v>
      </c>
      <c r="R374" s="13" t="s">
        <v>14</v>
      </c>
      <c r="S374" s="13">
        <v>120</v>
      </c>
      <c r="T374" s="13">
        <v>0</v>
      </c>
      <c r="U374" s="13">
        <v>100</v>
      </c>
      <c r="V374" s="13" t="str">
        <f t="shared" si="1588"/>
        <v>ISO 7</v>
      </c>
      <c r="W374" s="13">
        <f t="shared" si="1589"/>
        <v>120</v>
      </c>
      <c r="X374" s="16">
        <f t="shared" si="1590"/>
        <v>116.208</v>
      </c>
      <c r="Y374" s="16">
        <f t="shared" si="1591"/>
        <v>914.78937599999995</v>
      </c>
      <c r="Z374" s="16">
        <f t="shared" si="1592"/>
        <v>1829.5787519999999</v>
      </c>
      <c r="AA374" s="16">
        <f t="shared" si="1593"/>
        <v>182.95787519999999</v>
      </c>
      <c r="AB374" s="16">
        <f t="shared" si="1594"/>
        <v>0</v>
      </c>
      <c r="AC374" s="16">
        <f t="shared" si="1595"/>
        <v>16.830680621229575</v>
      </c>
      <c r="AD374" s="16">
        <f t="shared" si="1596"/>
        <v>3375</v>
      </c>
      <c r="AE374" s="16">
        <f t="shared" si="1597"/>
        <v>3375</v>
      </c>
      <c r="AF374" s="16">
        <f t="shared" si="1598"/>
        <v>14</v>
      </c>
      <c r="AG374" s="16">
        <f t="shared" si="1599"/>
        <v>8.5</v>
      </c>
      <c r="AH374" s="838" t="s">
        <v>85</v>
      </c>
      <c r="AI374" s="17">
        <f t="shared" si="1600"/>
        <v>5</v>
      </c>
      <c r="AJ374" s="17">
        <f t="shared" si="1601"/>
        <v>8.5</v>
      </c>
      <c r="AK374" s="891"/>
      <c r="AL374" s="18" t="s">
        <v>256</v>
      </c>
      <c r="AM374" s="889"/>
      <c r="AN374" s="891"/>
      <c r="AO374" s="888"/>
      <c r="AP374" s="891"/>
      <c r="AQ374" s="891"/>
      <c r="AR374" s="889"/>
      <c r="AS374" s="888"/>
      <c r="AT374" s="888"/>
      <c r="AU374" s="890"/>
      <c r="AV374" s="888"/>
      <c r="AW374" s="888"/>
      <c r="AX374" s="888"/>
      <c r="AY374" s="887"/>
      <c r="AZ374" s="888"/>
      <c r="BA374" s="17">
        <f t="shared" si="1602"/>
        <v>14.399999999999991</v>
      </c>
      <c r="BB374" s="17">
        <f t="shared" si="1603"/>
        <v>37.799999999999997</v>
      </c>
      <c r="BC374" s="17">
        <f t="shared" si="1604"/>
        <v>32</v>
      </c>
      <c r="BD374" s="17">
        <f t="shared" si="1605"/>
        <v>85</v>
      </c>
      <c r="BE374" s="17">
        <f t="shared" si="1606"/>
        <v>180.86341983910182</v>
      </c>
      <c r="BF374" s="17">
        <f t="shared" si="1607"/>
        <v>24</v>
      </c>
      <c r="BG374" s="17">
        <f t="shared" si="1608"/>
        <v>50</v>
      </c>
      <c r="BH374" s="17">
        <f t="shared" si="1609"/>
        <v>65.062647806544774</v>
      </c>
      <c r="BI374" s="17">
        <f t="shared" si="1610"/>
        <v>115.80077203255705</v>
      </c>
      <c r="BJ374" s="17">
        <f t="shared" si="1611"/>
        <v>45</v>
      </c>
      <c r="BK374" s="17">
        <f t="shared" si="1612"/>
        <v>85</v>
      </c>
      <c r="BL374" s="17">
        <f t="shared" si="1613"/>
        <v>380.54120080897206</v>
      </c>
      <c r="BM374" s="17">
        <f t="shared" si="1614"/>
        <v>24</v>
      </c>
      <c r="BN374" s="17">
        <f t="shared" si="1615"/>
        <v>50</v>
      </c>
      <c r="BO374" s="17">
        <f t="shared" si="1616"/>
        <v>65.062647806544774</v>
      </c>
      <c r="BP374" s="17">
        <f t="shared" si="1617"/>
        <v>315.4785530024273</v>
      </c>
      <c r="BQ374" s="17">
        <f t="shared" si="1618"/>
        <v>5886.1676159999997</v>
      </c>
      <c r="BR374" s="17">
        <f t="shared" si="1619"/>
        <v>2242.3495679999987</v>
      </c>
      <c r="BS374" s="17">
        <f t="shared" si="1620"/>
        <v>753.02783999999963</v>
      </c>
      <c r="BT374" s="17">
        <f t="shared" si="1621"/>
        <v>1976.6980799999997</v>
      </c>
      <c r="BU374" s="17">
        <f t="shared" si="1622"/>
        <v>23269.68</v>
      </c>
      <c r="BV374" s="17">
        <f t="shared" si="1623"/>
        <v>3412</v>
      </c>
      <c r="BW374" s="17">
        <f t="shared" si="1624"/>
        <v>693.87796800000001</v>
      </c>
      <c r="BX374" s="17">
        <f t="shared" si="1625"/>
        <v>17495.999999999989</v>
      </c>
      <c r="BY374" s="17">
        <f t="shared" si="1626"/>
        <v>7469.0722971647992</v>
      </c>
      <c r="BZ374" s="17"/>
      <c r="CA374" s="17">
        <f t="shared" si="1627"/>
        <v>85810.166416660228</v>
      </c>
      <c r="CB374" s="17">
        <f t="shared" si="1628"/>
        <v>241341.0930468569</v>
      </c>
      <c r="CC374" s="17">
        <f t="shared" si="1629"/>
        <v>39249.114295376385</v>
      </c>
      <c r="CD374" s="17">
        <f t="shared" si="1630"/>
        <v>353242.02865838748</v>
      </c>
      <c r="CE374" s="17">
        <f t="shared" si="1631"/>
        <v>58226.797881164784</v>
      </c>
      <c r="CF374" s="17">
        <f t="shared" si="1632"/>
        <v>719642.40241728094</v>
      </c>
      <c r="CG374" s="17">
        <f t="shared" si="1633"/>
        <v>777869.20029844576</v>
      </c>
      <c r="CH374" s="17">
        <f t="shared" si="1634"/>
        <v>14.400000000000006</v>
      </c>
      <c r="CI374" s="17">
        <f t="shared" si="1635"/>
        <v>-43.2</v>
      </c>
      <c r="CJ374" s="17">
        <f t="shared" si="1636"/>
        <v>16</v>
      </c>
      <c r="CK374" s="17">
        <f t="shared" si="1637"/>
        <v>90</v>
      </c>
      <c r="CL374" s="17">
        <f t="shared" si="1638"/>
        <v>71.46880726181422</v>
      </c>
      <c r="CM374" s="17">
        <f t="shared" si="1639"/>
        <v>24</v>
      </c>
      <c r="CN374" s="17">
        <f t="shared" si="1640"/>
        <v>50</v>
      </c>
      <c r="CO374" s="17">
        <f t="shared" si="1641"/>
        <v>65.062647806544774</v>
      </c>
      <c r="CP374" s="17">
        <f t="shared" si="1642"/>
        <v>6.4061594552694459</v>
      </c>
      <c r="CQ374" s="17">
        <f t="shared" si="1643"/>
        <v>0</v>
      </c>
      <c r="CR374" s="17">
        <f t="shared" si="1644"/>
        <v>100</v>
      </c>
      <c r="CS374" s="17">
        <f t="shared" si="1645"/>
        <v>26.404773030064671</v>
      </c>
      <c r="CT374" s="17">
        <f t="shared" si="1646"/>
        <v>24</v>
      </c>
      <c r="CU374" s="17">
        <f t="shared" si="1647"/>
        <v>50</v>
      </c>
      <c r="CV374" s="17">
        <f t="shared" si="1648"/>
        <v>65.062647806544774</v>
      </c>
      <c r="CW374" s="17">
        <f t="shared" si="1649"/>
        <v>-38.657874776480099</v>
      </c>
      <c r="CX374" s="17">
        <f t="shared" si="1587"/>
        <v>-6727.0487040000007</v>
      </c>
      <c r="CY374" s="17">
        <f t="shared" si="1587"/>
        <v>-6727.0487040000007</v>
      </c>
      <c r="CZ374" s="17">
        <f t="shared" si="1650"/>
        <v>753.02784000000031</v>
      </c>
      <c r="DA374" s="17">
        <f t="shared" si="1651"/>
        <v>-2259.0835200000006</v>
      </c>
      <c r="DB374" s="17">
        <f t="shared" si="1652"/>
        <v>-26593.920000000002</v>
      </c>
      <c r="DC374" s="17">
        <f t="shared" si="1653"/>
        <v>3412</v>
      </c>
      <c r="DD374" s="17">
        <f t="shared" si="1654"/>
        <v>693.87796800000001</v>
      </c>
      <c r="DE374" s="17">
        <f t="shared" si="1655"/>
        <v>17496.000000000007</v>
      </c>
      <c r="DF374" s="17">
        <f t="shared" si="1656"/>
        <v>-8536.0826253312007</v>
      </c>
      <c r="DG374" s="17"/>
      <c r="DH374" s="17">
        <f t="shared" si="1657"/>
        <v>-10514.941939202587</v>
      </c>
      <c r="DI374" s="17">
        <f t="shared" si="1658"/>
        <v>-29573.274204007277</v>
      </c>
      <c r="DJ374" s="17">
        <f t="shared" si="1659"/>
        <v>-4809.478587619682</v>
      </c>
      <c r="DK374" s="17">
        <f t="shared" si="1660"/>
        <v>7172.9908114263426</v>
      </c>
      <c r="DL374" s="17">
        <f t="shared" si="1661"/>
        <v>-21761.229041331197</v>
      </c>
      <c r="DM374" s="17">
        <f t="shared" si="1662"/>
        <v>-37724.703919403204</v>
      </c>
      <c r="DN374" s="17">
        <f t="shared" si="1663"/>
        <v>-59485.932960734397</v>
      </c>
    </row>
    <row r="375" spans="3:120" ht="18.600000000000001">
      <c r="C375" s="13">
        <f>IF(D375&lt;&gt;"",COUNTA($D$10:D375),"")</f>
        <v>312</v>
      </c>
      <c r="D375" s="14" t="s">
        <v>205</v>
      </c>
      <c r="E375" s="14">
        <v>3.8</v>
      </c>
      <c r="F375" s="14">
        <v>4.2</v>
      </c>
      <c r="G375" s="14">
        <v>2.4</v>
      </c>
      <c r="H375" s="14">
        <v>3</v>
      </c>
      <c r="I375" s="14">
        <v>3</v>
      </c>
      <c r="J375" s="14">
        <v>1.75</v>
      </c>
      <c r="K375" s="14">
        <v>3</v>
      </c>
      <c r="L375" s="15">
        <v>0.1</v>
      </c>
      <c r="M375" s="15">
        <v>0</v>
      </c>
      <c r="N375" s="14">
        <v>24</v>
      </c>
      <c r="O375" s="14">
        <v>50</v>
      </c>
      <c r="P375" s="13">
        <v>45</v>
      </c>
      <c r="Q375" s="13">
        <v>85</v>
      </c>
      <c r="R375" s="13" t="s">
        <v>14</v>
      </c>
      <c r="S375" s="13">
        <v>120</v>
      </c>
      <c r="T375" s="13">
        <v>0</v>
      </c>
      <c r="U375" s="13">
        <v>100</v>
      </c>
      <c r="V375" s="13" t="str">
        <f t="shared" si="1588"/>
        <v>ISO 7</v>
      </c>
      <c r="W375" s="13">
        <f t="shared" si="1589"/>
        <v>120</v>
      </c>
      <c r="X375" s="16">
        <f t="shared" si="1590"/>
        <v>171.72959999999998</v>
      </c>
      <c r="Y375" s="16">
        <f t="shared" si="1591"/>
        <v>1351.8554111999997</v>
      </c>
      <c r="Z375" s="16">
        <f t="shared" si="1592"/>
        <v>2703.7108223999994</v>
      </c>
      <c r="AA375" s="16">
        <f t="shared" si="1593"/>
        <v>270.37108223999996</v>
      </c>
      <c r="AB375" s="16">
        <f t="shared" si="1594"/>
        <v>0</v>
      </c>
      <c r="AC375" s="16">
        <f t="shared" si="1595"/>
        <v>24.872005806928151</v>
      </c>
      <c r="AD375" s="16">
        <f t="shared" si="1596"/>
        <v>4450</v>
      </c>
      <c r="AE375" s="16">
        <f t="shared" si="1597"/>
        <v>4450</v>
      </c>
      <c r="AF375" s="16">
        <f t="shared" si="1598"/>
        <v>18</v>
      </c>
      <c r="AG375" s="16">
        <f t="shared" si="1599"/>
        <v>11.5</v>
      </c>
      <c r="AH375" s="838" t="s">
        <v>85</v>
      </c>
      <c r="AI375" s="17">
        <f t="shared" si="1600"/>
        <v>7</v>
      </c>
      <c r="AJ375" s="17">
        <f t="shared" si="1601"/>
        <v>11.5</v>
      </c>
      <c r="AK375" s="891"/>
      <c r="AL375" s="18">
        <f>IF(AL379&lt;4000,AL379,AL379+400)</f>
        <v>5800</v>
      </c>
      <c r="AM375" s="889"/>
      <c r="AN375" s="891"/>
      <c r="AO375" s="888"/>
      <c r="AP375" s="891"/>
      <c r="AQ375" s="891"/>
      <c r="AR375" s="889"/>
      <c r="AS375" s="888"/>
      <c r="AT375" s="888"/>
      <c r="AU375" s="890"/>
      <c r="AV375" s="888"/>
      <c r="AW375" s="888"/>
      <c r="AX375" s="888"/>
      <c r="AY375" s="887"/>
      <c r="AZ375" s="888"/>
      <c r="BA375" s="17">
        <f t="shared" si="1602"/>
        <v>14.399999999999991</v>
      </c>
      <c r="BB375" s="17">
        <f t="shared" si="1603"/>
        <v>37.799999999999997</v>
      </c>
      <c r="BC375" s="17">
        <f t="shared" si="1604"/>
        <v>32</v>
      </c>
      <c r="BD375" s="17">
        <f t="shared" si="1605"/>
        <v>85</v>
      </c>
      <c r="BE375" s="17">
        <f t="shared" si="1606"/>
        <v>180.86341983910182</v>
      </c>
      <c r="BF375" s="17">
        <f t="shared" si="1607"/>
        <v>24</v>
      </c>
      <c r="BG375" s="17">
        <f t="shared" si="1608"/>
        <v>50</v>
      </c>
      <c r="BH375" s="17">
        <f t="shared" si="1609"/>
        <v>65.062647806544774</v>
      </c>
      <c r="BI375" s="17">
        <f t="shared" si="1610"/>
        <v>115.80077203255705</v>
      </c>
      <c r="BJ375" s="17">
        <f t="shared" si="1611"/>
        <v>45</v>
      </c>
      <c r="BK375" s="17">
        <f t="shared" si="1612"/>
        <v>85</v>
      </c>
      <c r="BL375" s="17">
        <f t="shared" si="1613"/>
        <v>380.54120080897206</v>
      </c>
      <c r="BM375" s="17">
        <f t="shared" si="1614"/>
        <v>24</v>
      </c>
      <c r="BN375" s="17">
        <f t="shared" si="1615"/>
        <v>50</v>
      </c>
      <c r="BO375" s="17">
        <f t="shared" si="1616"/>
        <v>65.062647806544774</v>
      </c>
      <c r="BP375" s="17">
        <f t="shared" si="1617"/>
        <v>315.4785530024273</v>
      </c>
      <c r="BQ375" s="17">
        <f t="shared" si="1618"/>
        <v>7028.2598399999997</v>
      </c>
      <c r="BR375" s="17">
        <f t="shared" si="1619"/>
        <v>2677.4323199999981</v>
      </c>
      <c r="BS375" s="17">
        <f t="shared" si="1620"/>
        <v>1112.8078079999991</v>
      </c>
      <c r="BT375" s="17">
        <f t="shared" si="1621"/>
        <v>2921.1204959999995</v>
      </c>
      <c r="BU375" s="17">
        <f t="shared" si="1622"/>
        <v>34904.520000000004</v>
      </c>
      <c r="BV375" s="17">
        <f t="shared" si="1623"/>
        <v>10236</v>
      </c>
      <c r="BW375" s="17">
        <f t="shared" si="1624"/>
        <v>1025.3974415999999</v>
      </c>
      <c r="BX375" s="17">
        <f t="shared" si="1625"/>
        <v>17495.999999999989</v>
      </c>
      <c r="BY375" s="17">
        <f t="shared" si="1626"/>
        <v>11037.62906136576</v>
      </c>
      <c r="BZ375" s="17"/>
      <c r="CA375" s="17">
        <f t="shared" si="1627"/>
        <v>128715.24962499036</v>
      </c>
      <c r="CB375" s="17">
        <f t="shared" si="1628"/>
        <v>241341.0930468569</v>
      </c>
      <c r="CC375" s="17">
        <f t="shared" si="1629"/>
        <v>58001.468903167319</v>
      </c>
      <c r="CD375" s="17">
        <f t="shared" si="1630"/>
        <v>522013.22012850584</v>
      </c>
      <c r="CE375" s="17">
        <f t="shared" si="1631"/>
        <v>81727.806342965749</v>
      </c>
      <c r="CF375" s="17">
        <f t="shared" si="1632"/>
        <v>950071.03170352045</v>
      </c>
      <c r="CG375" s="17">
        <f t="shared" si="1633"/>
        <v>1031798.8380464863</v>
      </c>
      <c r="CH375" s="17">
        <f t="shared" si="1634"/>
        <v>14.400000000000006</v>
      </c>
      <c r="CI375" s="17">
        <f t="shared" si="1635"/>
        <v>-43.2</v>
      </c>
      <c r="CJ375" s="17">
        <f t="shared" si="1636"/>
        <v>16</v>
      </c>
      <c r="CK375" s="17">
        <f t="shared" si="1637"/>
        <v>90</v>
      </c>
      <c r="CL375" s="17">
        <f t="shared" si="1638"/>
        <v>71.46880726181422</v>
      </c>
      <c r="CM375" s="17">
        <f t="shared" si="1639"/>
        <v>24</v>
      </c>
      <c r="CN375" s="17">
        <f t="shared" si="1640"/>
        <v>50</v>
      </c>
      <c r="CO375" s="17">
        <f t="shared" si="1641"/>
        <v>65.062647806544774</v>
      </c>
      <c r="CP375" s="17">
        <f t="shared" si="1642"/>
        <v>6.4061594552694459</v>
      </c>
      <c r="CQ375" s="17">
        <f t="shared" si="1643"/>
        <v>0</v>
      </c>
      <c r="CR375" s="17">
        <f t="shared" si="1644"/>
        <v>100</v>
      </c>
      <c r="CS375" s="17">
        <f t="shared" si="1645"/>
        <v>26.404773030064671</v>
      </c>
      <c r="CT375" s="17">
        <f t="shared" si="1646"/>
        <v>24</v>
      </c>
      <c r="CU375" s="17">
        <f t="shared" si="1647"/>
        <v>50</v>
      </c>
      <c r="CV375" s="17">
        <f t="shared" si="1648"/>
        <v>65.062647806544774</v>
      </c>
      <c r="CW375" s="17">
        <f t="shared" si="1649"/>
        <v>-38.657874776480099</v>
      </c>
      <c r="CX375" s="17">
        <f t="shared" si="1587"/>
        <v>-8032.2969600000006</v>
      </c>
      <c r="CY375" s="17">
        <f t="shared" si="1587"/>
        <v>-8032.2969600000006</v>
      </c>
      <c r="CZ375" s="17">
        <f t="shared" si="1650"/>
        <v>1112.8078080000003</v>
      </c>
      <c r="DA375" s="17">
        <f t="shared" si="1651"/>
        <v>-3338.4234240000001</v>
      </c>
      <c r="DB375" s="17">
        <f t="shared" si="1652"/>
        <v>-39890.880000000005</v>
      </c>
      <c r="DC375" s="17">
        <f t="shared" si="1653"/>
        <v>10236</v>
      </c>
      <c r="DD375" s="17">
        <f t="shared" si="1654"/>
        <v>1025.3974415999999</v>
      </c>
      <c r="DE375" s="17">
        <f t="shared" si="1655"/>
        <v>17496.000000000007</v>
      </c>
      <c r="DF375" s="17">
        <f t="shared" si="1656"/>
        <v>-12614.433212989441</v>
      </c>
      <c r="DG375" s="17"/>
      <c r="DH375" s="17">
        <f t="shared" si="1657"/>
        <v>-15772.412908803883</v>
      </c>
      <c r="DI375" s="17">
        <f t="shared" si="1658"/>
        <v>-29573.274204007277</v>
      </c>
      <c r="DJ375" s="17">
        <f t="shared" si="1659"/>
        <v>-7107.3405794824193</v>
      </c>
      <c r="DK375" s="17">
        <f t="shared" si="1660"/>
        <v>10600.086421330037</v>
      </c>
      <c r="DL375" s="17">
        <f t="shared" si="1661"/>
        <v>-34005.828347389441</v>
      </c>
      <c r="DM375" s="17">
        <f t="shared" si="1662"/>
        <v>-41852.941270963544</v>
      </c>
      <c r="DN375" s="17">
        <f t="shared" si="1663"/>
        <v>-75858.769618352992</v>
      </c>
    </row>
    <row r="376" spans="3:120" ht="18.600000000000001">
      <c r="C376" s="13">
        <f>IF(D376&lt;&gt;"",COUNTA($D$10:D376),"")</f>
        <v>313</v>
      </c>
      <c r="D376" s="14" t="s">
        <v>206</v>
      </c>
      <c r="E376" s="14">
        <v>3.1</v>
      </c>
      <c r="F376" s="14">
        <v>2.6</v>
      </c>
      <c r="G376" s="14">
        <v>2.4</v>
      </c>
      <c r="H376" s="14">
        <v>2</v>
      </c>
      <c r="I376" s="14">
        <v>1</v>
      </c>
      <c r="J376" s="14">
        <v>1.75</v>
      </c>
      <c r="K376" s="14">
        <v>3</v>
      </c>
      <c r="L376" s="15">
        <v>0.1</v>
      </c>
      <c r="M376" s="15">
        <v>0</v>
      </c>
      <c r="N376" s="14">
        <v>24</v>
      </c>
      <c r="O376" s="14">
        <v>50</v>
      </c>
      <c r="P376" s="13">
        <v>45</v>
      </c>
      <c r="Q376" s="13">
        <v>85</v>
      </c>
      <c r="R376" s="13" t="s">
        <v>14</v>
      </c>
      <c r="S376" s="13">
        <v>120</v>
      </c>
      <c r="T376" s="13">
        <v>0</v>
      </c>
      <c r="U376" s="13">
        <v>100</v>
      </c>
      <c r="V376" s="13" t="str">
        <f t="shared" si="1588"/>
        <v>ISO 7</v>
      </c>
      <c r="W376" s="13">
        <f t="shared" si="1589"/>
        <v>120</v>
      </c>
      <c r="X376" s="16">
        <f t="shared" si="1590"/>
        <v>86.7256</v>
      </c>
      <c r="Y376" s="16">
        <f t="shared" si="1591"/>
        <v>682.70392319999996</v>
      </c>
      <c r="Z376" s="16">
        <f t="shared" si="1592"/>
        <v>1365.4078463999999</v>
      </c>
      <c r="AA376" s="16">
        <f t="shared" si="1593"/>
        <v>136.54078464</v>
      </c>
      <c r="AB376" s="16">
        <f t="shared" si="1594"/>
        <v>0</v>
      </c>
      <c r="AC376" s="16">
        <f t="shared" si="1595"/>
        <v>12.560674611769482</v>
      </c>
      <c r="AD376" s="16">
        <f t="shared" si="1596"/>
        <v>2900</v>
      </c>
      <c r="AE376" s="16">
        <f t="shared" si="1597"/>
        <v>2900</v>
      </c>
      <c r="AF376" s="16">
        <f t="shared" si="1598"/>
        <v>12</v>
      </c>
      <c r="AG376" s="16">
        <f t="shared" si="1599"/>
        <v>7.5</v>
      </c>
      <c r="AH376" s="838" t="s">
        <v>85</v>
      </c>
      <c r="AI376" s="17">
        <f t="shared" si="1600"/>
        <v>5</v>
      </c>
      <c r="AJ376" s="17">
        <f t="shared" si="1601"/>
        <v>7.5</v>
      </c>
      <c r="AK376" s="891"/>
      <c r="AL376" s="18"/>
      <c r="AM376" s="889"/>
      <c r="AN376" s="891"/>
      <c r="AO376" s="888"/>
      <c r="AP376" s="891"/>
      <c r="AQ376" s="891"/>
      <c r="AR376" s="889"/>
      <c r="AS376" s="888"/>
      <c r="AT376" s="888"/>
      <c r="AU376" s="890"/>
      <c r="AV376" s="888"/>
      <c r="AW376" s="888"/>
      <c r="AX376" s="888"/>
      <c r="AY376" s="887"/>
      <c r="AZ376" s="888"/>
      <c r="BA376" s="17">
        <f t="shared" si="1602"/>
        <v>14.399999999999991</v>
      </c>
      <c r="BB376" s="17">
        <f t="shared" si="1603"/>
        <v>37.799999999999997</v>
      </c>
      <c r="BC376" s="17">
        <f t="shared" si="1604"/>
        <v>32</v>
      </c>
      <c r="BD376" s="17">
        <f t="shared" si="1605"/>
        <v>85</v>
      </c>
      <c r="BE376" s="17">
        <f t="shared" si="1606"/>
        <v>180.86341983910182</v>
      </c>
      <c r="BF376" s="17">
        <f t="shared" si="1607"/>
        <v>24</v>
      </c>
      <c r="BG376" s="17">
        <f t="shared" si="1608"/>
        <v>50</v>
      </c>
      <c r="BH376" s="17">
        <f t="shared" si="1609"/>
        <v>65.062647806544774</v>
      </c>
      <c r="BI376" s="17">
        <f t="shared" si="1610"/>
        <v>115.80077203255705</v>
      </c>
      <c r="BJ376" s="17">
        <f t="shared" si="1611"/>
        <v>45</v>
      </c>
      <c r="BK376" s="17">
        <f t="shared" si="1612"/>
        <v>85</v>
      </c>
      <c r="BL376" s="17">
        <f t="shared" si="1613"/>
        <v>380.54120080897206</v>
      </c>
      <c r="BM376" s="17">
        <f t="shared" si="1614"/>
        <v>24</v>
      </c>
      <c r="BN376" s="17">
        <f t="shared" si="1615"/>
        <v>50</v>
      </c>
      <c r="BO376" s="17">
        <f t="shared" si="1616"/>
        <v>65.062647806544774</v>
      </c>
      <c r="BP376" s="17">
        <f t="shared" si="1617"/>
        <v>315.4785530024273</v>
      </c>
      <c r="BQ376" s="17">
        <f t="shared" si="1618"/>
        <v>5007.6351359999999</v>
      </c>
      <c r="BR376" s="17">
        <f t="shared" si="1619"/>
        <v>1907.670527999999</v>
      </c>
      <c r="BS376" s="17">
        <f t="shared" si="1620"/>
        <v>561.98188799999969</v>
      </c>
      <c r="BT376" s="17">
        <f t="shared" si="1621"/>
        <v>1475.202456</v>
      </c>
      <c r="BU376" s="17">
        <f t="shared" si="1622"/>
        <v>23269.68</v>
      </c>
      <c r="BV376" s="17">
        <f t="shared" si="1623"/>
        <v>3412</v>
      </c>
      <c r="BW376" s="17">
        <f t="shared" si="1624"/>
        <v>517.83855759999994</v>
      </c>
      <c r="BX376" s="17">
        <f t="shared" si="1625"/>
        <v>17495.999999999989</v>
      </c>
      <c r="BY376" s="17">
        <f t="shared" si="1626"/>
        <v>5574.1409921433597</v>
      </c>
      <c r="BZ376" s="17"/>
      <c r="CA376" s="17">
        <f t="shared" si="1627"/>
        <v>85810.166416660228</v>
      </c>
      <c r="CB376" s="17">
        <f t="shared" si="1628"/>
        <v>241341.0930468569</v>
      </c>
      <c r="CC376" s="17">
        <f t="shared" si="1629"/>
        <v>29291.468631549415</v>
      </c>
      <c r="CD376" s="17">
        <f t="shared" si="1630"/>
        <v>263623.21768394468</v>
      </c>
      <c r="CE376" s="17">
        <f t="shared" si="1631"/>
        <v>55277.294685743349</v>
      </c>
      <c r="CF376" s="17">
        <f t="shared" si="1632"/>
        <v>620065.94577901112</v>
      </c>
      <c r="CG376" s="17">
        <f t="shared" si="1633"/>
        <v>675343.24046475452</v>
      </c>
      <c r="CH376" s="17">
        <f t="shared" si="1634"/>
        <v>14.400000000000006</v>
      </c>
      <c r="CI376" s="17">
        <f t="shared" si="1635"/>
        <v>-43.2</v>
      </c>
      <c r="CJ376" s="17">
        <f t="shared" si="1636"/>
        <v>16</v>
      </c>
      <c r="CK376" s="17">
        <f t="shared" si="1637"/>
        <v>90</v>
      </c>
      <c r="CL376" s="17">
        <f t="shared" si="1638"/>
        <v>71.46880726181422</v>
      </c>
      <c r="CM376" s="17">
        <f t="shared" si="1639"/>
        <v>24</v>
      </c>
      <c r="CN376" s="17">
        <f t="shared" si="1640"/>
        <v>50</v>
      </c>
      <c r="CO376" s="17">
        <f t="shared" si="1641"/>
        <v>65.062647806544774</v>
      </c>
      <c r="CP376" s="17">
        <f t="shared" si="1642"/>
        <v>6.4061594552694459</v>
      </c>
      <c r="CQ376" s="17">
        <f t="shared" si="1643"/>
        <v>0</v>
      </c>
      <c r="CR376" s="17">
        <f t="shared" si="1644"/>
        <v>100</v>
      </c>
      <c r="CS376" s="17">
        <f t="shared" si="1645"/>
        <v>26.404773030064671</v>
      </c>
      <c r="CT376" s="17">
        <f t="shared" si="1646"/>
        <v>24</v>
      </c>
      <c r="CU376" s="17">
        <f t="shared" si="1647"/>
        <v>50</v>
      </c>
      <c r="CV376" s="17">
        <f t="shared" si="1648"/>
        <v>65.062647806544774</v>
      </c>
      <c r="CW376" s="17">
        <f t="shared" si="1649"/>
        <v>-38.657874776480099</v>
      </c>
      <c r="CX376" s="17">
        <f t="shared" si="1587"/>
        <v>-5723.0115840000008</v>
      </c>
      <c r="CY376" s="17">
        <f t="shared" si="1587"/>
        <v>-5723.0115840000008</v>
      </c>
      <c r="CZ376" s="17">
        <f t="shared" si="1650"/>
        <v>561.98188800000014</v>
      </c>
      <c r="DA376" s="17">
        <f t="shared" si="1651"/>
        <v>-1685.9456640000001</v>
      </c>
      <c r="DB376" s="17">
        <f t="shared" si="1652"/>
        <v>-26593.920000000002</v>
      </c>
      <c r="DC376" s="17">
        <f t="shared" si="1653"/>
        <v>3412</v>
      </c>
      <c r="DD376" s="17">
        <f t="shared" si="1654"/>
        <v>517.83855759999994</v>
      </c>
      <c r="DE376" s="17">
        <f t="shared" si="1655"/>
        <v>17496.000000000007</v>
      </c>
      <c r="DF376" s="17">
        <f t="shared" si="1656"/>
        <v>-6370.4468481638405</v>
      </c>
      <c r="DG376" s="17"/>
      <c r="DH376" s="17">
        <f t="shared" si="1657"/>
        <v>-10514.941939202587</v>
      </c>
      <c r="DI376" s="17">
        <f t="shared" si="1658"/>
        <v>-29573.274204007277</v>
      </c>
      <c r="DJ376" s="17">
        <f t="shared" si="1659"/>
        <v>-3589.2960570569112</v>
      </c>
      <c r="DK376" s="17">
        <f t="shared" si="1660"/>
        <v>5353.1764759348434</v>
      </c>
      <c r="DL376" s="17">
        <f t="shared" si="1661"/>
        <v>-18385.503650563835</v>
      </c>
      <c r="DM376" s="17">
        <f t="shared" si="1662"/>
        <v>-38324.335724331933</v>
      </c>
      <c r="DN376" s="17">
        <f t="shared" si="1663"/>
        <v>-56709.839374895768</v>
      </c>
    </row>
    <row r="377" spans="3:120" ht="18.600000000000001">
      <c r="C377" s="13">
        <f>IF(D377&lt;&gt;"",COUNTA($D$10:D377),"")</f>
        <v>314</v>
      </c>
      <c r="D377" s="14" t="s">
        <v>207</v>
      </c>
      <c r="E377" s="14">
        <v>1.9</v>
      </c>
      <c r="F377" s="14">
        <v>2.4</v>
      </c>
      <c r="G377" s="14">
        <v>2.4</v>
      </c>
      <c r="H377" s="14">
        <v>3</v>
      </c>
      <c r="I377" s="14">
        <v>2</v>
      </c>
      <c r="J377" s="14">
        <v>1.75</v>
      </c>
      <c r="K377" s="14">
        <v>3</v>
      </c>
      <c r="L377" s="15">
        <v>0.1</v>
      </c>
      <c r="M377" s="15">
        <v>0</v>
      </c>
      <c r="N377" s="14">
        <v>24</v>
      </c>
      <c r="O377" s="14">
        <v>50</v>
      </c>
      <c r="P377" s="13">
        <v>45</v>
      </c>
      <c r="Q377" s="13">
        <v>85</v>
      </c>
      <c r="R377" s="13" t="s">
        <v>14</v>
      </c>
      <c r="S377" s="13">
        <v>120</v>
      </c>
      <c r="T377" s="13">
        <v>0</v>
      </c>
      <c r="U377" s="13">
        <v>100</v>
      </c>
      <c r="V377" s="13" t="str">
        <f t="shared" si="1588"/>
        <v>ISO 7</v>
      </c>
      <c r="W377" s="13">
        <f t="shared" si="1589"/>
        <v>120</v>
      </c>
      <c r="X377" s="16">
        <f t="shared" si="1590"/>
        <v>49.065599999999996</v>
      </c>
      <c r="Y377" s="16">
        <f t="shared" si="1591"/>
        <v>386.24440319999997</v>
      </c>
      <c r="Z377" s="16">
        <f t="shared" si="1592"/>
        <v>772.48880639999993</v>
      </c>
      <c r="AA377" s="16">
        <f t="shared" si="1593"/>
        <v>77.248880639999996</v>
      </c>
      <c r="AB377" s="16">
        <f t="shared" si="1594"/>
        <v>0</v>
      </c>
      <c r="AC377" s="16">
        <f t="shared" si="1595"/>
        <v>7.1062873734080432</v>
      </c>
      <c r="AD377" s="16">
        <f t="shared" si="1596"/>
        <v>2500</v>
      </c>
      <c r="AE377" s="16">
        <f t="shared" si="1597"/>
        <v>2500</v>
      </c>
      <c r="AF377" s="16">
        <f t="shared" si="1598"/>
        <v>10</v>
      </c>
      <c r="AG377" s="16">
        <f t="shared" si="1599"/>
        <v>6.5</v>
      </c>
      <c r="AH377" s="838" t="s">
        <v>85</v>
      </c>
      <c r="AI377" s="17">
        <f t="shared" si="1600"/>
        <v>6</v>
      </c>
      <c r="AJ377" s="17">
        <f t="shared" si="1601"/>
        <v>6.5</v>
      </c>
      <c r="AK377" s="891"/>
      <c r="AL377" s="18"/>
      <c r="AM377" s="889"/>
      <c r="AN377" s="891"/>
      <c r="AO377" s="888"/>
      <c r="AP377" s="891"/>
      <c r="AQ377" s="891"/>
      <c r="AR377" s="889"/>
      <c r="AS377" s="888"/>
      <c r="AT377" s="888"/>
      <c r="AU377" s="890"/>
      <c r="AV377" s="888"/>
      <c r="AW377" s="888"/>
      <c r="AX377" s="888"/>
      <c r="AY377" s="887"/>
      <c r="AZ377" s="888"/>
      <c r="BA377" s="17">
        <f t="shared" si="1602"/>
        <v>14.399999999999991</v>
      </c>
      <c r="BB377" s="17">
        <f t="shared" si="1603"/>
        <v>37.799999999999997</v>
      </c>
      <c r="BC377" s="17">
        <f t="shared" si="1604"/>
        <v>32</v>
      </c>
      <c r="BD377" s="17">
        <f t="shared" si="1605"/>
        <v>85</v>
      </c>
      <c r="BE377" s="17">
        <f t="shared" si="1606"/>
        <v>180.86341983910182</v>
      </c>
      <c r="BF377" s="17">
        <f t="shared" si="1607"/>
        <v>24</v>
      </c>
      <c r="BG377" s="17">
        <f t="shared" si="1608"/>
        <v>50</v>
      </c>
      <c r="BH377" s="17">
        <f t="shared" si="1609"/>
        <v>65.062647806544774</v>
      </c>
      <c r="BI377" s="17">
        <f t="shared" si="1610"/>
        <v>115.80077203255705</v>
      </c>
      <c r="BJ377" s="17">
        <f t="shared" si="1611"/>
        <v>45</v>
      </c>
      <c r="BK377" s="17">
        <f t="shared" si="1612"/>
        <v>85</v>
      </c>
      <c r="BL377" s="17">
        <f t="shared" si="1613"/>
        <v>380.54120080897206</v>
      </c>
      <c r="BM377" s="17">
        <f t="shared" si="1614"/>
        <v>24</v>
      </c>
      <c r="BN377" s="17">
        <f t="shared" si="1615"/>
        <v>50</v>
      </c>
      <c r="BO377" s="17">
        <f t="shared" si="1616"/>
        <v>65.062647806544774</v>
      </c>
      <c r="BP377" s="17">
        <f t="shared" si="1617"/>
        <v>315.4785530024273</v>
      </c>
      <c r="BQ377" s="17">
        <f t="shared" si="1618"/>
        <v>3777.6896639999995</v>
      </c>
      <c r="BR377" s="17">
        <f t="shared" si="1619"/>
        <v>1439.1198719999991</v>
      </c>
      <c r="BS377" s="17">
        <f t="shared" si="1620"/>
        <v>317.94508799999977</v>
      </c>
      <c r="BT377" s="17">
        <f t="shared" si="1621"/>
        <v>834.6058559999999</v>
      </c>
      <c r="BU377" s="17">
        <f t="shared" si="1622"/>
        <v>34904.520000000004</v>
      </c>
      <c r="BV377" s="17">
        <f t="shared" si="1623"/>
        <v>6824</v>
      </c>
      <c r="BW377" s="17">
        <f t="shared" si="1624"/>
        <v>292.97069759999994</v>
      </c>
      <c r="BX377" s="17">
        <f t="shared" si="1625"/>
        <v>17495.999999999989</v>
      </c>
      <c r="BY377" s="17">
        <f t="shared" si="1626"/>
        <v>3153.6083032473598</v>
      </c>
      <c r="BZ377" s="17"/>
      <c r="CA377" s="17">
        <f t="shared" si="1627"/>
        <v>128715.24962499036</v>
      </c>
      <c r="CB377" s="17">
        <f t="shared" si="1628"/>
        <v>241341.0930468569</v>
      </c>
      <c r="CC377" s="17">
        <f t="shared" si="1629"/>
        <v>16571.848258047805</v>
      </c>
      <c r="CD377" s="17">
        <f t="shared" si="1630"/>
        <v>149146.63432243024</v>
      </c>
      <c r="CE377" s="17">
        <f t="shared" si="1631"/>
        <v>66448.78866484735</v>
      </c>
      <c r="CF377" s="17">
        <f t="shared" si="1632"/>
        <v>535774.82525232527</v>
      </c>
      <c r="CG377" s="17">
        <f t="shared" si="1633"/>
        <v>602223.61391717265</v>
      </c>
      <c r="CH377" s="17">
        <f t="shared" si="1634"/>
        <v>14.400000000000006</v>
      </c>
      <c r="CI377" s="17">
        <f t="shared" si="1635"/>
        <v>-43.2</v>
      </c>
      <c r="CJ377" s="17">
        <f t="shared" si="1636"/>
        <v>16</v>
      </c>
      <c r="CK377" s="17">
        <f t="shared" si="1637"/>
        <v>90</v>
      </c>
      <c r="CL377" s="17">
        <f t="shared" si="1638"/>
        <v>71.46880726181422</v>
      </c>
      <c r="CM377" s="17">
        <f t="shared" si="1639"/>
        <v>24</v>
      </c>
      <c r="CN377" s="17">
        <f t="shared" si="1640"/>
        <v>50</v>
      </c>
      <c r="CO377" s="17">
        <f t="shared" si="1641"/>
        <v>65.062647806544774</v>
      </c>
      <c r="CP377" s="17">
        <f t="shared" si="1642"/>
        <v>6.4061594552694459</v>
      </c>
      <c r="CQ377" s="17">
        <f t="shared" si="1643"/>
        <v>0</v>
      </c>
      <c r="CR377" s="17">
        <f t="shared" si="1644"/>
        <v>100</v>
      </c>
      <c r="CS377" s="17">
        <f t="shared" si="1645"/>
        <v>26.404773030064671</v>
      </c>
      <c r="CT377" s="17">
        <f t="shared" si="1646"/>
        <v>24</v>
      </c>
      <c r="CU377" s="17">
        <f t="shared" si="1647"/>
        <v>50</v>
      </c>
      <c r="CV377" s="17">
        <f t="shared" si="1648"/>
        <v>65.062647806544774</v>
      </c>
      <c r="CW377" s="17">
        <f t="shared" si="1649"/>
        <v>-38.657874776480099</v>
      </c>
      <c r="CX377" s="17">
        <f t="shared" si="1587"/>
        <v>-4317.3596159999997</v>
      </c>
      <c r="CY377" s="17">
        <f t="shared" si="1587"/>
        <v>-4317.3596159999997</v>
      </c>
      <c r="CZ377" s="17">
        <f t="shared" si="1650"/>
        <v>317.94508800000011</v>
      </c>
      <c r="DA377" s="17">
        <f t="shared" si="1651"/>
        <v>-953.83526399999994</v>
      </c>
      <c r="DB377" s="17">
        <f t="shared" si="1652"/>
        <v>-39890.880000000005</v>
      </c>
      <c r="DC377" s="17">
        <f t="shared" si="1653"/>
        <v>6824</v>
      </c>
      <c r="DD377" s="17">
        <f t="shared" si="1654"/>
        <v>292.97069759999994</v>
      </c>
      <c r="DE377" s="17">
        <f t="shared" si="1655"/>
        <v>17496.000000000007</v>
      </c>
      <c r="DF377" s="17">
        <f t="shared" si="1656"/>
        <v>-3604.1237751398403</v>
      </c>
      <c r="DG377" s="17"/>
      <c r="DH377" s="17">
        <f t="shared" si="1657"/>
        <v>-15772.412908803883</v>
      </c>
      <c r="DI377" s="17">
        <f t="shared" si="1658"/>
        <v>-29573.274204007277</v>
      </c>
      <c r="DJ377" s="17">
        <f t="shared" si="1659"/>
        <v>-2030.6687369949768</v>
      </c>
      <c r="DK377" s="17">
        <f t="shared" si="1660"/>
        <v>3028.5961203800107</v>
      </c>
      <c r="DL377" s="17">
        <f t="shared" si="1661"/>
        <v>-23835.282869539838</v>
      </c>
      <c r="DM377" s="17">
        <f t="shared" si="1662"/>
        <v>-44347.759729426129</v>
      </c>
      <c r="DN377" s="17">
        <f t="shared" si="1663"/>
        <v>-68183.042598965971</v>
      </c>
    </row>
    <row r="378" spans="3:120" ht="18.600000000000001">
      <c r="C378" s="13">
        <f>IF(D378&lt;&gt;"",COUNTA($D$10:D378),"")</f>
        <v>315</v>
      </c>
      <c r="D378" s="14" t="s">
        <v>208</v>
      </c>
      <c r="E378" s="14">
        <v>3</v>
      </c>
      <c r="F378" s="14">
        <v>2.9</v>
      </c>
      <c r="G378" s="14">
        <v>2.4</v>
      </c>
      <c r="H378" s="14">
        <v>2</v>
      </c>
      <c r="I378" s="14">
        <v>1</v>
      </c>
      <c r="J378" s="14">
        <v>1.75</v>
      </c>
      <c r="K378" s="14">
        <v>3</v>
      </c>
      <c r="L378" s="15">
        <v>0.1</v>
      </c>
      <c r="M378" s="15">
        <v>0</v>
      </c>
      <c r="N378" s="14">
        <v>24</v>
      </c>
      <c r="O378" s="14">
        <v>50</v>
      </c>
      <c r="P378" s="13">
        <v>45</v>
      </c>
      <c r="Q378" s="13">
        <v>85</v>
      </c>
      <c r="R378" s="13" t="s">
        <v>14</v>
      </c>
      <c r="S378" s="13">
        <v>120</v>
      </c>
      <c r="T378" s="13">
        <v>0</v>
      </c>
      <c r="U378" s="13">
        <v>100</v>
      </c>
      <c r="V378" s="13" t="str">
        <f t="shared" si="1588"/>
        <v>ISO 7</v>
      </c>
      <c r="W378" s="13">
        <f t="shared" si="1589"/>
        <v>120</v>
      </c>
      <c r="X378" s="16">
        <f t="shared" si="1590"/>
        <v>93.611999999999995</v>
      </c>
      <c r="Y378" s="16">
        <f t="shared" si="1591"/>
        <v>736.91366399999993</v>
      </c>
      <c r="Z378" s="16">
        <f t="shared" si="1592"/>
        <v>1473.8273279999999</v>
      </c>
      <c r="AA378" s="16">
        <f t="shared" si="1593"/>
        <v>147.38273279999999</v>
      </c>
      <c r="AB378" s="16">
        <f t="shared" si="1594"/>
        <v>0</v>
      </c>
      <c r="AC378" s="16">
        <f t="shared" si="1595"/>
        <v>13.558048278212716</v>
      </c>
      <c r="AD378" s="16">
        <f>IF(ISNUMBER(N378), CEILING(CF378/(0.68*BP378),25), "Ambient")</f>
        <v>3000</v>
      </c>
      <c r="AE378" s="16">
        <f t="shared" si="1597"/>
        <v>3000</v>
      </c>
      <c r="AF378" s="16">
        <f t="shared" si="1598"/>
        <v>12</v>
      </c>
      <c r="AG378" s="16">
        <f t="shared" si="1599"/>
        <v>7.5</v>
      </c>
      <c r="AH378" s="838" t="s">
        <v>85</v>
      </c>
      <c r="AI378" s="17">
        <f t="shared" si="1600"/>
        <v>5</v>
      </c>
      <c r="AJ378" s="17">
        <f t="shared" si="1601"/>
        <v>7.5</v>
      </c>
      <c r="AK378" s="891"/>
      <c r="AL378" s="18"/>
      <c r="AM378" s="889"/>
      <c r="AN378" s="891"/>
      <c r="AO378" s="888"/>
      <c r="AP378" s="891"/>
      <c r="AQ378" s="891"/>
      <c r="AR378" s="889"/>
      <c r="AS378" s="888"/>
      <c r="AT378" s="888"/>
      <c r="AU378" s="890"/>
      <c r="AV378" s="888"/>
      <c r="AW378" s="888"/>
      <c r="AX378" s="888"/>
      <c r="AY378" s="887"/>
      <c r="AZ378" s="888"/>
      <c r="BA378" s="17">
        <f t="shared" si="1602"/>
        <v>14.399999999999991</v>
      </c>
      <c r="BB378" s="17">
        <f t="shared" si="1603"/>
        <v>37.799999999999997</v>
      </c>
      <c r="BC378" s="17">
        <f t="shared" si="1604"/>
        <v>32</v>
      </c>
      <c r="BD378" s="17">
        <f t="shared" si="1605"/>
        <v>85</v>
      </c>
      <c r="BE378" s="17">
        <f t="shared" si="1606"/>
        <v>180.86341983910182</v>
      </c>
      <c r="BF378" s="17">
        <f t="shared" si="1607"/>
        <v>24</v>
      </c>
      <c r="BG378" s="17">
        <f t="shared" si="1608"/>
        <v>50</v>
      </c>
      <c r="BH378" s="17">
        <f t="shared" si="1609"/>
        <v>65.062647806544774</v>
      </c>
      <c r="BI378" s="17">
        <f t="shared" si="1610"/>
        <v>115.80077203255705</v>
      </c>
      <c r="BJ378" s="17">
        <f t="shared" si="1611"/>
        <v>45</v>
      </c>
      <c r="BK378" s="17">
        <f t="shared" si="1612"/>
        <v>85</v>
      </c>
      <c r="BL378" s="17">
        <f t="shared" si="1613"/>
        <v>380.54120080897206</v>
      </c>
      <c r="BM378" s="17">
        <f t="shared" si="1614"/>
        <v>24</v>
      </c>
      <c r="BN378" s="17">
        <f t="shared" si="1615"/>
        <v>50</v>
      </c>
      <c r="BO378" s="17">
        <f t="shared" si="1616"/>
        <v>65.062647806544774</v>
      </c>
      <c r="BP378" s="17">
        <f t="shared" si="1617"/>
        <v>315.4785530024273</v>
      </c>
      <c r="BQ378" s="17">
        <f t="shared" si="1618"/>
        <v>5183.3416319999997</v>
      </c>
      <c r="BR378" s="17">
        <f t="shared" si="1619"/>
        <v>1974.6063359999991</v>
      </c>
      <c r="BS378" s="17">
        <f t="shared" si="1620"/>
        <v>606.60575999999958</v>
      </c>
      <c r="BT378" s="17">
        <f t="shared" si="1621"/>
        <v>1592.3401199999998</v>
      </c>
      <c r="BU378" s="17">
        <f t="shared" si="1622"/>
        <v>23269.68</v>
      </c>
      <c r="BV378" s="17">
        <f t="shared" si="1623"/>
        <v>3412</v>
      </c>
      <c r="BW378" s="17">
        <f t="shared" si="1624"/>
        <v>558.95725199999993</v>
      </c>
      <c r="BX378" s="17">
        <f t="shared" si="1625"/>
        <v>17495.999999999989</v>
      </c>
      <c r="BY378" s="17">
        <f t="shared" si="1626"/>
        <v>6016.7526838271997</v>
      </c>
      <c r="BZ378" s="17"/>
      <c r="CA378" s="17">
        <f t="shared" si="1627"/>
        <v>85810.166416660228</v>
      </c>
      <c r="CB378" s="17">
        <f t="shared" si="1628"/>
        <v>241341.0930468569</v>
      </c>
      <c r="CC378" s="17">
        <f t="shared" si="1629"/>
        <v>31617.34207127542</v>
      </c>
      <c r="CD378" s="17">
        <f t="shared" si="1630"/>
        <v>284556.07864147879</v>
      </c>
      <c r="CE378" s="17">
        <f t="shared" si="1631"/>
        <v>55936.731567827192</v>
      </c>
      <c r="CF378" s="17">
        <f t="shared" si="1632"/>
        <v>643324.68017627136</v>
      </c>
      <c r="CG378" s="17">
        <f t="shared" si="1633"/>
        <v>699261.41174409853</v>
      </c>
      <c r="CH378" s="17">
        <f t="shared" si="1634"/>
        <v>14.400000000000006</v>
      </c>
      <c r="CI378" s="17">
        <f t="shared" si="1635"/>
        <v>-43.2</v>
      </c>
      <c r="CJ378" s="17">
        <f t="shared" si="1636"/>
        <v>16</v>
      </c>
      <c r="CK378" s="17">
        <f t="shared" si="1637"/>
        <v>90</v>
      </c>
      <c r="CL378" s="17">
        <f t="shared" si="1638"/>
        <v>71.46880726181422</v>
      </c>
      <c r="CM378" s="17">
        <f t="shared" si="1639"/>
        <v>24</v>
      </c>
      <c r="CN378" s="17">
        <f t="shared" si="1640"/>
        <v>50</v>
      </c>
      <c r="CO378" s="17">
        <f t="shared" si="1641"/>
        <v>65.062647806544774</v>
      </c>
      <c r="CP378" s="17">
        <f t="shared" si="1642"/>
        <v>6.4061594552694459</v>
      </c>
      <c r="CQ378" s="17">
        <f t="shared" si="1643"/>
        <v>0</v>
      </c>
      <c r="CR378" s="17">
        <f t="shared" si="1644"/>
        <v>100</v>
      </c>
      <c r="CS378" s="17">
        <f t="shared" si="1645"/>
        <v>26.404773030064671</v>
      </c>
      <c r="CT378" s="17">
        <f t="shared" si="1646"/>
        <v>24</v>
      </c>
      <c r="CU378" s="17">
        <f t="shared" si="1647"/>
        <v>50</v>
      </c>
      <c r="CV378" s="17">
        <f t="shared" si="1648"/>
        <v>65.062647806544774</v>
      </c>
      <c r="CW378" s="17">
        <f t="shared" si="1649"/>
        <v>-38.657874776480099</v>
      </c>
      <c r="CX378" s="17">
        <f t="shared" si="1587"/>
        <v>-5923.8190080000013</v>
      </c>
      <c r="CY378" s="17">
        <f t="shared" si="1587"/>
        <v>-5923.8190080000013</v>
      </c>
      <c r="CZ378" s="17">
        <f t="shared" si="1650"/>
        <v>606.60576000000026</v>
      </c>
      <c r="DA378" s="17">
        <f t="shared" si="1651"/>
        <v>-1819.81728</v>
      </c>
      <c r="DB378" s="17">
        <f t="shared" si="1652"/>
        <v>-26593.920000000002</v>
      </c>
      <c r="DC378" s="17">
        <f t="shared" si="1653"/>
        <v>3412</v>
      </c>
      <c r="DD378" s="17">
        <f t="shared" si="1654"/>
        <v>558.95725199999993</v>
      </c>
      <c r="DE378" s="17">
        <f t="shared" si="1655"/>
        <v>17496.000000000007</v>
      </c>
      <c r="DF378" s="17">
        <f t="shared" si="1656"/>
        <v>-6876.2887815168006</v>
      </c>
      <c r="DG378" s="17"/>
      <c r="DH378" s="17">
        <f t="shared" si="1657"/>
        <v>-10514.941939202587</v>
      </c>
      <c r="DI378" s="17">
        <f t="shared" si="1658"/>
        <v>-29573.274204007277</v>
      </c>
      <c r="DJ378" s="17">
        <f t="shared" si="1659"/>
        <v>-3874.3021955825216</v>
      </c>
      <c r="DK378" s="17">
        <f t="shared" si="1660"/>
        <v>5778.2425980934422</v>
      </c>
      <c r="DL378" s="17">
        <f t="shared" si="1661"/>
        <v>-19140.282057516793</v>
      </c>
      <c r="DM378" s="17">
        <f t="shared" si="1662"/>
        <v>-38184.275740698948</v>
      </c>
      <c r="DN378" s="17">
        <f t="shared" si="1663"/>
        <v>-57324.557798215741</v>
      </c>
    </row>
    <row r="379" spans="3:120" ht="18.600000000000001">
      <c r="C379" s="13">
        <f>IF(D379&lt;&gt;"",COUNTA($D$10:D379),"")</f>
        <v>316</v>
      </c>
      <c r="D379" s="14" t="s">
        <v>209</v>
      </c>
      <c r="E379" s="14">
        <v>2.4</v>
      </c>
      <c r="F379" s="14">
        <v>2</v>
      </c>
      <c r="G379" s="14">
        <v>2.4</v>
      </c>
      <c r="H379" s="14">
        <v>2</v>
      </c>
      <c r="I379" s="14">
        <v>1</v>
      </c>
      <c r="J379" s="14">
        <v>1.75</v>
      </c>
      <c r="K379" s="14">
        <v>3</v>
      </c>
      <c r="L379" s="15">
        <v>0.1</v>
      </c>
      <c r="M379" s="15">
        <v>0</v>
      </c>
      <c r="N379" s="14">
        <v>24</v>
      </c>
      <c r="O379" s="14">
        <v>50</v>
      </c>
      <c r="P379" s="13">
        <v>45</v>
      </c>
      <c r="Q379" s="13">
        <v>85</v>
      </c>
      <c r="R379" s="13" t="s">
        <v>14</v>
      </c>
      <c r="S379" s="13">
        <v>120</v>
      </c>
      <c r="T379" s="13">
        <v>0</v>
      </c>
      <c r="U379" s="13">
        <v>100</v>
      </c>
      <c r="V379" s="13" t="str">
        <f t="shared" si="1588"/>
        <v>ISO 7</v>
      </c>
      <c r="W379" s="13">
        <f t="shared" si="1589"/>
        <v>120</v>
      </c>
      <c r="X379" s="16">
        <f t="shared" si="1590"/>
        <v>51.647999999999996</v>
      </c>
      <c r="Y379" s="16">
        <f t="shared" si="1591"/>
        <v>406.57305599999995</v>
      </c>
      <c r="Z379" s="16">
        <f t="shared" si="1592"/>
        <v>813.1461119999999</v>
      </c>
      <c r="AA379" s="16">
        <f t="shared" si="1593"/>
        <v>81.314611200000002</v>
      </c>
      <c r="AB379" s="16">
        <f t="shared" si="1594"/>
        <v>0</v>
      </c>
      <c r="AC379" s="16">
        <f t="shared" si="1595"/>
        <v>7.4803024983242565</v>
      </c>
      <c r="AD379" s="16">
        <f t="shared" ref="AD379:AD385" si="1664">IF(ISNUMBER(N379), CEILING(CF379/(0.68*BP379),25), "Ambient")</f>
        <v>2350</v>
      </c>
      <c r="AE379" s="16">
        <f t="shared" si="1597"/>
        <v>2350</v>
      </c>
      <c r="AF379" s="16">
        <f t="shared" si="1598"/>
        <v>10</v>
      </c>
      <c r="AG379" s="16">
        <f t="shared" si="1599"/>
        <v>6</v>
      </c>
      <c r="AH379" s="838" t="s">
        <v>85</v>
      </c>
      <c r="AI379" s="17">
        <f t="shared" si="1600"/>
        <v>4.5</v>
      </c>
      <c r="AJ379" s="17">
        <f t="shared" si="1601"/>
        <v>6</v>
      </c>
      <c r="AK379" s="891"/>
      <c r="AL379" s="174">
        <f>IF(AN370&lt;=315,1600,(IF(AN370=355,1650,(IF(AN370=400,1650,(IF(AN370=450,1700,(IF(AN370=500,1700,(IF(AN370=560,1800,(IF(AN370=630,2000,(IF(AN370=710,2200,2500)))))))))))))))+IF(AR370=2,1800,(IF(AR370=3,2300,(IF(AR370=4,3300,0)))))+IF(AP370&lt;=4,600,(IF(AP370&lt;=6,800,(IF(AP370&lt;=8,1000,1200)))))</f>
        <v>5400</v>
      </c>
      <c r="AM379" s="889"/>
      <c r="AN379" s="891"/>
      <c r="AO379" s="888"/>
      <c r="AP379" s="891"/>
      <c r="AQ379" s="891"/>
      <c r="AR379" s="889"/>
      <c r="AS379" s="888"/>
      <c r="AT379" s="888"/>
      <c r="AU379" s="890"/>
      <c r="AV379" s="888"/>
      <c r="AW379" s="888"/>
      <c r="AX379" s="888"/>
      <c r="AY379" s="887"/>
      <c r="AZ379" s="888"/>
      <c r="BA379" s="17">
        <f t="shared" si="1602"/>
        <v>14.399999999999991</v>
      </c>
      <c r="BB379" s="17">
        <f t="shared" si="1603"/>
        <v>37.799999999999997</v>
      </c>
      <c r="BC379" s="17">
        <f t="shared" si="1604"/>
        <v>32</v>
      </c>
      <c r="BD379" s="17">
        <f t="shared" si="1605"/>
        <v>85</v>
      </c>
      <c r="BE379" s="17">
        <f t="shared" si="1606"/>
        <v>180.86341983910182</v>
      </c>
      <c r="BF379" s="17">
        <f t="shared" si="1607"/>
        <v>24</v>
      </c>
      <c r="BG379" s="17">
        <f t="shared" si="1608"/>
        <v>50</v>
      </c>
      <c r="BH379" s="17">
        <f t="shared" si="1609"/>
        <v>65.062647806544774</v>
      </c>
      <c r="BI379" s="17">
        <f t="shared" si="1610"/>
        <v>115.80077203255705</v>
      </c>
      <c r="BJ379" s="17">
        <f t="shared" si="1611"/>
        <v>45</v>
      </c>
      <c r="BK379" s="17">
        <f t="shared" si="1612"/>
        <v>85</v>
      </c>
      <c r="BL379" s="17">
        <f t="shared" si="1613"/>
        <v>380.54120080897206</v>
      </c>
      <c r="BM379" s="17">
        <f t="shared" si="1614"/>
        <v>24</v>
      </c>
      <c r="BN379" s="17">
        <f t="shared" si="1615"/>
        <v>50</v>
      </c>
      <c r="BO379" s="17">
        <f t="shared" si="1616"/>
        <v>65.062647806544774</v>
      </c>
      <c r="BP379" s="17">
        <f t="shared" si="1617"/>
        <v>315.4785530024273</v>
      </c>
      <c r="BQ379" s="17">
        <f t="shared" si="1618"/>
        <v>3865.5429119999999</v>
      </c>
      <c r="BR379" s="17">
        <f t="shared" si="1619"/>
        <v>1472.5877759999992</v>
      </c>
      <c r="BS379" s="17">
        <f t="shared" si="1620"/>
        <v>334.67903999999976</v>
      </c>
      <c r="BT379" s="17">
        <f t="shared" si="1621"/>
        <v>878.53247999999996</v>
      </c>
      <c r="BU379" s="17">
        <f t="shared" si="1622"/>
        <v>23269.68</v>
      </c>
      <c r="BV379" s="17">
        <f t="shared" si="1623"/>
        <v>3412</v>
      </c>
      <c r="BW379" s="17">
        <f t="shared" si="1624"/>
        <v>308.39020799999997</v>
      </c>
      <c r="BX379" s="17">
        <f t="shared" si="1625"/>
        <v>17495.999999999989</v>
      </c>
      <c r="BY379" s="17">
        <f t="shared" si="1626"/>
        <v>3319.5876876287998</v>
      </c>
      <c r="BZ379" s="17"/>
      <c r="CA379" s="17">
        <f t="shared" si="1627"/>
        <v>85810.166416660228</v>
      </c>
      <c r="CB379" s="17">
        <f t="shared" si="1628"/>
        <v>241341.0930468569</v>
      </c>
      <c r="CC379" s="17">
        <f t="shared" si="1629"/>
        <v>17444.050797945059</v>
      </c>
      <c r="CD379" s="17">
        <f t="shared" si="1630"/>
        <v>156996.45718150554</v>
      </c>
      <c r="CE379" s="17">
        <f t="shared" si="1631"/>
        <v>51671.200807628797</v>
      </c>
      <c r="CF379" s="17">
        <f t="shared" si="1632"/>
        <v>501591.76744296774</v>
      </c>
      <c r="CG379" s="17">
        <f t="shared" si="1633"/>
        <v>553262.96825059655</v>
      </c>
      <c r="CH379" s="17">
        <f t="shared" si="1634"/>
        <v>14.400000000000006</v>
      </c>
      <c r="CI379" s="17">
        <f t="shared" si="1635"/>
        <v>-43.2</v>
      </c>
      <c r="CJ379" s="17">
        <f t="shared" si="1636"/>
        <v>16</v>
      </c>
      <c r="CK379" s="17">
        <f t="shared" si="1637"/>
        <v>90</v>
      </c>
      <c r="CL379" s="17">
        <f t="shared" si="1638"/>
        <v>71.46880726181422</v>
      </c>
      <c r="CM379" s="17">
        <f t="shared" si="1639"/>
        <v>24</v>
      </c>
      <c r="CN379" s="17">
        <f t="shared" si="1640"/>
        <v>50</v>
      </c>
      <c r="CO379" s="17">
        <f t="shared" si="1641"/>
        <v>65.062647806544774</v>
      </c>
      <c r="CP379" s="17">
        <f t="shared" si="1642"/>
        <v>6.4061594552694459</v>
      </c>
      <c r="CQ379" s="17">
        <f t="shared" si="1643"/>
        <v>0</v>
      </c>
      <c r="CR379" s="17">
        <f t="shared" si="1644"/>
        <v>100</v>
      </c>
      <c r="CS379" s="17">
        <f t="shared" si="1645"/>
        <v>26.404773030064671</v>
      </c>
      <c r="CT379" s="17">
        <f t="shared" si="1646"/>
        <v>24</v>
      </c>
      <c r="CU379" s="17">
        <f t="shared" si="1647"/>
        <v>50</v>
      </c>
      <c r="CV379" s="17">
        <f t="shared" si="1648"/>
        <v>65.062647806544774</v>
      </c>
      <c r="CW379" s="17">
        <f t="shared" si="1649"/>
        <v>-38.657874776480099</v>
      </c>
      <c r="CX379" s="17">
        <f t="shared" si="1587"/>
        <v>-4417.7633280000009</v>
      </c>
      <c r="CY379" s="17">
        <f t="shared" si="1587"/>
        <v>-4417.7633280000009</v>
      </c>
      <c r="CZ379" s="17">
        <f t="shared" si="1650"/>
        <v>334.67904000000016</v>
      </c>
      <c r="DA379" s="17">
        <f t="shared" si="1651"/>
        <v>-1004.0371200000001</v>
      </c>
      <c r="DB379" s="17">
        <f t="shared" si="1652"/>
        <v>-26593.920000000002</v>
      </c>
      <c r="DC379" s="17">
        <f t="shared" si="1653"/>
        <v>3412</v>
      </c>
      <c r="DD379" s="17">
        <f t="shared" si="1654"/>
        <v>308.39020799999997</v>
      </c>
      <c r="DE379" s="17">
        <f t="shared" si="1655"/>
        <v>17496.000000000007</v>
      </c>
      <c r="DF379" s="17">
        <f t="shared" si="1656"/>
        <v>-3793.8145001472003</v>
      </c>
      <c r="DG379" s="17"/>
      <c r="DH379" s="17">
        <f t="shared" si="1657"/>
        <v>-10514.941939202587</v>
      </c>
      <c r="DI379" s="17">
        <f t="shared" si="1658"/>
        <v>-29573.274204007277</v>
      </c>
      <c r="DJ379" s="17">
        <f t="shared" si="1659"/>
        <v>-2137.5460389420814</v>
      </c>
      <c r="DK379" s="17">
        <f t="shared" si="1660"/>
        <v>3187.9959161894853</v>
      </c>
      <c r="DL379" s="17">
        <f t="shared" si="1661"/>
        <v>-14258.465700147197</v>
      </c>
      <c r="DM379" s="17">
        <f t="shared" si="1662"/>
        <v>-39037.766265962462</v>
      </c>
      <c r="DN379" s="17">
        <f t="shared" si="1663"/>
        <v>-53296.231966109655</v>
      </c>
    </row>
    <row r="380" spans="3:120" ht="18.600000000000001">
      <c r="C380" s="13">
        <f>IF(D380&lt;&gt;"",COUNTA($D$10:D380),"")</f>
        <v>317</v>
      </c>
      <c r="D380" s="14" t="s">
        <v>210</v>
      </c>
      <c r="E380" s="14">
        <v>2.1</v>
      </c>
      <c r="F380" s="14">
        <v>1.8</v>
      </c>
      <c r="G380" s="14">
        <v>2.4</v>
      </c>
      <c r="H380" s="14">
        <v>2</v>
      </c>
      <c r="I380" s="14">
        <v>1</v>
      </c>
      <c r="J380" s="14">
        <v>1.75</v>
      </c>
      <c r="K380" s="14">
        <v>3</v>
      </c>
      <c r="L380" s="15">
        <v>0.1</v>
      </c>
      <c r="M380" s="15">
        <v>0</v>
      </c>
      <c r="N380" s="14">
        <v>24</v>
      </c>
      <c r="O380" s="14">
        <v>50</v>
      </c>
      <c r="P380" s="13">
        <v>45</v>
      </c>
      <c r="Q380" s="13">
        <v>85</v>
      </c>
      <c r="R380" s="13" t="s">
        <v>14</v>
      </c>
      <c r="S380" s="13">
        <v>120</v>
      </c>
      <c r="T380" s="13">
        <v>0</v>
      </c>
      <c r="U380" s="13">
        <v>100</v>
      </c>
      <c r="V380" s="13" t="str">
        <f t="shared" si="1588"/>
        <v>ISO 7</v>
      </c>
      <c r="W380" s="13">
        <f t="shared" si="1589"/>
        <v>120</v>
      </c>
      <c r="X380" s="16">
        <f t="shared" si="1590"/>
        <v>40.672800000000002</v>
      </c>
      <c r="Y380" s="16">
        <f t="shared" si="1591"/>
        <v>320.17628159999998</v>
      </c>
      <c r="Z380" s="16">
        <f t="shared" si="1592"/>
        <v>640.35256319999996</v>
      </c>
      <c r="AA380" s="16">
        <f t="shared" si="1593"/>
        <v>64.035256320000002</v>
      </c>
      <c r="AB380" s="16">
        <f t="shared" si="1594"/>
        <v>0</v>
      </c>
      <c r="AC380" s="16">
        <f t="shared" si="1595"/>
        <v>5.8907382174303526</v>
      </c>
      <c r="AD380" s="16">
        <f t="shared" si="1664"/>
        <v>2175</v>
      </c>
      <c r="AE380" s="16">
        <f t="shared" si="1597"/>
        <v>2175</v>
      </c>
      <c r="AF380" s="16">
        <f t="shared" si="1598"/>
        <v>10</v>
      </c>
      <c r="AG380" s="16">
        <f t="shared" si="1599"/>
        <v>5.5</v>
      </c>
      <c r="AH380" s="838" t="s">
        <v>85</v>
      </c>
      <c r="AI380" s="17">
        <f t="shared" si="1600"/>
        <v>4.5</v>
      </c>
      <c r="AJ380" s="17">
        <f t="shared" si="1601"/>
        <v>5.5</v>
      </c>
      <c r="AK380" s="891"/>
      <c r="AL380" s="18"/>
      <c r="AM380" s="889"/>
      <c r="AN380" s="891"/>
      <c r="AO380" s="888"/>
      <c r="AP380" s="891"/>
      <c r="AQ380" s="891"/>
      <c r="AR380" s="889"/>
      <c r="AS380" s="888"/>
      <c r="AT380" s="888"/>
      <c r="AU380" s="890"/>
      <c r="AV380" s="888"/>
      <c r="AW380" s="888"/>
      <c r="AX380" s="888"/>
      <c r="AY380" s="887"/>
      <c r="AZ380" s="888"/>
      <c r="BA380" s="17">
        <f t="shared" si="1602"/>
        <v>14.399999999999991</v>
      </c>
      <c r="BB380" s="17">
        <f t="shared" si="1603"/>
        <v>37.799999999999997</v>
      </c>
      <c r="BC380" s="17">
        <f t="shared" si="1604"/>
        <v>32</v>
      </c>
      <c r="BD380" s="17">
        <f t="shared" si="1605"/>
        <v>85</v>
      </c>
      <c r="BE380" s="17">
        <f t="shared" si="1606"/>
        <v>180.86341983910182</v>
      </c>
      <c r="BF380" s="17">
        <f t="shared" si="1607"/>
        <v>24</v>
      </c>
      <c r="BG380" s="17">
        <f t="shared" si="1608"/>
        <v>50</v>
      </c>
      <c r="BH380" s="17">
        <f t="shared" si="1609"/>
        <v>65.062647806544774</v>
      </c>
      <c r="BI380" s="17">
        <f t="shared" si="1610"/>
        <v>115.80077203255705</v>
      </c>
      <c r="BJ380" s="17">
        <f t="shared" si="1611"/>
        <v>45</v>
      </c>
      <c r="BK380" s="17">
        <f t="shared" si="1612"/>
        <v>85</v>
      </c>
      <c r="BL380" s="17">
        <f t="shared" si="1613"/>
        <v>380.54120080897206</v>
      </c>
      <c r="BM380" s="17">
        <f t="shared" si="1614"/>
        <v>24</v>
      </c>
      <c r="BN380" s="17">
        <f t="shared" si="1615"/>
        <v>50</v>
      </c>
      <c r="BO380" s="17">
        <f t="shared" si="1616"/>
        <v>65.062647806544774</v>
      </c>
      <c r="BP380" s="17">
        <f t="shared" si="1617"/>
        <v>315.4785530024273</v>
      </c>
      <c r="BQ380" s="17">
        <f t="shared" si="1618"/>
        <v>3426.2766719999995</v>
      </c>
      <c r="BR380" s="17">
        <f t="shared" si="1619"/>
        <v>1305.2482559999992</v>
      </c>
      <c r="BS380" s="17">
        <f t="shared" si="1620"/>
        <v>263.55974399999985</v>
      </c>
      <c r="BT380" s="17">
        <f t="shared" si="1621"/>
        <v>691.84432800000002</v>
      </c>
      <c r="BU380" s="17">
        <f t="shared" si="1622"/>
        <v>23269.68</v>
      </c>
      <c r="BV380" s="17">
        <f t="shared" si="1623"/>
        <v>3412</v>
      </c>
      <c r="BW380" s="17">
        <f t="shared" si="1624"/>
        <v>242.85728880000002</v>
      </c>
      <c r="BX380" s="17">
        <f t="shared" si="1625"/>
        <v>17495.999999999989</v>
      </c>
      <c r="BY380" s="17">
        <f t="shared" si="1626"/>
        <v>2614.1753040076801</v>
      </c>
      <c r="BZ380" s="17"/>
      <c r="CA380" s="17">
        <f t="shared" si="1627"/>
        <v>85810.166416660228</v>
      </c>
      <c r="CB380" s="17">
        <f t="shared" si="1628"/>
        <v>241341.0930468569</v>
      </c>
      <c r="CC380" s="17">
        <f t="shared" si="1629"/>
        <v>13737.190003381735</v>
      </c>
      <c r="CD380" s="17">
        <f t="shared" si="1630"/>
        <v>123634.7100304356</v>
      </c>
      <c r="CE380" s="17">
        <f t="shared" si="1631"/>
        <v>50460.989264807671</v>
      </c>
      <c r="CF380" s="17">
        <f t="shared" si="1632"/>
        <v>464523.15949733445</v>
      </c>
      <c r="CG380" s="17">
        <f t="shared" si="1633"/>
        <v>514984.14876214211</v>
      </c>
      <c r="CH380" s="17">
        <f t="shared" si="1634"/>
        <v>14.400000000000006</v>
      </c>
      <c r="CI380" s="17">
        <f t="shared" si="1635"/>
        <v>-43.2</v>
      </c>
      <c r="CJ380" s="17">
        <f t="shared" si="1636"/>
        <v>16</v>
      </c>
      <c r="CK380" s="17">
        <f t="shared" si="1637"/>
        <v>90</v>
      </c>
      <c r="CL380" s="17">
        <f t="shared" si="1638"/>
        <v>71.46880726181422</v>
      </c>
      <c r="CM380" s="17">
        <f t="shared" si="1639"/>
        <v>24</v>
      </c>
      <c r="CN380" s="17">
        <f t="shared" si="1640"/>
        <v>50</v>
      </c>
      <c r="CO380" s="17">
        <f t="shared" si="1641"/>
        <v>65.062647806544774</v>
      </c>
      <c r="CP380" s="17">
        <f t="shared" si="1642"/>
        <v>6.4061594552694459</v>
      </c>
      <c r="CQ380" s="17">
        <f t="shared" si="1643"/>
        <v>0</v>
      </c>
      <c r="CR380" s="17">
        <f t="shared" si="1644"/>
        <v>100</v>
      </c>
      <c r="CS380" s="17">
        <f t="shared" si="1645"/>
        <v>26.404773030064671</v>
      </c>
      <c r="CT380" s="17">
        <f t="shared" si="1646"/>
        <v>24</v>
      </c>
      <c r="CU380" s="17">
        <f t="shared" si="1647"/>
        <v>50</v>
      </c>
      <c r="CV380" s="17">
        <f t="shared" si="1648"/>
        <v>65.062647806544774</v>
      </c>
      <c r="CW380" s="17">
        <f t="shared" si="1649"/>
        <v>-38.657874776480099</v>
      </c>
      <c r="CX380" s="17">
        <f t="shared" si="1587"/>
        <v>-3915.744768</v>
      </c>
      <c r="CY380" s="17">
        <f t="shared" si="1587"/>
        <v>-3915.744768</v>
      </c>
      <c r="CZ380" s="17">
        <f t="shared" si="1650"/>
        <v>263.55974400000014</v>
      </c>
      <c r="DA380" s="17">
        <f t="shared" si="1651"/>
        <v>-790.67923200000007</v>
      </c>
      <c r="DB380" s="17">
        <f t="shared" si="1652"/>
        <v>-26593.920000000002</v>
      </c>
      <c r="DC380" s="17">
        <f t="shared" si="1653"/>
        <v>3412</v>
      </c>
      <c r="DD380" s="17">
        <f t="shared" si="1654"/>
        <v>242.85728880000002</v>
      </c>
      <c r="DE380" s="17">
        <f t="shared" si="1655"/>
        <v>17496.000000000007</v>
      </c>
      <c r="DF380" s="17">
        <f t="shared" si="1656"/>
        <v>-2987.6289188659202</v>
      </c>
      <c r="DG380" s="17"/>
      <c r="DH380" s="17">
        <f t="shared" si="1657"/>
        <v>-10514.941939202587</v>
      </c>
      <c r="DI380" s="17">
        <f t="shared" si="1658"/>
        <v>-29573.274204007277</v>
      </c>
      <c r="DJ380" s="17">
        <f t="shared" si="1659"/>
        <v>-1683.3175056668888</v>
      </c>
      <c r="DK380" s="17">
        <f t="shared" si="1660"/>
        <v>2510.5467839992198</v>
      </c>
      <c r="DL380" s="17">
        <f t="shared" si="1661"/>
        <v>-12873.555886065915</v>
      </c>
      <c r="DM380" s="17">
        <f t="shared" si="1662"/>
        <v>-39260.986864877537</v>
      </c>
      <c r="DN380" s="17">
        <f t="shared" si="1663"/>
        <v>-52134.542750943452</v>
      </c>
    </row>
    <row r="381" spans="3:120" ht="18.600000000000001">
      <c r="C381" s="13">
        <f>IF(D381&lt;&gt;"",COUNTA($D$10:D381),"")</f>
        <v>318</v>
      </c>
      <c r="D381" s="14" t="s">
        <v>211</v>
      </c>
      <c r="E381" s="14">
        <v>1.8</v>
      </c>
      <c r="F381" s="14">
        <v>1.9</v>
      </c>
      <c r="G381" s="14">
        <v>2.4</v>
      </c>
      <c r="H381" s="14">
        <v>2</v>
      </c>
      <c r="I381" s="14">
        <v>1</v>
      </c>
      <c r="J381" s="14">
        <v>1.75</v>
      </c>
      <c r="K381" s="14">
        <v>3</v>
      </c>
      <c r="L381" s="15">
        <v>0.1</v>
      </c>
      <c r="M381" s="15">
        <v>0</v>
      </c>
      <c r="N381" s="14">
        <v>24</v>
      </c>
      <c r="O381" s="14">
        <v>50</v>
      </c>
      <c r="P381" s="13">
        <v>45</v>
      </c>
      <c r="Q381" s="13">
        <v>85</v>
      </c>
      <c r="R381" s="13" t="s">
        <v>14</v>
      </c>
      <c r="S381" s="13">
        <v>120</v>
      </c>
      <c r="T381" s="13">
        <v>0</v>
      </c>
      <c r="U381" s="13">
        <v>100</v>
      </c>
      <c r="V381" s="13" t="str">
        <f t="shared" si="1588"/>
        <v>ISO 7</v>
      </c>
      <c r="W381" s="13">
        <f t="shared" si="1589"/>
        <v>120</v>
      </c>
      <c r="X381" s="16">
        <f t="shared" si="1590"/>
        <v>36.799199999999999</v>
      </c>
      <c r="Y381" s="16">
        <f t="shared" si="1591"/>
        <v>289.68330239999995</v>
      </c>
      <c r="Z381" s="16">
        <f t="shared" si="1592"/>
        <v>579.36660479999989</v>
      </c>
      <c r="AA381" s="16">
        <f t="shared" si="1593"/>
        <v>57.936660479999993</v>
      </c>
      <c r="AB381" s="16">
        <f t="shared" si="1594"/>
        <v>0</v>
      </c>
      <c r="AC381" s="16">
        <f t="shared" si="1595"/>
        <v>5.3297155300560322</v>
      </c>
      <c r="AD381" s="16">
        <f t="shared" si="1664"/>
        <v>2125</v>
      </c>
      <c r="AE381" s="16">
        <f t="shared" si="1597"/>
        <v>2125</v>
      </c>
      <c r="AF381" s="16">
        <f t="shared" si="1598"/>
        <v>10</v>
      </c>
      <c r="AG381" s="16">
        <f t="shared" si="1599"/>
        <v>5.5</v>
      </c>
      <c r="AH381" s="838" t="s">
        <v>85</v>
      </c>
      <c r="AI381" s="17">
        <f t="shared" si="1600"/>
        <v>4.5</v>
      </c>
      <c r="AJ381" s="17">
        <f t="shared" si="1601"/>
        <v>5.5</v>
      </c>
      <c r="AK381" s="891"/>
      <c r="AL381" s="18"/>
      <c r="AM381" s="889"/>
      <c r="AN381" s="891"/>
      <c r="AO381" s="888"/>
      <c r="AP381" s="891"/>
      <c r="AQ381" s="891"/>
      <c r="AR381" s="889"/>
      <c r="AS381" s="888"/>
      <c r="AT381" s="888"/>
      <c r="AU381" s="890"/>
      <c r="AV381" s="888"/>
      <c r="AW381" s="888"/>
      <c r="AX381" s="888"/>
      <c r="AY381" s="887"/>
      <c r="AZ381" s="888"/>
      <c r="BA381" s="17">
        <f t="shared" si="1602"/>
        <v>14.399999999999991</v>
      </c>
      <c r="BB381" s="17">
        <f t="shared" si="1603"/>
        <v>37.799999999999997</v>
      </c>
      <c r="BC381" s="17">
        <f t="shared" si="1604"/>
        <v>32</v>
      </c>
      <c r="BD381" s="17">
        <f t="shared" si="1605"/>
        <v>85</v>
      </c>
      <c r="BE381" s="17">
        <f t="shared" si="1606"/>
        <v>180.86341983910182</v>
      </c>
      <c r="BF381" s="17">
        <f t="shared" si="1607"/>
        <v>24</v>
      </c>
      <c r="BG381" s="17">
        <f t="shared" si="1608"/>
        <v>50</v>
      </c>
      <c r="BH381" s="17">
        <f t="shared" si="1609"/>
        <v>65.062647806544774</v>
      </c>
      <c r="BI381" s="17">
        <f t="shared" si="1610"/>
        <v>115.80077203255705</v>
      </c>
      <c r="BJ381" s="17">
        <f t="shared" si="1611"/>
        <v>45</v>
      </c>
      <c r="BK381" s="17">
        <f t="shared" si="1612"/>
        <v>85</v>
      </c>
      <c r="BL381" s="17">
        <f t="shared" si="1613"/>
        <v>380.54120080897206</v>
      </c>
      <c r="BM381" s="17">
        <f t="shared" si="1614"/>
        <v>24</v>
      </c>
      <c r="BN381" s="17">
        <f t="shared" si="1615"/>
        <v>50</v>
      </c>
      <c r="BO381" s="17">
        <f t="shared" si="1616"/>
        <v>65.062647806544774</v>
      </c>
      <c r="BP381" s="17">
        <f t="shared" si="1617"/>
        <v>315.4785530024273</v>
      </c>
      <c r="BQ381" s="17">
        <f t="shared" si="1618"/>
        <v>3250.5701760000002</v>
      </c>
      <c r="BR381" s="17">
        <f t="shared" si="1619"/>
        <v>1238.3124479999992</v>
      </c>
      <c r="BS381" s="17">
        <f t="shared" si="1620"/>
        <v>238.45881599999987</v>
      </c>
      <c r="BT381" s="17">
        <f t="shared" si="1621"/>
        <v>625.95439199999998</v>
      </c>
      <c r="BU381" s="17">
        <f t="shared" si="1622"/>
        <v>23269.68</v>
      </c>
      <c r="BV381" s="17">
        <f t="shared" si="1623"/>
        <v>3412</v>
      </c>
      <c r="BW381" s="17">
        <f t="shared" si="1624"/>
        <v>219.7280232</v>
      </c>
      <c r="BX381" s="17">
        <f t="shared" si="1625"/>
        <v>17495.999999999989</v>
      </c>
      <c r="BY381" s="17">
        <f t="shared" si="1626"/>
        <v>2365.2062274355198</v>
      </c>
      <c r="BZ381" s="17"/>
      <c r="CA381" s="17">
        <f t="shared" si="1627"/>
        <v>85810.166416660228</v>
      </c>
      <c r="CB381" s="17">
        <f t="shared" si="1628"/>
        <v>241341.0930468569</v>
      </c>
      <c r="CC381" s="17">
        <f t="shared" si="1629"/>
        <v>12428.886193535853</v>
      </c>
      <c r="CD381" s="17">
        <f t="shared" si="1630"/>
        <v>111859.97574182268</v>
      </c>
      <c r="CE381" s="17">
        <f t="shared" si="1631"/>
        <v>50013.184426635511</v>
      </c>
      <c r="CF381" s="17">
        <f t="shared" si="1632"/>
        <v>451440.12139887566</v>
      </c>
      <c r="CG381" s="17">
        <f t="shared" si="1633"/>
        <v>501453.30582551117</v>
      </c>
      <c r="CH381" s="17">
        <f t="shared" si="1634"/>
        <v>14.400000000000006</v>
      </c>
      <c r="CI381" s="17">
        <f t="shared" si="1635"/>
        <v>-43.2</v>
      </c>
      <c r="CJ381" s="17">
        <f t="shared" si="1636"/>
        <v>16</v>
      </c>
      <c r="CK381" s="17">
        <f t="shared" si="1637"/>
        <v>90</v>
      </c>
      <c r="CL381" s="17">
        <f t="shared" si="1638"/>
        <v>71.46880726181422</v>
      </c>
      <c r="CM381" s="17">
        <f t="shared" si="1639"/>
        <v>24</v>
      </c>
      <c r="CN381" s="17">
        <f t="shared" si="1640"/>
        <v>50</v>
      </c>
      <c r="CO381" s="17">
        <f t="shared" si="1641"/>
        <v>65.062647806544774</v>
      </c>
      <c r="CP381" s="17">
        <f t="shared" si="1642"/>
        <v>6.4061594552694459</v>
      </c>
      <c r="CQ381" s="17">
        <f t="shared" si="1643"/>
        <v>0</v>
      </c>
      <c r="CR381" s="17">
        <f t="shared" si="1644"/>
        <v>100</v>
      </c>
      <c r="CS381" s="17">
        <f t="shared" si="1645"/>
        <v>26.404773030064671</v>
      </c>
      <c r="CT381" s="17">
        <f t="shared" si="1646"/>
        <v>24</v>
      </c>
      <c r="CU381" s="17">
        <f t="shared" si="1647"/>
        <v>50</v>
      </c>
      <c r="CV381" s="17">
        <f t="shared" si="1648"/>
        <v>65.062647806544774</v>
      </c>
      <c r="CW381" s="17">
        <f t="shared" si="1649"/>
        <v>-38.657874776480099</v>
      </c>
      <c r="CX381" s="17">
        <f t="shared" si="1587"/>
        <v>-3714.9373440000004</v>
      </c>
      <c r="CY381" s="17">
        <f t="shared" si="1587"/>
        <v>-3714.9373440000004</v>
      </c>
      <c r="CZ381" s="17">
        <f t="shared" si="1650"/>
        <v>238.45881600000007</v>
      </c>
      <c r="DA381" s="17">
        <f t="shared" si="1651"/>
        <v>-715.3764480000001</v>
      </c>
      <c r="DB381" s="17">
        <f t="shared" si="1652"/>
        <v>-26593.920000000002</v>
      </c>
      <c r="DC381" s="17">
        <f t="shared" si="1653"/>
        <v>3412</v>
      </c>
      <c r="DD381" s="17">
        <f t="shared" si="1654"/>
        <v>219.7280232</v>
      </c>
      <c r="DE381" s="17">
        <f t="shared" si="1655"/>
        <v>17496.000000000007</v>
      </c>
      <c r="DF381" s="17">
        <f t="shared" si="1656"/>
        <v>-2703.0928313548802</v>
      </c>
      <c r="DG381" s="17"/>
      <c r="DH381" s="17">
        <f t="shared" si="1657"/>
        <v>-10514.941939202587</v>
      </c>
      <c r="DI381" s="17">
        <f t="shared" si="1658"/>
        <v>-29573.274204007277</v>
      </c>
      <c r="DJ381" s="17">
        <f t="shared" si="1659"/>
        <v>-1523.0015527462326</v>
      </c>
      <c r="DK381" s="17">
        <f t="shared" si="1660"/>
        <v>2271.447090285008</v>
      </c>
      <c r="DL381" s="17">
        <f t="shared" si="1661"/>
        <v>-12361.139784154871</v>
      </c>
      <c r="DM381" s="17">
        <f t="shared" si="1662"/>
        <v>-39339.770605671089</v>
      </c>
      <c r="DN381" s="17">
        <f t="shared" si="1663"/>
        <v>-51700.910389825964</v>
      </c>
    </row>
    <row r="382" spans="3:120" ht="18.600000000000001">
      <c r="C382" s="13">
        <f>IF(D382&lt;&gt;"",COUNTA($D$10:D382),"")</f>
        <v>319</v>
      </c>
      <c r="D382" s="14" t="s">
        <v>212</v>
      </c>
      <c r="E382" s="14">
        <v>1.9</v>
      </c>
      <c r="F382" s="14">
        <v>2</v>
      </c>
      <c r="G382" s="14">
        <v>2.4</v>
      </c>
      <c r="H382" s="14">
        <v>2</v>
      </c>
      <c r="I382" s="14">
        <v>1</v>
      </c>
      <c r="J382" s="14">
        <v>1.75</v>
      </c>
      <c r="K382" s="14">
        <v>3</v>
      </c>
      <c r="L382" s="15">
        <v>0.1</v>
      </c>
      <c r="M382" s="15">
        <v>0</v>
      </c>
      <c r="N382" s="14">
        <v>24</v>
      </c>
      <c r="O382" s="14">
        <v>50</v>
      </c>
      <c r="P382" s="13">
        <v>45</v>
      </c>
      <c r="Q382" s="13">
        <v>85</v>
      </c>
      <c r="R382" s="13" t="s">
        <v>14</v>
      </c>
      <c r="S382" s="13">
        <v>120</v>
      </c>
      <c r="T382" s="13">
        <v>0</v>
      </c>
      <c r="U382" s="13">
        <v>100</v>
      </c>
      <c r="V382" s="13" t="str">
        <f t="shared" si="1588"/>
        <v>ISO 7</v>
      </c>
      <c r="W382" s="13">
        <f t="shared" si="1589"/>
        <v>120</v>
      </c>
      <c r="X382" s="16">
        <f t="shared" si="1590"/>
        <v>40.887999999999998</v>
      </c>
      <c r="Y382" s="16">
        <f t="shared" si="1591"/>
        <v>321.87033599999995</v>
      </c>
      <c r="Z382" s="16">
        <f t="shared" si="1592"/>
        <v>643.7406719999999</v>
      </c>
      <c r="AA382" s="16">
        <f t="shared" si="1593"/>
        <v>64.374067199999999</v>
      </c>
      <c r="AB382" s="16">
        <f t="shared" si="1594"/>
        <v>0</v>
      </c>
      <c r="AC382" s="16">
        <f t="shared" si="1595"/>
        <v>5.9219061445067043</v>
      </c>
      <c r="AD382" s="16">
        <f t="shared" si="1664"/>
        <v>2175</v>
      </c>
      <c r="AE382" s="16">
        <f t="shared" si="1597"/>
        <v>2175</v>
      </c>
      <c r="AF382" s="16">
        <f t="shared" si="1598"/>
        <v>10</v>
      </c>
      <c r="AG382" s="16">
        <f t="shared" si="1599"/>
        <v>5.5</v>
      </c>
      <c r="AH382" s="838" t="s">
        <v>85</v>
      </c>
      <c r="AI382" s="17">
        <f t="shared" si="1600"/>
        <v>4.5</v>
      </c>
      <c r="AJ382" s="17">
        <f t="shared" si="1601"/>
        <v>5.5</v>
      </c>
      <c r="AK382" s="891"/>
      <c r="AL382" s="18"/>
      <c r="AM382" s="889"/>
      <c r="AN382" s="891"/>
      <c r="AO382" s="888"/>
      <c r="AP382" s="891"/>
      <c r="AQ382" s="891"/>
      <c r="AR382" s="889"/>
      <c r="AS382" s="888"/>
      <c r="AT382" s="888"/>
      <c r="AU382" s="890"/>
      <c r="AV382" s="888"/>
      <c r="AW382" s="888"/>
      <c r="AX382" s="888"/>
      <c r="AY382" s="887"/>
      <c r="AZ382" s="888"/>
      <c r="BA382" s="17">
        <f t="shared" si="1602"/>
        <v>14.399999999999991</v>
      </c>
      <c r="BB382" s="17">
        <f t="shared" si="1603"/>
        <v>37.799999999999997</v>
      </c>
      <c r="BC382" s="17">
        <f t="shared" si="1604"/>
        <v>32</v>
      </c>
      <c r="BD382" s="17">
        <f t="shared" si="1605"/>
        <v>85</v>
      </c>
      <c r="BE382" s="17">
        <f t="shared" si="1606"/>
        <v>180.86341983910182</v>
      </c>
      <c r="BF382" s="17">
        <f t="shared" si="1607"/>
        <v>24</v>
      </c>
      <c r="BG382" s="17">
        <f t="shared" si="1608"/>
        <v>50</v>
      </c>
      <c r="BH382" s="17">
        <f t="shared" si="1609"/>
        <v>65.062647806544774</v>
      </c>
      <c r="BI382" s="17">
        <f t="shared" si="1610"/>
        <v>115.80077203255705</v>
      </c>
      <c r="BJ382" s="17">
        <f t="shared" si="1611"/>
        <v>45</v>
      </c>
      <c r="BK382" s="17">
        <f t="shared" si="1612"/>
        <v>85</v>
      </c>
      <c r="BL382" s="17">
        <f t="shared" si="1613"/>
        <v>380.54120080897206</v>
      </c>
      <c r="BM382" s="17">
        <f t="shared" si="1614"/>
        <v>24</v>
      </c>
      <c r="BN382" s="17">
        <f t="shared" si="1615"/>
        <v>50</v>
      </c>
      <c r="BO382" s="17">
        <f t="shared" si="1616"/>
        <v>65.062647806544774</v>
      </c>
      <c r="BP382" s="17">
        <f t="shared" si="1617"/>
        <v>315.4785530024273</v>
      </c>
      <c r="BQ382" s="17">
        <f t="shared" si="1618"/>
        <v>3426.2766719999991</v>
      </c>
      <c r="BR382" s="17">
        <f t="shared" si="1619"/>
        <v>1305.2482559999989</v>
      </c>
      <c r="BS382" s="17">
        <f t="shared" si="1620"/>
        <v>264.95423999999986</v>
      </c>
      <c r="BT382" s="17">
        <f t="shared" si="1621"/>
        <v>695.50487999999984</v>
      </c>
      <c r="BU382" s="17">
        <f t="shared" si="1622"/>
        <v>23269.68</v>
      </c>
      <c r="BV382" s="17">
        <f t="shared" si="1623"/>
        <v>3412</v>
      </c>
      <c r="BW382" s="17">
        <f t="shared" si="1624"/>
        <v>244.142248</v>
      </c>
      <c r="BX382" s="17">
        <f t="shared" si="1625"/>
        <v>17495.999999999989</v>
      </c>
      <c r="BY382" s="17">
        <f t="shared" si="1626"/>
        <v>2628.0069193727995</v>
      </c>
      <c r="BZ382" s="17"/>
      <c r="CA382" s="17">
        <f t="shared" si="1627"/>
        <v>85810.166416660228</v>
      </c>
      <c r="CB382" s="17">
        <f t="shared" si="1628"/>
        <v>241341.0930468569</v>
      </c>
      <c r="CC382" s="17">
        <f t="shared" si="1629"/>
        <v>13809.873548373173</v>
      </c>
      <c r="CD382" s="17">
        <f t="shared" si="1630"/>
        <v>124288.86193535852</v>
      </c>
      <c r="CE382" s="17">
        <f t="shared" si="1631"/>
        <v>50476.105839372787</v>
      </c>
      <c r="CF382" s="17">
        <f t="shared" si="1632"/>
        <v>465249.99494724884</v>
      </c>
      <c r="CG382" s="17">
        <f t="shared" si="1633"/>
        <v>515726.10078662162</v>
      </c>
      <c r="CH382" s="17">
        <f t="shared" si="1634"/>
        <v>14.400000000000006</v>
      </c>
      <c r="CI382" s="17">
        <f t="shared" si="1635"/>
        <v>-43.2</v>
      </c>
      <c r="CJ382" s="17">
        <f t="shared" si="1636"/>
        <v>16</v>
      </c>
      <c r="CK382" s="17">
        <f t="shared" si="1637"/>
        <v>90</v>
      </c>
      <c r="CL382" s="17">
        <f t="shared" si="1638"/>
        <v>71.46880726181422</v>
      </c>
      <c r="CM382" s="17">
        <f t="shared" si="1639"/>
        <v>24</v>
      </c>
      <c r="CN382" s="17">
        <f t="shared" si="1640"/>
        <v>50</v>
      </c>
      <c r="CO382" s="17">
        <f t="shared" si="1641"/>
        <v>65.062647806544774</v>
      </c>
      <c r="CP382" s="17">
        <f t="shared" si="1642"/>
        <v>6.4061594552694459</v>
      </c>
      <c r="CQ382" s="17">
        <f t="shared" si="1643"/>
        <v>0</v>
      </c>
      <c r="CR382" s="17">
        <f t="shared" si="1644"/>
        <v>100</v>
      </c>
      <c r="CS382" s="17">
        <f t="shared" si="1645"/>
        <v>26.404773030064671</v>
      </c>
      <c r="CT382" s="17">
        <f t="shared" si="1646"/>
        <v>24</v>
      </c>
      <c r="CU382" s="17">
        <f t="shared" si="1647"/>
        <v>50</v>
      </c>
      <c r="CV382" s="17">
        <f t="shared" si="1648"/>
        <v>65.062647806544774</v>
      </c>
      <c r="CW382" s="17">
        <f t="shared" si="1649"/>
        <v>-38.657874776480099</v>
      </c>
      <c r="CX382" s="17">
        <f t="shared" si="1587"/>
        <v>-3915.744768</v>
      </c>
      <c r="CY382" s="17">
        <f t="shared" si="1587"/>
        <v>-3915.744768</v>
      </c>
      <c r="CZ382" s="17">
        <f t="shared" si="1650"/>
        <v>264.95424000000008</v>
      </c>
      <c r="DA382" s="17">
        <f t="shared" si="1651"/>
        <v>-794.86271999999997</v>
      </c>
      <c r="DB382" s="17">
        <f t="shared" si="1652"/>
        <v>-26593.920000000002</v>
      </c>
      <c r="DC382" s="17">
        <f t="shared" si="1653"/>
        <v>3412</v>
      </c>
      <c r="DD382" s="17">
        <f t="shared" si="1654"/>
        <v>244.142248</v>
      </c>
      <c r="DE382" s="17">
        <f t="shared" si="1655"/>
        <v>17496.000000000007</v>
      </c>
      <c r="DF382" s="17">
        <f t="shared" si="1656"/>
        <v>-3003.4364792832002</v>
      </c>
      <c r="DG382" s="17"/>
      <c r="DH382" s="17">
        <f t="shared" si="1657"/>
        <v>-10514.941939202587</v>
      </c>
      <c r="DI382" s="17">
        <f t="shared" si="1658"/>
        <v>-29573.274204007277</v>
      </c>
      <c r="DJ382" s="17">
        <f t="shared" si="1659"/>
        <v>-1692.2239474958142</v>
      </c>
      <c r="DK382" s="17">
        <f t="shared" si="1660"/>
        <v>2523.8301003166753</v>
      </c>
      <c r="DL382" s="17">
        <f t="shared" si="1661"/>
        <v>-12890.867479283193</v>
      </c>
      <c r="DM382" s="17">
        <f t="shared" si="1662"/>
        <v>-39256.609990388999</v>
      </c>
      <c r="DN382" s="17">
        <f t="shared" si="1663"/>
        <v>-52147.477469672194</v>
      </c>
    </row>
    <row r="383" spans="3:120" ht="18.600000000000001">
      <c r="C383" s="13">
        <f>IF(D383&lt;&gt;"",COUNTA($D$10:D383),"")</f>
        <v>320</v>
      </c>
      <c r="D383" s="14" t="s">
        <v>213</v>
      </c>
      <c r="E383" s="14">
        <v>2.2999999999999998</v>
      </c>
      <c r="F383" s="14">
        <v>2.2000000000000002</v>
      </c>
      <c r="G383" s="14">
        <v>2.4</v>
      </c>
      <c r="H383" s="14">
        <v>2</v>
      </c>
      <c r="I383" s="14">
        <v>1</v>
      </c>
      <c r="J383" s="14">
        <v>1.75</v>
      </c>
      <c r="K383" s="14">
        <v>3</v>
      </c>
      <c r="L383" s="15">
        <v>0.1</v>
      </c>
      <c r="M383" s="15">
        <v>0</v>
      </c>
      <c r="N383" s="14">
        <v>24</v>
      </c>
      <c r="O383" s="14">
        <v>50</v>
      </c>
      <c r="P383" s="13">
        <v>45</v>
      </c>
      <c r="Q383" s="13">
        <v>85</v>
      </c>
      <c r="R383" s="13" t="s">
        <v>14</v>
      </c>
      <c r="S383" s="13">
        <v>120</v>
      </c>
      <c r="T383" s="13">
        <v>0</v>
      </c>
      <c r="U383" s="13">
        <v>100</v>
      </c>
      <c r="V383" s="13" t="str">
        <f t="shared" si="1588"/>
        <v>ISO 7</v>
      </c>
      <c r="W383" s="13">
        <f t="shared" si="1589"/>
        <v>120</v>
      </c>
      <c r="X383" s="16">
        <f t="shared" si="1590"/>
        <v>54.445599999999992</v>
      </c>
      <c r="Y383" s="16">
        <f t="shared" si="1591"/>
        <v>428.59576319999991</v>
      </c>
      <c r="Z383" s="16">
        <f t="shared" si="1592"/>
        <v>857.19152639999982</v>
      </c>
      <c r="AA383" s="16">
        <f t="shared" si="1593"/>
        <v>85.71915263999999</v>
      </c>
      <c r="AB383" s="16">
        <f t="shared" si="1594"/>
        <v>0</v>
      </c>
      <c r="AC383" s="16">
        <f t="shared" si="1595"/>
        <v>7.8854855503168197</v>
      </c>
      <c r="AD383" s="16">
        <f t="shared" si="1664"/>
        <v>2400</v>
      </c>
      <c r="AE383" s="16">
        <f t="shared" si="1597"/>
        <v>2400</v>
      </c>
      <c r="AF383" s="16">
        <f t="shared" si="1598"/>
        <v>10</v>
      </c>
      <c r="AG383" s="16">
        <f t="shared" si="1599"/>
        <v>6</v>
      </c>
      <c r="AH383" s="838" t="s">
        <v>85</v>
      </c>
      <c r="AI383" s="17">
        <f t="shared" si="1600"/>
        <v>4.5</v>
      </c>
      <c r="AJ383" s="17">
        <f t="shared" si="1601"/>
        <v>6</v>
      </c>
      <c r="AK383" s="891"/>
      <c r="AL383" s="18"/>
      <c r="AM383" s="889"/>
      <c r="AN383" s="891"/>
      <c r="AO383" s="888"/>
      <c r="AP383" s="891"/>
      <c r="AQ383" s="891"/>
      <c r="AR383" s="889"/>
      <c r="AS383" s="888"/>
      <c r="AT383" s="888"/>
      <c r="AU383" s="890"/>
      <c r="AV383" s="888"/>
      <c r="AW383" s="888"/>
      <c r="AX383" s="888"/>
      <c r="AY383" s="887"/>
      <c r="AZ383" s="888"/>
      <c r="BA383" s="17">
        <f t="shared" si="1602"/>
        <v>14.399999999999991</v>
      </c>
      <c r="BB383" s="17">
        <f t="shared" si="1603"/>
        <v>37.799999999999997</v>
      </c>
      <c r="BC383" s="17">
        <f t="shared" si="1604"/>
        <v>32</v>
      </c>
      <c r="BD383" s="17">
        <f t="shared" si="1605"/>
        <v>85</v>
      </c>
      <c r="BE383" s="17">
        <f t="shared" si="1606"/>
        <v>180.86341983910182</v>
      </c>
      <c r="BF383" s="17">
        <f t="shared" si="1607"/>
        <v>24</v>
      </c>
      <c r="BG383" s="17">
        <f t="shared" si="1608"/>
        <v>50</v>
      </c>
      <c r="BH383" s="17">
        <f t="shared" si="1609"/>
        <v>65.062647806544774</v>
      </c>
      <c r="BI383" s="17">
        <f t="shared" si="1610"/>
        <v>115.80077203255705</v>
      </c>
      <c r="BJ383" s="17">
        <f t="shared" si="1611"/>
        <v>45</v>
      </c>
      <c r="BK383" s="17">
        <f t="shared" si="1612"/>
        <v>85</v>
      </c>
      <c r="BL383" s="17">
        <f t="shared" si="1613"/>
        <v>380.54120080897206</v>
      </c>
      <c r="BM383" s="17">
        <f t="shared" si="1614"/>
        <v>24</v>
      </c>
      <c r="BN383" s="17">
        <f t="shared" si="1615"/>
        <v>50</v>
      </c>
      <c r="BO383" s="17">
        <f t="shared" si="1616"/>
        <v>65.062647806544774</v>
      </c>
      <c r="BP383" s="17">
        <f t="shared" si="1617"/>
        <v>315.4785530024273</v>
      </c>
      <c r="BQ383" s="17">
        <f t="shared" si="1618"/>
        <v>3953.3961599999993</v>
      </c>
      <c r="BR383" s="17">
        <f t="shared" si="1619"/>
        <v>1506.0556799999993</v>
      </c>
      <c r="BS383" s="17">
        <f t="shared" si="1620"/>
        <v>352.80748799999975</v>
      </c>
      <c r="BT383" s="17">
        <f t="shared" si="1621"/>
        <v>926.11965599999974</v>
      </c>
      <c r="BU383" s="17">
        <f t="shared" si="1622"/>
        <v>23269.68</v>
      </c>
      <c r="BV383" s="17">
        <f t="shared" si="1623"/>
        <v>3412</v>
      </c>
      <c r="BW383" s="17">
        <f t="shared" si="1624"/>
        <v>325.0946775999999</v>
      </c>
      <c r="BX383" s="17">
        <f t="shared" si="1625"/>
        <v>17495.999999999989</v>
      </c>
      <c r="BY383" s="17">
        <f t="shared" si="1626"/>
        <v>3499.3986873753597</v>
      </c>
      <c r="BZ383" s="17"/>
      <c r="CA383" s="17">
        <f t="shared" si="1627"/>
        <v>85810.166416660228</v>
      </c>
      <c r="CB383" s="17">
        <f t="shared" si="1628"/>
        <v>241341.0930468569</v>
      </c>
      <c r="CC383" s="17">
        <f t="shared" si="1629"/>
        <v>18388.936882833746</v>
      </c>
      <c r="CD383" s="17">
        <f t="shared" si="1630"/>
        <v>165500.43194550375</v>
      </c>
      <c r="CE383" s="17">
        <f t="shared" si="1631"/>
        <v>51955.569524975348</v>
      </c>
      <c r="CF383" s="17">
        <f t="shared" si="1632"/>
        <v>511040.62829185458</v>
      </c>
      <c r="CG383" s="17">
        <f t="shared" si="1633"/>
        <v>562996.1978168299</v>
      </c>
      <c r="CH383" s="17">
        <f t="shared" si="1634"/>
        <v>14.400000000000006</v>
      </c>
      <c r="CI383" s="17">
        <f t="shared" si="1635"/>
        <v>-43.2</v>
      </c>
      <c r="CJ383" s="17">
        <f t="shared" si="1636"/>
        <v>16</v>
      </c>
      <c r="CK383" s="17">
        <f t="shared" si="1637"/>
        <v>90</v>
      </c>
      <c r="CL383" s="17">
        <f t="shared" si="1638"/>
        <v>71.46880726181422</v>
      </c>
      <c r="CM383" s="17">
        <f t="shared" si="1639"/>
        <v>24</v>
      </c>
      <c r="CN383" s="17">
        <f t="shared" si="1640"/>
        <v>50</v>
      </c>
      <c r="CO383" s="17">
        <f t="shared" si="1641"/>
        <v>65.062647806544774</v>
      </c>
      <c r="CP383" s="17">
        <f t="shared" si="1642"/>
        <v>6.4061594552694459</v>
      </c>
      <c r="CQ383" s="17">
        <f t="shared" si="1643"/>
        <v>0</v>
      </c>
      <c r="CR383" s="17">
        <f t="shared" si="1644"/>
        <v>100</v>
      </c>
      <c r="CS383" s="17">
        <f t="shared" si="1645"/>
        <v>26.404773030064671</v>
      </c>
      <c r="CT383" s="17">
        <f t="shared" si="1646"/>
        <v>24</v>
      </c>
      <c r="CU383" s="17">
        <f t="shared" si="1647"/>
        <v>50</v>
      </c>
      <c r="CV383" s="17">
        <f t="shared" si="1648"/>
        <v>65.062647806544774</v>
      </c>
      <c r="CW383" s="17">
        <f t="shared" si="1649"/>
        <v>-38.657874776480099</v>
      </c>
      <c r="CX383" s="17">
        <f t="shared" si="1587"/>
        <v>-4518.1670400000012</v>
      </c>
      <c r="CY383" s="17">
        <f t="shared" si="1587"/>
        <v>-4518.1670400000012</v>
      </c>
      <c r="CZ383" s="17">
        <f t="shared" si="1650"/>
        <v>352.80748800000009</v>
      </c>
      <c r="DA383" s="17">
        <f t="shared" si="1651"/>
        <v>-1058.422464</v>
      </c>
      <c r="DB383" s="17">
        <f t="shared" si="1652"/>
        <v>-26593.920000000002</v>
      </c>
      <c r="DC383" s="17">
        <f t="shared" si="1653"/>
        <v>3412</v>
      </c>
      <c r="DD383" s="17">
        <f t="shared" si="1654"/>
        <v>325.0946775999999</v>
      </c>
      <c r="DE383" s="17">
        <f t="shared" si="1655"/>
        <v>17496.000000000007</v>
      </c>
      <c r="DF383" s="17">
        <f t="shared" si="1656"/>
        <v>-3999.3127855718403</v>
      </c>
      <c r="DG383" s="17"/>
      <c r="DH383" s="17">
        <f t="shared" si="1657"/>
        <v>-10514.941939202587</v>
      </c>
      <c r="DI383" s="17">
        <f t="shared" si="1658"/>
        <v>-29573.274204007277</v>
      </c>
      <c r="DJ383" s="17">
        <f t="shared" si="1659"/>
        <v>-2253.32978271811</v>
      </c>
      <c r="DK383" s="17">
        <f t="shared" si="1660"/>
        <v>3360.6790283164155</v>
      </c>
      <c r="DL383" s="17">
        <f t="shared" si="1661"/>
        <v>-14583.920123971839</v>
      </c>
      <c r="DM383" s="17">
        <f t="shared" si="1662"/>
        <v>-38980.866897611559</v>
      </c>
      <c r="DN383" s="17">
        <f t="shared" si="1663"/>
        <v>-53564.787021583397</v>
      </c>
    </row>
    <row r="384" spans="3:120" ht="18.600000000000001">
      <c r="C384" s="13">
        <f>IF(D384&lt;&gt;"",COUNTA($D$10:D384),"")</f>
        <v>321</v>
      </c>
      <c r="D384" s="14" t="s">
        <v>214</v>
      </c>
      <c r="E384" s="14">
        <v>2.2000000000000002</v>
      </c>
      <c r="F384" s="14">
        <v>2.8</v>
      </c>
      <c r="G384" s="14">
        <v>2.4</v>
      </c>
      <c r="H384" s="14">
        <v>2</v>
      </c>
      <c r="I384" s="14">
        <v>1</v>
      </c>
      <c r="J384" s="14">
        <v>1.75</v>
      </c>
      <c r="K384" s="14">
        <v>3</v>
      </c>
      <c r="L384" s="15">
        <v>0.1</v>
      </c>
      <c r="M384" s="15">
        <v>0</v>
      </c>
      <c r="N384" s="14">
        <v>24</v>
      </c>
      <c r="O384" s="14">
        <v>50</v>
      </c>
      <c r="P384" s="13">
        <v>45</v>
      </c>
      <c r="Q384" s="13">
        <v>85</v>
      </c>
      <c r="R384" s="13" t="s">
        <v>14</v>
      </c>
      <c r="S384" s="13">
        <v>120</v>
      </c>
      <c r="T384" s="13">
        <v>0</v>
      </c>
      <c r="U384" s="13">
        <v>100</v>
      </c>
      <c r="V384" s="13" t="str">
        <f t="shared" si="1588"/>
        <v>ISO 7</v>
      </c>
      <c r="W384" s="13">
        <f t="shared" si="1589"/>
        <v>120</v>
      </c>
      <c r="X384" s="16">
        <f t="shared" si="1590"/>
        <v>66.281599999999997</v>
      </c>
      <c r="Y384" s="16">
        <f t="shared" si="1591"/>
        <v>521.76875519999999</v>
      </c>
      <c r="Z384" s="16">
        <f t="shared" si="1592"/>
        <v>1043.5375104</v>
      </c>
      <c r="AA384" s="16">
        <f t="shared" si="1593"/>
        <v>104.35375104000001</v>
      </c>
      <c r="AB384" s="16">
        <f t="shared" si="1594"/>
        <v>0</v>
      </c>
      <c r="AC384" s="16">
        <f t="shared" si="1595"/>
        <v>9.5997215395161284</v>
      </c>
      <c r="AD384" s="16">
        <f t="shared" si="1664"/>
        <v>2575</v>
      </c>
      <c r="AE384" s="16">
        <f t="shared" si="1597"/>
        <v>2575</v>
      </c>
      <c r="AF384" s="16">
        <f t="shared" si="1598"/>
        <v>12</v>
      </c>
      <c r="AG384" s="16">
        <f t="shared" si="1599"/>
        <v>6.5</v>
      </c>
      <c r="AH384" s="838" t="s">
        <v>85</v>
      </c>
      <c r="AI384" s="17">
        <f t="shared" si="1600"/>
        <v>4.5</v>
      </c>
      <c r="AJ384" s="17">
        <f t="shared" si="1601"/>
        <v>6.5</v>
      </c>
      <c r="AK384" s="891"/>
      <c r="AL384" s="18"/>
      <c r="AM384" s="889"/>
      <c r="AN384" s="891"/>
      <c r="AO384" s="888"/>
      <c r="AP384" s="891"/>
      <c r="AQ384" s="891"/>
      <c r="AR384" s="889"/>
      <c r="AS384" s="888"/>
      <c r="AT384" s="888"/>
      <c r="AU384" s="890"/>
      <c r="AV384" s="888"/>
      <c r="AW384" s="888"/>
      <c r="AX384" s="888"/>
      <c r="AY384" s="887"/>
      <c r="AZ384" s="888"/>
      <c r="BA384" s="17">
        <f t="shared" si="1602"/>
        <v>14.399999999999991</v>
      </c>
      <c r="BB384" s="17">
        <f t="shared" si="1603"/>
        <v>37.799999999999997</v>
      </c>
      <c r="BC384" s="17">
        <f t="shared" si="1604"/>
        <v>32</v>
      </c>
      <c r="BD384" s="17">
        <f t="shared" si="1605"/>
        <v>85</v>
      </c>
      <c r="BE384" s="17">
        <f t="shared" si="1606"/>
        <v>180.86341983910182</v>
      </c>
      <c r="BF384" s="17">
        <f t="shared" si="1607"/>
        <v>24</v>
      </c>
      <c r="BG384" s="17">
        <f t="shared" si="1608"/>
        <v>50</v>
      </c>
      <c r="BH384" s="17">
        <f t="shared" si="1609"/>
        <v>65.062647806544774</v>
      </c>
      <c r="BI384" s="17">
        <f t="shared" si="1610"/>
        <v>115.80077203255705</v>
      </c>
      <c r="BJ384" s="17">
        <f t="shared" si="1611"/>
        <v>45</v>
      </c>
      <c r="BK384" s="17">
        <f t="shared" si="1612"/>
        <v>85</v>
      </c>
      <c r="BL384" s="17">
        <f t="shared" si="1613"/>
        <v>380.54120080897206</v>
      </c>
      <c r="BM384" s="17">
        <f t="shared" si="1614"/>
        <v>24</v>
      </c>
      <c r="BN384" s="17">
        <f t="shared" si="1615"/>
        <v>50</v>
      </c>
      <c r="BO384" s="17">
        <f t="shared" si="1616"/>
        <v>65.062647806544774</v>
      </c>
      <c r="BP384" s="17">
        <f t="shared" si="1617"/>
        <v>315.4785530024273</v>
      </c>
      <c r="BQ384" s="17">
        <f t="shared" si="1618"/>
        <v>4392.6624000000002</v>
      </c>
      <c r="BR384" s="17">
        <f t="shared" si="1619"/>
        <v>1673.3951999999992</v>
      </c>
      <c r="BS384" s="17">
        <f t="shared" si="1620"/>
        <v>429.50476799999973</v>
      </c>
      <c r="BT384" s="17">
        <f t="shared" si="1621"/>
        <v>1127.4500159999998</v>
      </c>
      <c r="BU384" s="17">
        <f t="shared" si="1622"/>
        <v>23269.68</v>
      </c>
      <c r="BV384" s="17">
        <f t="shared" si="1623"/>
        <v>3412</v>
      </c>
      <c r="BW384" s="17">
        <f t="shared" si="1624"/>
        <v>395.76743359999995</v>
      </c>
      <c r="BX384" s="17">
        <f t="shared" si="1625"/>
        <v>17495.999999999989</v>
      </c>
      <c r="BY384" s="17">
        <f t="shared" si="1626"/>
        <v>4260.1375324569599</v>
      </c>
      <c r="BZ384" s="17"/>
      <c r="CA384" s="17">
        <f t="shared" si="1627"/>
        <v>85810.166416660228</v>
      </c>
      <c r="CB384" s="17">
        <f t="shared" si="1628"/>
        <v>241341.0930468569</v>
      </c>
      <c r="CC384" s="17">
        <f t="shared" si="1629"/>
        <v>22386.531857362828</v>
      </c>
      <c r="CD384" s="17">
        <f t="shared" si="1630"/>
        <v>201478.78671626543</v>
      </c>
      <c r="CE384" s="17">
        <f t="shared" si="1631"/>
        <v>53226.247366056945</v>
      </c>
      <c r="CF384" s="17">
        <f t="shared" si="1632"/>
        <v>551016.57803714531</v>
      </c>
      <c r="CG384" s="17">
        <f t="shared" si="1633"/>
        <v>604242.82540320221</v>
      </c>
      <c r="CH384" s="17">
        <f t="shared" si="1634"/>
        <v>14.400000000000006</v>
      </c>
      <c r="CI384" s="17">
        <f t="shared" si="1635"/>
        <v>-43.2</v>
      </c>
      <c r="CJ384" s="17">
        <f t="shared" si="1636"/>
        <v>16</v>
      </c>
      <c r="CK384" s="17">
        <f t="shared" si="1637"/>
        <v>90</v>
      </c>
      <c r="CL384" s="17">
        <f t="shared" si="1638"/>
        <v>71.46880726181422</v>
      </c>
      <c r="CM384" s="17">
        <f t="shared" si="1639"/>
        <v>24</v>
      </c>
      <c r="CN384" s="17">
        <f t="shared" si="1640"/>
        <v>50</v>
      </c>
      <c r="CO384" s="17">
        <f t="shared" si="1641"/>
        <v>65.062647806544774</v>
      </c>
      <c r="CP384" s="17">
        <f t="shared" si="1642"/>
        <v>6.4061594552694459</v>
      </c>
      <c r="CQ384" s="17">
        <f t="shared" si="1643"/>
        <v>0</v>
      </c>
      <c r="CR384" s="17">
        <f t="shared" si="1644"/>
        <v>100</v>
      </c>
      <c r="CS384" s="17">
        <f t="shared" si="1645"/>
        <v>26.404773030064671</v>
      </c>
      <c r="CT384" s="17">
        <f t="shared" si="1646"/>
        <v>24</v>
      </c>
      <c r="CU384" s="17">
        <f t="shared" si="1647"/>
        <v>50</v>
      </c>
      <c r="CV384" s="17">
        <f t="shared" si="1648"/>
        <v>65.062647806544774</v>
      </c>
      <c r="CW384" s="17">
        <f t="shared" si="1649"/>
        <v>-38.657874776480099</v>
      </c>
      <c r="CX384" s="17">
        <f t="shared" si="1587"/>
        <v>-5020.1856000000007</v>
      </c>
      <c r="CY384" s="17">
        <f t="shared" si="1587"/>
        <v>-5020.1856000000007</v>
      </c>
      <c r="CZ384" s="17">
        <f t="shared" si="1650"/>
        <v>429.50476800000018</v>
      </c>
      <c r="DA384" s="17">
        <f t="shared" si="1651"/>
        <v>-1288.514304</v>
      </c>
      <c r="DB384" s="17">
        <f t="shared" si="1652"/>
        <v>-26593.920000000002</v>
      </c>
      <c r="DC384" s="17">
        <f t="shared" si="1653"/>
        <v>3412</v>
      </c>
      <c r="DD384" s="17">
        <f t="shared" si="1654"/>
        <v>395.76743359999995</v>
      </c>
      <c r="DE384" s="17">
        <f t="shared" si="1655"/>
        <v>17496.000000000007</v>
      </c>
      <c r="DF384" s="17">
        <f t="shared" si="1656"/>
        <v>-4868.7286085222404</v>
      </c>
      <c r="DG384" s="17"/>
      <c r="DH384" s="17">
        <f t="shared" si="1657"/>
        <v>-10514.941939202587</v>
      </c>
      <c r="DI384" s="17">
        <f t="shared" si="1658"/>
        <v>-29573.274204007277</v>
      </c>
      <c r="DJ384" s="17">
        <f t="shared" si="1659"/>
        <v>-2743.1840833090046</v>
      </c>
      <c r="DK384" s="17">
        <f t="shared" si="1660"/>
        <v>4091.2614257765063</v>
      </c>
      <c r="DL384" s="17">
        <f t="shared" si="1661"/>
        <v>-16038.076310922239</v>
      </c>
      <c r="DM384" s="17">
        <f t="shared" si="1662"/>
        <v>-38740.138800742359</v>
      </c>
      <c r="DN384" s="17">
        <f t="shared" si="1663"/>
        <v>-54778.215111664598</v>
      </c>
    </row>
    <row r="385" spans="3:120" ht="18.600000000000001">
      <c r="C385" s="13">
        <f>IF(D385&lt;&gt;"",COUNTA($D$10:D385),"")</f>
        <v>322</v>
      </c>
      <c r="D385" s="14" t="s">
        <v>215</v>
      </c>
      <c r="E385" s="14">
        <v>2.8</v>
      </c>
      <c r="F385" s="14">
        <v>2.4</v>
      </c>
      <c r="G385" s="14">
        <v>2.4</v>
      </c>
      <c r="H385" s="14">
        <v>2</v>
      </c>
      <c r="I385" s="14">
        <v>1</v>
      </c>
      <c r="J385" s="14">
        <v>1.75</v>
      </c>
      <c r="K385" s="14">
        <v>3</v>
      </c>
      <c r="L385" s="15">
        <v>0.1</v>
      </c>
      <c r="M385" s="15">
        <v>0</v>
      </c>
      <c r="N385" s="14">
        <v>24</v>
      </c>
      <c r="O385" s="14">
        <v>50</v>
      </c>
      <c r="P385" s="13">
        <v>45</v>
      </c>
      <c r="Q385" s="13">
        <v>85</v>
      </c>
      <c r="R385" s="13" t="s">
        <v>14</v>
      </c>
      <c r="S385" s="13">
        <v>120</v>
      </c>
      <c r="T385" s="13">
        <v>0</v>
      </c>
      <c r="U385" s="13">
        <v>100</v>
      </c>
      <c r="V385" s="13" t="str">
        <f t="shared" si="1588"/>
        <v>ISO 7</v>
      </c>
      <c r="W385" s="13">
        <f t="shared" si="1589"/>
        <v>120</v>
      </c>
      <c r="X385" s="16">
        <f t="shared" si="1590"/>
        <v>72.307199999999995</v>
      </c>
      <c r="Y385" s="16">
        <f t="shared" si="1591"/>
        <v>569.20227839999995</v>
      </c>
      <c r="Z385" s="16">
        <f t="shared" si="1592"/>
        <v>1138.4045567999999</v>
      </c>
      <c r="AA385" s="16">
        <f t="shared" si="1593"/>
        <v>113.84045567999999</v>
      </c>
      <c r="AB385" s="16">
        <f t="shared" si="1594"/>
        <v>0</v>
      </c>
      <c r="AC385" s="16">
        <f t="shared" si="1595"/>
        <v>10.472423497653956</v>
      </c>
      <c r="AD385" s="16">
        <f t="shared" si="1664"/>
        <v>2675</v>
      </c>
      <c r="AE385" s="16">
        <f t="shared" si="1597"/>
        <v>2675</v>
      </c>
      <c r="AF385" s="16">
        <f t="shared" si="1598"/>
        <v>12</v>
      </c>
      <c r="AG385" s="16">
        <f t="shared" si="1599"/>
        <v>7</v>
      </c>
      <c r="AH385" s="838" t="s">
        <v>85</v>
      </c>
      <c r="AI385" s="17">
        <f t="shared" si="1600"/>
        <v>4.5</v>
      </c>
      <c r="AJ385" s="17">
        <f t="shared" si="1601"/>
        <v>7</v>
      </c>
      <c r="AK385" s="891"/>
      <c r="AL385" s="18"/>
      <c r="AM385" s="889"/>
      <c r="AN385" s="891"/>
      <c r="AO385" s="888"/>
      <c r="AP385" s="891"/>
      <c r="AQ385" s="891"/>
      <c r="AR385" s="889"/>
      <c r="AS385" s="888"/>
      <c r="AT385" s="888"/>
      <c r="AU385" s="890"/>
      <c r="AV385" s="888"/>
      <c r="AW385" s="888"/>
      <c r="AX385" s="888"/>
      <c r="AY385" s="887"/>
      <c r="AZ385" s="888"/>
      <c r="BA385" s="17">
        <f t="shared" si="1602"/>
        <v>14.399999999999991</v>
      </c>
      <c r="BB385" s="17">
        <f t="shared" si="1603"/>
        <v>37.799999999999997</v>
      </c>
      <c r="BC385" s="17">
        <f t="shared" si="1604"/>
        <v>32</v>
      </c>
      <c r="BD385" s="17">
        <f t="shared" si="1605"/>
        <v>85</v>
      </c>
      <c r="BE385" s="17">
        <f t="shared" si="1606"/>
        <v>180.86341983910182</v>
      </c>
      <c r="BF385" s="17">
        <f t="shared" si="1607"/>
        <v>24</v>
      </c>
      <c r="BG385" s="17">
        <f t="shared" si="1608"/>
        <v>50</v>
      </c>
      <c r="BH385" s="17">
        <f t="shared" si="1609"/>
        <v>65.062647806544774</v>
      </c>
      <c r="BI385" s="17">
        <f t="shared" si="1610"/>
        <v>115.80077203255705</v>
      </c>
      <c r="BJ385" s="17">
        <f t="shared" si="1611"/>
        <v>45</v>
      </c>
      <c r="BK385" s="17">
        <f t="shared" si="1612"/>
        <v>85</v>
      </c>
      <c r="BL385" s="17">
        <f t="shared" si="1613"/>
        <v>380.54120080897206</v>
      </c>
      <c r="BM385" s="17">
        <f t="shared" si="1614"/>
        <v>24</v>
      </c>
      <c r="BN385" s="17">
        <f t="shared" si="1615"/>
        <v>50</v>
      </c>
      <c r="BO385" s="17">
        <f t="shared" si="1616"/>
        <v>65.062647806544774</v>
      </c>
      <c r="BP385" s="17">
        <f t="shared" si="1617"/>
        <v>315.4785530024273</v>
      </c>
      <c r="BQ385" s="17">
        <f t="shared" si="1618"/>
        <v>4568.368895999999</v>
      </c>
      <c r="BR385" s="17">
        <f t="shared" si="1619"/>
        <v>1740.331007999999</v>
      </c>
      <c r="BS385" s="17">
        <f t="shared" si="1620"/>
        <v>468.55065599999972</v>
      </c>
      <c r="BT385" s="17">
        <f t="shared" si="1621"/>
        <v>1229.9454719999999</v>
      </c>
      <c r="BU385" s="17">
        <f t="shared" si="1622"/>
        <v>23269.68</v>
      </c>
      <c r="BV385" s="17">
        <f t="shared" si="1623"/>
        <v>3412</v>
      </c>
      <c r="BW385" s="17">
        <f t="shared" si="1624"/>
        <v>431.74629119999997</v>
      </c>
      <c r="BX385" s="17">
        <f t="shared" si="1625"/>
        <v>17495.999999999989</v>
      </c>
      <c r="BY385" s="17">
        <f t="shared" si="1626"/>
        <v>4647.4227626803195</v>
      </c>
      <c r="BZ385" s="17"/>
      <c r="CA385" s="17">
        <f t="shared" si="1627"/>
        <v>85810.166416660228</v>
      </c>
      <c r="CB385" s="17">
        <f t="shared" si="1628"/>
        <v>241341.0930468569</v>
      </c>
      <c r="CC385" s="17">
        <f t="shared" si="1629"/>
        <v>24421.671117123082</v>
      </c>
      <c r="CD385" s="17">
        <f t="shared" si="1630"/>
        <v>219795.04005410775</v>
      </c>
      <c r="CE385" s="17">
        <f t="shared" si="1631"/>
        <v>53825.217949880309</v>
      </c>
      <c r="CF385" s="17">
        <f t="shared" si="1632"/>
        <v>571367.970634748</v>
      </c>
      <c r="CG385" s="17">
        <f t="shared" si="1633"/>
        <v>625193.18858462828</v>
      </c>
      <c r="CH385" s="17">
        <f t="shared" si="1634"/>
        <v>14.400000000000006</v>
      </c>
      <c r="CI385" s="17">
        <f t="shared" si="1635"/>
        <v>-43.2</v>
      </c>
      <c r="CJ385" s="17">
        <f t="shared" si="1636"/>
        <v>16</v>
      </c>
      <c r="CK385" s="17">
        <f t="shared" si="1637"/>
        <v>90</v>
      </c>
      <c r="CL385" s="17">
        <f t="shared" si="1638"/>
        <v>71.46880726181422</v>
      </c>
      <c r="CM385" s="17">
        <f t="shared" si="1639"/>
        <v>24</v>
      </c>
      <c r="CN385" s="17">
        <f t="shared" si="1640"/>
        <v>50</v>
      </c>
      <c r="CO385" s="17">
        <f t="shared" si="1641"/>
        <v>65.062647806544774</v>
      </c>
      <c r="CP385" s="17">
        <f t="shared" si="1642"/>
        <v>6.4061594552694459</v>
      </c>
      <c r="CQ385" s="17">
        <f t="shared" si="1643"/>
        <v>0</v>
      </c>
      <c r="CR385" s="17">
        <f t="shared" si="1644"/>
        <v>100</v>
      </c>
      <c r="CS385" s="17">
        <f t="shared" si="1645"/>
        <v>26.404773030064671</v>
      </c>
      <c r="CT385" s="17">
        <f t="shared" si="1646"/>
        <v>24</v>
      </c>
      <c r="CU385" s="17">
        <f t="shared" si="1647"/>
        <v>50</v>
      </c>
      <c r="CV385" s="17">
        <f t="shared" si="1648"/>
        <v>65.062647806544774</v>
      </c>
      <c r="CW385" s="17">
        <f t="shared" si="1649"/>
        <v>-38.657874776480099</v>
      </c>
      <c r="CX385" s="17">
        <f t="shared" si="1587"/>
        <v>-5220.9930240000003</v>
      </c>
      <c r="CY385" s="17">
        <f t="shared" si="1587"/>
        <v>-5220.9930240000003</v>
      </c>
      <c r="CZ385" s="17">
        <f t="shared" si="1650"/>
        <v>468.55065600000012</v>
      </c>
      <c r="DA385" s="17">
        <f t="shared" si="1651"/>
        <v>-1405.6519680000001</v>
      </c>
      <c r="DB385" s="17">
        <f t="shared" si="1652"/>
        <v>-26593.920000000002</v>
      </c>
      <c r="DC385" s="17">
        <f t="shared" si="1653"/>
        <v>3412</v>
      </c>
      <c r="DD385" s="17">
        <f t="shared" si="1654"/>
        <v>431.74629119999997</v>
      </c>
      <c r="DE385" s="17">
        <f t="shared" si="1655"/>
        <v>17496.000000000007</v>
      </c>
      <c r="DF385" s="17">
        <f t="shared" si="1656"/>
        <v>-5311.3403002060804</v>
      </c>
      <c r="DG385" s="17"/>
      <c r="DH385" s="17">
        <f t="shared" si="1657"/>
        <v>-10514.941939202587</v>
      </c>
      <c r="DI385" s="17">
        <f t="shared" si="1658"/>
        <v>-29573.274204007277</v>
      </c>
      <c r="DJ385" s="17">
        <f t="shared" si="1659"/>
        <v>-2992.5644545189134</v>
      </c>
      <c r="DK385" s="17">
        <f t="shared" si="1660"/>
        <v>4463.1942826652794</v>
      </c>
      <c r="DL385" s="17">
        <f t="shared" si="1661"/>
        <v>-16723.608345006072</v>
      </c>
      <c r="DM385" s="17">
        <f t="shared" si="1662"/>
        <v>-38617.586315063498</v>
      </c>
      <c r="DN385" s="17">
        <f t="shared" si="1663"/>
        <v>-55341.194660069566</v>
      </c>
    </row>
    <row r="386" spans="3:120">
      <c r="C386" s="19"/>
      <c r="D386" s="19"/>
      <c r="E386" s="19"/>
      <c r="F386" s="19"/>
      <c r="G386" s="19"/>
      <c r="H386" s="19"/>
      <c r="I386" s="19"/>
      <c r="J386" s="19"/>
      <c r="K386" s="19"/>
      <c r="L386" s="19"/>
      <c r="M386" s="19"/>
      <c r="N386" s="19"/>
      <c r="O386" s="19"/>
      <c r="P386" s="19"/>
      <c r="Q386" s="19"/>
      <c r="R386" s="19"/>
      <c r="S386" s="19"/>
      <c r="T386" s="19"/>
      <c r="U386" s="19"/>
      <c r="V386" s="19"/>
      <c r="W386" s="19"/>
      <c r="X386" s="20">
        <f>SUM(X370:X385)</f>
        <v>1144.1108000000002</v>
      </c>
      <c r="Y386" s="20">
        <f t="shared" ref="Y386:AG386" si="1665">SUM(Y370:Y385)</f>
        <v>9006.4402175999985</v>
      </c>
      <c r="Z386" s="20">
        <f t="shared" si="1665"/>
        <v>18012.880435199997</v>
      </c>
      <c r="AA386" s="20">
        <f t="shared" si="1665"/>
        <v>1801.2880435199995</v>
      </c>
      <c r="AB386" s="20">
        <f t="shared" si="1665"/>
        <v>0</v>
      </c>
      <c r="AC386" s="20">
        <f t="shared" si="1665"/>
        <v>165.70428430142042</v>
      </c>
      <c r="AD386" s="20">
        <f t="shared" si="1665"/>
        <v>42375</v>
      </c>
      <c r="AE386" s="20">
        <f t="shared" si="1665"/>
        <v>42375</v>
      </c>
      <c r="AF386" s="20">
        <f t="shared" si="1665"/>
        <v>182</v>
      </c>
      <c r="AG386" s="20">
        <f t="shared" si="1665"/>
        <v>108.5</v>
      </c>
      <c r="AH386" s="841"/>
      <c r="AI386" s="20">
        <f t="shared" ref="AI386:AJ386" si="1666">SUM(AI370:AI385)</f>
        <v>76.5</v>
      </c>
      <c r="AJ386" s="20">
        <f t="shared" si="1666"/>
        <v>108.5</v>
      </c>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2"/>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c r="DH386" s="21"/>
      <c r="DI386" s="21"/>
      <c r="DJ386" s="21"/>
      <c r="DK386" s="21"/>
      <c r="DL386" s="21"/>
      <c r="DM386" s="21"/>
      <c r="DN386" s="21"/>
    </row>
    <row r="388" spans="3:120" ht="29.1">
      <c r="C388" s="8" t="str">
        <f>"Zoning Area  AHU - " &amp; INT((ROW()-8)/20)+1 &amp; "  " &amp;IF(AQ390&gt;0,"Air-Conditioning System " &amp; IF(AH390="D","(DX)",IF(AH390="C","(Chilled Water)","")),IF(AND(N390="Amb",AQ390=0),"Ventilation System","Refer"))</f>
        <v>Zoning Area  AHU - 20  Air-Conditioning System (Chilled Water)</v>
      </c>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39"/>
      <c r="AI388" s="8"/>
      <c r="AJ388" s="8"/>
      <c r="AK388" s="8"/>
      <c r="AL388" s="8"/>
      <c r="AM388" s="8"/>
      <c r="AN388" s="8"/>
      <c r="AO388" s="8"/>
      <c r="AP388" s="8"/>
      <c r="AQ388" s="8"/>
      <c r="AR388" s="8"/>
      <c r="AS388" s="9" t="s">
        <v>221</v>
      </c>
      <c r="AT388" s="10"/>
      <c r="AU388" s="10"/>
      <c r="AV388" s="11"/>
      <c r="AW388" s="9" t="s">
        <v>222</v>
      </c>
      <c r="AX388" s="10"/>
      <c r="AY388" s="10"/>
      <c r="AZ388" s="11"/>
      <c r="BA388" s="12" t="s">
        <v>483</v>
      </c>
      <c r="BB388" s="12"/>
      <c r="BC388" s="12"/>
      <c r="BD388" s="12"/>
      <c r="BE388" s="12"/>
      <c r="BF388" s="12"/>
      <c r="BG388" s="12"/>
      <c r="BH388" s="12"/>
      <c r="BI388" s="12"/>
      <c r="BJ388" s="12"/>
      <c r="BK388" s="12"/>
      <c r="BL388" s="12"/>
      <c r="BM388" s="12"/>
      <c r="BN388" s="12"/>
      <c r="BO388" s="12"/>
      <c r="BP388" s="12"/>
      <c r="BQ388" s="9" t="s">
        <v>484</v>
      </c>
      <c r="BR388" s="10"/>
      <c r="BS388" s="10"/>
      <c r="BT388" s="10"/>
      <c r="BU388" s="10"/>
      <c r="BV388" s="10"/>
      <c r="BW388" s="10"/>
      <c r="BX388" s="10"/>
      <c r="BY388" s="10"/>
      <c r="BZ388" s="11"/>
      <c r="CA388" s="9" t="s">
        <v>485</v>
      </c>
      <c r="CB388" s="10"/>
      <c r="CC388" s="10"/>
      <c r="CD388" s="10"/>
      <c r="CE388" s="9" t="s">
        <v>486</v>
      </c>
      <c r="CF388" s="10"/>
      <c r="CG388" s="11"/>
      <c r="CH388" s="12" t="s">
        <v>487</v>
      </c>
      <c r="CI388" s="12"/>
      <c r="CJ388" s="12"/>
      <c r="CK388" s="12"/>
      <c r="CL388" s="12"/>
      <c r="CM388" s="12"/>
      <c r="CN388" s="12"/>
      <c r="CO388" s="12"/>
      <c r="CP388" s="12"/>
      <c r="CQ388" s="12"/>
      <c r="CR388" s="12"/>
      <c r="CS388" s="12"/>
      <c r="CT388" s="12"/>
      <c r="CU388" s="12"/>
      <c r="CV388" s="12"/>
      <c r="CW388" s="12"/>
      <c r="CX388" s="9" t="s">
        <v>488</v>
      </c>
      <c r="CY388" s="10"/>
      <c r="CZ388" s="10"/>
      <c r="DA388" s="10"/>
      <c r="DB388" s="10"/>
      <c r="DC388" s="10"/>
      <c r="DD388" s="10"/>
      <c r="DE388" s="10"/>
      <c r="DF388" s="10"/>
      <c r="DG388" s="11"/>
      <c r="DH388" s="9" t="s">
        <v>489</v>
      </c>
      <c r="DI388" s="10"/>
      <c r="DJ388" s="10"/>
      <c r="DK388" s="10"/>
      <c r="DL388" s="9"/>
      <c r="DM388" s="10"/>
      <c r="DN388" s="11"/>
      <c r="DO388" s="1"/>
      <c r="DP388" s="1"/>
    </row>
    <row r="389" spans="3:120" ht="120" customHeight="1">
      <c r="C389" s="13">
        <f>IF(D389&lt;&gt;"",COUNTA($D$10:D389),"")</f>
        <v>323</v>
      </c>
      <c r="D389" s="5" t="s">
        <v>165</v>
      </c>
      <c r="E389" s="5" t="s">
        <v>166</v>
      </c>
      <c r="F389" s="5" t="s">
        <v>167</v>
      </c>
      <c r="G389" s="5" t="s">
        <v>168</v>
      </c>
      <c r="H389" s="5" t="s">
        <v>169</v>
      </c>
      <c r="I389" s="5" t="s">
        <v>170</v>
      </c>
      <c r="J389" s="5" t="s">
        <v>171</v>
      </c>
      <c r="K389" s="5" t="s">
        <v>172</v>
      </c>
      <c r="L389" s="5" t="s">
        <v>173</v>
      </c>
      <c r="M389" s="5" t="s">
        <v>174</v>
      </c>
      <c r="N389" s="5" t="s">
        <v>175</v>
      </c>
      <c r="O389" s="5" t="s">
        <v>176</v>
      </c>
      <c r="P389" s="5" t="s">
        <v>177</v>
      </c>
      <c r="Q389" s="5" t="s">
        <v>178</v>
      </c>
      <c r="R389" s="5" t="s">
        <v>199</v>
      </c>
      <c r="S389" s="5" t="s">
        <v>180</v>
      </c>
      <c r="T389" s="5" t="s">
        <v>223</v>
      </c>
      <c r="U389" s="5" t="s">
        <v>224</v>
      </c>
      <c r="V389" s="5" t="s">
        <v>199</v>
      </c>
      <c r="W389" s="5" t="s">
        <v>180</v>
      </c>
      <c r="X389" s="5" t="s">
        <v>225</v>
      </c>
      <c r="Y389" s="5" t="s">
        <v>226</v>
      </c>
      <c r="Z389" s="5" t="s">
        <v>227</v>
      </c>
      <c r="AA389" s="5" t="s">
        <v>228</v>
      </c>
      <c r="AB389" s="5" t="s">
        <v>229</v>
      </c>
      <c r="AC389" s="5" t="s">
        <v>230</v>
      </c>
      <c r="AD389" s="5" t="s">
        <v>231</v>
      </c>
      <c r="AE389" s="5" t="s">
        <v>232</v>
      </c>
      <c r="AF389" s="6" t="s">
        <v>233</v>
      </c>
      <c r="AG389" s="6" t="s">
        <v>234</v>
      </c>
      <c r="AH389" s="6" t="s">
        <v>235</v>
      </c>
      <c r="AI389" s="5" t="s">
        <v>236</v>
      </c>
      <c r="AJ389" s="5" t="s">
        <v>237</v>
      </c>
      <c r="AK389" s="5" t="s">
        <v>238</v>
      </c>
      <c r="AL389" s="5" t="s">
        <v>239</v>
      </c>
      <c r="AM389" s="5" t="s">
        <v>240</v>
      </c>
      <c r="AN389" s="5" t="s">
        <v>241</v>
      </c>
      <c r="AO389" s="5" t="s">
        <v>242</v>
      </c>
      <c r="AP389" s="5" t="s">
        <v>243</v>
      </c>
      <c r="AQ389" s="5" t="s">
        <v>244</v>
      </c>
      <c r="AR389" s="5" t="s">
        <v>245</v>
      </c>
      <c r="AS389" s="5" t="s">
        <v>246</v>
      </c>
      <c r="AT389" s="5" t="s">
        <v>247</v>
      </c>
      <c r="AU389" s="5" t="s">
        <v>248</v>
      </c>
      <c r="AV389" s="5" t="s">
        <v>249</v>
      </c>
      <c r="AW389" s="5" t="s">
        <v>250</v>
      </c>
      <c r="AX389" s="5" t="s">
        <v>251</v>
      </c>
      <c r="AY389" s="5" t="s">
        <v>252</v>
      </c>
      <c r="AZ389" s="5" t="s">
        <v>253</v>
      </c>
      <c r="BA389" s="5" t="s">
        <v>490</v>
      </c>
      <c r="BB389" s="5" t="s">
        <v>491</v>
      </c>
      <c r="BC389" s="5" t="s">
        <v>492</v>
      </c>
      <c r="BD389" s="5" t="s">
        <v>493</v>
      </c>
      <c r="BE389" s="5" t="s">
        <v>494</v>
      </c>
      <c r="BF389" s="5" t="s">
        <v>492</v>
      </c>
      <c r="BG389" s="5" t="s">
        <v>493</v>
      </c>
      <c r="BH389" s="5" t="s">
        <v>495</v>
      </c>
      <c r="BI389" s="5" t="s">
        <v>496</v>
      </c>
      <c r="BJ389" s="5" t="s">
        <v>492</v>
      </c>
      <c r="BK389" s="5" t="s">
        <v>493</v>
      </c>
      <c r="BL389" s="5" t="s">
        <v>497</v>
      </c>
      <c r="BM389" s="5" t="s">
        <v>492</v>
      </c>
      <c r="BN389" s="5" t="s">
        <v>493</v>
      </c>
      <c r="BO389" s="5" t="s">
        <v>495</v>
      </c>
      <c r="BP389" s="5" t="s">
        <v>498</v>
      </c>
      <c r="BQ389" s="5" t="s">
        <v>499</v>
      </c>
      <c r="BR389" s="5" t="s">
        <v>500</v>
      </c>
      <c r="BS389" s="5" t="s">
        <v>501</v>
      </c>
      <c r="BT389" s="5" t="s">
        <v>502</v>
      </c>
      <c r="BU389" s="5" t="s">
        <v>503</v>
      </c>
      <c r="BV389" s="5" t="s">
        <v>504</v>
      </c>
      <c r="BW389" s="5" t="s">
        <v>505</v>
      </c>
      <c r="BX389" s="5" t="s">
        <v>506</v>
      </c>
      <c r="BY389" s="5" t="s">
        <v>173</v>
      </c>
      <c r="BZ389" s="5" t="s">
        <v>174</v>
      </c>
      <c r="CA389" s="5" t="s">
        <v>503</v>
      </c>
      <c r="CB389" s="5" t="s">
        <v>507</v>
      </c>
      <c r="CC389" s="5" t="s">
        <v>173</v>
      </c>
      <c r="CD389" s="5" t="s">
        <v>508</v>
      </c>
      <c r="CE389" s="7" t="s">
        <v>509</v>
      </c>
      <c r="CF389" s="7" t="s">
        <v>510</v>
      </c>
      <c r="CG389" s="7" t="s">
        <v>511</v>
      </c>
      <c r="CH389" s="5" t="s">
        <v>512</v>
      </c>
      <c r="CI389" s="5" t="s">
        <v>513</v>
      </c>
      <c r="CJ389" s="5" t="s">
        <v>492</v>
      </c>
      <c r="CK389" s="5" t="s">
        <v>493</v>
      </c>
      <c r="CL389" s="5" t="s">
        <v>494</v>
      </c>
      <c r="CM389" s="5" t="s">
        <v>492</v>
      </c>
      <c r="CN389" s="5" t="s">
        <v>493</v>
      </c>
      <c r="CO389" s="5" t="s">
        <v>495</v>
      </c>
      <c r="CP389" s="5" t="s">
        <v>496</v>
      </c>
      <c r="CQ389" s="5" t="s">
        <v>492</v>
      </c>
      <c r="CR389" s="5" t="s">
        <v>493</v>
      </c>
      <c r="CS389" s="5" t="s">
        <v>497</v>
      </c>
      <c r="CT389" s="5" t="s">
        <v>492</v>
      </c>
      <c r="CU389" s="5" t="s">
        <v>493</v>
      </c>
      <c r="CV389" s="5" t="s">
        <v>495</v>
      </c>
      <c r="CW389" s="5" t="s">
        <v>498</v>
      </c>
      <c r="CX389" s="5" t="s">
        <v>499</v>
      </c>
      <c r="CY389" s="5" t="s">
        <v>500</v>
      </c>
      <c r="CZ389" s="5" t="s">
        <v>501</v>
      </c>
      <c r="DA389" s="5" t="s">
        <v>502</v>
      </c>
      <c r="DB389" s="5" t="s">
        <v>503</v>
      </c>
      <c r="DC389" s="5" t="s">
        <v>504</v>
      </c>
      <c r="DD389" s="5" t="s">
        <v>505</v>
      </c>
      <c r="DE389" s="5" t="s">
        <v>506</v>
      </c>
      <c r="DF389" s="5" t="s">
        <v>173</v>
      </c>
      <c r="DG389" s="5" t="s">
        <v>174</v>
      </c>
      <c r="DH389" s="5" t="s">
        <v>503</v>
      </c>
      <c r="DI389" s="5" t="s">
        <v>507</v>
      </c>
      <c r="DJ389" s="5" t="s">
        <v>173</v>
      </c>
      <c r="DK389" s="5" t="s">
        <v>508</v>
      </c>
      <c r="DL389" s="7" t="s">
        <v>509</v>
      </c>
      <c r="DM389" s="7" t="s">
        <v>510</v>
      </c>
      <c r="DN389" s="7" t="s">
        <v>511</v>
      </c>
      <c r="DO389" s="2"/>
      <c r="DP389" s="2"/>
    </row>
    <row r="390" spans="3:120" ht="18.600000000000001" customHeight="1">
      <c r="C390" s="13">
        <f>IF(D390&lt;&gt;"",COUNTA($D$10:D390),"")</f>
        <v>324</v>
      </c>
      <c r="D390" s="14" t="s">
        <v>200</v>
      </c>
      <c r="E390" s="14">
        <v>3</v>
      </c>
      <c r="F390" s="14">
        <v>3</v>
      </c>
      <c r="G390" s="14">
        <v>2.4</v>
      </c>
      <c r="H390" s="14">
        <v>1</v>
      </c>
      <c r="I390" s="14">
        <v>2</v>
      </c>
      <c r="J390" s="14">
        <v>1.75</v>
      </c>
      <c r="K390" s="14">
        <v>3</v>
      </c>
      <c r="L390" s="15">
        <v>0.1</v>
      </c>
      <c r="M390" s="15">
        <v>0</v>
      </c>
      <c r="N390" s="14">
        <v>21</v>
      </c>
      <c r="O390" s="14">
        <v>50</v>
      </c>
      <c r="P390" s="13">
        <v>45</v>
      </c>
      <c r="Q390" s="13">
        <v>85</v>
      </c>
      <c r="R390" s="13" t="s">
        <v>12</v>
      </c>
      <c r="S390" s="13">
        <v>120</v>
      </c>
      <c r="T390" s="13">
        <v>0</v>
      </c>
      <c r="U390" s="13">
        <v>100</v>
      </c>
      <c r="V390" s="13" t="str">
        <f>R390</f>
        <v>ISO 8</v>
      </c>
      <c r="W390" s="13">
        <f>S390</f>
        <v>120</v>
      </c>
      <c r="X390" s="16">
        <f>E390*F390*10.76</f>
        <v>96.84</v>
      </c>
      <c r="Y390" s="16">
        <f>X390*G390*3.28</f>
        <v>762.32447999999999</v>
      </c>
      <c r="Z390" s="16">
        <f>Y390*S390/60</f>
        <v>1524.64896</v>
      </c>
      <c r="AA390" s="16">
        <f>Z390*L390</f>
        <v>152.46489600000001</v>
      </c>
      <c r="AB390" s="16">
        <f>IF(N390="Amb",Z390,Z390*M390)</f>
        <v>0</v>
      </c>
      <c r="AC390" s="16">
        <f>IF(ISNUMBER(N390), (AA390*0.075*60/2.20462)*BP390/7000, "Ambient")</f>
        <v>14.513234241305744</v>
      </c>
      <c r="AD390" s="16">
        <f>IF(ISNUMBER(N390), CEILING(CF390/(0.68*BP390),25), "Ambient")</f>
        <v>2850</v>
      </c>
      <c r="AE390" s="16">
        <f>CEILING(MAX((Z390+AA390),AD390),25)</f>
        <v>2850</v>
      </c>
      <c r="AF390" s="16">
        <f>CEILING(IF(OR($R390="ISO 6",$R390="GRADE B",$R390="1K",$R390=1000),AE390*1/175,IF(OR($R390="ISO 5",$R390="GRADE A",$R390=100),AE390*1/100,IF(OR($R390="ISO 7",$R390="GRADE C",$R390="10K",$R390=10000),$AE390*1/250,IF(OR($R390="ISO 8",$R390="GRADE D",$R390="100K",$R390=100000),$AE390*1/250,IF(OR($R390="NC",$R390="20 Micron",$R390="5 Micron",$R390="N C"),$AE390*1/350,0))))),2)</f>
        <v>12</v>
      </c>
      <c r="AG390" s="16">
        <f>IF(ISNUMBER(N390), CEILING(MAX(AI390,AJ390),0.5), "Ambient")</f>
        <v>7.5</v>
      </c>
      <c r="AH390" s="838" t="s">
        <v>85</v>
      </c>
      <c r="AI390" s="17">
        <f>IF(ISNUMBER(N390), CEILING(CE390/12000,0.5), "Ambient")</f>
        <v>4.5</v>
      </c>
      <c r="AJ390" s="17">
        <f>IF(ISNUMBER(N390),CEILING(AE390/(IF(AH390="C",400,300)),0.5), "Ambient")</f>
        <v>7.5</v>
      </c>
      <c r="AK390" s="891">
        <f>CEILING(SUM(AE390:AE405),250)</f>
        <v>42500</v>
      </c>
      <c r="AL390" s="18" t="s">
        <v>254</v>
      </c>
      <c r="AM390" s="889">
        <v>150</v>
      </c>
      <c r="AN390" s="891">
        <f>IF(AK390&lt;=1300,200,IF(AK390&lt;=1600,225,IF(AK390&lt;=2100,250,IF(AK390&lt;=2700,280,IF(AK390&lt;=3450,315,IF(AK390&lt;=4250,355,IF(AK390&lt;=5250,400,IF(AK390&lt;=6750,450,IF(AK390&lt;=8500,500,IF(AK390&lt;=10750,560,IF(AK390&lt;=13500,630,IF(AK390&lt;=17000,710,IF(AK390&lt;=21500,800,IF(AK390&lt;=27000,900,IF(AK390&lt;=34000,1000,IF(AK390&lt;=43000,1120,IF(AK390&lt;=49000,1200,IF(AK390&lt;=68000,1450,"Refer"))))))))))))))))))</f>
        <v>1120</v>
      </c>
      <c r="AO390" s="888">
        <f>IF(AK390*AM390/(6356*0.7*0.9*1.1*25.4)&lt;=1,1,IF(AK390*AM390/(6356*0.7*0.9*1.1*25.4)&lt;=1.5,1.5,IF(AK390*AM390/(6356*0.7*0.9*1.1*25.4)&lt;=2,2,IF(AK390*AM390/(6356*0.7*0.9*1.1*25.4)&lt;=3,3,IF(AK390*AM390/(6356*0.7*0.9*1.1*25.4)&lt;=5,5,IF(AK390*AM390/(6356*0.7*0.9*1.1*25.4)&lt;=7.5,7.5,IF(AK390*AM390/(6356*0.7*0.9*1.1*25.4)&lt;=10,10,IF(AK390*AM390/(6356*0.7*0.9*1.1*25.4)&lt;=12.5,12.5,IF(AK390*AM390/(6356*0.7*0.9*1.1*25.4)&lt;=15,15,IF(AK390*AM390/(6356*0.7*0.9*1.1*25.4)&lt;=20,20,IF(AK390*AM390/(6356*0.7*0.9*1.1*25.4)&lt;=25,25,IF(AK390*AM390/(6356*0.7*0.9*1.1*25.4)&lt;=30,30,IF(AK390*AM390/(6356*0.7*0.9*1.1*25.4)&lt;=40,40,IF(AK390*AM390/(6356*0.7*0.9*1.1*25.4)&lt;=50,50,IF(AK390*AM390/(6356*0.7*0.9*1.1*25.4)&lt;=60,60,IF(AK390*AM390/(6356*0.7*0.9*1.1*25.4)&lt;=75,75,"Refer"))))))))))))))))</f>
        <v>60</v>
      </c>
      <c r="AP390" s="891">
        <f>IF(AND(AQ390=0, N390="Amb"), "Amb",IF((AL391-250)*(AL393-150)*10.76/(1000*1000) &gt;= MAX(AI406,AJ406), 4,IF((AL391-250)*(AL393-150)*10.76*1.5/(1000*1000) &gt;= MAX(AI406,AJ406), 6,IF((AL391-250)*(AL393-150)*10.76*2/(1000*1000) &gt;= MAX(AI406,AJ406), 8, 0))
 )
)</f>
        <v>4</v>
      </c>
      <c r="AQ390" s="891">
        <f>AG406</f>
        <v>108.5</v>
      </c>
      <c r="AR390" s="889">
        <f>_xlfn.SWITCH(TRIM(UPPER(R390)),"ISO 9", 3,"ISO 8", 4,"Grade D", 4,"Class 100,000", 4,"Class 100K", 4,"ISO 7", 3,"Grade C", 3,"Class 10,000", 3,"Class 10K", 3,"ISO 6", 3,"Class 1,000", 3,"Class 1K", 3,"ISO 5", 4,"Grade A", 4,"Grade B", 4,"Class 100", 4,"ISO 4", 3,"ISO 3", 4,"ISO 2", 4,"ISO 1", 4,"NCV20",1,"NCV-10",2,"NCV-5",3,"NCAC-10",1,"NCAC-5",2,"NCAC-1",3,3)</f>
        <v>4</v>
      </c>
      <c r="AS390" s="888">
        <f>MAX(AI406,AJ406)*24/6</f>
        <v>434</v>
      </c>
      <c r="AT390" s="888">
        <f>AS390*0.06309</f>
        <v>27.381059999999998</v>
      </c>
      <c r="AU390" s="890">
        <v>2</v>
      </c>
      <c r="AV390" s="888">
        <f>SQRT((4*AS390*0.00006309)/(3.14*AU390))*1000</f>
        <v>132.06121915647887</v>
      </c>
      <c r="AW390" s="888"/>
      <c r="AX390" s="888"/>
      <c r="AY390" s="887"/>
      <c r="AZ390" s="888"/>
      <c r="BA390" s="17">
        <f>-CONVERT(N390,"C","F")+CONVERT((N390+8),"C","F")</f>
        <v>14.399999999999991</v>
      </c>
      <c r="BB390" s="17">
        <f>CONVERT(P390,"C","F")-CONVERT(N390,"C","F")</f>
        <v>43.199999999999989</v>
      </c>
      <c r="BC390" s="17">
        <f>N390+8</f>
        <v>29</v>
      </c>
      <c r="BD390" s="17">
        <f>BG390+35</f>
        <v>85</v>
      </c>
      <c r="BE390" s="17">
        <f>0.622*7000*(BD390/100)*(6.1078*10^((7.5*BC390)/(237.3+BC390)))/(1013.25-(6.1078*10^((7.5*BC390)/(237.3+BC390)))*BD390/100)</f>
        <v>151.37930582859815</v>
      </c>
      <c r="BF390" s="17">
        <f>N390</f>
        <v>21</v>
      </c>
      <c r="BG390" s="17">
        <f>O390</f>
        <v>50</v>
      </c>
      <c r="BH390" s="17">
        <f>0.622*7000*(BG390/100)*(6.1078*10^((7.5*BF390)/(237.3+BF390)))/(1013.25-(6.1078*10^((7.5*BF390)/(237.3+BF390)))*BG390/100)</f>
        <v>54.093501571630902</v>
      </c>
      <c r="BI390" s="17">
        <f>BE390-BH390</f>
        <v>97.285804256967253</v>
      </c>
      <c r="BJ390" s="17">
        <f>P390</f>
        <v>45</v>
      </c>
      <c r="BK390" s="17">
        <f>Q390</f>
        <v>85</v>
      </c>
      <c r="BL390" s="17">
        <f>0.622*7000*(BK390/100)*(6.1078*10^((7.5*BJ390)/(237.3+BJ390)))/(1013.25-(6.1078*10^((7.5*BJ390)/(237.3+BJ390)))*BK390/100)</f>
        <v>380.54120080897206</v>
      </c>
      <c r="BM390" s="17">
        <f>N390</f>
        <v>21</v>
      </c>
      <c r="BN390" s="17">
        <f>BG390</f>
        <v>50</v>
      </c>
      <c r="BO390" s="17">
        <f>0.622*7000*(BN390/100)*(6.1078*10^((7.5*BM390)/(237.3+BM390)))/(1013.25-(6.1078*10^((7.5*BM390)/(237.3+BM390)))*BN390/100)</f>
        <v>54.093501571630902</v>
      </c>
      <c r="BP390" s="17">
        <f>BL390-BO390</f>
        <v>326.44769923734117</v>
      </c>
      <c r="BQ390" s="17">
        <f>($E390*$G390*10.76*2+$F390*$G390*2*10.76)*$BB390*0.45</f>
        <v>6024.2227199999979</v>
      </c>
      <c r="BR390" s="17">
        <f>($E390*$G390*10.76*2+$F390*$G390*2*10.76)*$BA390*0.45</f>
        <v>2008.0742399999988</v>
      </c>
      <c r="BS390" s="17">
        <f>($E390*$F390*10.76)*$BA390*0.45</f>
        <v>627.52319999999963</v>
      </c>
      <c r="BT390" s="17">
        <f>($E390*$F390*10.76)*$BB390*0.45</f>
        <v>1882.5695999999998</v>
      </c>
      <c r="BU390" s="17">
        <f>$H390*285*1.08*$BB390</f>
        <v>13296.959999999997</v>
      </c>
      <c r="BV390" s="17">
        <f>$I390*1000*3.412</f>
        <v>6824</v>
      </c>
      <c r="BW390" s="17">
        <f>$J390*$X390*3.412</f>
        <v>578.23163999999997</v>
      </c>
      <c r="BX390" s="17">
        <f>$K390*1.08*375*$BA390</f>
        <v>17495.999999999989</v>
      </c>
      <c r="BY390" s="17">
        <f>($AA390+$AB390)*1.08*$BB390</f>
        <v>7113.4021877759988</v>
      </c>
      <c r="BZ390" s="17"/>
      <c r="CA390" s="17">
        <f>$H390*200*0.68*$BP390</f>
        <v>44396.887096278399</v>
      </c>
      <c r="CB390" s="17">
        <f>$K390*375*0.68*$BP390</f>
        <v>249732.489916566</v>
      </c>
      <c r="CC390" s="17">
        <f>($AA390+$AB390)*0.68*$BP390</f>
        <v>33844.833869289141</v>
      </c>
      <c r="CD390" s="17">
        <f>($Z390-$AA390)*0.68*$BP390</f>
        <v>304603.50482360227</v>
      </c>
      <c r="CE390" s="17">
        <f>$BQ390+$BU390+$BV390+$BW390+$BX390+$BY390</f>
        <v>51332.816547775976</v>
      </c>
      <c r="CF390" s="17">
        <f>$CA390+$CB390+$CC390+$CD390</f>
        <v>632577.71570573584</v>
      </c>
      <c r="CG390" s="17">
        <f>$CE390+$CF390</f>
        <v>683910.53225351183</v>
      </c>
      <c r="CH390" s="17">
        <f>CONVERT(N390,"C","F")-CONVERT((N390-8),"C","F")</f>
        <v>14.400000000000006</v>
      </c>
      <c r="CI390" s="17">
        <f>CONVERT(T390,"C","F")-CONVERT(N390,"C","F")</f>
        <v>-37.800000000000011</v>
      </c>
      <c r="CJ390" s="17">
        <f>CM390-8</f>
        <v>13</v>
      </c>
      <c r="CK390" s="17">
        <f>O390+40</f>
        <v>90</v>
      </c>
      <c r="CL390" s="17">
        <f>0.622*7000*(CK390/100)*(6.1078*10^((7.5*CJ390)/(237.3+CJ390)))/(1013.25-(6.1078*10^((7.5*CJ390)/(237.3+CJ390)))*CK390/100)</f>
        <v>58.701310544419897</v>
      </c>
      <c r="CM390" s="17">
        <f>N390</f>
        <v>21</v>
      </c>
      <c r="CN390" s="17">
        <f>O390</f>
        <v>50</v>
      </c>
      <c r="CO390" s="17">
        <f>0.622*7000*(CN390/100)*(6.1078*10^((7.5*CM390)/(237.3+CM390)))/(1013.25-(6.1078*10^((7.5*CM390)/(237.3+CM390)))*CN390/100)</f>
        <v>54.093501571630902</v>
      </c>
      <c r="CP390" s="17">
        <f>CL390-CO390</f>
        <v>4.6078089727889946</v>
      </c>
      <c r="CQ390" s="17">
        <f>T390</f>
        <v>0</v>
      </c>
      <c r="CR390" s="17">
        <f>U390</f>
        <v>100</v>
      </c>
      <c r="CS390" s="17">
        <f>0.622*7000*(CR390/100)*(6.1078*10^((7.5*CQ390)/(237.3+CQ390)))/(1013.25-(6.1078*10^((7.5*CQ390)/(237.3+CQ390)))*CR390/100)</f>
        <v>26.404773030064671</v>
      </c>
      <c r="CT390" s="17">
        <f>CM390</f>
        <v>21</v>
      </c>
      <c r="CU390" s="17">
        <f>O390</f>
        <v>50</v>
      </c>
      <c r="CV390" s="17">
        <f>0.622*7000*(CU390/100)*(6.1078*10^((7.5*CT390)/(237.3+CT390)))/(1013.25-(6.1078*10^((7.5*CT390)/(237.3+CT390)))*CU390/100)</f>
        <v>54.093501571630902</v>
      </c>
      <c r="CW390" s="17">
        <f>CS390-CV390</f>
        <v>-27.688728541566231</v>
      </c>
      <c r="CX390" s="17">
        <f t="shared" ref="CX390:CY405" si="1667">($E390*$G390*10.76*2+$F390*$G390*2*10.76)*$CI390*0.45</f>
        <v>-5271.1948800000009</v>
      </c>
      <c r="CY390" s="17">
        <f t="shared" si="1667"/>
        <v>-5271.1948800000009</v>
      </c>
      <c r="CZ390" s="17">
        <f>($E390*$F390*10.76)*$CH390*0.45</f>
        <v>627.52320000000032</v>
      </c>
      <c r="DA390" s="17">
        <f>($E390*$F390*10.76)*$CI390*0.45</f>
        <v>-1647.2484000000004</v>
      </c>
      <c r="DB390" s="17">
        <f>$H390*285*1.08*$CI390</f>
        <v>-11634.840000000004</v>
      </c>
      <c r="DC390" s="17">
        <f>$I390*1000*3.412</f>
        <v>6824</v>
      </c>
      <c r="DD390" s="17">
        <f>$J390*$X390*3.412</f>
        <v>578.23163999999997</v>
      </c>
      <c r="DE390" s="17">
        <f>$K390*1.08*375*$CH390</f>
        <v>17496.000000000007</v>
      </c>
      <c r="DF390" s="17">
        <f>($AA390+$AB390)*1.08*$CI390</f>
        <v>-6224.2269143040021</v>
      </c>
      <c r="DG390" s="17"/>
      <c r="DH390" s="17">
        <f>$H390*200*0.68*CW390</f>
        <v>-3765.6670816530072</v>
      </c>
      <c r="DI390" s="17">
        <f>$K390*375*0.68*CW390</f>
        <v>-21181.877334298166</v>
      </c>
      <c r="DJ390" s="17">
        <f>(AA390+AB390)*0.68*CW390</f>
        <v>-2870.6601998742467</v>
      </c>
      <c r="DK390" s="17">
        <f>(Z390-AA390)*0.68*CP390</f>
        <v>4299.4781888437428</v>
      </c>
      <c r="DL390" s="17">
        <f>CX390+DA390+CZ390+DB390+DC390+DD390+DE390+DF390</f>
        <v>748.2446456960015</v>
      </c>
      <c r="DM390" s="17">
        <f>DH390+DI390+DJ390+DK390</f>
        <v>-23518.726426981677</v>
      </c>
      <c r="DN390" s="17">
        <f>DL390+DM390</f>
        <v>-22770.481781285675</v>
      </c>
    </row>
    <row r="391" spans="3:120" ht="18.600000000000001">
      <c r="C391" s="13">
        <f>IF(D391&lt;&gt;"",COUNTA($D$10:D391),"")</f>
        <v>325</v>
      </c>
      <c r="D391" s="14" t="s">
        <v>201</v>
      </c>
      <c r="E391" s="14">
        <v>1.8</v>
      </c>
      <c r="F391" s="14">
        <v>2.2000000000000002</v>
      </c>
      <c r="G391" s="14">
        <v>2.4</v>
      </c>
      <c r="H391" s="14">
        <v>2</v>
      </c>
      <c r="I391" s="14">
        <v>1</v>
      </c>
      <c r="J391" s="14">
        <v>1.75</v>
      </c>
      <c r="K391" s="14">
        <v>3</v>
      </c>
      <c r="L391" s="15">
        <v>0.1</v>
      </c>
      <c r="M391" s="15">
        <v>0</v>
      </c>
      <c r="N391" s="14">
        <v>21</v>
      </c>
      <c r="O391" s="14">
        <v>50</v>
      </c>
      <c r="P391" s="13">
        <v>45</v>
      </c>
      <c r="Q391" s="13">
        <v>85</v>
      </c>
      <c r="R391" s="13" t="s">
        <v>12</v>
      </c>
      <c r="S391" s="13">
        <v>120</v>
      </c>
      <c r="T391" s="13">
        <v>0</v>
      </c>
      <c r="U391" s="13">
        <v>100</v>
      </c>
      <c r="V391" s="13" t="str">
        <f t="shared" ref="V391:V405" si="1668">R391</f>
        <v>ISO 8</v>
      </c>
      <c r="W391" s="13">
        <f t="shared" ref="W391:W405" si="1669">S391</f>
        <v>120</v>
      </c>
      <c r="X391" s="16">
        <f t="shared" ref="X391:X405" si="1670">E391*F391*10.76</f>
        <v>42.6096</v>
      </c>
      <c r="Y391" s="16">
        <f t="shared" ref="Y391:Y405" si="1671">X391*G391*3.28</f>
        <v>335.4227712</v>
      </c>
      <c r="Z391" s="16">
        <f t="shared" ref="Z391:Z405" si="1672">Y391*S391/60</f>
        <v>670.8455424</v>
      </c>
      <c r="AA391" s="16">
        <f t="shared" ref="AA391:AA405" si="1673">Z391*L391</f>
        <v>67.084554240000003</v>
      </c>
      <c r="AB391" s="16">
        <f t="shared" ref="AB391:AB405" si="1674">IF(N391="Amb",Z391,Z391*M391)</f>
        <v>0</v>
      </c>
      <c r="AC391" s="16">
        <f t="shared" ref="AC391:AC405" si="1675">IF(ISNUMBER(N391), (AA391*0.075*60/2.20462)*BP391/7000, "Ambient")</f>
        <v>6.3858230661745274</v>
      </c>
      <c r="AD391" s="16">
        <f t="shared" ref="AD391:AD397" si="1676">IF(ISNUMBER(N391), CEILING(CF391/(0.68*BP391),25), "Ambient")</f>
        <v>2200</v>
      </c>
      <c r="AE391" s="16">
        <f t="shared" ref="AE391:AE405" si="1677">CEILING(MAX((Z391+AA391),AD391),25)</f>
        <v>2200</v>
      </c>
      <c r="AF391" s="16">
        <f t="shared" ref="AF391:AF405" si="1678">CEILING(IF(OR($R391="ISO 6",$R391="GRADE B",$R391="1K",$R391=1000),AE391*1/175,IF(OR($R391="ISO 5",$R391="GRADE A",$R391=100),AE391*1/100,IF(OR($R391="ISO 7",$R391="GRADE C",$R391="10K",$R391=10000),$AE391*1/250,IF(OR($R391="ISO 8",$R391="GRADE D",$R391="100K",$R391=100000),$AE391*1/250,IF(OR($R391="NC",$R391="20 Micron",$R391="5 Micron",$R391="N C"),$AE391*1/350,0))))),2)</f>
        <v>10</v>
      </c>
      <c r="AG391" s="16">
        <f t="shared" ref="AG391:AG405" si="1679">IF(ISNUMBER(N391), CEILING(MAX(AI391,AJ391),0.5), "Ambient")</f>
        <v>5.5</v>
      </c>
      <c r="AH391" s="838" t="s">
        <v>85</v>
      </c>
      <c r="AI391" s="17">
        <f t="shared" ref="AI391:AI405" si="1680">IF(ISNUMBER(N391), CEILING(CE391/12000,0.5), "Ambient")</f>
        <v>5</v>
      </c>
      <c r="AJ391" s="17">
        <f t="shared" ref="AJ391:AJ405" si="1681">IF(ISNUMBER(N391),CEILING(AE391/(IF(AH391="C",400,300)),0.5), "Ambient")</f>
        <v>5.5</v>
      </c>
      <c r="AK391" s="891"/>
      <c r="AL391" s="18">
        <f>IF(AK390&lt;=2000,950,(IF(AK390&lt;=3000,1150,(IF(AK390&lt;=8000,1550,(IF(AK390&lt;=10000,1750,(IF(AK390&lt;=18000,2050,(IF(AK390&lt;=32000,2900,(IF(AK390&lt;=40000,3600,4000)))))))))))))</f>
        <v>4000</v>
      </c>
      <c r="AM391" s="889"/>
      <c r="AN391" s="891"/>
      <c r="AO391" s="888"/>
      <c r="AP391" s="891"/>
      <c r="AQ391" s="891"/>
      <c r="AR391" s="889"/>
      <c r="AS391" s="888"/>
      <c r="AT391" s="888"/>
      <c r="AU391" s="890"/>
      <c r="AV391" s="888"/>
      <c r="AW391" s="888"/>
      <c r="AX391" s="888"/>
      <c r="AY391" s="887"/>
      <c r="AZ391" s="888"/>
      <c r="BA391" s="17">
        <f t="shared" ref="BA391:BA405" si="1682">-CONVERT(N391,"C","F")+CONVERT((N391+8),"C","F")</f>
        <v>14.399999999999991</v>
      </c>
      <c r="BB391" s="17">
        <f t="shared" ref="BB391:BB405" si="1683">CONVERT(P391,"C","F")-CONVERT(N391,"C","F")</f>
        <v>43.199999999999989</v>
      </c>
      <c r="BC391" s="17">
        <f t="shared" ref="BC391:BC405" si="1684">BF391+8</f>
        <v>29</v>
      </c>
      <c r="BD391" s="17">
        <f t="shared" ref="BD391:BD405" si="1685">BG391+35</f>
        <v>85</v>
      </c>
      <c r="BE391" s="17">
        <f t="shared" ref="BE391:BE405" si="1686">0.622*7000*(BD391/100)*(6.1078*10^((7.5*BC391)/(237.3+BC391)))/(1013.25-(6.1078*10^((7.5*BC391)/(237.3+BC391)))*BD391/100)</f>
        <v>151.37930582859815</v>
      </c>
      <c r="BF391" s="17">
        <f t="shared" ref="BF391:BF405" si="1687">N391</f>
        <v>21</v>
      </c>
      <c r="BG391" s="17">
        <f t="shared" ref="BG391:BG405" si="1688">O391</f>
        <v>50</v>
      </c>
      <c r="BH391" s="17">
        <f t="shared" ref="BH391:BH405" si="1689">0.622*7000*(BG391/100)*(6.1078*10^((7.5*BF391)/(237.3+BF391)))/(1013.25-(6.1078*10^((7.5*BF391)/(237.3+BF391)))*BG391/100)</f>
        <v>54.093501571630902</v>
      </c>
      <c r="BI391" s="17">
        <f t="shared" ref="BI391:BI405" si="1690">BE391-BH391</f>
        <v>97.285804256967253</v>
      </c>
      <c r="BJ391" s="17">
        <f t="shared" ref="BJ391:BJ405" si="1691">P391</f>
        <v>45</v>
      </c>
      <c r="BK391" s="17">
        <f t="shared" ref="BK391:BK405" si="1692">Q391</f>
        <v>85</v>
      </c>
      <c r="BL391" s="17">
        <f t="shared" ref="BL391:BL405" si="1693">0.622*7000*(BK391/100)*(6.1078*10^((7.5*BJ391)/(237.3+BJ391)))/(1013.25-(6.1078*10^((7.5*BJ391)/(237.3+BJ391)))*BK391/100)</f>
        <v>380.54120080897206</v>
      </c>
      <c r="BM391" s="17">
        <f t="shared" ref="BM391:BM405" si="1694">BF391</f>
        <v>21</v>
      </c>
      <c r="BN391" s="17">
        <f t="shared" ref="BN391:BN405" si="1695">BG391</f>
        <v>50</v>
      </c>
      <c r="BO391" s="17">
        <f t="shared" ref="BO391:BO405" si="1696">0.622*7000*(BN391/100)*(6.1078*10^((7.5*BM391)/(237.3+BM391)))/(1013.25-(6.1078*10^((7.5*BM391)/(237.3+BM391)))*BN391/100)</f>
        <v>54.093501571630902</v>
      </c>
      <c r="BP391" s="17">
        <f t="shared" ref="BP391:BP405" si="1697">BL391-BO391</f>
        <v>326.44769923734117</v>
      </c>
      <c r="BQ391" s="17">
        <f t="shared" ref="BQ391:BQ405" si="1698">(E391*G391*10.76*2+F391*G391*2*10.76)*BB391*0.45</f>
        <v>4016.1484799999994</v>
      </c>
      <c r="BR391" s="17">
        <f t="shared" ref="BR391:BR405" si="1699">(E391*G391*10.76*2+F391*G391*2*10.76)*BA391*0.45</f>
        <v>1338.7161599999993</v>
      </c>
      <c r="BS391" s="17">
        <f t="shared" ref="BS391:BS405" si="1700">(E391*F391*10.76)*BA391*0.45</f>
        <v>276.11020799999983</v>
      </c>
      <c r="BT391" s="17">
        <f t="shared" ref="BT391:BT405" si="1701">(E391*F391*10.76)*BB391*0.45</f>
        <v>828.33062399999983</v>
      </c>
      <c r="BU391" s="17">
        <f t="shared" ref="BU391:BU405" si="1702">H391*285*1.08*BB391</f>
        <v>26593.919999999995</v>
      </c>
      <c r="BV391" s="17">
        <f t="shared" ref="BV391:BV405" si="1703">I391*1000*3.412</f>
        <v>3412</v>
      </c>
      <c r="BW391" s="17">
        <f t="shared" ref="BW391:BW405" si="1704">J391*X391*3.412</f>
        <v>254.42192159999999</v>
      </c>
      <c r="BX391" s="17">
        <f t="shared" ref="BX391:BX405" si="1705">K391*1.08*375*BA391</f>
        <v>17495.999999999989</v>
      </c>
      <c r="BY391" s="17">
        <f t="shared" ref="BY391:BY405" si="1706">(AA391+AB391)*1.08*BB391</f>
        <v>3129.8969626214393</v>
      </c>
      <c r="BZ391" s="17"/>
      <c r="CA391" s="17">
        <f t="shared" ref="CA391:CA405" si="1707">H391*200*0.68*BP391</f>
        <v>88793.774192556797</v>
      </c>
      <c r="CB391" s="17">
        <f t="shared" ref="CB391:CB405" si="1708">K391*375*0.68*BP391</f>
        <v>249732.489916566</v>
      </c>
      <c r="CC391" s="17">
        <f t="shared" ref="CC391:CC405" si="1709">(AA391+AB391)*0.68*BP391</f>
        <v>14891.726902487224</v>
      </c>
      <c r="CD391" s="17">
        <f t="shared" ref="CD391:CD405" si="1710">($Z391-$AA391)*0.68*$BP391</f>
        <v>134025.542122385</v>
      </c>
      <c r="CE391" s="17">
        <f t="shared" ref="CE391:CE405" si="1711">$BQ391+$BU391+$BV391+$BW391+$BX391+$BY391</f>
        <v>54902.387364221417</v>
      </c>
      <c r="CF391" s="17">
        <f t="shared" ref="CF391:CF405" si="1712">$CA391+$CB391+$CC391+$CD391</f>
        <v>487443.53313399502</v>
      </c>
      <c r="CG391" s="17">
        <f t="shared" ref="CG391:CG405" si="1713">$CE391+$CF391</f>
        <v>542345.92049821641</v>
      </c>
      <c r="CH391" s="17">
        <f t="shared" ref="CH391:CH405" si="1714">CONVERT(N391,"C","F")-CONVERT((N391-8),"C","F")</f>
        <v>14.400000000000006</v>
      </c>
      <c r="CI391" s="17">
        <f t="shared" ref="CI391:CI405" si="1715">CONVERT(T391,"C","F")-CONVERT(N391,"C","F")</f>
        <v>-37.800000000000011</v>
      </c>
      <c r="CJ391" s="17">
        <f t="shared" ref="CJ391:CJ405" si="1716">CM391-8</f>
        <v>13</v>
      </c>
      <c r="CK391" s="17">
        <f t="shared" ref="CK391:CK405" si="1717">O391+40</f>
        <v>90</v>
      </c>
      <c r="CL391" s="17">
        <f t="shared" ref="CL391:CL405" si="1718">0.622*7000*(CK391/100)*(6.1078*10^((7.5*CJ391)/(237.3+CJ391)))/(1013.25-(6.1078*10^((7.5*CJ391)/(237.3+CJ391)))*CK391/100)</f>
        <v>58.701310544419897</v>
      </c>
      <c r="CM391" s="17">
        <f t="shared" ref="CM391:CM405" si="1719">N391</f>
        <v>21</v>
      </c>
      <c r="CN391" s="17">
        <f t="shared" ref="CN391:CN405" si="1720">O391</f>
        <v>50</v>
      </c>
      <c r="CO391" s="17">
        <f t="shared" ref="CO391:CO405" si="1721">0.622*7000*(CN391/100)*(6.1078*10^((7.5*CM391)/(237.3+CM391)))/(1013.25-(6.1078*10^((7.5*CM391)/(237.3+CM391)))*CN391/100)</f>
        <v>54.093501571630902</v>
      </c>
      <c r="CP391" s="17">
        <f t="shared" ref="CP391:CP405" si="1722">CL391-CO391</f>
        <v>4.6078089727889946</v>
      </c>
      <c r="CQ391" s="17">
        <f t="shared" ref="CQ391:CQ405" si="1723">T391</f>
        <v>0</v>
      </c>
      <c r="CR391" s="17">
        <f t="shared" ref="CR391:CR405" si="1724">U391</f>
        <v>100</v>
      </c>
      <c r="CS391" s="17">
        <f t="shared" ref="CS391:CS405" si="1725">0.622*7000*(CR391/100)*(6.1078*10^((7.5*CQ391)/(237.3+CQ391)))/(1013.25-(6.1078*10^((7.5*CQ391)/(237.3+CQ391)))*CR391/100)</f>
        <v>26.404773030064671</v>
      </c>
      <c r="CT391" s="17">
        <f t="shared" ref="CT391:CT405" si="1726">CM391</f>
        <v>21</v>
      </c>
      <c r="CU391" s="17">
        <f t="shared" ref="CU391:CU405" si="1727">O391</f>
        <v>50</v>
      </c>
      <c r="CV391" s="17">
        <f t="shared" ref="CV391:CV405" si="1728">0.622*7000*(CU391/100)*(6.1078*10^((7.5*CT391)/(237.3+CT391)))/(1013.25-(6.1078*10^((7.5*CT391)/(237.3+CT391)))*CU391/100)</f>
        <v>54.093501571630902</v>
      </c>
      <c r="CW391" s="17">
        <f t="shared" ref="CW391:CW405" si="1729">CS391-CV391</f>
        <v>-27.688728541566231</v>
      </c>
      <c r="CX391" s="17">
        <f t="shared" si="1667"/>
        <v>-3514.1299200000012</v>
      </c>
      <c r="CY391" s="17">
        <f t="shared" si="1667"/>
        <v>-3514.1299200000012</v>
      </c>
      <c r="CZ391" s="17">
        <f t="shared" ref="CZ391:CZ405" si="1730">($E391*$F391*10.76)*$CH391*0.45</f>
        <v>276.11020800000011</v>
      </c>
      <c r="DA391" s="17">
        <f t="shared" ref="DA391:DA405" si="1731">($E391*$F391*10.76)*$CI391*0.45</f>
        <v>-724.78929600000026</v>
      </c>
      <c r="DB391" s="17">
        <f t="shared" ref="DB391:DB405" si="1732">$H391*285*1.08*$CI391</f>
        <v>-23269.680000000008</v>
      </c>
      <c r="DC391" s="17">
        <f t="shared" ref="DC391:DC405" si="1733">$I391*1000*3.412</f>
        <v>3412</v>
      </c>
      <c r="DD391" s="17">
        <f t="shared" ref="DD391:DD405" si="1734">$J391*$X391*3.412</f>
        <v>254.42192159999999</v>
      </c>
      <c r="DE391" s="17">
        <f t="shared" ref="DE391:DE405" si="1735">$K391*1.08*375*$CH391</f>
        <v>17496.000000000007</v>
      </c>
      <c r="DF391" s="17">
        <f t="shared" ref="DF391:DF405" si="1736">($AA391+$AB391)*1.08*$CI391</f>
        <v>-2738.6598422937609</v>
      </c>
      <c r="DG391" s="17"/>
      <c r="DH391" s="17">
        <f t="shared" ref="DH391:DH405" si="1737">$H391*200*0.68*CW391</f>
        <v>-7531.3341633060145</v>
      </c>
      <c r="DI391" s="17">
        <f t="shared" ref="DI391:DI405" si="1738">$K391*375*0.68*CW391</f>
        <v>-21181.877334298166</v>
      </c>
      <c r="DJ391" s="17">
        <f t="shared" ref="DJ391:DJ405" si="1739">(AA391+AB391)*0.68*CW391</f>
        <v>-1263.0904879446687</v>
      </c>
      <c r="DK391" s="17">
        <f t="shared" ref="DK391:DK405" si="1740">(Z391-AA391)*0.68*CP391</f>
        <v>1891.7704030912466</v>
      </c>
      <c r="DL391" s="17">
        <f t="shared" ref="DL391:DL405" si="1741">CX391+DA391+CZ391+DB391+DC391+DD391+DE391+DF391</f>
        <v>-8808.7269286937626</v>
      </c>
      <c r="DM391" s="17">
        <f t="shared" ref="DM391:DM405" si="1742">DH391+DI391+DJ391+DK391</f>
        <v>-28084.531582457603</v>
      </c>
      <c r="DN391" s="17">
        <f t="shared" ref="DN391:DN405" si="1743">DL391+DM391</f>
        <v>-36893.258511151362</v>
      </c>
    </row>
    <row r="392" spans="3:120" ht="18.600000000000001">
      <c r="C392" s="13">
        <f>IF(D392&lt;&gt;"",COUNTA($D$10:D392),"")</f>
        <v>326</v>
      </c>
      <c r="D392" s="14" t="s">
        <v>202</v>
      </c>
      <c r="E392" s="14">
        <v>1.5</v>
      </c>
      <c r="F392" s="14">
        <v>2.8</v>
      </c>
      <c r="G392" s="14">
        <v>2.4</v>
      </c>
      <c r="H392" s="14">
        <v>2</v>
      </c>
      <c r="I392" s="14">
        <v>3</v>
      </c>
      <c r="J392" s="14">
        <v>1.75</v>
      </c>
      <c r="K392" s="14">
        <v>3</v>
      </c>
      <c r="L392" s="15">
        <v>0.1</v>
      </c>
      <c r="M392" s="15">
        <v>0</v>
      </c>
      <c r="N392" s="14">
        <v>21</v>
      </c>
      <c r="O392" s="14">
        <v>50</v>
      </c>
      <c r="P392" s="13">
        <v>45</v>
      </c>
      <c r="Q392" s="13">
        <v>85</v>
      </c>
      <c r="R392" s="13" t="s">
        <v>12</v>
      </c>
      <c r="S392" s="13">
        <v>120</v>
      </c>
      <c r="T392" s="13">
        <v>0</v>
      </c>
      <c r="U392" s="13">
        <v>100</v>
      </c>
      <c r="V392" s="13" t="str">
        <f t="shared" si="1668"/>
        <v>ISO 8</v>
      </c>
      <c r="W392" s="13">
        <f t="shared" si="1669"/>
        <v>120</v>
      </c>
      <c r="X392" s="16">
        <f t="shared" si="1670"/>
        <v>45.191999999999993</v>
      </c>
      <c r="Y392" s="16">
        <f t="shared" si="1671"/>
        <v>355.75142399999993</v>
      </c>
      <c r="Z392" s="16">
        <f t="shared" si="1672"/>
        <v>711.50284799999986</v>
      </c>
      <c r="AA392" s="16">
        <f t="shared" si="1673"/>
        <v>71.150284799999994</v>
      </c>
      <c r="AB392" s="16">
        <f t="shared" si="1674"/>
        <v>0</v>
      </c>
      <c r="AC392" s="16">
        <f t="shared" si="1675"/>
        <v>6.7728426459426796</v>
      </c>
      <c r="AD392" s="16">
        <f t="shared" si="1676"/>
        <v>2250</v>
      </c>
      <c r="AE392" s="16">
        <f t="shared" si="1677"/>
        <v>2250</v>
      </c>
      <c r="AF392" s="16">
        <f t="shared" si="1678"/>
        <v>10</v>
      </c>
      <c r="AG392" s="16">
        <f t="shared" si="1679"/>
        <v>6</v>
      </c>
      <c r="AH392" s="838" t="s">
        <v>85</v>
      </c>
      <c r="AI392" s="17">
        <f t="shared" si="1680"/>
        <v>5.5</v>
      </c>
      <c r="AJ392" s="17">
        <f t="shared" si="1681"/>
        <v>6</v>
      </c>
      <c r="AK392" s="891"/>
      <c r="AL392" s="18" t="s">
        <v>255</v>
      </c>
      <c r="AM392" s="889"/>
      <c r="AN392" s="891"/>
      <c r="AO392" s="888"/>
      <c r="AP392" s="891"/>
      <c r="AQ392" s="891"/>
      <c r="AR392" s="889"/>
      <c r="AS392" s="888"/>
      <c r="AT392" s="888"/>
      <c r="AU392" s="890"/>
      <c r="AV392" s="888"/>
      <c r="AW392" s="888"/>
      <c r="AX392" s="888"/>
      <c r="AY392" s="887"/>
      <c r="AZ392" s="888"/>
      <c r="BA392" s="17">
        <f t="shared" si="1682"/>
        <v>14.399999999999991</v>
      </c>
      <c r="BB392" s="17">
        <f t="shared" si="1683"/>
        <v>43.199999999999989</v>
      </c>
      <c r="BC392" s="17">
        <f t="shared" si="1684"/>
        <v>29</v>
      </c>
      <c r="BD392" s="17">
        <f t="shared" si="1685"/>
        <v>85</v>
      </c>
      <c r="BE392" s="17">
        <f t="shared" si="1686"/>
        <v>151.37930582859815</v>
      </c>
      <c r="BF392" s="17">
        <f t="shared" si="1687"/>
        <v>21</v>
      </c>
      <c r="BG392" s="17">
        <f t="shared" si="1688"/>
        <v>50</v>
      </c>
      <c r="BH392" s="17">
        <f t="shared" si="1689"/>
        <v>54.093501571630902</v>
      </c>
      <c r="BI392" s="17">
        <f t="shared" si="1690"/>
        <v>97.285804256967253</v>
      </c>
      <c r="BJ392" s="17">
        <f t="shared" si="1691"/>
        <v>45</v>
      </c>
      <c r="BK392" s="17">
        <f t="shared" si="1692"/>
        <v>85</v>
      </c>
      <c r="BL392" s="17">
        <f t="shared" si="1693"/>
        <v>380.54120080897206</v>
      </c>
      <c r="BM392" s="17">
        <f t="shared" si="1694"/>
        <v>21</v>
      </c>
      <c r="BN392" s="17">
        <f t="shared" si="1695"/>
        <v>50</v>
      </c>
      <c r="BO392" s="17">
        <f t="shared" si="1696"/>
        <v>54.093501571630902</v>
      </c>
      <c r="BP392" s="17">
        <f t="shared" si="1697"/>
        <v>326.44769923734117</v>
      </c>
      <c r="BQ392" s="17">
        <f t="shared" si="1698"/>
        <v>4317.3596159999988</v>
      </c>
      <c r="BR392" s="17">
        <f t="shared" si="1699"/>
        <v>1439.1198719999991</v>
      </c>
      <c r="BS392" s="17">
        <f t="shared" si="1700"/>
        <v>292.84415999999976</v>
      </c>
      <c r="BT392" s="17">
        <f t="shared" si="1701"/>
        <v>878.53247999999962</v>
      </c>
      <c r="BU392" s="17">
        <f t="shared" si="1702"/>
        <v>26593.919999999995</v>
      </c>
      <c r="BV392" s="17">
        <f t="shared" si="1703"/>
        <v>10236</v>
      </c>
      <c r="BW392" s="17">
        <f t="shared" si="1704"/>
        <v>269.84143199999994</v>
      </c>
      <c r="BX392" s="17">
        <f t="shared" si="1705"/>
        <v>17495.999999999989</v>
      </c>
      <c r="BY392" s="17">
        <f t="shared" si="1706"/>
        <v>3319.5876876287989</v>
      </c>
      <c r="BZ392" s="17"/>
      <c r="CA392" s="17">
        <f t="shared" si="1707"/>
        <v>88793.774192556797</v>
      </c>
      <c r="CB392" s="17">
        <f t="shared" si="1708"/>
        <v>249732.489916566</v>
      </c>
      <c r="CC392" s="17">
        <f t="shared" si="1709"/>
        <v>15794.255805668265</v>
      </c>
      <c r="CD392" s="17">
        <f t="shared" si="1710"/>
        <v>142148.30225101436</v>
      </c>
      <c r="CE392" s="17">
        <f t="shared" si="1711"/>
        <v>62232.708735628788</v>
      </c>
      <c r="CF392" s="17">
        <f t="shared" si="1712"/>
        <v>496468.82216580538</v>
      </c>
      <c r="CG392" s="17">
        <f t="shared" si="1713"/>
        <v>558701.53090143413</v>
      </c>
      <c r="CH392" s="17">
        <f t="shared" si="1714"/>
        <v>14.400000000000006</v>
      </c>
      <c r="CI392" s="17">
        <f t="shared" si="1715"/>
        <v>-37.800000000000011</v>
      </c>
      <c r="CJ392" s="17">
        <f t="shared" si="1716"/>
        <v>13</v>
      </c>
      <c r="CK392" s="17">
        <f t="shared" si="1717"/>
        <v>90</v>
      </c>
      <c r="CL392" s="17">
        <f t="shared" si="1718"/>
        <v>58.701310544419897</v>
      </c>
      <c r="CM392" s="17">
        <f t="shared" si="1719"/>
        <v>21</v>
      </c>
      <c r="CN392" s="17">
        <f t="shared" si="1720"/>
        <v>50</v>
      </c>
      <c r="CO392" s="17">
        <f t="shared" si="1721"/>
        <v>54.093501571630902</v>
      </c>
      <c r="CP392" s="17">
        <f t="shared" si="1722"/>
        <v>4.6078089727889946</v>
      </c>
      <c r="CQ392" s="17">
        <f t="shared" si="1723"/>
        <v>0</v>
      </c>
      <c r="CR392" s="17">
        <f t="shared" si="1724"/>
        <v>100</v>
      </c>
      <c r="CS392" s="17">
        <f t="shared" si="1725"/>
        <v>26.404773030064671</v>
      </c>
      <c r="CT392" s="17">
        <f t="shared" si="1726"/>
        <v>21</v>
      </c>
      <c r="CU392" s="17">
        <f t="shared" si="1727"/>
        <v>50</v>
      </c>
      <c r="CV392" s="17">
        <f t="shared" si="1728"/>
        <v>54.093501571630902</v>
      </c>
      <c r="CW392" s="17">
        <f t="shared" si="1729"/>
        <v>-27.688728541566231</v>
      </c>
      <c r="CX392" s="17">
        <f t="shared" si="1667"/>
        <v>-3777.6896640000009</v>
      </c>
      <c r="CY392" s="17">
        <f t="shared" si="1667"/>
        <v>-3777.6896640000009</v>
      </c>
      <c r="CZ392" s="17">
        <f t="shared" si="1730"/>
        <v>292.8441600000001</v>
      </c>
      <c r="DA392" s="17">
        <f t="shared" si="1731"/>
        <v>-768.7159200000001</v>
      </c>
      <c r="DB392" s="17">
        <f t="shared" si="1732"/>
        <v>-23269.680000000008</v>
      </c>
      <c r="DC392" s="17">
        <f t="shared" si="1733"/>
        <v>10236</v>
      </c>
      <c r="DD392" s="17">
        <f t="shared" si="1734"/>
        <v>269.84143199999994</v>
      </c>
      <c r="DE392" s="17">
        <f t="shared" si="1735"/>
        <v>17496.000000000007</v>
      </c>
      <c r="DF392" s="17">
        <f t="shared" si="1736"/>
        <v>-2904.6392266752009</v>
      </c>
      <c r="DG392" s="17"/>
      <c r="DH392" s="17">
        <f t="shared" si="1737"/>
        <v>-7531.3341633060145</v>
      </c>
      <c r="DI392" s="17">
        <f t="shared" si="1738"/>
        <v>-21181.877334298166</v>
      </c>
      <c r="DJ392" s="17">
        <f t="shared" si="1739"/>
        <v>-1339.6414266079817</v>
      </c>
      <c r="DK392" s="17">
        <f t="shared" si="1740"/>
        <v>2006.4231547937461</v>
      </c>
      <c r="DL392" s="17">
        <f t="shared" si="1741"/>
        <v>-2426.0392186751997</v>
      </c>
      <c r="DM392" s="17">
        <f t="shared" si="1742"/>
        <v>-28046.429769418417</v>
      </c>
      <c r="DN392" s="17">
        <f t="shared" si="1743"/>
        <v>-30472.468988093617</v>
      </c>
    </row>
    <row r="393" spans="3:120" ht="18.600000000000001">
      <c r="C393" s="13">
        <f>IF(D393&lt;&gt;"",COUNTA($D$10:D393),"")</f>
        <v>327</v>
      </c>
      <c r="D393" s="14" t="s">
        <v>203</v>
      </c>
      <c r="E393" s="14">
        <v>2.1</v>
      </c>
      <c r="F393" s="14">
        <v>3.5</v>
      </c>
      <c r="G393" s="14">
        <v>2.4</v>
      </c>
      <c r="H393" s="14">
        <v>0</v>
      </c>
      <c r="I393" s="14">
        <v>1</v>
      </c>
      <c r="J393" s="14">
        <v>1.75</v>
      </c>
      <c r="K393" s="14">
        <v>3</v>
      </c>
      <c r="L393" s="15">
        <v>0.1</v>
      </c>
      <c r="M393" s="15">
        <v>0</v>
      </c>
      <c r="N393" s="14">
        <v>21</v>
      </c>
      <c r="O393" s="14">
        <v>50</v>
      </c>
      <c r="P393" s="13">
        <v>45</v>
      </c>
      <c r="Q393" s="13">
        <v>85</v>
      </c>
      <c r="R393" s="13" t="s">
        <v>12</v>
      </c>
      <c r="S393" s="13">
        <v>120</v>
      </c>
      <c r="T393" s="13">
        <v>0</v>
      </c>
      <c r="U393" s="13">
        <v>100</v>
      </c>
      <c r="V393" s="13" t="str">
        <f t="shared" si="1668"/>
        <v>ISO 8</v>
      </c>
      <c r="W393" s="13">
        <f t="shared" si="1669"/>
        <v>120</v>
      </c>
      <c r="X393" s="16">
        <f t="shared" si="1670"/>
        <v>79.085999999999999</v>
      </c>
      <c r="Y393" s="16">
        <f t="shared" si="1671"/>
        <v>622.56499199999996</v>
      </c>
      <c r="Z393" s="16">
        <f t="shared" si="1672"/>
        <v>1245.1299839999999</v>
      </c>
      <c r="AA393" s="16">
        <f t="shared" si="1673"/>
        <v>124.5129984</v>
      </c>
      <c r="AB393" s="16">
        <f t="shared" si="1674"/>
        <v>0</v>
      </c>
      <c r="AC393" s="16">
        <f t="shared" si="1675"/>
        <v>11.852474630399689</v>
      </c>
      <c r="AD393" s="16">
        <f t="shared" si="1676"/>
        <v>2375</v>
      </c>
      <c r="AE393" s="16">
        <f t="shared" si="1677"/>
        <v>2375</v>
      </c>
      <c r="AF393" s="16">
        <f t="shared" si="1678"/>
        <v>10</v>
      </c>
      <c r="AG393" s="16">
        <f t="shared" si="1679"/>
        <v>6</v>
      </c>
      <c r="AH393" s="838" t="s">
        <v>85</v>
      </c>
      <c r="AI393" s="17">
        <f t="shared" si="1680"/>
        <v>3</v>
      </c>
      <c r="AJ393" s="17">
        <f t="shared" si="1681"/>
        <v>6</v>
      </c>
      <c r="AK393" s="891"/>
      <c r="AL393" s="18">
        <f>IF(AK390&lt;=2000,950,(IF(AK390&lt;=4000,1100,(IF(AK390&lt;=6000,1250,(IF(AK390&lt;=10000,1550,(IF(AK390&lt;=15000,1750,(IF(AK390&lt;=24000,2050,(IF(AK390&lt;=40000,2900,3600)))))))))))))</f>
        <v>3600</v>
      </c>
      <c r="AM393" s="889"/>
      <c r="AN393" s="891"/>
      <c r="AO393" s="888"/>
      <c r="AP393" s="891"/>
      <c r="AQ393" s="891"/>
      <c r="AR393" s="889"/>
      <c r="AS393" s="888"/>
      <c r="AT393" s="888"/>
      <c r="AU393" s="890"/>
      <c r="AV393" s="888"/>
      <c r="AW393" s="888"/>
      <c r="AX393" s="888"/>
      <c r="AY393" s="887"/>
      <c r="AZ393" s="888"/>
      <c r="BA393" s="17">
        <f t="shared" si="1682"/>
        <v>14.399999999999991</v>
      </c>
      <c r="BB393" s="17">
        <f t="shared" si="1683"/>
        <v>43.199999999999989</v>
      </c>
      <c r="BC393" s="17">
        <f t="shared" si="1684"/>
        <v>29</v>
      </c>
      <c r="BD393" s="17">
        <f t="shared" si="1685"/>
        <v>85</v>
      </c>
      <c r="BE393" s="17">
        <f t="shared" si="1686"/>
        <v>151.37930582859815</v>
      </c>
      <c r="BF393" s="17">
        <f t="shared" si="1687"/>
        <v>21</v>
      </c>
      <c r="BG393" s="17">
        <f t="shared" si="1688"/>
        <v>50</v>
      </c>
      <c r="BH393" s="17">
        <f t="shared" si="1689"/>
        <v>54.093501571630902</v>
      </c>
      <c r="BI393" s="17">
        <f t="shared" si="1690"/>
        <v>97.285804256967253</v>
      </c>
      <c r="BJ393" s="17">
        <f t="shared" si="1691"/>
        <v>45</v>
      </c>
      <c r="BK393" s="17">
        <f t="shared" si="1692"/>
        <v>85</v>
      </c>
      <c r="BL393" s="17">
        <f t="shared" si="1693"/>
        <v>380.54120080897206</v>
      </c>
      <c r="BM393" s="17">
        <f t="shared" si="1694"/>
        <v>21</v>
      </c>
      <c r="BN393" s="17">
        <f t="shared" si="1695"/>
        <v>50</v>
      </c>
      <c r="BO393" s="17">
        <f t="shared" si="1696"/>
        <v>54.093501571630902</v>
      </c>
      <c r="BP393" s="17">
        <f t="shared" si="1697"/>
        <v>326.44769923734117</v>
      </c>
      <c r="BQ393" s="17">
        <f t="shared" si="1698"/>
        <v>5622.6078719999978</v>
      </c>
      <c r="BR393" s="17">
        <f t="shared" si="1699"/>
        <v>1874.2026239999989</v>
      </c>
      <c r="BS393" s="17">
        <f t="shared" si="1700"/>
        <v>512.47727999999972</v>
      </c>
      <c r="BT393" s="17">
        <f t="shared" si="1701"/>
        <v>1537.4318399999995</v>
      </c>
      <c r="BU393" s="17">
        <f t="shared" si="1702"/>
        <v>0</v>
      </c>
      <c r="BV393" s="17">
        <f t="shared" si="1703"/>
        <v>3412</v>
      </c>
      <c r="BW393" s="17">
        <f t="shared" si="1704"/>
        <v>472.22250599999995</v>
      </c>
      <c r="BX393" s="17">
        <f t="shared" si="1705"/>
        <v>17495.999999999989</v>
      </c>
      <c r="BY393" s="17">
        <f t="shared" si="1706"/>
        <v>5809.2784533503982</v>
      </c>
      <c r="BZ393" s="17"/>
      <c r="CA393" s="17">
        <f t="shared" si="1707"/>
        <v>0</v>
      </c>
      <c r="CB393" s="17">
        <f t="shared" si="1708"/>
        <v>249732.489916566</v>
      </c>
      <c r="CC393" s="17">
        <f t="shared" si="1709"/>
        <v>27639.947659919468</v>
      </c>
      <c r="CD393" s="17">
        <f t="shared" si="1710"/>
        <v>248759.52893927516</v>
      </c>
      <c r="CE393" s="17">
        <f t="shared" si="1711"/>
        <v>32812.108831350386</v>
      </c>
      <c r="CF393" s="17">
        <f t="shared" si="1712"/>
        <v>526131.96651576064</v>
      </c>
      <c r="CG393" s="17">
        <f t="shared" si="1713"/>
        <v>558944.07534711098</v>
      </c>
      <c r="CH393" s="17">
        <f t="shared" si="1714"/>
        <v>14.400000000000006</v>
      </c>
      <c r="CI393" s="17">
        <f t="shared" si="1715"/>
        <v>-37.800000000000011</v>
      </c>
      <c r="CJ393" s="17">
        <f t="shared" si="1716"/>
        <v>13</v>
      </c>
      <c r="CK393" s="17">
        <f t="shared" si="1717"/>
        <v>90</v>
      </c>
      <c r="CL393" s="17">
        <f t="shared" si="1718"/>
        <v>58.701310544419897</v>
      </c>
      <c r="CM393" s="17">
        <f t="shared" si="1719"/>
        <v>21</v>
      </c>
      <c r="CN393" s="17">
        <f t="shared" si="1720"/>
        <v>50</v>
      </c>
      <c r="CO393" s="17">
        <f t="shared" si="1721"/>
        <v>54.093501571630902</v>
      </c>
      <c r="CP393" s="17">
        <f t="shared" si="1722"/>
        <v>4.6078089727889946</v>
      </c>
      <c r="CQ393" s="17">
        <f t="shared" si="1723"/>
        <v>0</v>
      </c>
      <c r="CR393" s="17">
        <f t="shared" si="1724"/>
        <v>100</v>
      </c>
      <c r="CS393" s="17">
        <f t="shared" si="1725"/>
        <v>26.404773030064671</v>
      </c>
      <c r="CT393" s="17">
        <f t="shared" si="1726"/>
        <v>21</v>
      </c>
      <c r="CU393" s="17">
        <f t="shared" si="1727"/>
        <v>50</v>
      </c>
      <c r="CV393" s="17">
        <f t="shared" si="1728"/>
        <v>54.093501571630902</v>
      </c>
      <c r="CW393" s="17">
        <f t="shared" si="1729"/>
        <v>-27.688728541566231</v>
      </c>
      <c r="CX393" s="17">
        <f t="shared" si="1667"/>
        <v>-4919.7818880000013</v>
      </c>
      <c r="CY393" s="17">
        <f t="shared" si="1667"/>
        <v>-4919.7818880000013</v>
      </c>
      <c r="CZ393" s="17">
        <f t="shared" si="1730"/>
        <v>512.47728000000018</v>
      </c>
      <c r="DA393" s="17">
        <f t="shared" si="1731"/>
        <v>-1345.2528600000005</v>
      </c>
      <c r="DB393" s="17">
        <f t="shared" si="1732"/>
        <v>0</v>
      </c>
      <c r="DC393" s="17">
        <f t="shared" si="1733"/>
        <v>3412</v>
      </c>
      <c r="DD393" s="17">
        <f t="shared" si="1734"/>
        <v>472.22250599999995</v>
      </c>
      <c r="DE393" s="17">
        <f t="shared" si="1735"/>
        <v>17496.000000000007</v>
      </c>
      <c r="DF393" s="17">
        <f t="shared" si="1736"/>
        <v>-5083.1186466816016</v>
      </c>
      <c r="DG393" s="17"/>
      <c r="DH393" s="17">
        <f t="shared" si="1737"/>
        <v>0</v>
      </c>
      <c r="DI393" s="17">
        <f t="shared" si="1738"/>
        <v>-21181.877334298166</v>
      </c>
      <c r="DJ393" s="17">
        <f t="shared" si="1739"/>
        <v>-2344.3724965639681</v>
      </c>
      <c r="DK393" s="17">
        <f t="shared" si="1740"/>
        <v>3511.2405208890559</v>
      </c>
      <c r="DL393" s="17">
        <f t="shared" si="1741"/>
        <v>10544.546391318405</v>
      </c>
      <c r="DM393" s="17">
        <f t="shared" si="1742"/>
        <v>-20015.009309973077</v>
      </c>
      <c r="DN393" s="17">
        <f t="shared" si="1743"/>
        <v>-9470.4629186546717</v>
      </c>
    </row>
    <row r="394" spans="3:120" ht="18.600000000000001">
      <c r="C394" s="13">
        <f>IF(D394&lt;&gt;"",COUNTA($D$10:D394),"")</f>
        <v>328</v>
      </c>
      <c r="D394" s="14" t="s">
        <v>204</v>
      </c>
      <c r="E394" s="14">
        <v>2.7</v>
      </c>
      <c r="F394" s="14">
        <v>4</v>
      </c>
      <c r="G394" s="14">
        <v>2.4</v>
      </c>
      <c r="H394" s="14">
        <v>2</v>
      </c>
      <c r="I394" s="14">
        <v>1</v>
      </c>
      <c r="J394" s="14">
        <v>1.75</v>
      </c>
      <c r="K394" s="14">
        <v>3</v>
      </c>
      <c r="L394" s="15">
        <v>0.1</v>
      </c>
      <c r="M394" s="15">
        <v>0</v>
      </c>
      <c r="N394" s="14">
        <v>21</v>
      </c>
      <c r="O394" s="14">
        <v>50</v>
      </c>
      <c r="P394" s="13">
        <v>45</v>
      </c>
      <c r="Q394" s="13">
        <v>85</v>
      </c>
      <c r="R394" s="13" t="s">
        <v>12</v>
      </c>
      <c r="S394" s="13">
        <v>120</v>
      </c>
      <c r="T394" s="13">
        <v>0</v>
      </c>
      <c r="U394" s="13">
        <v>100</v>
      </c>
      <c r="V394" s="13" t="str">
        <f t="shared" si="1668"/>
        <v>ISO 8</v>
      </c>
      <c r="W394" s="13">
        <f t="shared" si="1669"/>
        <v>120</v>
      </c>
      <c r="X394" s="16">
        <f t="shared" si="1670"/>
        <v>116.208</v>
      </c>
      <c r="Y394" s="16">
        <f t="shared" si="1671"/>
        <v>914.78937599999995</v>
      </c>
      <c r="Z394" s="16">
        <f t="shared" si="1672"/>
        <v>1829.5787519999999</v>
      </c>
      <c r="AA394" s="16">
        <f t="shared" si="1673"/>
        <v>182.95787519999999</v>
      </c>
      <c r="AB394" s="16">
        <f t="shared" si="1674"/>
        <v>0</v>
      </c>
      <c r="AC394" s="16">
        <f t="shared" si="1675"/>
        <v>17.415881089566888</v>
      </c>
      <c r="AD394" s="16">
        <f t="shared" si="1676"/>
        <v>3375</v>
      </c>
      <c r="AE394" s="16">
        <f t="shared" si="1677"/>
        <v>3375</v>
      </c>
      <c r="AF394" s="16">
        <f t="shared" si="1678"/>
        <v>14</v>
      </c>
      <c r="AG394" s="16">
        <f t="shared" si="1679"/>
        <v>8.5</v>
      </c>
      <c r="AH394" s="838" t="s">
        <v>85</v>
      </c>
      <c r="AI394" s="17">
        <f t="shared" si="1680"/>
        <v>5.5</v>
      </c>
      <c r="AJ394" s="17">
        <f t="shared" si="1681"/>
        <v>8.5</v>
      </c>
      <c r="AK394" s="891"/>
      <c r="AL394" s="18" t="s">
        <v>256</v>
      </c>
      <c r="AM394" s="889"/>
      <c r="AN394" s="891"/>
      <c r="AO394" s="888"/>
      <c r="AP394" s="891"/>
      <c r="AQ394" s="891"/>
      <c r="AR394" s="889"/>
      <c r="AS394" s="888"/>
      <c r="AT394" s="888"/>
      <c r="AU394" s="890"/>
      <c r="AV394" s="888"/>
      <c r="AW394" s="888"/>
      <c r="AX394" s="888"/>
      <c r="AY394" s="887"/>
      <c r="AZ394" s="888"/>
      <c r="BA394" s="17">
        <f t="shared" si="1682"/>
        <v>14.399999999999991</v>
      </c>
      <c r="BB394" s="17">
        <f t="shared" si="1683"/>
        <v>43.199999999999989</v>
      </c>
      <c r="BC394" s="17">
        <f t="shared" si="1684"/>
        <v>29</v>
      </c>
      <c r="BD394" s="17">
        <f t="shared" si="1685"/>
        <v>85</v>
      </c>
      <c r="BE394" s="17">
        <f t="shared" si="1686"/>
        <v>151.37930582859815</v>
      </c>
      <c r="BF394" s="17">
        <f t="shared" si="1687"/>
        <v>21</v>
      </c>
      <c r="BG394" s="17">
        <f t="shared" si="1688"/>
        <v>50</v>
      </c>
      <c r="BH394" s="17">
        <f t="shared" si="1689"/>
        <v>54.093501571630902</v>
      </c>
      <c r="BI394" s="17">
        <f t="shared" si="1690"/>
        <v>97.285804256967253</v>
      </c>
      <c r="BJ394" s="17">
        <f t="shared" si="1691"/>
        <v>45</v>
      </c>
      <c r="BK394" s="17">
        <f t="shared" si="1692"/>
        <v>85</v>
      </c>
      <c r="BL394" s="17">
        <f t="shared" si="1693"/>
        <v>380.54120080897206</v>
      </c>
      <c r="BM394" s="17">
        <f t="shared" si="1694"/>
        <v>21</v>
      </c>
      <c r="BN394" s="17">
        <f t="shared" si="1695"/>
        <v>50</v>
      </c>
      <c r="BO394" s="17">
        <f t="shared" si="1696"/>
        <v>54.093501571630902</v>
      </c>
      <c r="BP394" s="17">
        <f t="shared" si="1697"/>
        <v>326.44769923734117</v>
      </c>
      <c r="BQ394" s="17">
        <f t="shared" si="1698"/>
        <v>6727.0487039999989</v>
      </c>
      <c r="BR394" s="17">
        <f t="shared" si="1699"/>
        <v>2242.3495679999987</v>
      </c>
      <c r="BS394" s="17">
        <f t="shared" si="1700"/>
        <v>753.02783999999963</v>
      </c>
      <c r="BT394" s="17">
        <f t="shared" si="1701"/>
        <v>2259.0835199999997</v>
      </c>
      <c r="BU394" s="17">
        <f t="shared" si="1702"/>
        <v>26593.919999999995</v>
      </c>
      <c r="BV394" s="17">
        <f t="shared" si="1703"/>
        <v>3412</v>
      </c>
      <c r="BW394" s="17">
        <f t="shared" si="1704"/>
        <v>693.87796800000001</v>
      </c>
      <c r="BX394" s="17">
        <f t="shared" si="1705"/>
        <v>17495.999999999989</v>
      </c>
      <c r="BY394" s="17">
        <f t="shared" si="1706"/>
        <v>8536.0826253311971</v>
      </c>
      <c r="BZ394" s="17"/>
      <c r="CA394" s="17">
        <f t="shared" si="1707"/>
        <v>88793.774192556797</v>
      </c>
      <c r="CB394" s="17">
        <f t="shared" si="1708"/>
        <v>249732.489916566</v>
      </c>
      <c r="CC394" s="17">
        <f t="shared" si="1709"/>
        <v>40613.800643146969</v>
      </c>
      <c r="CD394" s="17">
        <f t="shared" si="1710"/>
        <v>365524.20578832272</v>
      </c>
      <c r="CE394" s="17">
        <f t="shared" si="1711"/>
        <v>63458.929297331182</v>
      </c>
      <c r="CF394" s="17">
        <f t="shared" si="1712"/>
        <v>744664.27054059249</v>
      </c>
      <c r="CG394" s="17">
        <f t="shared" si="1713"/>
        <v>808123.19983792363</v>
      </c>
      <c r="CH394" s="17">
        <f t="shared" si="1714"/>
        <v>14.400000000000006</v>
      </c>
      <c r="CI394" s="17">
        <f t="shared" si="1715"/>
        <v>-37.800000000000011</v>
      </c>
      <c r="CJ394" s="17">
        <f t="shared" si="1716"/>
        <v>13</v>
      </c>
      <c r="CK394" s="17">
        <f t="shared" si="1717"/>
        <v>90</v>
      </c>
      <c r="CL394" s="17">
        <f t="shared" si="1718"/>
        <v>58.701310544419897</v>
      </c>
      <c r="CM394" s="17">
        <f t="shared" si="1719"/>
        <v>21</v>
      </c>
      <c r="CN394" s="17">
        <f t="shared" si="1720"/>
        <v>50</v>
      </c>
      <c r="CO394" s="17">
        <f t="shared" si="1721"/>
        <v>54.093501571630902</v>
      </c>
      <c r="CP394" s="17">
        <f t="shared" si="1722"/>
        <v>4.6078089727889946</v>
      </c>
      <c r="CQ394" s="17">
        <f t="shared" si="1723"/>
        <v>0</v>
      </c>
      <c r="CR394" s="17">
        <f t="shared" si="1724"/>
        <v>100</v>
      </c>
      <c r="CS394" s="17">
        <f t="shared" si="1725"/>
        <v>26.404773030064671</v>
      </c>
      <c r="CT394" s="17">
        <f t="shared" si="1726"/>
        <v>21</v>
      </c>
      <c r="CU394" s="17">
        <f t="shared" si="1727"/>
        <v>50</v>
      </c>
      <c r="CV394" s="17">
        <f t="shared" si="1728"/>
        <v>54.093501571630902</v>
      </c>
      <c r="CW394" s="17">
        <f t="shared" si="1729"/>
        <v>-27.688728541566231</v>
      </c>
      <c r="CX394" s="17">
        <f t="shared" si="1667"/>
        <v>-5886.1676160000025</v>
      </c>
      <c r="CY394" s="17">
        <f t="shared" si="1667"/>
        <v>-5886.1676160000025</v>
      </c>
      <c r="CZ394" s="17">
        <f t="shared" si="1730"/>
        <v>753.02784000000031</v>
      </c>
      <c r="DA394" s="17">
        <f t="shared" si="1731"/>
        <v>-1976.6980800000006</v>
      </c>
      <c r="DB394" s="17">
        <f t="shared" si="1732"/>
        <v>-23269.680000000008</v>
      </c>
      <c r="DC394" s="17">
        <f t="shared" si="1733"/>
        <v>3412</v>
      </c>
      <c r="DD394" s="17">
        <f t="shared" si="1734"/>
        <v>693.87796800000001</v>
      </c>
      <c r="DE394" s="17">
        <f t="shared" si="1735"/>
        <v>17496.000000000007</v>
      </c>
      <c r="DF394" s="17">
        <f t="shared" si="1736"/>
        <v>-7469.072297164802</v>
      </c>
      <c r="DG394" s="17"/>
      <c r="DH394" s="17">
        <f t="shared" si="1737"/>
        <v>-7531.3341633060145</v>
      </c>
      <c r="DI394" s="17">
        <f t="shared" si="1738"/>
        <v>-21181.877334298166</v>
      </c>
      <c r="DJ394" s="17">
        <f t="shared" si="1739"/>
        <v>-3444.7922398490955</v>
      </c>
      <c r="DK394" s="17">
        <f t="shared" si="1740"/>
        <v>5159.373826612491</v>
      </c>
      <c r="DL394" s="17">
        <f t="shared" si="1741"/>
        <v>-16246.712185164804</v>
      </c>
      <c r="DM394" s="17">
        <f t="shared" si="1742"/>
        <v>-26998.629910840784</v>
      </c>
      <c r="DN394" s="17">
        <f t="shared" si="1743"/>
        <v>-43245.342096005588</v>
      </c>
    </row>
    <row r="395" spans="3:120" ht="18.600000000000001">
      <c r="C395" s="13">
        <f>IF(D395&lt;&gt;"",COUNTA($D$10:D395),"")</f>
        <v>329</v>
      </c>
      <c r="D395" s="14" t="s">
        <v>205</v>
      </c>
      <c r="E395" s="14">
        <v>3.8</v>
      </c>
      <c r="F395" s="14">
        <v>4.2</v>
      </c>
      <c r="G395" s="14">
        <v>2.4</v>
      </c>
      <c r="H395" s="14">
        <v>3</v>
      </c>
      <c r="I395" s="14">
        <v>3</v>
      </c>
      <c r="J395" s="14">
        <v>1.75</v>
      </c>
      <c r="K395" s="14">
        <v>3</v>
      </c>
      <c r="L395" s="15">
        <v>0.1</v>
      </c>
      <c r="M395" s="15">
        <v>0</v>
      </c>
      <c r="N395" s="14">
        <v>21</v>
      </c>
      <c r="O395" s="14">
        <v>50</v>
      </c>
      <c r="P395" s="13">
        <v>45</v>
      </c>
      <c r="Q395" s="13">
        <v>85</v>
      </c>
      <c r="R395" s="13" t="s">
        <v>12</v>
      </c>
      <c r="S395" s="13">
        <v>120</v>
      </c>
      <c r="T395" s="13">
        <v>0</v>
      </c>
      <c r="U395" s="13">
        <v>100</v>
      </c>
      <c r="V395" s="13" t="str">
        <f t="shared" si="1668"/>
        <v>ISO 8</v>
      </c>
      <c r="W395" s="13">
        <f t="shared" si="1669"/>
        <v>120</v>
      </c>
      <c r="X395" s="16">
        <f t="shared" si="1670"/>
        <v>171.72959999999998</v>
      </c>
      <c r="Y395" s="16">
        <f t="shared" si="1671"/>
        <v>1351.8554111999997</v>
      </c>
      <c r="Z395" s="16">
        <f t="shared" si="1672"/>
        <v>2703.7108223999994</v>
      </c>
      <c r="AA395" s="16">
        <f t="shared" si="1673"/>
        <v>270.37108223999996</v>
      </c>
      <c r="AB395" s="16">
        <f t="shared" si="1674"/>
        <v>0</v>
      </c>
      <c r="AC395" s="16">
        <f t="shared" si="1675"/>
        <v>25.736802054582181</v>
      </c>
      <c r="AD395" s="16">
        <f t="shared" si="1676"/>
        <v>4450</v>
      </c>
      <c r="AE395" s="16">
        <f t="shared" si="1677"/>
        <v>4450</v>
      </c>
      <c r="AF395" s="16">
        <f t="shared" si="1678"/>
        <v>18</v>
      </c>
      <c r="AG395" s="16">
        <f t="shared" si="1679"/>
        <v>11.5</v>
      </c>
      <c r="AH395" s="838" t="s">
        <v>85</v>
      </c>
      <c r="AI395" s="17">
        <f t="shared" si="1680"/>
        <v>7.5</v>
      </c>
      <c r="AJ395" s="17">
        <f t="shared" si="1681"/>
        <v>11.5</v>
      </c>
      <c r="AK395" s="891"/>
      <c r="AL395" s="18">
        <f>IF(AL399&lt;4000,AL399,AL399+400)</f>
        <v>6800</v>
      </c>
      <c r="AM395" s="889"/>
      <c r="AN395" s="891"/>
      <c r="AO395" s="888"/>
      <c r="AP395" s="891"/>
      <c r="AQ395" s="891"/>
      <c r="AR395" s="889"/>
      <c r="AS395" s="888"/>
      <c r="AT395" s="888"/>
      <c r="AU395" s="890"/>
      <c r="AV395" s="888"/>
      <c r="AW395" s="888"/>
      <c r="AX395" s="888"/>
      <c r="AY395" s="887"/>
      <c r="AZ395" s="888"/>
      <c r="BA395" s="17">
        <f t="shared" si="1682"/>
        <v>14.399999999999991</v>
      </c>
      <c r="BB395" s="17">
        <f t="shared" si="1683"/>
        <v>43.199999999999989</v>
      </c>
      <c r="BC395" s="17">
        <f t="shared" si="1684"/>
        <v>29</v>
      </c>
      <c r="BD395" s="17">
        <f t="shared" si="1685"/>
        <v>85</v>
      </c>
      <c r="BE395" s="17">
        <f t="shared" si="1686"/>
        <v>151.37930582859815</v>
      </c>
      <c r="BF395" s="17">
        <f t="shared" si="1687"/>
        <v>21</v>
      </c>
      <c r="BG395" s="17">
        <f t="shared" si="1688"/>
        <v>50</v>
      </c>
      <c r="BH395" s="17">
        <f t="shared" si="1689"/>
        <v>54.093501571630902</v>
      </c>
      <c r="BI395" s="17">
        <f t="shared" si="1690"/>
        <v>97.285804256967253</v>
      </c>
      <c r="BJ395" s="17">
        <f t="shared" si="1691"/>
        <v>45</v>
      </c>
      <c r="BK395" s="17">
        <f t="shared" si="1692"/>
        <v>85</v>
      </c>
      <c r="BL395" s="17">
        <f t="shared" si="1693"/>
        <v>380.54120080897206</v>
      </c>
      <c r="BM395" s="17">
        <f t="shared" si="1694"/>
        <v>21</v>
      </c>
      <c r="BN395" s="17">
        <f t="shared" si="1695"/>
        <v>50</v>
      </c>
      <c r="BO395" s="17">
        <f t="shared" si="1696"/>
        <v>54.093501571630902</v>
      </c>
      <c r="BP395" s="17">
        <f t="shared" si="1697"/>
        <v>326.44769923734117</v>
      </c>
      <c r="BQ395" s="17">
        <f t="shared" si="1698"/>
        <v>8032.2969599999969</v>
      </c>
      <c r="BR395" s="17">
        <f t="shared" si="1699"/>
        <v>2677.4323199999981</v>
      </c>
      <c r="BS395" s="17">
        <f t="shared" si="1700"/>
        <v>1112.8078079999991</v>
      </c>
      <c r="BT395" s="17">
        <f t="shared" si="1701"/>
        <v>3338.4234239999987</v>
      </c>
      <c r="BU395" s="17">
        <f t="shared" si="1702"/>
        <v>39890.87999999999</v>
      </c>
      <c r="BV395" s="17">
        <f t="shared" si="1703"/>
        <v>10236</v>
      </c>
      <c r="BW395" s="17">
        <f t="shared" si="1704"/>
        <v>1025.3974415999999</v>
      </c>
      <c r="BX395" s="17">
        <f t="shared" si="1705"/>
        <v>17495.999999999989</v>
      </c>
      <c r="BY395" s="17">
        <f t="shared" si="1706"/>
        <v>12614.433212989437</v>
      </c>
      <c r="BZ395" s="17"/>
      <c r="CA395" s="17">
        <f t="shared" si="1707"/>
        <v>133190.66128883522</v>
      </c>
      <c r="CB395" s="17">
        <f t="shared" si="1708"/>
        <v>249732.489916566</v>
      </c>
      <c r="CC395" s="17">
        <f t="shared" si="1709"/>
        <v>60018.172061539408</v>
      </c>
      <c r="CD395" s="17">
        <f t="shared" si="1710"/>
        <v>540163.54855385469</v>
      </c>
      <c r="CE395" s="17">
        <f t="shared" si="1711"/>
        <v>89295.007614589413</v>
      </c>
      <c r="CF395" s="17">
        <f t="shared" si="1712"/>
        <v>983104.87182079535</v>
      </c>
      <c r="CG395" s="17">
        <f t="shared" si="1713"/>
        <v>1072399.8794353846</v>
      </c>
      <c r="CH395" s="17">
        <f t="shared" si="1714"/>
        <v>14.400000000000006</v>
      </c>
      <c r="CI395" s="17">
        <f t="shared" si="1715"/>
        <v>-37.800000000000011</v>
      </c>
      <c r="CJ395" s="17">
        <f t="shared" si="1716"/>
        <v>13</v>
      </c>
      <c r="CK395" s="17">
        <f t="shared" si="1717"/>
        <v>90</v>
      </c>
      <c r="CL395" s="17">
        <f t="shared" si="1718"/>
        <v>58.701310544419897</v>
      </c>
      <c r="CM395" s="17">
        <f t="shared" si="1719"/>
        <v>21</v>
      </c>
      <c r="CN395" s="17">
        <f t="shared" si="1720"/>
        <v>50</v>
      </c>
      <c r="CO395" s="17">
        <f t="shared" si="1721"/>
        <v>54.093501571630902</v>
      </c>
      <c r="CP395" s="17">
        <f t="shared" si="1722"/>
        <v>4.6078089727889946</v>
      </c>
      <c r="CQ395" s="17">
        <f t="shared" si="1723"/>
        <v>0</v>
      </c>
      <c r="CR395" s="17">
        <f t="shared" si="1724"/>
        <v>100</v>
      </c>
      <c r="CS395" s="17">
        <f t="shared" si="1725"/>
        <v>26.404773030064671</v>
      </c>
      <c r="CT395" s="17">
        <f t="shared" si="1726"/>
        <v>21</v>
      </c>
      <c r="CU395" s="17">
        <f t="shared" si="1727"/>
        <v>50</v>
      </c>
      <c r="CV395" s="17">
        <f t="shared" si="1728"/>
        <v>54.093501571630902</v>
      </c>
      <c r="CW395" s="17">
        <f t="shared" si="1729"/>
        <v>-27.688728541566231</v>
      </c>
      <c r="CX395" s="17">
        <f t="shared" si="1667"/>
        <v>-7028.2598400000015</v>
      </c>
      <c r="CY395" s="17">
        <f t="shared" si="1667"/>
        <v>-7028.2598400000015</v>
      </c>
      <c r="CZ395" s="17">
        <f t="shared" si="1730"/>
        <v>1112.8078080000003</v>
      </c>
      <c r="DA395" s="17">
        <f t="shared" si="1731"/>
        <v>-2921.1204960000005</v>
      </c>
      <c r="DB395" s="17">
        <f t="shared" si="1732"/>
        <v>-34904.520000000011</v>
      </c>
      <c r="DC395" s="17">
        <f t="shared" si="1733"/>
        <v>10236</v>
      </c>
      <c r="DD395" s="17">
        <f t="shared" si="1734"/>
        <v>1025.3974415999999</v>
      </c>
      <c r="DE395" s="17">
        <f t="shared" si="1735"/>
        <v>17496.000000000007</v>
      </c>
      <c r="DF395" s="17">
        <f t="shared" si="1736"/>
        <v>-11037.629061365764</v>
      </c>
      <c r="DG395" s="17"/>
      <c r="DH395" s="17">
        <f t="shared" si="1737"/>
        <v>-11297.001244959023</v>
      </c>
      <c r="DI395" s="17">
        <f t="shared" si="1738"/>
        <v>-21181.877334298166</v>
      </c>
      <c r="DJ395" s="17">
        <f t="shared" si="1739"/>
        <v>-5090.6374211103303</v>
      </c>
      <c r="DK395" s="17">
        <f t="shared" si="1740"/>
        <v>7624.4079882162359</v>
      </c>
      <c r="DL395" s="17">
        <f t="shared" si="1741"/>
        <v>-26021.324147765772</v>
      </c>
      <c r="DM395" s="17">
        <f t="shared" si="1742"/>
        <v>-29945.108012151282</v>
      </c>
      <c r="DN395" s="17">
        <f t="shared" si="1743"/>
        <v>-55966.432159917051</v>
      </c>
    </row>
    <row r="396" spans="3:120" ht="18.600000000000001">
      <c r="C396" s="13">
        <f>IF(D396&lt;&gt;"",COUNTA($D$10:D396),"")</f>
        <v>330</v>
      </c>
      <c r="D396" s="14" t="s">
        <v>206</v>
      </c>
      <c r="E396" s="14">
        <v>3.1</v>
      </c>
      <c r="F396" s="14">
        <v>2.6</v>
      </c>
      <c r="G396" s="14">
        <v>2.4</v>
      </c>
      <c r="H396" s="14">
        <v>2</v>
      </c>
      <c r="I396" s="14">
        <v>1</v>
      </c>
      <c r="J396" s="14">
        <v>1.75</v>
      </c>
      <c r="K396" s="14">
        <v>3</v>
      </c>
      <c r="L396" s="15">
        <v>0.1</v>
      </c>
      <c r="M396" s="15">
        <v>0</v>
      </c>
      <c r="N396" s="14">
        <v>21</v>
      </c>
      <c r="O396" s="14">
        <v>50</v>
      </c>
      <c r="P396" s="13">
        <v>45</v>
      </c>
      <c r="Q396" s="13">
        <v>85</v>
      </c>
      <c r="R396" s="13" t="s">
        <v>12</v>
      </c>
      <c r="S396" s="13">
        <v>120</v>
      </c>
      <c r="T396" s="13">
        <v>0</v>
      </c>
      <c r="U396" s="13">
        <v>100</v>
      </c>
      <c r="V396" s="13" t="str">
        <f t="shared" si="1668"/>
        <v>ISO 8</v>
      </c>
      <c r="W396" s="13">
        <f t="shared" si="1669"/>
        <v>120</v>
      </c>
      <c r="X396" s="16">
        <f t="shared" si="1670"/>
        <v>86.7256</v>
      </c>
      <c r="Y396" s="16">
        <f t="shared" si="1671"/>
        <v>682.70392319999996</v>
      </c>
      <c r="Z396" s="16">
        <f t="shared" si="1672"/>
        <v>1365.4078463999999</v>
      </c>
      <c r="AA396" s="16">
        <f t="shared" si="1673"/>
        <v>136.54078464</v>
      </c>
      <c r="AB396" s="16">
        <f t="shared" si="1674"/>
        <v>0</v>
      </c>
      <c r="AC396" s="16">
        <f t="shared" si="1675"/>
        <v>12.997407553880475</v>
      </c>
      <c r="AD396" s="16">
        <f t="shared" si="1676"/>
        <v>2900</v>
      </c>
      <c r="AE396" s="16">
        <f t="shared" si="1677"/>
        <v>2900</v>
      </c>
      <c r="AF396" s="16">
        <f t="shared" si="1678"/>
        <v>12</v>
      </c>
      <c r="AG396" s="16">
        <f t="shared" si="1679"/>
        <v>7.5</v>
      </c>
      <c r="AH396" s="838" t="s">
        <v>85</v>
      </c>
      <c r="AI396" s="17">
        <f t="shared" si="1680"/>
        <v>5.5</v>
      </c>
      <c r="AJ396" s="17">
        <f t="shared" si="1681"/>
        <v>7.5</v>
      </c>
      <c r="AK396" s="891"/>
      <c r="AL396" s="18"/>
      <c r="AM396" s="889"/>
      <c r="AN396" s="891"/>
      <c r="AO396" s="888"/>
      <c r="AP396" s="891"/>
      <c r="AQ396" s="891"/>
      <c r="AR396" s="889"/>
      <c r="AS396" s="888"/>
      <c r="AT396" s="888"/>
      <c r="AU396" s="890"/>
      <c r="AV396" s="888"/>
      <c r="AW396" s="888"/>
      <c r="AX396" s="888"/>
      <c r="AY396" s="887"/>
      <c r="AZ396" s="888"/>
      <c r="BA396" s="17">
        <f t="shared" si="1682"/>
        <v>14.399999999999991</v>
      </c>
      <c r="BB396" s="17">
        <f t="shared" si="1683"/>
        <v>43.199999999999989</v>
      </c>
      <c r="BC396" s="17">
        <f t="shared" si="1684"/>
        <v>29</v>
      </c>
      <c r="BD396" s="17">
        <f t="shared" si="1685"/>
        <v>85</v>
      </c>
      <c r="BE396" s="17">
        <f t="shared" si="1686"/>
        <v>151.37930582859815</v>
      </c>
      <c r="BF396" s="17">
        <f t="shared" si="1687"/>
        <v>21</v>
      </c>
      <c r="BG396" s="17">
        <f t="shared" si="1688"/>
        <v>50</v>
      </c>
      <c r="BH396" s="17">
        <f t="shared" si="1689"/>
        <v>54.093501571630902</v>
      </c>
      <c r="BI396" s="17">
        <f t="shared" si="1690"/>
        <v>97.285804256967253</v>
      </c>
      <c r="BJ396" s="17">
        <f t="shared" si="1691"/>
        <v>45</v>
      </c>
      <c r="BK396" s="17">
        <f t="shared" si="1692"/>
        <v>85</v>
      </c>
      <c r="BL396" s="17">
        <f t="shared" si="1693"/>
        <v>380.54120080897206</v>
      </c>
      <c r="BM396" s="17">
        <f t="shared" si="1694"/>
        <v>21</v>
      </c>
      <c r="BN396" s="17">
        <f t="shared" si="1695"/>
        <v>50</v>
      </c>
      <c r="BO396" s="17">
        <f t="shared" si="1696"/>
        <v>54.093501571630902</v>
      </c>
      <c r="BP396" s="17">
        <f t="shared" si="1697"/>
        <v>326.44769923734117</v>
      </c>
      <c r="BQ396" s="17">
        <f t="shared" si="1698"/>
        <v>5723.011583999998</v>
      </c>
      <c r="BR396" s="17">
        <f t="shared" si="1699"/>
        <v>1907.670527999999</v>
      </c>
      <c r="BS396" s="17">
        <f t="shared" si="1700"/>
        <v>561.98188799999969</v>
      </c>
      <c r="BT396" s="17">
        <f t="shared" si="1701"/>
        <v>1685.9456639999996</v>
      </c>
      <c r="BU396" s="17">
        <f t="shared" si="1702"/>
        <v>26593.919999999995</v>
      </c>
      <c r="BV396" s="17">
        <f t="shared" si="1703"/>
        <v>3412</v>
      </c>
      <c r="BW396" s="17">
        <f t="shared" si="1704"/>
        <v>517.83855759999994</v>
      </c>
      <c r="BX396" s="17">
        <f t="shared" si="1705"/>
        <v>17495.999999999989</v>
      </c>
      <c r="BY396" s="17">
        <f t="shared" si="1706"/>
        <v>6370.4468481638387</v>
      </c>
      <c r="BZ396" s="17"/>
      <c r="CA396" s="17">
        <f t="shared" si="1707"/>
        <v>88793.774192556797</v>
      </c>
      <c r="CB396" s="17">
        <f t="shared" si="1708"/>
        <v>249732.489916566</v>
      </c>
      <c r="CC396" s="17">
        <f t="shared" si="1709"/>
        <v>30309.928998496722</v>
      </c>
      <c r="CD396" s="17">
        <f t="shared" si="1710"/>
        <v>272789.36098647042</v>
      </c>
      <c r="CE396" s="17">
        <f t="shared" si="1711"/>
        <v>60113.216989763816</v>
      </c>
      <c r="CF396" s="17">
        <f t="shared" si="1712"/>
        <v>641625.55409408989</v>
      </c>
      <c r="CG396" s="17">
        <f t="shared" si="1713"/>
        <v>701738.77108385367</v>
      </c>
      <c r="CH396" s="17">
        <f t="shared" si="1714"/>
        <v>14.400000000000006</v>
      </c>
      <c r="CI396" s="17">
        <f t="shared" si="1715"/>
        <v>-37.800000000000011</v>
      </c>
      <c r="CJ396" s="17">
        <f t="shared" si="1716"/>
        <v>13</v>
      </c>
      <c r="CK396" s="17">
        <f t="shared" si="1717"/>
        <v>90</v>
      </c>
      <c r="CL396" s="17">
        <f t="shared" si="1718"/>
        <v>58.701310544419897</v>
      </c>
      <c r="CM396" s="17">
        <f t="shared" si="1719"/>
        <v>21</v>
      </c>
      <c r="CN396" s="17">
        <f t="shared" si="1720"/>
        <v>50</v>
      </c>
      <c r="CO396" s="17">
        <f t="shared" si="1721"/>
        <v>54.093501571630902</v>
      </c>
      <c r="CP396" s="17">
        <f t="shared" si="1722"/>
        <v>4.6078089727889946</v>
      </c>
      <c r="CQ396" s="17">
        <f t="shared" si="1723"/>
        <v>0</v>
      </c>
      <c r="CR396" s="17">
        <f t="shared" si="1724"/>
        <v>100</v>
      </c>
      <c r="CS396" s="17">
        <f t="shared" si="1725"/>
        <v>26.404773030064671</v>
      </c>
      <c r="CT396" s="17">
        <f t="shared" si="1726"/>
        <v>21</v>
      </c>
      <c r="CU396" s="17">
        <f t="shared" si="1727"/>
        <v>50</v>
      </c>
      <c r="CV396" s="17">
        <f t="shared" si="1728"/>
        <v>54.093501571630902</v>
      </c>
      <c r="CW396" s="17">
        <f t="shared" si="1729"/>
        <v>-27.688728541566231</v>
      </c>
      <c r="CX396" s="17">
        <f t="shared" si="1667"/>
        <v>-5007.6351360000017</v>
      </c>
      <c r="CY396" s="17">
        <f t="shared" si="1667"/>
        <v>-5007.6351360000017</v>
      </c>
      <c r="CZ396" s="17">
        <f t="shared" si="1730"/>
        <v>561.98188800000014</v>
      </c>
      <c r="DA396" s="17">
        <f t="shared" si="1731"/>
        <v>-1475.2024560000004</v>
      </c>
      <c r="DB396" s="17">
        <f t="shared" si="1732"/>
        <v>-23269.680000000008</v>
      </c>
      <c r="DC396" s="17">
        <f t="shared" si="1733"/>
        <v>3412</v>
      </c>
      <c r="DD396" s="17">
        <f t="shared" si="1734"/>
        <v>517.83855759999994</v>
      </c>
      <c r="DE396" s="17">
        <f t="shared" si="1735"/>
        <v>17496.000000000007</v>
      </c>
      <c r="DF396" s="17">
        <f t="shared" si="1736"/>
        <v>-5574.1409921433615</v>
      </c>
      <c r="DG396" s="17"/>
      <c r="DH396" s="17">
        <f t="shared" si="1737"/>
        <v>-7531.3341633060145</v>
      </c>
      <c r="DI396" s="17">
        <f t="shared" si="1738"/>
        <v>-21181.877334298166</v>
      </c>
      <c r="DJ396" s="17">
        <f t="shared" si="1739"/>
        <v>-2570.8356901096031</v>
      </c>
      <c r="DK396" s="17">
        <f t="shared" si="1740"/>
        <v>3850.4215780089512</v>
      </c>
      <c r="DL396" s="17">
        <f t="shared" si="1741"/>
        <v>-13338.838138543364</v>
      </c>
      <c r="DM396" s="17">
        <f t="shared" si="1742"/>
        <v>-27433.625609704832</v>
      </c>
      <c r="DN396" s="17">
        <f t="shared" si="1743"/>
        <v>-40772.463748248192</v>
      </c>
    </row>
    <row r="397" spans="3:120" ht="18.600000000000001">
      <c r="C397" s="13">
        <f>IF(D397&lt;&gt;"",COUNTA($D$10:D397),"")</f>
        <v>331</v>
      </c>
      <c r="D397" s="14" t="s">
        <v>207</v>
      </c>
      <c r="E397" s="14">
        <v>1.9</v>
      </c>
      <c r="F397" s="14">
        <v>2.4</v>
      </c>
      <c r="G397" s="14">
        <v>2.4</v>
      </c>
      <c r="H397" s="14">
        <v>3</v>
      </c>
      <c r="I397" s="14">
        <v>2</v>
      </c>
      <c r="J397" s="14">
        <v>1.75</v>
      </c>
      <c r="K397" s="14">
        <v>3</v>
      </c>
      <c r="L397" s="15">
        <v>0.1</v>
      </c>
      <c r="M397" s="15">
        <v>0</v>
      </c>
      <c r="N397" s="14">
        <v>21</v>
      </c>
      <c r="O397" s="14">
        <v>50</v>
      </c>
      <c r="P397" s="13">
        <v>45</v>
      </c>
      <c r="Q397" s="13">
        <v>85</v>
      </c>
      <c r="R397" s="13" t="s">
        <v>12</v>
      </c>
      <c r="S397" s="13">
        <v>120</v>
      </c>
      <c r="T397" s="13">
        <v>0</v>
      </c>
      <c r="U397" s="13">
        <v>100</v>
      </c>
      <c r="V397" s="13" t="str">
        <f t="shared" si="1668"/>
        <v>ISO 8</v>
      </c>
      <c r="W397" s="13">
        <f t="shared" si="1669"/>
        <v>120</v>
      </c>
      <c r="X397" s="16">
        <f t="shared" si="1670"/>
        <v>49.065599999999996</v>
      </c>
      <c r="Y397" s="16">
        <f t="shared" si="1671"/>
        <v>386.24440319999997</v>
      </c>
      <c r="Z397" s="16">
        <f t="shared" si="1672"/>
        <v>772.48880639999993</v>
      </c>
      <c r="AA397" s="16">
        <f t="shared" si="1673"/>
        <v>77.248880639999996</v>
      </c>
      <c r="AB397" s="16">
        <f t="shared" si="1674"/>
        <v>0</v>
      </c>
      <c r="AC397" s="16">
        <f t="shared" si="1675"/>
        <v>7.3533720155949087</v>
      </c>
      <c r="AD397" s="16">
        <f t="shared" si="1676"/>
        <v>2500</v>
      </c>
      <c r="AE397" s="16">
        <f t="shared" si="1677"/>
        <v>2500</v>
      </c>
      <c r="AF397" s="16">
        <f t="shared" si="1678"/>
        <v>10</v>
      </c>
      <c r="AG397" s="16">
        <f t="shared" si="1679"/>
        <v>6.5</v>
      </c>
      <c r="AH397" s="838" t="s">
        <v>85</v>
      </c>
      <c r="AI397" s="17">
        <f t="shared" si="1680"/>
        <v>6.5</v>
      </c>
      <c r="AJ397" s="17">
        <f t="shared" si="1681"/>
        <v>6.5</v>
      </c>
      <c r="AK397" s="891"/>
      <c r="AL397" s="18"/>
      <c r="AM397" s="889"/>
      <c r="AN397" s="891"/>
      <c r="AO397" s="888"/>
      <c r="AP397" s="891"/>
      <c r="AQ397" s="891"/>
      <c r="AR397" s="889"/>
      <c r="AS397" s="888"/>
      <c r="AT397" s="888"/>
      <c r="AU397" s="890"/>
      <c r="AV397" s="888"/>
      <c r="AW397" s="888"/>
      <c r="AX397" s="888"/>
      <c r="AY397" s="887"/>
      <c r="AZ397" s="888"/>
      <c r="BA397" s="17">
        <f t="shared" si="1682"/>
        <v>14.399999999999991</v>
      </c>
      <c r="BB397" s="17">
        <f t="shared" si="1683"/>
        <v>43.199999999999989</v>
      </c>
      <c r="BC397" s="17">
        <f t="shared" si="1684"/>
        <v>29</v>
      </c>
      <c r="BD397" s="17">
        <f t="shared" si="1685"/>
        <v>85</v>
      </c>
      <c r="BE397" s="17">
        <f t="shared" si="1686"/>
        <v>151.37930582859815</v>
      </c>
      <c r="BF397" s="17">
        <f t="shared" si="1687"/>
        <v>21</v>
      </c>
      <c r="BG397" s="17">
        <f t="shared" si="1688"/>
        <v>50</v>
      </c>
      <c r="BH397" s="17">
        <f t="shared" si="1689"/>
        <v>54.093501571630902</v>
      </c>
      <c r="BI397" s="17">
        <f t="shared" si="1690"/>
        <v>97.285804256967253</v>
      </c>
      <c r="BJ397" s="17">
        <f t="shared" si="1691"/>
        <v>45</v>
      </c>
      <c r="BK397" s="17">
        <f t="shared" si="1692"/>
        <v>85</v>
      </c>
      <c r="BL397" s="17">
        <f t="shared" si="1693"/>
        <v>380.54120080897206</v>
      </c>
      <c r="BM397" s="17">
        <f t="shared" si="1694"/>
        <v>21</v>
      </c>
      <c r="BN397" s="17">
        <f t="shared" si="1695"/>
        <v>50</v>
      </c>
      <c r="BO397" s="17">
        <f t="shared" si="1696"/>
        <v>54.093501571630902</v>
      </c>
      <c r="BP397" s="17">
        <f t="shared" si="1697"/>
        <v>326.44769923734117</v>
      </c>
      <c r="BQ397" s="17">
        <f t="shared" si="1698"/>
        <v>4317.3596159999988</v>
      </c>
      <c r="BR397" s="17">
        <f t="shared" si="1699"/>
        <v>1439.1198719999991</v>
      </c>
      <c r="BS397" s="17">
        <f t="shared" si="1700"/>
        <v>317.94508799999977</v>
      </c>
      <c r="BT397" s="17">
        <f t="shared" si="1701"/>
        <v>953.83526399999971</v>
      </c>
      <c r="BU397" s="17">
        <f t="shared" si="1702"/>
        <v>39890.87999999999</v>
      </c>
      <c r="BV397" s="17">
        <f t="shared" si="1703"/>
        <v>6824</v>
      </c>
      <c r="BW397" s="17">
        <f t="shared" si="1704"/>
        <v>292.97069759999994</v>
      </c>
      <c r="BX397" s="17">
        <f t="shared" si="1705"/>
        <v>17495.999999999989</v>
      </c>
      <c r="BY397" s="17">
        <f t="shared" si="1706"/>
        <v>3604.1237751398389</v>
      </c>
      <c r="BZ397" s="17"/>
      <c r="CA397" s="17">
        <f t="shared" si="1707"/>
        <v>133190.66128883522</v>
      </c>
      <c r="CB397" s="17">
        <f t="shared" si="1708"/>
        <v>249732.489916566</v>
      </c>
      <c r="CC397" s="17">
        <f t="shared" si="1709"/>
        <v>17148.04916043983</v>
      </c>
      <c r="CD397" s="17">
        <f t="shared" si="1710"/>
        <v>154332.44244395845</v>
      </c>
      <c r="CE397" s="17">
        <f t="shared" si="1711"/>
        <v>72425.334088739823</v>
      </c>
      <c r="CF397" s="17">
        <f t="shared" si="1712"/>
        <v>554403.64280979952</v>
      </c>
      <c r="CG397" s="17">
        <f t="shared" si="1713"/>
        <v>626828.97689853935</v>
      </c>
      <c r="CH397" s="17">
        <f t="shared" si="1714"/>
        <v>14.400000000000006</v>
      </c>
      <c r="CI397" s="17">
        <f t="shared" si="1715"/>
        <v>-37.800000000000011</v>
      </c>
      <c r="CJ397" s="17">
        <f t="shared" si="1716"/>
        <v>13</v>
      </c>
      <c r="CK397" s="17">
        <f t="shared" si="1717"/>
        <v>90</v>
      </c>
      <c r="CL397" s="17">
        <f t="shared" si="1718"/>
        <v>58.701310544419897</v>
      </c>
      <c r="CM397" s="17">
        <f t="shared" si="1719"/>
        <v>21</v>
      </c>
      <c r="CN397" s="17">
        <f t="shared" si="1720"/>
        <v>50</v>
      </c>
      <c r="CO397" s="17">
        <f t="shared" si="1721"/>
        <v>54.093501571630902</v>
      </c>
      <c r="CP397" s="17">
        <f t="shared" si="1722"/>
        <v>4.6078089727889946</v>
      </c>
      <c r="CQ397" s="17">
        <f t="shared" si="1723"/>
        <v>0</v>
      </c>
      <c r="CR397" s="17">
        <f t="shared" si="1724"/>
        <v>100</v>
      </c>
      <c r="CS397" s="17">
        <f t="shared" si="1725"/>
        <v>26.404773030064671</v>
      </c>
      <c r="CT397" s="17">
        <f t="shared" si="1726"/>
        <v>21</v>
      </c>
      <c r="CU397" s="17">
        <f t="shared" si="1727"/>
        <v>50</v>
      </c>
      <c r="CV397" s="17">
        <f t="shared" si="1728"/>
        <v>54.093501571630902</v>
      </c>
      <c r="CW397" s="17">
        <f t="shared" si="1729"/>
        <v>-27.688728541566231</v>
      </c>
      <c r="CX397" s="17">
        <f t="shared" si="1667"/>
        <v>-3777.6896640000009</v>
      </c>
      <c r="CY397" s="17">
        <f t="shared" si="1667"/>
        <v>-3777.6896640000009</v>
      </c>
      <c r="CZ397" s="17">
        <f t="shared" si="1730"/>
        <v>317.94508800000011</v>
      </c>
      <c r="DA397" s="17">
        <f t="shared" si="1731"/>
        <v>-834.60585600000024</v>
      </c>
      <c r="DB397" s="17">
        <f t="shared" si="1732"/>
        <v>-34904.520000000011</v>
      </c>
      <c r="DC397" s="17">
        <f t="shared" si="1733"/>
        <v>6824</v>
      </c>
      <c r="DD397" s="17">
        <f t="shared" si="1734"/>
        <v>292.97069759999994</v>
      </c>
      <c r="DE397" s="17">
        <f t="shared" si="1735"/>
        <v>17496.000000000007</v>
      </c>
      <c r="DF397" s="17">
        <f t="shared" si="1736"/>
        <v>-3153.6083032473607</v>
      </c>
      <c r="DG397" s="17"/>
      <c r="DH397" s="17">
        <f t="shared" si="1737"/>
        <v>-11297.001244959023</v>
      </c>
      <c r="DI397" s="17">
        <f t="shared" si="1738"/>
        <v>-21181.877334298166</v>
      </c>
      <c r="DJ397" s="17">
        <f t="shared" si="1739"/>
        <v>-1454.4678346029514</v>
      </c>
      <c r="DK397" s="17">
        <f t="shared" si="1740"/>
        <v>2178.4022823474957</v>
      </c>
      <c r="DL397" s="17">
        <f t="shared" si="1741"/>
        <v>-17739.508037647363</v>
      </c>
      <c r="DM397" s="17">
        <f t="shared" si="1742"/>
        <v>-31754.944131512646</v>
      </c>
      <c r="DN397" s="17">
        <f t="shared" si="1743"/>
        <v>-49494.452169160009</v>
      </c>
    </row>
    <row r="398" spans="3:120" ht="18.600000000000001">
      <c r="C398" s="13">
        <f>IF(D398&lt;&gt;"",COUNTA($D$10:D398),"")</f>
        <v>332</v>
      </c>
      <c r="D398" s="14" t="s">
        <v>208</v>
      </c>
      <c r="E398" s="14">
        <v>3</v>
      </c>
      <c r="F398" s="14">
        <v>2.9</v>
      </c>
      <c r="G398" s="14">
        <v>2.4</v>
      </c>
      <c r="H398" s="14">
        <v>2</v>
      </c>
      <c r="I398" s="14">
        <v>1</v>
      </c>
      <c r="J398" s="14">
        <v>1.75</v>
      </c>
      <c r="K398" s="14">
        <v>3</v>
      </c>
      <c r="L398" s="15">
        <v>0.1</v>
      </c>
      <c r="M398" s="15">
        <v>0</v>
      </c>
      <c r="N398" s="14">
        <v>21</v>
      </c>
      <c r="O398" s="14">
        <v>50</v>
      </c>
      <c r="P398" s="13">
        <v>45</v>
      </c>
      <c r="Q398" s="13">
        <v>85</v>
      </c>
      <c r="R398" s="13" t="s">
        <v>12</v>
      </c>
      <c r="S398" s="13">
        <v>120</v>
      </c>
      <c r="T398" s="13">
        <v>0</v>
      </c>
      <c r="U398" s="13">
        <v>100</v>
      </c>
      <c r="V398" s="13" t="str">
        <f t="shared" si="1668"/>
        <v>ISO 8</v>
      </c>
      <c r="W398" s="13">
        <f t="shared" si="1669"/>
        <v>120</v>
      </c>
      <c r="X398" s="16">
        <f t="shared" si="1670"/>
        <v>93.611999999999995</v>
      </c>
      <c r="Y398" s="16">
        <f t="shared" si="1671"/>
        <v>736.91366399999993</v>
      </c>
      <c r="Z398" s="16">
        <f t="shared" si="1672"/>
        <v>1473.8273279999999</v>
      </c>
      <c r="AA398" s="16">
        <f t="shared" si="1673"/>
        <v>147.38273279999999</v>
      </c>
      <c r="AB398" s="16">
        <f t="shared" si="1674"/>
        <v>0</v>
      </c>
      <c r="AC398" s="16">
        <f t="shared" si="1675"/>
        <v>14.029459766595552</v>
      </c>
      <c r="AD398" s="16">
        <f>IF(ISNUMBER(N398), CEILING(CF398/(0.68*BP398),25), "Ambient")</f>
        <v>3000</v>
      </c>
      <c r="AE398" s="16">
        <f t="shared" si="1677"/>
        <v>3000</v>
      </c>
      <c r="AF398" s="16">
        <f t="shared" si="1678"/>
        <v>12</v>
      </c>
      <c r="AG398" s="16">
        <f t="shared" si="1679"/>
        <v>7.5</v>
      </c>
      <c r="AH398" s="838" t="s">
        <v>85</v>
      </c>
      <c r="AI398" s="17">
        <f t="shared" si="1680"/>
        <v>5.5</v>
      </c>
      <c r="AJ398" s="17">
        <f t="shared" si="1681"/>
        <v>7.5</v>
      </c>
      <c r="AK398" s="891"/>
      <c r="AL398" s="18"/>
      <c r="AM398" s="889"/>
      <c r="AN398" s="891"/>
      <c r="AO398" s="888"/>
      <c r="AP398" s="891"/>
      <c r="AQ398" s="891"/>
      <c r="AR398" s="889"/>
      <c r="AS398" s="888"/>
      <c r="AT398" s="888"/>
      <c r="AU398" s="890"/>
      <c r="AV398" s="888"/>
      <c r="AW398" s="888"/>
      <c r="AX398" s="888"/>
      <c r="AY398" s="887"/>
      <c r="AZ398" s="888"/>
      <c r="BA398" s="17">
        <f t="shared" si="1682"/>
        <v>14.399999999999991</v>
      </c>
      <c r="BB398" s="17">
        <f t="shared" si="1683"/>
        <v>43.199999999999989</v>
      </c>
      <c r="BC398" s="17">
        <f t="shared" si="1684"/>
        <v>29</v>
      </c>
      <c r="BD398" s="17">
        <f t="shared" si="1685"/>
        <v>85</v>
      </c>
      <c r="BE398" s="17">
        <f t="shared" si="1686"/>
        <v>151.37930582859815</v>
      </c>
      <c r="BF398" s="17">
        <f t="shared" si="1687"/>
        <v>21</v>
      </c>
      <c r="BG398" s="17">
        <f t="shared" si="1688"/>
        <v>50</v>
      </c>
      <c r="BH398" s="17">
        <f t="shared" si="1689"/>
        <v>54.093501571630902</v>
      </c>
      <c r="BI398" s="17">
        <f t="shared" si="1690"/>
        <v>97.285804256967253</v>
      </c>
      <c r="BJ398" s="17">
        <f t="shared" si="1691"/>
        <v>45</v>
      </c>
      <c r="BK398" s="17">
        <f t="shared" si="1692"/>
        <v>85</v>
      </c>
      <c r="BL398" s="17">
        <f t="shared" si="1693"/>
        <v>380.54120080897206</v>
      </c>
      <c r="BM398" s="17">
        <f t="shared" si="1694"/>
        <v>21</v>
      </c>
      <c r="BN398" s="17">
        <f t="shared" si="1695"/>
        <v>50</v>
      </c>
      <c r="BO398" s="17">
        <f t="shared" si="1696"/>
        <v>54.093501571630902</v>
      </c>
      <c r="BP398" s="17">
        <f t="shared" si="1697"/>
        <v>326.44769923734117</v>
      </c>
      <c r="BQ398" s="17">
        <f t="shared" si="1698"/>
        <v>5923.8190079999986</v>
      </c>
      <c r="BR398" s="17">
        <f t="shared" si="1699"/>
        <v>1974.6063359999991</v>
      </c>
      <c r="BS398" s="17">
        <f t="shared" si="1700"/>
        <v>606.60575999999958</v>
      </c>
      <c r="BT398" s="17">
        <f t="shared" si="1701"/>
        <v>1819.8172799999993</v>
      </c>
      <c r="BU398" s="17">
        <f t="shared" si="1702"/>
        <v>26593.919999999995</v>
      </c>
      <c r="BV398" s="17">
        <f t="shared" si="1703"/>
        <v>3412</v>
      </c>
      <c r="BW398" s="17">
        <f t="shared" si="1704"/>
        <v>558.95725199999993</v>
      </c>
      <c r="BX398" s="17">
        <f t="shared" si="1705"/>
        <v>17495.999999999989</v>
      </c>
      <c r="BY398" s="17">
        <f t="shared" si="1706"/>
        <v>6876.2887815167987</v>
      </c>
      <c r="BZ398" s="17"/>
      <c r="CA398" s="17">
        <f t="shared" si="1707"/>
        <v>88793.774192556797</v>
      </c>
      <c r="CB398" s="17">
        <f t="shared" si="1708"/>
        <v>249732.489916566</v>
      </c>
      <c r="CC398" s="17">
        <f t="shared" si="1709"/>
        <v>32716.672740312835</v>
      </c>
      <c r="CD398" s="17">
        <f t="shared" si="1710"/>
        <v>294450.05466281553</v>
      </c>
      <c r="CE398" s="17">
        <f t="shared" si="1711"/>
        <v>60860.985041516782</v>
      </c>
      <c r="CF398" s="17">
        <f t="shared" si="1712"/>
        <v>665692.99151225109</v>
      </c>
      <c r="CG398" s="17">
        <f t="shared" si="1713"/>
        <v>726553.97655376792</v>
      </c>
      <c r="CH398" s="17">
        <f t="shared" si="1714"/>
        <v>14.400000000000006</v>
      </c>
      <c r="CI398" s="17">
        <f t="shared" si="1715"/>
        <v>-37.800000000000011</v>
      </c>
      <c r="CJ398" s="17">
        <f t="shared" si="1716"/>
        <v>13</v>
      </c>
      <c r="CK398" s="17">
        <f t="shared" si="1717"/>
        <v>90</v>
      </c>
      <c r="CL398" s="17">
        <f t="shared" si="1718"/>
        <v>58.701310544419897</v>
      </c>
      <c r="CM398" s="17">
        <f t="shared" si="1719"/>
        <v>21</v>
      </c>
      <c r="CN398" s="17">
        <f t="shared" si="1720"/>
        <v>50</v>
      </c>
      <c r="CO398" s="17">
        <f t="shared" si="1721"/>
        <v>54.093501571630902</v>
      </c>
      <c r="CP398" s="17">
        <f t="shared" si="1722"/>
        <v>4.6078089727889946</v>
      </c>
      <c r="CQ398" s="17">
        <f t="shared" si="1723"/>
        <v>0</v>
      </c>
      <c r="CR398" s="17">
        <f t="shared" si="1724"/>
        <v>100</v>
      </c>
      <c r="CS398" s="17">
        <f t="shared" si="1725"/>
        <v>26.404773030064671</v>
      </c>
      <c r="CT398" s="17">
        <f t="shared" si="1726"/>
        <v>21</v>
      </c>
      <c r="CU398" s="17">
        <f t="shared" si="1727"/>
        <v>50</v>
      </c>
      <c r="CV398" s="17">
        <f t="shared" si="1728"/>
        <v>54.093501571630902</v>
      </c>
      <c r="CW398" s="17">
        <f t="shared" si="1729"/>
        <v>-27.688728541566231</v>
      </c>
      <c r="CX398" s="17">
        <f t="shared" si="1667"/>
        <v>-5183.3416320000024</v>
      </c>
      <c r="CY398" s="17">
        <f t="shared" si="1667"/>
        <v>-5183.3416320000024</v>
      </c>
      <c r="CZ398" s="17">
        <f t="shared" si="1730"/>
        <v>606.60576000000026</v>
      </c>
      <c r="DA398" s="17">
        <f t="shared" si="1731"/>
        <v>-1592.3401200000003</v>
      </c>
      <c r="DB398" s="17">
        <f t="shared" si="1732"/>
        <v>-23269.680000000008</v>
      </c>
      <c r="DC398" s="17">
        <f t="shared" si="1733"/>
        <v>3412</v>
      </c>
      <c r="DD398" s="17">
        <f t="shared" si="1734"/>
        <v>558.95725199999993</v>
      </c>
      <c r="DE398" s="17">
        <f t="shared" si="1735"/>
        <v>17496.000000000007</v>
      </c>
      <c r="DF398" s="17">
        <f t="shared" si="1736"/>
        <v>-6016.7526838272015</v>
      </c>
      <c r="DG398" s="17"/>
      <c r="DH398" s="17">
        <f t="shared" si="1737"/>
        <v>-7531.3341633060145</v>
      </c>
      <c r="DI398" s="17">
        <f t="shared" si="1738"/>
        <v>-21181.877334298166</v>
      </c>
      <c r="DJ398" s="17">
        <f t="shared" si="1739"/>
        <v>-2774.971526545105</v>
      </c>
      <c r="DK398" s="17">
        <f t="shared" si="1740"/>
        <v>4156.1622492156175</v>
      </c>
      <c r="DL398" s="17">
        <f t="shared" si="1741"/>
        <v>-13988.551423827204</v>
      </c>
      <c r="DM398" s="17">
        <f t="shared" si="1742"/>
        <v>-27332.02077493367</v>
      </c>
      <c r="DN398" s="17">
        <f t="shared" si="1743"/>
        <v>-41320.57219876087</v>
      </c>
    </row>
    <row r="399" spans="3:120" ht="18.600000000000001">
      <c r="C399" s="13">
        <f>IF(D399&lt;&gt;"",COUNTA($D$10:D399),"")</f>
        <v>333</v>
      </c>
      <c r="D399" s="14" t="s">
        <v>209</v>
      </c>
      <c r="E399" s="14">
        <v>2.4</v>
      </c>
      <c r="F399" s="14">
        <v>2</v>
      </c>
      <c r="G399" s="14">
        <v>2.4</v>
      </c>
      <c r="H399" s="14">
        <v>2</v>
      </c>
      <c r="I399" s="14">
        <v>1</v>
      </c>
      <c r="J399" s="14">
        <v>1.75</v>
      </c>
      <c r="K399" s="14">
        <v>3</v>
      </c>
      <c r="L399" s="15">
        <v>0.1</v>
      </c>
      <c r="M399" s="15">
        <v>0</v>
      </c>
      <c r="N399" s="14">
        <v>21</v>
      </c>
      <c r="O399" s="14">
        <v>50</v>
      </c>
      <c r="P399" s="13">
        <v>45</v>
      </c>
      <c r="Q399" s="13">
        <v>85</v>
      </c>
      <c r="R399" s="13" t="s">
        <v>12</v>
      </c>
      <c r="S399" s="13">
        <v>120</v>
      </c>
      <c r="T399" s="13">
        <v>0</v>
      </c>
      <c r="U399" s="13">
        <v>100</v>
      </c>
      <c r="V399" s="13" t="str">
        <f t="shared" si="1668"/>
        <v>ISO 8</v>
      </c>
      <c r="W399" s="13">
        <f t="shared" si="1669"/>
        <v>120</v>
      </c>
      <c r="X399" s="16">
        <f t="shared" si="1670"/>
        <v>51.647999999999996</v>
      </c>
      <c r="Y399" s="16">
        <f t="shared" si="1671"/>
        <v>406.57305599999995</v>
      </c>
      <c r="Z399" s="16">
        <f t="shared" si="1672"/>
        <v>813.1461119999999</v>
      </c>
      <c r="AA399" s="16">
        <f t="shared" si="1673"/>
        <v>81.314611200000002</v>
      </c>
      <c r="AB399" s="16">
        <f t="shared" si="1674"/>
        <v>0</v>
      </c>
      <c r="AC399" s="16">
        <f t="shared" si="1675"/>
        <v>7.7403915953630626</v>
      </c>
      <c r="AD399" s="16">
        <f t="shared" ref="AD399:AD405" si="1744">IF(ISNUMBER(N399), CEILING(CF399/(0.68*BP399),25), "Ambient")</f>
        <v>2350</v>
      </c>
      <c r="AE399" s="16">
        <f t="shared" si="1677"/>
        <v>2350</v>
      </c>
      <c r="AF399" s="16">
        <f t="shared" si="1678"/>
        <v>10</v>
      </c>
      <c r="AG399" s="16">
        <f t="shared" si="1679"/>
        <v>6</v>
      </c>
      <c r="AH399" s="838" t="s">
        <v>85</v>
      </c>
      <c r="AI399" s="17">
        <f t="shared" si="1680"/>
        <v>5</v>
      </c>
      <c r="AJ399" s="17">
        <f t="shared" si="1681"/>
        <v>6</v>
      </c>
      <c r="AK399" s="891"/>
      <c r="AL399" s="174">
        <f>IF(AN390&lt;=315,1600,(IF(AN390=355,1650,(IF(AN390=400,1650,(IF(AN390=450,1700,(IF(AN390=500,1700,(IF(AN390=560,1800,(IF(AN390=630,2000,(IF(AN390=710,2200,2500)))))))))))))))+IF(AR390=2,1800,(IF(AR390=3,2300,(IF(AR390=4,3300,0)))))+IF(AP390&lt;=4,600,(IF(AP390&lt;=6,800,(IF(AP390&lt;=8,1000,1200)))))</f>
        <v>6400</v>
      </c>
      <c r="AM399" s="889"/>
      <c r="AN399" s="891"/>
      <c r="AO399" s="888"/>
      <c r="AP399" s="891"/>
      <c r="AQ399" s="891"/>
      <c r="AR399" s="889"/>
      <c r="AS399" s="888"/>
      <c r="AT399" s="888"/>
      <c r="AU399" s="890"/>
      <c r="AV399" s="888"/>
      <c r="AW399" s="888"/>
      <c r="AX399" s="888"/>
      <c r="AY399" s="887"/>
      <c r="AZ399" s="888"/>
      <c r="BA399" s="17">
        <f t="shared" si="1682"/>
        <v>14.399999999999991</v>
      </c>
      <c r="BB399" s="17">
        <f t="shared" si="1683"/>
        <v>43.199999999999989</v>
      </c>
      <c r="BC399" s="17">
        <f t="shared" si="1684"/>
        <v>29</v>
      </c>
      <c r="BD399" s="17">
        <f t="shared" si="1685"/>
        <v>85</v>
      </c>
      <c r="BE399" s="17">
        <f t="shared" si="1686"/>
        <v>151.37930582859815</v>
      </c>
      <c r="BF399" s="17">
        <f t="shared" si="1687"/>
        <v>21</v>
      </c>
      <c r="BG399" s="17">
        <f t="shared" si="1688"/>
        <v>50</v>
      </c>
      <c r="BH399" s="17">
        <f t="shared" si="1689"/>
        <v>54.093501571630902</v>
      </c>
      <c r="BI399" s="17">
        <f t="shared" si="1690"/>
        <v>97.285804256967253</v>
      </c>
      <c r="BJ399" s="17">
        <f t="shared" si="1691"/>
        <v>45</v>
      </c>
      <c r="BK399" s="17">
        <f t="shared" si="1692"/>
        <v>85</v>
      </c>
      <c r="BL399" s="17">
        <f t="shared" si="1693"/>
        <v>380.54120080897206</v>
      </c>
      <c r="BM399" s="17">
        <f t="shared" si="1694"/>
        <v>21</v>
      </c>
      <c r="BN399" s="17">
        <f t="shared" si="1695"/>
        <v>50</v>
      </c>
      <c r="BO399" s="17">
        <f t="shared" si="1696"/>
        <v>54.093501571630902</v>
      </c>
      <c r="BP399" s="17">
        <f t="shared" si="1697"/>
        <v>326.44769923734117</v>
      </c>
      <c r="BQ399" s="17">
        <f t="shared" si="1698"/>
        <v>4417.7633279999991</v>
      </c>
      <c r="BR399" s="17">
        <f t="shared" si="1699"/>
        <v>1472.5877759999992</v>
      </c>
      <c r="BS399" s="17">
        <f t="shared" si="1700"/>
        <v>334.67903999999976</v>
      </c>
      <c r="BT399" s="17">
        <f t="shared" si="1701"/>
        <v>1004.0371199999996</v>
      </c>
      <c r="BU399" s="17">
        <f t="shared" si="1702"/>
        <v>26593.919999999995</v>
      </c>
      <c r="BV399" s="17">
        <f t="shared" si="1703"/>
        <v>3412</v>
      </c>
      <c r="BW399" s="17">
        <f t="shared" si="1704"/>
        <v>308.39020799999997</v>
      </c>
      <c r="BX399" s="17">
        <f t="shared" si="1705"/>
        <v>17495.999999999989</v>
      </c>
      <c r="BY399" s="17">
        <f t="shared" si="1706"/>
        <v>3793.8145001471989</v>
      </c>
      <c r="BZ399" s="17"/>
      <c r="CA399" s="17">
        <f t="shared" si="1707"/>
        <v>88793.774192556797</v>
      </c>
      <c r="CB399" s="17">
        <f t="shared" si="1708"/>
        <v>249732.489916566</v>
      </c>
      <c r="CC399" s="17">
        <f t="shared" si="1709"/>
        <v>18050.578063620876</v>
      </c>
      <c r="CD399" s="17">
        <f t="shared" si="1710"/>
        <v>162455.20257258788</v>
      </c>
      <c r="CE399" s="17">
        <f t="shared" si="1711"/>
        <v>56021.888036147182</v>
      </c>
      <c r="CF399" s="17">
        <f t="shared" si="1712"/>
        <v>519032.04474533157</v>
      </c>
      <c r="CG399" s="17">
        <f t="shared" si="1713"/>
        <v>575053.93278147874</v>
      </c>
      <c r="CH399" s="17">
        <f t="shared" si="1714"/>
        <v>14.400000000000006</v>
      </c>
      <c r="CI399" s="17">
        <f t="shared" si="1715"/>
        <v>-37.800000000000011</v>
      </c>
      <c r="CJ399" s="17">
        <f t="shared" si="1716"/>
        <v>13</v>
      </c>
      <c r="CK399" s="17">
        <f t="shared" si="1717"/>
        <v>90</v>
      </c>
      <c r="CL399" s="17">
        <f t="shared" si="1718"/>
        <v>58.701310544419897</v>
      </c>
      <c r="CM399" s="17">
        <f t="shared" si="1719"/>
        <v>21</v>
      </c>
      <c r="CN399" s="17">
        <f t="shared" si="1720"/>
        <v>50</v>
      </c>
      <c r="CO399" s="17">
        <f t="shared" si="1721"/>
        <v>54.093501571630902</v>
      </c>
      <c r="CP399" s="17">
        <f t="shared" si="1722"/>
        <v>4.6078089727889946</v>
      </c>
      <c r="CQ399" s="17">
        <f t="shared" si="1723"/>
        <v>0</v>
      </c>
      <c r="CR399" s="17">
        <f t="shared" si="1724"/>
        <v>100</v>
      </c>
      <c r="CS399" s="17">
        <f t="shared" si="1725"/>
        <v>26.404773030064671</v>
      </c>
      <c r="CT399" s="17">
        <f t="shared" si="1726"/>
        <v>21</v>
      </c>
      <c r="CU399" s="17">
        <f t="shared" si="1727"/>
        <v>50</v>
      </c>
      <c r="CV399" s="17">
        <f t="shared" si="1728"/>
        <v>54.093501571630902</v>
      </c>
      <c r="CW399" s="17">
        <f t="shared" si="1729"/>
        <v>-27.688728541566231</v>
      </c>
      <c r="CX399" s="17">
        <f t="shared" si="1667"/>
        <v>-3865.5429120000008</v>
      </c>
      <c r="CY399" s="17">
        <f t="shared" si="1667"/>
        <v>-3865.5429120000008</v>
      </c>
      <c r="CZ399" s="17">
        <f t="shared" si="1730"/>
        <v>334.67904000000016</v>
      </c>
      <c r="DA399" s="17">
        <f t="shared" si="1731"/>
        <v>-878.53248000000019</v>
      </c>
      <c r="DB399" s="17">
        <f t="shared" si="1732"/>
        <v>-23269.680000000008</v>
      </c>
      <c r="DC399" s="17">
        <f t="shared" si="1733"/>
        <v>3412</v>
      </c>
      <c r="DD399" s="17">
        <f t="shared" si="1734"/>
        <v>308.39020799999997</v>
      </c>
      <c r="DE399" s="17">
        <f t="shared" si="1735"/>
        <v>17496.000000000007</v>
      </c>
      <c r="DF399" s="17">
        <f t="shared" si="1736"/>
        <v>-3319.5876876288012</v>
      </c>
      <c r="DG399" s="17"/>
      <c r="DH399" s="17">
        <f t="shared" si="1737"/>
        <v>-7531.3341633060145</v>
      </c>
      <c r="DI399" s="17">
        <f t="shared" si="1738"/>
        <v>-21181.877334298166</v>
      </c>
      <c r="DJ399" s="17">
        <f t="shared" si="1739"/>
        <v>-1531.018773266265</v>
      </c>
      <c r="DK399" s="17">
        <f t="shared" si="1740"/>
        <v>2293.0550340499958</v>
      </c>
      <c r="DL399" s="17">
        <f t="shared" si="1741"/>
        <v>-9782.2738316288014</v>
      </c>
      <c r="DM399" s="17">
        <f t="shared" si="1742"/>
        <v>-27951.175236820447</v>
      </c>
      <c r="DN399" s="17">
        <f t="shared" si="1743"/>
        <v>-37733.449068449248</v>
      </c>
    </row>
    <row r="400" spans="3:120" ht="18.600000000000001">
      <c r="C400" s="13">
        <f>IF(D400&lt;&gt;"",COUNTA($D$10:D400),"")</f>
        <v>334</v>
      </c>
      <c r="D400" s="14" t="s">
        <v>210</v>
      </c>
      <c r="E400" s="14">
        <v>2.1</v>
      </c>
      <c r="F400" s="14">
        <v>1.8</v>
      </c>
      <c r="G400" s="14">
        <v>2.4</v>
      </c>
      <c r="H400" s="14">
        <v>2</v>
      </c>
      <c r="I400" s="14">
        <v>1</v>
      </c>
      <c r="J400" s="14">
        <v>1.75</v>
      </c>
      <c r="K400" s="14">
        <v>3</v>
      </c>
      <c r="L400" s="15">
        <v>0.1</v>
      </c>
      <c r="M400" s="15">
        <v>0</v>
      </c>
      <c r="N400" s="14">
        <v>21</v>
      </c>
      <c r="O400" s="14">
        <v>50</v>
      </c>
      <c r="P400" s="13">
        <v>45</v>
      </c>
      <c r="Q400" s="13">
        <v>85</v>
      </c>
      <c r="R400" s="13" t="s">
        <v>12</v>
      </c>
      <c r="S400" s="13">
        <v>120</v>
      </c>
      <c r="T400" s="13">
        <v>0</v>
      </c>
      <c r="U400" s="13">
        <v>100</v>
      </c>
      <c r="V400" s="13" t="str">
        <f t="shared" si="1668"/>
        <v>ISO 8</v>
      </c>
      <c r="W400" s="13">
        <f t="shared" si="1669"/>
        <v>120</v>
      </c>
      <c r="X400" s="16">
        <f t="shared" si="1670"/>
        <v>40.672800000000002</v>
      </c>
      <c r="Y400" s="16">
        <f t="shared" si="1671"/>
        <v>320.17628159999998</v>
      </c>
      <c r="Z400" s="16">
        <f t="shared" si="1672"/>
        <v>640.35256319999996</v>
      </c>
      <c r="AA400" s="16">
        <f t="shared" si="1673"/>
        <v>64.035256320000002</v>
      </c>
      <c r="AB400" s="16">
        <f t="shared" si="1674"/>
        <v>0</v>
      </c>
      <c r="AC400" s="16">
        <f t="shared" si="1675"/>
        <v>6.095558381348412</v>
      </c>
      <c r="AD400" s="16">
        <f t="shared" si="1744"/>
        <v>2175</v>
      </c>
      <c r="AE400" s="16">
        <f t="shared" si="1677"/>
        <v>2175</v>
      </c>
      <c r="AF400" s="16">
        <f t="shared" si="1678"/>
        <v>10</v>
      </c>
      <c r="AG400" s="16">
        <f t="shared" si="1679"/>
        <v>5.5</v>
      </c>
      <c r="AH400" s="838" t="s">
        <v>85</v>
      </c>
      <c r="AI400" s="17">
        <f t="shared" si="1680"/>
        <v>5</v>
      </c>
      <c r="AJ400" s="17">
        <f t="shared" si="1681"/>
        <v>5.5</v>
      </c>
      <c r="AK400" s="891"/>
      <c r="AL400" s="18"/>
      <c r="AM400" s="889"/>
      <c r="AN400" s="891"/>
      <c r="AO400" s="888"/>
      <c r="AP400" s="891"/>
      <c r="AQ400" s="891"/>
      <c r="AR400" s="889"/>
      <c r="AS400" s="888"/>
      <c r="AT400" s="888"/>
      <c r="AU400" s="890"/>
      <c r="AV400" s="888"/>
      <c r="AW400" s="888"/>
      <c r="AX400" s="888"/>
      <c r="AY400" s="887"/>
      <c r="AZ400" s="888"/>
      <c r="BA400" s="17">
        <f t="shared" si="1682"/>
        <v>14.399999999999991</v>
      </c>
      <c r="BB400" s="17">
        <f t="shared" si="1683"/>
        <v>43.199999999999989</v>
      </c>
      <c r="BC400" s="17">
        <f t="shared" si="1684"/>
        <v>29</v>
      </c>
      <c r="BD400" s="17">
        <f t="shared" si="1685"/>
        <v>85</v>
      </c>
      <c r="BE400" s="17">
        <f t="shared" si="1686"/>
        <v>151.37930582859815</v>
      </c>
      <c r="BF400" s="17">
        <f t="shared" si="1687"/>
        <v>21</v>
      </c>
      <c r="BG400" s="17">
        <f t="shared" si="1688"/>
        <v>50</v>
      </c>
      <c r="BH400" s="17">
        <f t="shared" si="1689"/>
        <v>54.093501571630902</v>
      </c>
      <c r="BI400" s="17">
        <f t="shared" si="1690"/>
        <v>97.285804256967253</v>
      </c>
      <c r="BJ400" s="17">
        <f t="shared" si="1691"/>
        <v>45</v>
      </c>
      <c r="BK400" s="17">
        <f t="shared" si="1692"/>
        <v>85</v>
      </c>
      <c r="BL400" s="17">
        <f t="shared" si="1693"/>
        <v>380.54120080897206</v>
      </c>
      <c r="BM400" s="17">
        <f t="shared" si="1694"/>
        <v>21</v>
      </c>
      <c r="BN400" s="17">
        <f t="shared" si="1695"/>
        <v>50</v>
      </c>
      <c r="BO400" s="17">
        <f t="shared" si="1696"/>
        <v>54.093501571630902</v>
      </c>
      <c r="BP400" s="17">
        <f t="shared" si="1697"/>
        <v>326.44769923734117</v>
      </c>
      <c r="BQ400" s="17">
        <f t="shared" si="1698"/>
        <v>3915.7447679999991</v>
      </c>
      <c r="BR400" s="17">
        <f t="shared" si="1699"/>
        <v>1305.2482559999992</v>
      </c>
      <c r="BS400" s="17">
        <f t="shared" si="1700"/>
        <v>263.55974399999985</v>
      </c>
      <c r="BT400" s="17">
        <f t="shared" si="1701"/>
        <v>790.67923199999984</v>
      </c>
      <c r="BU400" s="17">
        <f t="shared" si="1702"/>
        <v>26593.919999999995</v>
      </c>
      <c r="BV400" s="17">
        <f t="shared" si="1703"/>
        <v>3412</v>
      </c>
      <c r="BW400" s="17">
        <f t="shared" si="1704"/>
        <v>242.85728880000002</v>
      </c>
      <c r="BX400" s="17">
        <f t="shared" si="1705"/>
        <v>17495.999999999989</v>
      </c>
      <c r="BY400" s="17">
        <f t="shared" si="1706"/>
        <v>2987.6289188659193</v>
      </c>
      <c r="BZ400" s="17"/>
      <c r="CA400" s="17">
        <f t="shared" si="1707"/>
        <v>88793.774192556797</v>
      </c>
      <c r="CB400" s="17">
        <f t="shared" si="1708"/>
        <v>249732.489916566</v>
      </c>
      <c r="CC400" s="17">
        <f t="shared" si="1709"/>
        <v>14214.830225101439</v>
      </c>
      <c r="CD400" s="17">
        <f t="shared" si="1710"/>
        <v>127933.47202591294</v>
      </c>
      <c r="CE400" s="17">
        <f t="shared" si="1711"/>
        <v>54648.1509756659</v>
      </c>
      <c r="CF400" s="17">
        <f t="shared" si="1712"/>
        <v>480674.56636013719</v>
      </c>
      <c r="CG400" s="17">
        <f t="shared" si="1713"/>
        <v>535322.71733580309</v>
      </c>
      <c r="CH400" s="17">
        <f t="shared" si="1714"/>
        <v>14.400000000000006</v>
      </c>
      <c r="CI400" s="17">
        <f t="shared" si="1715"/>
        <v>-37.800000000000011</v>
      </c>
      <c r="CJ400" s="17">
        <f t="shared" si="1716"/>
        <v>13</v>
      </c>
      <c r="CK400" s="17">
        <f t="shared" si="1717"/>
        <v>90</v>
      </c>
      <c r="CL400" s="17">
        <f t="shared" si="1718"/>
        <v>58.701310544419897</v>
      </c>
      <c r="CM400" s="17">
        <f t="shared" si="1719"/>
        <v>21</v>
      </c>
      <c r="CN400" s="17">
        <f t="shared" si="1720"/>
        <v>50</v>
      </c>
      <c r="CO400" s="17">
        <f t="shared" si="1721"/>
        <v>54.093501571630902</v>
      </c>
      <c r="CP400" s="17">
        <f t="shared" si="1722"/>
        <v>4.6078089727889946</v>
      </c>
      <c r="CQ400" s="17">
        <f t="shared" si="1723"/>
        <v>0</v>
      </c>
      <c r="CR400" s="17">
        <f t="shared" si="1724"/>
        <v>100</v>
      </c>
      <c r="CS400" s="17">
        <f t="shared" si="1725"/>
        <v>26.404773030064671</v>
      </c>
      <c r="CT400" s="17">
        <f t="shared" si="1726"/>
        <v>21</v>
      </c>
      <c r="CU400" s="17">
        <f t="shared" si="1727"/>
        <v>50</v>
      </c>
      <c r="CV400" s="17">
        <f t="shared" si="1728"/>
        <v>54.093501571630902</v>
      </c>
      <c r="CW400" s="17">
        <f t="shared" si="1729"/>
        <v>-27.688728541566231</v>
      </c>
      <c r="CX400" s="17">
        <f t="shared" si="1667"/>
        <v>-3426.2766720000013</v>
      </c>
      <c r="CY400" s="17">
        <f t="shared" si="1667"/>
        <v>-3426.2766720000013</v>
      </c>
      <c r="CZ400" s="17">
        <f t="shared" si="1730"/>
        <v>263.55974400000014</v>
      </c>
      <c r="DA400" s="17">
        <f t="shared" si="1731"/>
        <v>-691.84432800000036</v>
      </c>
      <c r="DB400" s="17">
        <f t="shared" si="1732"/>
        <v>-23269.680000000008</v>
      </c>
      <c r="DC400" s="17">
        <f t="shared" si="1733"/>
        <v>3412</v>
      </c>
      <c r="DD400" s="17">
        <f t="shared" si="1734"/>
        <v>242.85728880000002</v>
      </c>
      <c r="DE400" s="17">
        <f t="shared" si="1735"/>
        <v>17496.000000000007</v>
      </c>
      <c r="DF400" s="17">
        <f t="shared" si="1736"/>
        <v>-2614.175304007681</v>
      </c>
      <c r="DG400" s="17"/>
      <c r="DH400" s="17">
        <f t="shared" si="1737"/>
        <v>-7531.3341633060145</v>
      </c>
      <c r="DI400" s="17">
        <f t="shared" si="1738"/>
        <v>-21181.877334298166</v>
      </c>
      <c r="DJ400" s="17">
        <f t="shared" si="1739"/>
        <v>-1205.6772839471835</v>
      </c>
      <c r="DK400" s="17">
        <f t="shared" si="1740"/>
        <v>1805.7808393143716</v>
      </c>
      <c r="DL400" s="17">
        <f t="shared" si="1741"/>
        <v>-8587.5592712076796</v>
      </c>
      <c r="DM400" s="17">
        <f t="shared" si="1742"/>
        <v>-28113.107942236995</v>
      </c>
      <c r="DN400" s="17">
        <f t="shared" si="1743"/>
        <v>-36700.667213444671</v>
      </c>
    </row>
    <row r="401" spans="3:118" ht="18.600000000000001">
      <c r="C401" s="13">
        <f>IF(D401&lt;&gt;"",COUNTA($D$10:D401),"")</f>
        <v>335</v>
      </c>
      <c r="D401" s="14" t="s">
        <v>211</v>
      </c>
      <c r="E401" s="14">
        <v>1.8</v>
      </c>
      <c r="F401" s="14">
        <v>1.9</v>
      </c>
      <c r="G401" s="14">
        <v>2.4</v>
      </c>
      <c r="H401" s="14">
        <v>2</v>
      </c>
      <c r="I401" s="14">
        <v>1</v>
      </c>
      <c r="J401" s="14">
        <v>1.75</v>
      </c>
      <c r="K401" s="14">
        <v>3</v>
      </c>
      <c r="L401" s="15">
        <v>0.1</v>
      </c>
      <c r="M401" s="15">
        <v>0</v>
      </c>
      <c r="N401" s="14">
        <v>21</v>
      </c>
      <c r="O401" s="14">
        <v>50</v>
      </c>
      <c r="P401" s="13">
        <v>45</v>
      </c>
      <c r="Q401" s="13">
        <v>85</v>
      </c>
      <c r="R401" s="13" t="s">
        <v>12</v>
      </c>
      <c r="S401" s="13">
        <v>120</v>
      </c>
      <c r="T401" s="13">
        <v>0</v>
      </c>
      <c r="U401" s="13">
        <v>100</v>
      </c>
      <c r="V401" s="13" t="str">
        <f t="shared" si="1668"/>
        <v>ISO 8</v>
      </c>
      <c r="W401" s="13">
        <f t="shared" si="1669"/>
        <v>120</v>
      </c>
      <c r="X401" s="16">
        <f t="shared" si="1670"/>
        <v>36.799199999999999</v>
      </c>
      <c r="Y401" s="16">
        <f t="shared" si="1671"/>
        <v>289.68330239999995</v>
      </c>
      <c r="Z401" s="16">
        <f t="shared" si="1672"/>
        <v>579.36660479999989</v>
      </c>
      <c r="AA401" s="16">
        <f t="shared" si="1673"/>
        <v>57.936660479999993</v>
      </c>
      <c r="AB401" s="16">
        <f t="shared" si="1674"/>
        <v>0</v>
      </c>
      <c r="AC401" s="16">
        <f t="shared" si="1675"/>
        <v>5.5150290116961811</v>
      </c>
      <c r="AD401" s="16">
        <f t="shared" si="1744"/>
        <v>2125</v>
      </c>
      <c r="AE401" s="16">
        <f t="shared" si="1677"/>
        <v>2125</v>
      </c>
      <c r="AF401" s="16">
        <f t="shared" si="1678"/>
        <v>10</v>
      </c>
      <c r="AG401" s="16">
        <f t="shared" si="1679"/>
        <v>5.5</v>
      </c>
      <c r="AH401" s="838" t="s">
        <v>85</v>
      </c>
      <c r="AI401" s="17">
        <f t="shared" si="1680"/>
        <v>5</v>
      </c>
      <c r="AJ401" s="17">
        <f t="shared" si="1681"/>
        <v>5.5</v>
      </c>
      <c r="AK401" s="891"/>
      <c r="AL401" s="18"/>
      <c r="AM401" s="889"/>
      <c r="AN401" s="891"/>
      <c r="AO401" s="888"/>
      <c r="AP401" s="891"/>
      <c r="AQ401" s="891"/>
      <c r="AR401" s="889"/>
      <c r="AS401" s="888"/>
      <c r="AT401" s="888"/>
      <c r="AU401" s="890"/>
      <c r="AV401" s="888"/>
      <c r="AW401" s="888"/>
      <c r="AX401" s="888"/>
      <c r="AY401" s="887"/>
      <c r="AZ401" s="888"/>
      <c r="BA401" s="17">
        <f t="shared" si="1682"/>
        <v>14.399999999999991</v>
      </c>
      <c r="BB401" s="17">
        <f t="shared" si="1683"/>
        <v>43.199999999999989</v>
      </c>
      <c r="BC401" s="17">
        <f t="shared" si="1684"/>
        <v>29</v>
      </c>
      <c r="BD401" s="17">
        <f t="shared" si="1685"/>
        <v>85</v>
      </c>
      <c r="BE401" s="17">
        <f t="shared" si="1686"/>
        <v>151.37930582859815</v>
      </c>
      <c r="BF401" s="17">
        <f t="shared" si="1687"/>
        <v>21</v>
      </c>
      <c r="BG401" s="17">
        <f t="shared" si="1688"/>
        <v>50</v>
      </c>
      <c r="BH401" s="17">
        <f t="shared" si="1689"/>
        <v>54.093501571630902</v>
      </c>
      <c r="BI401" s="17">
        <f t="shared" si="1690"/>
        <v>97.285804256967253</v>
      </c>
      <c r="BJ401" s="17">
        <f t="shared" si="1691"/>
        <v>45</v>
      </c>
      <c r="BK401" s="17">
        <f t="shared" si="1692"/>
        <v>85</v>
      </c>
      <c r="BL401" s="17">
        <f t="shared" si="1693"/>
        <v>380.54120080897206</v>
      </c>
      <c r="BM401" s="17">
        <f t="shared" si="1694"/>
        <v>21</v>
      </c>
      <c r="BN401" s="17">
        <f t="shared" si="1695"/>
        <v>50</v>
      </c>
      <c r="BO401" s="17">
        <f t="shared" si="1696"/>
        <v>54.093501571630902</v>
      </c>
      <c r="BP401" s="17">
        <f t="shared" si="1697"/>
        <v>326.44769923734117</v>
      </c>
      <c r="BQ401" s="17">
        <f t="shared" si="1698"/>
        <v>3714.9373439999995</v>
      </c>
      <c r="BR401" s="17">
        <f t="shared" si="1699"/>
        <v>1238.3124479999992</v>
      </c>
      <c r="BS401" s="17">
        <f t="shared" si="1700"/>
        <v>238.45881599999987</v>
      </c>
      <c r="BT401" s="17">
        <f t="shared" si="1701"/>
        <v>715.37644799999975</v>
      </c>
      <c r="BU401" s="17">
        <f t="shared" si="1702"/>
        <v>26593.919999999995</v>
      </c>
      <c r="BV401" s="17">
        <f t="shared" si="1703"/>
        <v>3412</v>
      </c>
      <c r="BW401" s="17">
        <f t="shared" si="1704"/>
        <v>219.7280232</v>
      </c>
      <c r="BX401" s="17">
        <f t="shared" si="1705"/>
        <v>17495.999999999989</v>
      </c>
      <c r="BY401" s="17">
        <f t="shared" si="1706"/>
        <v>2703.0928313548793</v>
      </c>
      <c r="BZ401" s="17"/>
      <c r="CA401" s="17">
        <f t="shared" si="1707"/>
        <v>88793.774192556797</v>
      </c>
      <c r="CB401" s="17">
        <f t="shared" si="1708"/>
        <v>249732.489916566</v>
      </c>
      <c r="CC401" s="17">
        <f t="shared" si="1709"/>
        <v>12861.036870329872</v>
      </c>
      <c r="CD401" s="17">
        <f t="shared" si="1710"/>
        <v>115749.33183296885</v>
      </c>
      <c r="CE401" s="17">
        <f t="shared" si="1711"/>
        <v>54139.678198554859</v>
      </c>
      <c r="CF401" s="17">
        <f t="shared" si="1712"/>
        <v>467136.63281242154</v>
      </c>
      <c r="CG401" s="17">
        <f t="shared" si="1713"/>
        <v>521276.31101097638</v>
      </c>
      <c r="CH401" s="17">
        <f t="shared" si="1714"/>
        <v>14.400000000000006</v>
      </c>
      <c r="CI401" s="17">
        <f t="shared" si="1715"/>
        <v>-37.800000000000011</v>
      </c>
      <c r="CJ401" s="17">
        <f t="shared" si="1716"/>
        <v>13</v>
      </c>
      <c r="CK401" s="17">
        <f t="shared" si="1717"/>
        <v>90</v>
      </c>
      <c r="CL401" s="17">
        <f t="shared" si="1718"/>
        <v>58.701310544419897</v>
      </c>
      <c r="CM401" s="17">
        <f t="shared" si="1719"/>
        <v>21</v>
      </c>
      <c r="CN401" s="17">
        <f t="shared" si="1720"/>
        <v>50</v>
      </c>
      <c r="CO401" s="17">
        <f t="shared" si="1721"/>
        <v>54.093501571630902</v>
      </c>
      <c r="CP401" s="17">
        <f t="shared" si="1722"/>
        <v>4.6078089727889946</v>
      </c>
      <c r="CQ401" s="17">
        <f t="shared" si="1723"/>
        <v>0</v>
      </c>
      <c r="CR401" s="17">
        <f t="shared" si="1724"/>
        <v>100</v>
      </c>
      <c r="CS401" s="17">
        <f t="shared" si="1725"/>
        <v>26.404773030064671</v>
      </c>
      <c r="CT401" s="17">
        <f t="shared" si="1726"/>
        <v>21</v>
      </c>
      <c r="CU401" s="17">
        <f t="shared" si="1727"/>
        <v>50</v>
      </c>
      <c r="CV401" s="17">
        <f t="shared" si="1728"/>
        <v>54.093501571630902</v>
      </c>
      <c r="CW401" s="17">
        <f t="shared" si="1729"/>
        <v>-27.688728541566231</v>
      </c>
      <c r="CX401" s="17">
        <f t="shared" si="1667"/>
        <v>-3250.5701760000011</v>
      </c>
      <c r="CY401" s="17">
        <f t="shared" si="1667"/>
        <v>-3250.5701760000011</v>
      </c>
      <c r="CZ401" s="17">
        <f t="shared" si="1730"/>
        <v>238.45881600000007</v>
      </c>
      <c r="DA401" s="17">
        <f t="shared" si="1731"/>
        <v>-625.95439200000021</v>
      </c>
      <c r="DB401" s="17">
        <f t="shared" si="1732"/>
        <v>-23269.680000000008</v>
      </c>
      <c r="DC401" s="17">
        <f t="shared" si="1733"/>
        <v>3412</v>
      </c>
      <c r="DD401" s="17">
        <f t="shared" si="1734"/>
        <v>219.7280232</v>
      </c>
      <c r="DE401" s="17">
        <f t="shared" si="1735"/>
        <v>17496.000000000007</v>
      </c>
      <c r="DF401" s="17">
        <f t="shared" si="1736"/>
        <v>-2365.2062274355208</v>
      </c>
      <c r="DG401" s="17"/>
      <c r="DH401" s="17">
        <f t="shared" si="1737"/>
        <v>-7531.3341633060145</v>
      </c>
      <c r="DI401" s="17">
        <f t="shared" si="1738"/>
        <v>-21181.877334298166</v>
      </c>
      <c r="DJ401" s="17">
        <f t="shared" si="1739"/>
        <v>-1090.8508759522135</v>
      </c>
      <c r="DK401" s="17">
        <f t="shared" si="1740"/>
        <v>1633.8017117606219</v>
      </c>
      <c r="DL401" s="17">
        <f t="shared" si="1741"/>
        <v>-8145.2239562355226</v>
      </c>
      <c r="DM401" s="17">
        <f t="shared" si="1742"/>
        <v>-28170.260661795772</v>
      </c>
      <c r="DN401" s="17">
        <f t="shared" si="1743"/>
        <v>-36315.484618031296</v>
      </c>
    </row>
    <row r="402" spans="3:118" ht="18.600000000000001">
      <c r="C402" s="13">
        <f>IF(D402&lt;&gt;"",COUNTA($D$10:D402),"")</f>
        <v>336</v>
      </c>
      <c r="D402" s="14" t="s">
        <v>212</v>
      </c>
      <c r="E402" s="14">
        <v>1.9</v>
      </c>
      <c r="F402" s="14">
        <v>2</v>
      </c>
      <c r="G402" s="14">
        <v>2.4</v>
      </c>
      <c r="H402" s="14">
        <v>2</v>
      </c>
      <c r="I402" s="14">
        <v>1</v>
      </c>
      <c r="J402" s="14">
        <v>1.75</v>
      </c>
      <c r="K402" s="14">
        <v>3</v>
      </c>
      <c r="L402" s="15">
        <v>0.1</v>
      </c>
      <c r="M402" s="15">
        <v>0</v>
      </c>
      <c r="N402" s="14">
        <v>21</v>
      </c>
      <c r="O402" s="14">
        <v>50</v>
      </c>
      <c r="P402" s="13">
        <v>45</v>
      </c>
      <c r="Q402" s="13">
        <v>85</v>
      </c>
      <c r="R402" s="13" t="s">
        <v>12</v>
      </c>
      <c r="S402" s="13">
        <v>120</v>
      </c>
      <c r="T402" s="13">
        <v>0</v>
      </c>
      <c r="U402" s="13">
        <v>100</v>
      </c>
      <c r="V402" s="13" t="str">
        <f t="shared" si="1668"/>
        <v>ISO 8</v>
      </c>
      <c r="W402" s="13">
        <f t="shared" si="1669"/>
        <v>120</v>
      </c>
      <c r="X402" s="16">
        <f t="shared" si="1670"/>
        <v>40.887999999999998</v>
      </c>
      <c r="Y402" s="16">
        <f t="shared" si="1671"/>
        <v>321.87033599999995</v>
      </c>
      <c r="Z402" s="16">
        <f t="shared" si="1672"/>
        <v>643.7406719999999</v>
      </c>
      <c r="AA402" s="16">
        <f t="shared" si="1673"/>
        <v>64.374067199999999</v>
      </c>
      <c r="AB402" s="16">
        <f t="shared" si="1674"/>
        <v>0</v>
      </c>
      <c r="AC402" s="16">
        <f t="shared" si="1675"/>
        <v>6.1278100129957593</v>
      </c>
      <c r="AD402" s="16">
        <f t="shared" si="1744"/>
        <v>2175</v>
      </c>
      <c r="AE402" s="16">
        <f t="shared" si="1677"/>
        <v>2175</v>
      </c>
      <c r="AF402" s="16">
        <f t="shared" si="1678"/>
        <v>10</v>
      </c>
      <c r="AG402" s="16">
        <f t="shared" si="1679"/>
        <v>5.5</v>
      </c>
      <c r="AH402" s="838" t="s">
        <v>85</v>
      </c>
      <c r="AI402" s="17">
        <f t="shared" si="1680"/>
        <v>5</v>
      </c>
      <c r="AJ402" s="17">
        <f t="shared" si="1681"/>
        <v>5.5</v>
      </c>
      <c r="AK402" s="891"/>
      <c r="AL402" s="18"/>
      <c r="AM402" s="889"/>
      <c r="AN402" s="891"/>
      <c r="AO402" s="888"/>
      <c r="AP402" s="891"/>
      <c r="AQ402" s="891"/>
      <c r="AR402" s="889"/>
      <c r="AS402" s="888"/>
      <c r="AT402" s="888"/>
      <c r="AU402" s="890"/>
      <c r="AV402" s="888"/>
      <c r="AW402" s="888"/>
      <c r="AX402" s="888"/>
      <c r="AY402" s="887"/>
      <c r="AZ402" s="888"/>
      <c r="BA402" s="17">
        <f t="shared" si="1682"/>
        <v>14.399999999999991</v>
      </c>
      <c r="BB402" s="17">
        <f t="shared" si="1683"/>
        <v>43.199999999999989</v>
      </c>
      <c r="BC402" s="17">
        <f t="shared" si="1684"/>
        <v>29</v>
      </c>
      <c r="BD402" s="17">
        <f t="shared" si="1685"/>
        <v>85</v>
      </c>
      <c r="BE402" s="17">
        <f t="shared" si="1686"/>
        <v>151.37930582859815</v>
      </c>
      <c r="BF402" s="17">
        <f t="shared" si="1687"/>
        <v>21</v>
      </c>
      <c r="BG402" s="17">
        <f t="shared" si="1688"/>
        <v>50</v>
      </c>
      <c r="BH402" s="17">
        <f t="shared" si="1689"/>
        <v>54.093501571630902</v>
      </c>
      <c r="BI402" s="17">
        <f t="shared" si="1690"/>
        <v>97.285804256967253</v>
      </c>
      <c r="BJ402" s="17">
        <f t="shared" si="1691"/>
        <v>45</v>
      </c>
      <c r="BK402" s="17">
        <f t="shared" si="1692"/>
        <v>85</v>
      </c>
      <c r="BL402" s="17">
        <f t="shared" si="1693"/>
        <v>380.54120080897206</v>
      </c>
      <c r="BM402" s="17">
        <f t="shared" si="1694"/>
        <v>21</v>
      </c>
      <c r="BN402" s="17">
        <f t="shared" si="1695"/>
        <v>50</v>
      </c>
      <c r="BO402" s="17">
        <f t="shared" si="1696"/>
        <v>54.093501571630902</v>
      </c>
      <c r="BP402" s="17">
        <f t="shared" si="1697"/>
        <v>326.44769923734117</v>
      </c>
      <c r="BQ402" s="17">
        <f t="shared" si="1698"/>
        <v>3915.7447679999982</v>
      </c>
      <c r="BR402" s="17">
        <f t="shared" si="1699"/>
        <v>1305.2482559999989</v>
      </c>
      <c r="BS402" s="17">
        <f t="shared" si="1700"/>
        <v>264.95423999999986</v>
      </c>
      <c r="BT402" s="17">
        <f t="shared" si="1701"/>
        <v>794.86271999999974</v>
      </c>
      <c r="BU402" s="17">
        <f t="shared" si="1702"/>
        <v>26593.919999999995</v>
      </c>
      <c r="BV402" s="17">
        <f t="shared" si="1703"/>
        <v>3412</v>
      </c>
      <c r="BW402" s="17">
        <f t="shared" si="1704"/>
        <v>244.142248</v>
      </c>
      <c r="BX402" s="17">
        <f t="shared" si="1705"/>
        <v>17495.999999999989</v>
      </c>
      <c r="BY402" s="17">
        <f t="shared" si="1706"/>
        <v>3003.4364792831993</v>
      </c>
      <c r="BZ402" s="17"/>
      <c r="CA402" s="17">
        <f t="shared" si="1707"/>
        <v>88793.774192556797</v>
      </c>
      <c r="CB402" s="17">
        <f t="shared" si="1708"/>
        <v>249732.489916566</v>
      </c>
      <c r="CC402" s="17">
        <f t="shared" si="1709"/>
        <v>14290.040967033194</v>
      </c>
      <c r="CD402" s="17">
        <f t="shared" si="1710"/>
        <v>128610.36870329871</v>
      </c>
      <c r="CE402" s="17">
        <f t="shared" si="1711"/>
        <v>54665.243495283175</v>
      </c>
      <c r="CF402" s="17">
        <f t="shared" si="1712"/>
        <v>481426.67377945466</v>
      </c>
      <c r="CG402" s="17">
        <f t="shared" si="1713"/>
        <v>536091.91727473785</v>
      </c>
      <c r="CH402" s="17">
        <f t="shared" si="1714"/>
        <v>14.400000000000006</v>
      </c>
      <c r="CI402" s="17">
        <f t="shared" si="1715"/>
        <v>-37.800000000000011</v>
      </c>
      <c r="CJ402" s="17">
        <f t="shared" si="1716"/>
        <v>13</v>
      </c>
      <c r="CK402" s="17">
        <f t="shared" si="1717"/>
        <v>90</v>
      </c>
      <c r="CL402" s="17">
        <f t="shared" si="1718"/>
        <v>58.701310544419897</v>
      </c>
      <c r="CM402" s="17">
        <f t="shared" si="1719"/>
        <v>21</v>
      </c>
      <c r="CN402" s="17">
        <f t="shared" si="1720"/>
        <v>50</v>
      </c>
      <c r="CO402" s="17">
        <f t="shared" si="1721"/>
        <v>54.093501571630902</v>
      </c>
      <c r="CP402" s="17">
        <f t="shared" si="1722"/>
        <v>4.6078089727889946</v>
      </c>
      <c r="CQ402" s="17">
        <f t="shared" si="1723"/>
        <v>0</v>
      </c>
      <c r="CR402" s="17">
        <f t="shared" si="1724"/>
        <v>100</v>
      </c>
      <c r="CS402" s="17">
        <f t="shared" si="1725"/>
        <v>26.404773030064671</v>
      </c>
      <c r="CT402" s="17">
        <f t="shared" si="1726"/>
        <v>21</v>
      </c>
      <c r="CU402" s="17">
        <f t="shared" si="1727"/>
        <v>50</v>
      </c>
      <c r="CV402" s="17">
        <f t="shared" si="1728"/>
        <v>54.093501571630902</v>
      </c>
      <c r="CW402" s="17">
        <f t="shared" si="1729"/>
        <v>-27.688728541566231</v>
      </c>
      <c r="CX402" s="17">
        <f t="shared" si="1667"/>
        <v>-3426.2766720000004</v>
      </c>
      <c r="CY402" s="17">
        <f t="shared" si="1667"/>
        <v>-3426.2766720000004</v>
      </c>
      <c r="CZ402" s="17">
        <f t="shared" si="1730"/>
        <v>264.95424000000008</v>
      </c>
      <c r="DA402" s="17">
        <f t="shared" si="1731"/>
        <v>-695.50488000000018</v>
      </c>
      <c r="DB402" s="17">
        <f t="shared" si="1732"/>
        <v>-23269.680000000008</v>
      </c>
      <c r="DC402" s="17">
        <f t="shared" si="1733"/>
        <v>3412</v>
      </c>
      <c r="DD402" s="17">
        <f t="shared" si="1734"/>
        <v>244.142248</v>
      </c>
      <c r="DE402" s="17">
        <f t="shared" si="1735"/>
        <v>17496.000000000007</v>
      </c>
      <c r="DF402" s="17">
        <f t="shared" si="1736"/>
        <v>-2628.0069193728009</v>
      </c>
      <c r="DG402" s="17"/>
      <c r="DH402" s="17">
        <f t="shared" si="1737"/>
        <v>-7531.3341633060145</v>
      </c>
      <c r="DI402" s="17">
        <f t="shared" si="1738"/>
        <v>-21181.877334298166</v>
      </c>
      <c r="DJ402" s="17">
        <f t="shared" si="1739"/>
        <v>-1212.056528835793</v>
      </c>
      <c r="DK402" s="17">
        <f t="shared" si="1740"/>
        <v>1815.3352352895797</v>
      </c>
      <c r="DL402" s="17">
        <f t="shared" si="1741"/>
        <v>-8602.3719833728028</v>
      </c>
      <c r="DM402" s="17">
        <f t="shared" si="1742"/>
        <v>-28109.932791150397</v>
      </c>
      <c r="DN402" s="17">
        <f t="shared" si="1743"/>
        <v>-36712.304774523203</v>
      </c>
    </row>
    <row r="403" spans="3:118" ht="18.600000000000001">
      <c r="C403" s="13">
        <f>IF(D403&lt;&gt;"",COUNTA($D$10:D403),"")</f>
        <v>337</v>
      </c>
      <c r="D403" s="14" t="s">
        <v>213</v>
      </c>
      <c r="E403" s="14">
        <v>2.2999999999999998</v>
      </c>
      <c r="F403" s="14">
        <v>2.2000000000000002</v>
      </c>
      <c r="G403" s="14">
        <v>2.4</v>
      </c>
      <c r="H403" s="14">
        <v>2</v>
      </c>
      <c r="I403" s="14">
        <v>1</v>
      </c>
      <c r="J403" s="14">
        <v>1.75</v>
      </c>
      <c r="K403" s="14">
        <v>3</v>
      </c>
      <c r="L403" s="15">
        <v>0.1</v>
      </c>
      <c r="M403" s="15">
        <v>0</v>
      </c>
      <c r="N403" s="14">
        <v>21</v>
      </c>
      <c r="O403" s="14">
        <v>50</v>
      </c>
      <c r="P403" s="13">
        <v>45</v>
      </c>
      <c r="Q403" s="13">
        <v>85</v>
      </c>
      <c r="R403" s="13" t="s">
        <v>12</v>
      </c>
      <c r="S403" s="13">
        <v>120</v>
      </c>
      <c r="T403" s="13">
        <v>0</v>
      </c>
      <c r="U403" s="13">
        <v>100</v>
      </c>
      <c r="V403" s="13" t="str">
        <f t="shared" si="1668"/>
        <v>ISO 8</v>
      </c>
      <c r="W403" s="13">
        <f t="shared" si="1669"/>
        <v>120</v>
      </c>
      <c r="X403" s="16">
        <f t="shared" si="1670"/>
        <v>54.445599999999992</v>
      </c>
      <c r="Y403" s="16">
        <f t="shared" si="1671"/>
        <v>428.59576319999991</v>
      </c>
      <c r="Z403" s="16">
        <f t="shared" si="1672"/>
        <v>857.19152639999982</v>
      </c>
      <c r="AA403" s="16">
        <f t="shared" si="1673"/>
        <v>85.71915263999999</v>
      </c>
      <c r="AB403" s="16">
        <f t="shared" si="1674"/>
        <v>0</v>
      </c>
      <c r="AC403" s="16">
        <f t="shared" si="1675"/>
        <v>8.1596628067785613</v>
      </c>
      <c r="AD403" s="16">
        <f t="shared" si="1744"/>
        <v>2400</v>
      </c>
      <c r="AE403" s="16">
        <f t="shared" si="1677"/>
        <v>2400</v>
      </c>
      <c r="AF403" s="16">
        <f t="shared" si="1678"/>
        <v>10</v>
      </c>
      <c r="AG403" s="16">
        <f t="shared" si="1679"/>
        <v>6</v>
      </c>
      <c r="AH403" s="838" t="s">
        <v>85</v>
      </c>
      <c r="AI403" s="17">
        <f t="shared" si="1680"/>
        <v>5</v>
      </c>
      <c r="AJ403" s="17">
        <f t="shared" si="1681"/>
        <v>6</v>
      </c>
      <c r="AK403" s="891"/>
      <c r="AL403" s="18"/>
      <c r="AM403" s="889"/>
      <c r="AN403" s="891"/>
      <c r="AO403" s="888"/>
      <c r="AP403" s="891"/>
      <c r="AQ403" s="891"/>
      <c r="AR403" s="889"/>
      <c r="AS403" s="888"/>
      <c r="AT403" s="888"/>
      <c r="AU403" s="890"/>
      <c r="AV403" s="888"/>
      <c r="AW403" s="888"/>
      <c r="AX403" s="888"/>
      <c r="AY403" s="887"/>
      <c r="AZ403" s="888"/>
      <c r="BA403" s="17">
        <f t="shared" si="1682"/>
        <v>14.399999999999991</v>
      </c>
      <c r="BB403" s="17">
        <f t="shared" si="1683"/>
        <v>43.199999999999989</v>
      </c>
      <c r="BC403" s="17">
        <f t="shared" si="1684"/>
        <v>29</v>
      </c>
      <c r="BD403" s="17">
        <f t="shared" si="1685"/>
        <v>85</v>
      </c>
      <c r="BE403" s="17">
        <f t="shared" si="1686"/>
        <v>151.37930582859815</v>
      </c>
      <c r="BF403" s="17">
        <f t="shared" si="1687"/>
        <v>21</v>
      </c>
      <c r="BG403" s="17">
        <f t="shared" si="1688"/>
        <v>50</v>
      </c>
      <c r="BH403" s="17">
        <f t="shared" si="1689"/>
        <v>54.093501571630902</v>
      </c>
      <c r="BI403" s="17">
        <f t="shared" si="1690"/>
        <v>97.285804256967253</v>
      </c>
      <c r="BJ403" s="17">
        <f t="shared" si="1691"/>
        <v>45</v>
      </c>
      <c r="BK403" s="17">
        <f t="shared" si="1692"/>
        <v>85</v>
      </c>
      <c r="BL403" s="17">
        <f t="shared" si="1693"/>
        <v>380.54120080897206</v>
      </c>
      <c r="BM403" s="17">
        <f t="shared" si="1694"/>
        <v>21</v>
      </c>
      <c r="BN403" s="17">
        <f t="shared" si="1695"/>
        <v>50</v>
      </c>
      <c r="BO403" s="17">
        <f t="shared" si="1696"/>
        <v>54.093501571630902</v>
      </c>
      <c r="BP403" s="17">
        <f t="shared" si="1697"/>
        <v>326.44769923734117</v>
      </c>
      <c r="BQ403" s="17">
        <f t="shared" si="1698"/>
        <v>4518.1670399999994</v>
      </c>
      <c r="BR403" s="17">
        <f t="shared" si="1699"/>
        <v>1506.0556799999993</v>
      </c>
      <c r="BS403" s="17">
        <f t="shared" si="1700"/>
        <v>352.80748799999975</v>
      </c>
      <c r="BT403" s="17">
        <f t="shared" si="1701"/>
        <v>1058.4224639999995</v>
      </c>
      <c r="BU403" s="17">
        <f t="shared" si="1702"/>
        <v>26593.919999999995</v>
      </c>
      <c r="BV403" s="17">
        <f t="shared" si="1703"/>
        <v>3412</v>
      </c>
      <c r="BW403" s="17">
        <f t="shared" si="1704"/>
        <v>325.0946775999999</v>
      </c>
      <c r="BX403" s="17">
        <f t="shared" si="1705"/>
        <v>17495.999999999989</v>
      </c>
      <c r="BY403" s="17">
        <f t="shared" si="1706"/>
        <v>3999.312785571839</v>
      </c>
      <c r="BZ403" s="17"/>
      <c r="CA403" s="17">
        <f t="shared" si="1707"/>
        <v>88793.774192556797</v>
      </c>
      <c r="CB403" s="17">
        <f t="shared" si="1708"/>
        <v>249732.489916566</v>
      </c>
      <c r="CC403" s="17">
        <f t="shared" si="1709"/>
        <v>19028.31770873367</v>
      </c>
      <c r="CD403" s="17">
        <f t="shared" si="1710"/>
        <v>171254.85937860305</v>
      </c>
      <c r="CE403" s="17">
        <f t="shared" si="1711"/>
        <v>56344.494503171831</v>
      </c>
      <c r="CF403" s="17">
        <f t="shared" si="1712"/>
        <v>528809.44119645958</v>
      </c>
      <c r="CG403" s="17">
        <f t="shared" si="1713"/>
        <v>585153.93569963146</v>
      </c>
      <c r="CH403" s="17">
        <f t="shared" si="1714"/>
        <v>14.400000000000006</v>
      </c>
      <c r="CI403" s="17">
        <f t="shared" si="1715"/>
        <v>-37.800000000000011</v>
      </c>
      <c r="CJ403" s="17">
        <f t="shared" si="1716"/>
        <v>13</v>
      </c>
      <c r="CK403" s="17">
        <f t="shared" si="1717"/>
        <v>90</v>
      </c>
      <c r="CL403" s="17">
        <f t="shared" si="1718"/>
        <v>58.701310544419897</v>
      </c>
      <c r="CM403" s="17">
        <f t="shared" si="1719"/>
        <v>21</v>
      </c>
      <c r="CN403" s="17">
        <f t="shared" si="1720"/>
        <v>50</v>
      </c>
      <c r="CO403" s="17">
        <f t="shared" si="1721"/>
        <v>54.093501571630902</v>
      </c>
      <c r="CP403" s="17">
        <f t="shared" si="1722"/>
        <v>4.6078089727889946</v>
      </c>
      <c r="CQ403" s="17">
        <f t="shared" si="1723"/>
        <v>0</v>
      </c>
      <c r="CR403" s="17">
        <f t="shared" si="1724"/>
        <v>100</v>
      </c>
      <c r="CS403" s="17">
        <f t="shared" si="1725"/>
        <v>26.404773030064671</v>
      </c>
      <c r="CT403" s="17">
        <f t="shared" si="1726"/>
        <v>21</v>
      </c>
      <c r="CU403" s="17">
        <f t="shared" si="1727"/>
        <v>50</v>
      </c>
      <c r="CV403" s="17">
        <f t="shared" si="1728"/>
        <v>54.093501571630902</v>
      </c>
      <c r="CW403" s="17">
        <f t="shared" si="1729"/>
        <v>-27.688728541566231</v>
      </c>
      <c r="CX403" s="17">
        <f t="shared" si="1667"/>
        <v>-3953.3961600000011</v>
      </c>
      <c r="CY403" s="17">
        <f t="shared" si="1667"/>
        <v>-3953.3961600000011</v>
      </c>
      <c r="CZ403" s="17">
        <f t="shared" si="1730"/>
        <v>352.80748800000009</v>
      </c>
      <c r="DA403" s="17">
        <f t="shared" si="1731"/>
        <v>-926.11965600000008</v>
      </c>
      <c r="DB403" s="17">
        <f t="shared" si="1732"/>
        <v>-23269.680000000008</v>
      </c>
      <c r="DC403" s="17">
        <f t="shared" si="1733"/>
        <v>3412</v>
      </c>
      <c r="DD403" s="17">
        <f t="shared" si="1734"/>
        <v>325.0946775999999</v>
      </c>
      <c r="DE403" s="17">
        <f t="shared" si="1735"/>
        <v>17496.000000000007</v>
      </c>
      <c r="DF403" s="17">
        <f t="shared" si="1736"/>
        <v>-3499.3986873753611</v>
      </c>
      <c r="DG403" s="17"/>
      <c r="DH403" s="17">
        <f t="shared" si="1737"/>
        <v>-7531.3341633060145</v>
      </c>
      <c r="DI403" s="17">
        <f t="shared" si="1738"/>
        <v>-21181.877334298166</v>
      </c>
      <c r="DJ403" s="17">
        <f t="shared" si="1739"/>
        <v>-1613.9489568181873</v>
      </c>
      <c r="DK403" s="17">
        <f t="shared" si="1740"/>
        <v>2417.262181727704</v>
      </c>
      <c r="DL403" s="17">
        <f t="shared" si="1741"/>
        <v>-10062.692337775363</v>
      </c>
      <c r="DM403" s="17">
        <f t="shared" si="1742"/>
        <v>-27909.898272694667</v>
      </c>
      <c r="DN403" s="17">
        <f t="shared" si="1743"/>
        <v>-37972.590610470026</v>
      </c>
    </row>
    <row r="404" spans="3:118" ht="18.600000000000001">
      <c r="C404" s="13">
        <f>IF(D404&lt;&gt;"",COUNTA($D$10:D404),"")</f>
        <v>338</v>
      </c>
      <c r="D404" s="14" t="s">
        <v>214</v>
      </c>
      <c r="E404" s="14">
        <v>2.2000000000000002</v>
      </c>
      <c r="F404" s="14">
        <v>2.8</v>
      </c>
      <c r="G404" s="14">
        <v>2.4</v>
      </c>
      <c r="H404" s="14">
        <v>2</v>
      </c>
      <c r="I404" s="14">
        <v>1</v>
      </c>
      <c r="J404" s="14">
        <v>1.75</v>
      </c>
      <c r="K404" s="14">
        <v>3</v>
      </c>
      <c r="L404" s="15">
        <v>0.1</v>
      </c>
      <c r="M404" s="15">
        <v>0</v>
      </c>
      <c r="N404" s="14">
        <v>21</v>
      </c>
      <c r="O404" s="14">
        <v>50</v>
      </c>
      <c r="P404" s="13">
        <v>45</v>
      </c>
      <c r="Q404" s="13">
        <v>85</v>
      </c>
      <c r="R404" s="13" t="s">
        <v>12</v>
      </c>
      <c r="S404" s="13">
        <v>120</v>
      </c>
      <c r="T404" s="13">
        <v>0</v>
      </c>
      <c r="U404" s="13">
        <v>100</v>
      </c>
      <c r="V404" s="13" t="str">
        <f t="shared" si="1668"/>
        <v>ISO 8</v>
      </c>
      <c r="W404" s="13">
        <f t="shared" si="1669"/>
        <v>120</v>
      </c>
      <c r="X404" s="16">
        <f t="shared" si="1670"/>
        <v>66.281599999999997</v>
      </c>
      <c r="Y404" s="16">
        <f t="shared" si="1671"/>
        <v>521.76875519999999</v>
      </c>
      <c r="Z404" s="16">
        <f t="shared" si="1672"/>
        <v>1043.5375104</v>
      </c>
      <c r="AA404" s="16">
        <f t="shared" si="1673"/>
        <v>104.35375104000001</v>
      </c>
      <c r="AB404" s="16">
        <f t="shared" si="1674"/>
        <v>0</v>
      </c>
      <c r="AC404" s="16">
        <f t="shared" si="1675"/>
        <v>9.9335025473825969</v>
      </c>
      <c r="AD404" s="16">
        <f t="shared" si="1744"/>
        <v>2575</v>
      </c>
      <c r="AE404" s="16">
        <f t="shared" si="1677"/>
        <v>2575</v>
      </c>
      <c r="AF404" s="16">
        <f t="shared" si="1678"/>
        <v>12</v>
      </c>
      <c r="AG404" s="16">
        <f t="shared" si="1679"/>
        <v>6.5</v>
      </c>
      <c r="AH404" s="838" t="s">
        <v>85</v>
      </c>
      <c r="AI404" s="17">
        <f t="shared" si="1680"/>
        <v>5</v>
      </c>
      <c r="AJ404" s="17">
        <f t="shared" si="1681"/>
        <v>6.5</v>
      </c>
      <c r="AK404" s="891"/>
      <c r="AL404" s="18"/>
      <c r="AM404" s="889"/>
      <c r="AN404" s="891"/>
      <c r="AO404" s="888"/>
      <c r="AP404" s="891"/>
      <c r="AQ404" s="891"/>
      <c r="AR404" s="889"/>
      <c r="AS404" s="888"/>
      <c r="AT404" s="888"/>
      <c r="AU404" s="890"/>
      <c r="AV404" s="888"/>
      <c r="AW404" s="888"/>
      <c r="AX404" s="888"/>
      <c r="AY404" s="887"/>
      <c r="AZ404" s="888"/>
      <c r="BA404" s="17">
        <f t="shared" si="1682"/>
        <v>14.399999999999991</v>
      </c>
      <c r="BB404" s="17">
        <f t="shared" si="1683"/>
        <v>43.199999999999989</v>
      </c>
      <c r="BC404" s="17">
        <f t="shared" si="1684"/>
        <v>29</v>
      </c>
      <c r="BD404" s="17">
        <f t="shared" si="1685"/>
        <v>85</v>
      </c>
      <c r="BE404" s="17">
        <f t="shared" si="1686"/>
        <v>151.37930582859815</v>
      </c>
      <c r="BF404" s="17">
        <f t="shared" si="1687"/>
        <v>21</v>
      </c>
      <c r="BG404" s="17">
        <f t="shared" si="1688"/>
        <v>50</v>
      </c>
      <c r="BH404" s="17">
        <f t="shared" si="1689"/>
        <v>54.093501571630902</v>
      </c>
      <c r="BI404" s="17">
        <f t="shared" si="1690"/>
        <v>97.285804256967253</v>
      </c>
      <c r="BJ404" s="17">
        <f t="shared" si="1691"/>
        <v>45</v>
      </c>
      <c r="BK404" s="17">
        <f t="shared" si="1692"/>
        <v>85</v>
      </c>
      <c r="BL404" s="17">
        <f t="shared" si="1693"/>
        <v>380.54120080897206</v>
      </c>
      <c r="BM404" s="17">
        <f t="shared" si="1694"/>
        <v>21</v>
      </c>
      <c r="BN404" s="17">
        <f t="shared" si="1695"/>
        <v>50</v>
      </c>
      <c r="BO404" s="17">
        <f t="shared" si="1696"/>
        <v>54.093501571630902</v>
      </c>
      <c r="BP404" s="17">
        <f t="shared" si="1697"/>
        <v>326.44769923734117</v>
      </c>
      <c r="BQ404" s="17">
        <f t="shared" si="1698"/>
        <v>5020.1855999999989</v>
      </c>
      <c r="BR404" s="17">
        <f t="shared" si="1699"/>
        <v>1673.3951999999992</v>
      </c>
      <c r="BS404" s="17">
        <f t="shared" si="1700"/>
        <v>429.50476799999973</v>
      </c>
      <c r="BT404" s="17">
        <f t="shared" si="1701"/>
        <v>1288.5143039999996</v>
      </c>
      <c r="BU404" s="17">
        <f t="shared" si="1702"/>
        <v>26593.919999999995</v>
      </c>
      <c r="BV404" s="17">
        <f t="shared" si="1703"/>
        <v>3412</v>
      </c>
      <c r="BW404" s="17">
        <f t="shared" si="1704"/>
        <v>395.76743359999995</v>
      </c>
      <c r="BX404" s="17">
        <f t="shared" si="1705"/>
        <v>17495.999999999989</v>
      </c>
      <c r="BY404" s="17">
        <f t="shared" si="1706"/>
        <v>4868.7286085222395</v>
      </c>
      <c r="BZ404" s="17"/>
      <c r="CA404" s="17">
        <f t="shared" si="1707"/>
        <v>88793.774192556797</v>
      </c>
      <c r="CB404" s="17">
        <f t="shared" si="1708"/>
        <v>249732.489916566</v>
      </c>
      <c r="CC404" s="17">
        <f t="shared" si="1709"/>
        <v>23164.908514980129</v>
      </c>
      <c r="CD404" s="17">
        <f t="shared" si="1710"/>
        <v>208484.17663482111</v>
      </c>
      <c r="CE404" s="17">
        <f t="shared" si="1711"/>
        <v>57786.601642122223</v>
      </c>
      <c r="CF404" s="17">
        <f t="shared" si="1712"/>
        <v>570175.34925892402</v>
      </c>
      <c r="CG404" s="17">
        <f t="shared" si="1713"/>
        <v>627961.95090104628</v>
      </c>
      <c r="CH404" s="17">
        <f t="shared" si="1714"/>
        <v>14.400000000000006</v>
      </c>
      <c r="CI404" s="17">
        <f t="shared" si="1715"/>
        <v>-37.800000000000011</v>
      </c>
      <c r="CJ404" s="17">
        <f t="shared" si="1716"/>
        <v>13</v>
      </c>
      <c r="CK404" s="17">
        <f t="shared" si="1717"/>
        <v>90</v>
      </c>
      <c r="CL404" s="17">
        <f t="shared" si="1718"/>
        <v>58.701310544419897</v>
      </c>
      <c r="CM404" s="17">
        <f t="shared" si="1719"/>
        <v>21</v>
      </c>
      <c r="CN404" s="17">
        <f t="shared" si="1720"/>
        <v>50</v>
      </c>
      <c r="CO404" s="17">
        <f t="shared" si="1721"/>
        <v>54.093501571630902</v>
      </c>
      <c r="CP404" s="17">
        <f t="shared" si="1722"/>
        <v>4.6078089727889946</v>
      </c>
      <c r="CQ404" s="17">
        <f t="shared" si="1723"/>
        <v>0</v>
      </c>
      <c r="CR404" s="17">
        <f t="shared" si="1724"/>
        <v>100</v>
      </c>
      <c r="CS404" s="17">
        <f t="shared" si="1725"/>
        <v>26.404773030064671</v>
      </c>
      <c r="CT404" s="17">
        <f t="shared" si="1726"/>
        <v>21</v>
      </c>
      <c r="CU404" s="17">
        <f t="shared" si="1727"/>
        <v>50</v>
      </c>
      <c r="CV404" s="17">
        <f t="shared" si="1728"/>
        <v>54.093501571630902</v>
      </c>
      <c r="CW404" s="17">
        <f t="shared" si="1729"/>
        <v>-27.688728541566231</v>
      </c>
      <c r="CX404" s="17">
        <f t="shared" si="1667"/>
        <v>-4392.662400000002</v>
      </c>
      <c r="CY404" s="17">
        <f t="shared" si="1667"/>
        <v>-4392.662400000002</v>
      </c>
      <c r="CZ404" s="17">
        <f t="shared" si="1730"/>
        <v>429.50476800000018</v>
      </c>
      <c r="DA404" s="17">
        <f t="shared" si="1731"/>
        <v>-1127.4500160000002</v>
      </c>
      <c r="DB404" s="17">
        <f t="shared" si="1732"/>
        <v>-23269.680000000008</v>
      </c>
      <c r="DC404" s="17">
        <f t="shared" si="1733"/>
        <v>3412</v>
      </c>
      <c r="DD404" s="17">
        <f t="shared" si="1734"/>
        <v>395.76743359999995</v>
      </c>
      <c r="DE404" s="17">
        <f t="shared" si="1735"/>
        <v>17496.000000000007</v>
      </c>
      <c r="DF404" s="17">
        <f t="shared" si="1736"/>
        <v>-4260.1375324569617</v>
      </c>
      <c r="DG404" s="17"/>
      <c r="DH404" s="17">
        <f t="shared" si="1737"/>
        <v>-7531.3341633060145</v>
      </c>
      <c r="DI404" s="17">
        <f t="shared" si="1738"/>
        <v>-21181.877334298166</v>
      </c>
      <c r="DJ404" s="17">
        <f t="shared" si="1739"/>
        <v>-1964.8074256917068</v>
      </c>
      <c r="DK404" s="17">
        <f t="shared" si="1740"/>
        <v>2942.7539603641612</v>
      </c>
      <c r="DL404" s="17">
        <f t="shared" si="1741"/>
        <v>-11316.657746856965</v>
      </c>
      <c r="DM404" s="17">
        <f t="shared" si="1742"/>
        <v>-27735.264962931727</v>
      </c>
      <c r="DN404" s="17">
        <f t="shared" si="1743"/>
        <v>-39051.922709788691</v>
      </c>
    </row>
    <row r="405" spans="3:118" ht="18.600000000000001">
      <c r="C405" s="13">
        <f>IF(D405&lt;&gt;"",COUNTA($D$10:D405),"")</f>
        <v>339</v>
      </c>
      <c r="D405" s="14" t="s">
        <v>215</v>
      </c>
      <c r="E405" s="14">
        <v>2.8</v>
      </c>
      <c r="F405" s="14">
        <v>2.4</v>
      </c>
      <c r="G405" s="14">
        <v>2.4</v>
      </c>
      <c r="H405" s="14">
        <v>2</v>
      </c>
      <c r="I405" s="14">
        <v>1</v>
      </c>
      <c r="J405" s="14">
        <v>1.75</v>
      </c>
      <c r="K405" s="14">
        <v>3</v>
      </c>
      <c r="L405" s="15">
        <v>0.1</v>
      </c>
      <c r="M405" s="15">
        <v>0</v>
      </c>
      <c r="N405" s="14">
        <v>21</v>
      </c>
      <c r="O405" s="14">
        <v>50</v>
      </c>
      <c r="P405" s="13">
        <v>45</v>
      </c>
      <c r="Q405" s="13">
        <v>85</v>
      </c>
      <c r="R405" s="13" t="s">
        <v>12</v>
      </c>
      <c r="S405" s="13">
        <v>120</v>
      </c>
      <c r="T405" s="13">
        <v>0</v>
      </c>
      <c r="U405" s="13">
        <v>100</v>
      </c>
      <c r="V405" s="13" t="str">
        <f t="shared" si="1668"/>
        <v>ISO 8</v>
      </c>
      <c r="W405" s="13">
        <f t="shared" si="1669"/>
        <v>120</v>
      </c>
      <c r="X405" s="16">
        <f t="shared" si="1670"/>
        <v>72.307199999999995</v>
      </c>
      <c r="Y405" s="16">
        <f t="shared" si="1671"/>
        <v>569.20227839999995</v>
      </c>
      <c r="Z405" s="16">
        <f t="shared" si="1672"/>
        <v>1138.4045567999999</v>
      </c>
      <c r="AA405" s="16">
        <f t="shared" si="1673"/>
        <v>113.84045567999999</v>
      </c>
      <c r="AB405" s="16">
        <f t="shared" si="1674"/>
        <v>0</v>
      </c>
      <c r="AC405" s="16">
        <f t="shared" si="1675"/>
        <v>10.836548233508287</v>
      </c>
      <c r="AD405" s="16">
        <f t="shared" si="1744"/>
        <v>2675</v>
      </c>
      <c r="AE405" s="16">
        <f t="shared" si="1677"/>
        <v>2675</v>
      </c>
      <c r="AF405" s="16">
        <f t="shared" si="1678"/>
        <v>12</v>
      </c>
      <c r="AG405" s="16">
        <f t="shared" si="1679"/>
        <v>7</v>
      </c>
      <c r="AH405" s="838" t="s">
        <v>85</v>
      </c>
      <c r="AI405" s="17">
        <f t="shared" si="1680"/>
        <v>5</v>
      </c>
      <c r="AJ405" s="17">
        <f t="shared" si="1681"/>
        <v>7</v>
      </c>
      <c r="AK405" s="891"/>
      <c r="AL405" s="18"/>
      <c r="AM405" s="889"/>
      <c r="AN405" s="891"/>
      <c r="AO405" s="888"/>
      <c r="AP405" s="891"/>
      <c r="AQ405" s="891"/>
      <c r="AR405" s="889"/>
      <c r="AS405" s="888"/>
      <c r="AT405" s="888"/>
      <c r="AU405" s="890"/>
      <c r="AV405" s="888"/>
      <c r="AW405" s="888"/>
      <c r="AX405" s="888"/>
      <c r="AY405" s="887"/>
      <c r="AZ405" s="888"/>
      <c r="BA405" s="17">
        <f t="shared" si="1682"/>
        <v>14.399999999999991</v>
      </c>
      <c r="BB405" s="17">
        <f t="shared" si="1683"/>
        <v>43.199999999999989</v>
      </c>
      <c r="BC405" s="17">
        <f t="shared" si="1684"/>
        <v>29</v>
      </c>
      <c r="BD405" s="17">
        <f t="shared" si="1685"/>
        <v>85</v>
      </c>
      <c r="BE405" s="17">
        <f t="shared" si="1686"/>
        <v>151.37930582859815</v>
      </c>
      <c r="BF405" s="17">
        <f t="shared" si="1687"/>
        <v>21</v>
      </c>
      <c r="BG405" s="17">
        <f t="shared" si="1688"/>
        <v>50</v>
      </c>
      <c r="BH405" s="17">
        <f t="shared" si="1689"/>
        <v>54.093501571630902</v>
      </c>
      <c r="BI405" s="17">
        <f t="shared" si="1690"/>
        <v>97.285804256967253</v>
      </c>
      <c r="BJ405" s="17">
        <f t="shared" si="1691"/>
        <v>45</v>
      </c>
      <c r="BK405" s="17">
        <f t="shared" si="1692"/>
        <v>85</v>
      </c>
      <c r="BL405" s="17">
        <f t="shared" si="1693"/>
        <v>380.54120080897206</v>
      </c>
      <c r="BM405" s="17">
        <f t="shared" si="1694"/>
        <v>21</v>
      </c>
      <c r="BN405" s="17">
        <f t="shared" si="1695"/>
        <v>50</v>
      </c>
      <c r="BO405" s="17">
        <f t="shared" si="1696"/>
        <v>54.093501571630902</v>
      </c>
      <c r="BP405" s="17">
        <f t="shared" si="1697"/>
        <v>326.44769923734117</v>
      </c>
      <c r="BQ405" s="17">
        <f t="shared" si="1698"/>
        <v>5220.9930239999985</v>
      </c>
      <c r="BR405" s="17">
        <f t="shared" si="1699"/>
        <v>1740.331007999999</v>
      </c>
      <c r="BS405" s="17">
        <f t="shared" si="1700"/>
        <v>468.55065599999972</v>
      </c>
      <c r="BT405" s="17">
        <f t="shared" si="1701"/>
        <v>1405.6519679999994</v>
      </c>
      <c r="BU405" s="17">
        <f t="shared" si="1702"/>
        <v>26593.919999999995</v>
      </c>
      <c r="BV405" s="17">
        <f t="shared" si="1703"/>
        <v>3412</v>
      </c>
      <c r="BW405" s="17">
        <f t="shared" si="1704"/>
        <v>431.74629119999997</v>
      </c>
      <c r="BX405" s="17">
        <f t="shared" si="1705"/>
        <v>17495.999999999989</v>
      </c>
      <c r="BY405" s="17">
        <f t="shared" si="1706"/>
        <v>5311.3403002060786</v>
      </c>
      <c r="BZ405" s="17"/>
      <c r="CA405" s="17">
        <f t="shared" si="1707"/>
        <v>88793.774192556797</v>
      </c>
      <c r="CB405" s="17">
        <f t="shared" si="1708"/>
        <v>249732.489916566</v>
      </c>
      <c r="CC405" s="17">
        <f t="shared" si="1709"/>
        <v>25270.809289069224</v>
      </c>
      <c r="CD405" s="17">
        <f t="shared" si="1710"/>
        <v>227437.28360162303</v>
      </c>
      <c r="CE405" s="17">
        <f t="shared" si="1711"/>
        <v>58465.999615406065</v>
      </c>
      <c r="CF405" s="17">
        <f t="shared" si="1712"/>
        <v>591234.35699981498</v>
      </c>
      <c r="CG405" s="17">
        <f t="shared" si="1713"/>
        <v>649700.35661522101</v>
      </c>
      <c r="CH405" s="17">
        <f t="shared" si="1714"/>
        <v>14.400000000000006</v>
      </c>
      <c r="CI405" s="17">
        <f t="shared" si="1715"/>
        <v>-37.800000000000011</v>
      </c>
      <c r="CJ405" s="17">
        <f t="shared" si="1716"/>
        <v>13</v>
      </c>
      <c r="CK405" s="17">
        <f t="shared" si="1717"/>
        <v>90</v>
      </c>
      <c r="CL405" s="17">
        <f t="shared" si="1718"/>
        <v>58.701310544419897</v>
      </c>
      <c r="CM405" s="17">
        <f t="shared" si="1719"/>
        <v>21</v>
      </c>
      <c r="CN405" s="17">
        <f t="shared" si="1720"/>
        <v>50</v>
      </c>
      <c r="CO405" s="17">
        <f t="shared" si="1721"/>
        <v>54.093501571630902</v>
      </c>
      <c r="CP405" s="17">
        <f t="shared" si="1722"/>
        <v>4.6078089727889946</v>
      </c>
      <c r="CQ405" s="17">
        <f t="shared" si="1723"/>
        <v>0</v>
      </c>
      <c r="CR405" s="17">
        <f t="shared" si="1724"/>
        <v>100</v>
      </c>
      <c r="CS405" s="17">
        <f t="shared" si="1725"/>
        <v>26.404773030064671</v>
      </c>
      <c r="CT405" s="17">
        <f t="shared" si="1726"/>
        <v>21</v>
      </c>
      <c r="CU405" s="17">
        <f t="shared" si="1727"/>
        <v>50</v>
      </c>
      <c r="CV405" s="17">
        <f t="shared" si="1728"/>
        <v>54.093501571630902</v>
      </c>
      <c r="CW405" s="17">
        <f t="shared" si="1729"/>
        <v>-27.688728541566231</v>
      </c>
      <c r="CX405" s="17">
        <f t="shared" si="1667"/>
        <v>-4568.3688960000009</v>
      </c>
      <c r="CY405" s="17">
        <f t="shared" si="1667"/>
        <v>-4568.3688960000009</v>
      </c>
      <c r="CZ405" s="17">
        <f t="shared" si="1730"/>
        <v>468.55065600000012</v>
      </c>
      <c r="DA405" s="17">
        <f t="shared" si="1731"/>
        <v>-1229.9454720000003</v>
      </c>
      <c r="DB405" s="17">
        <f t="shared" si="1732"/>
        <v>-23269.680000000008</v>
      </c>
      <c r="DC405" s="17">
        <f t="shared" si="1733"/>
        <v>3412</v>
      </c>
      <c r="DD405" s="17">
        <f t="shared" si="1734"/>
        <v>431.74629119999997</v>
      </c>
      <c r="DE405" s="17">
        <f t="shared" si="1735"/>
        <v>17496.000000000007</v>
      </c>
      <c r="DF405" s="17">
        <f t="shared" si="1736"/>
        <v>-4647.4227626803213</v>
      </c>
      <c r="DG405" s="17"/>
      <c r="DH405" s="17">
        <f t="shared" si="1737"/>
        <v>-7531.3341633060145</v>
      </c>
      <c r="DI405" s="17">
        <f t="shared" si="1738"/>
        <v>-21181.877334298166</v>
      </c>
      <c r="DJ405" s="17">
        <f t="shared" si="1739"/>
        <v>-2143.4262825727706</v>
      </c>
      <c r="DK405" s="17">
        <f t="shared" si="1740"/>
        <v>3210.2770476699943</v>
      </c>
      <c r="DL405" s="17">
        <f t="shared" si="1741"/>
        <v>-11907.120183480321</v>
      </c>
      <c r="DM405" s="17">
        <f t="shared" si="1742"/>
        <v>-27646.360732506957</v>
      </c>
      <c r="DN405" s="17">
        <f t="shared" si="1743"/>
        <v>-39553.480915987282</v>
      </c>
    </row>
    <row r="406" spans="3:118">
      <c r="C406" s="19"/>
      <c r="D406" s="19"/>
      <c r="E406" s="19"/>
      <c r="F406" s="19"/>
      <c r="G406" s="19"/>
      <c r="H406" s="19"/>
      <c r="I406" s="19"/>
      <c r="J406" s="19"/>
      <c r="K406" s="19"/>
      <c r="L406" s="19"/>
      <c r="M406" s="19"/>
      <c r="N406" s="19"/>
      <c r="O406" s="19"/>
      <c r="P406" s="19"/>
      <c r="Q406" s="19"/>
      <c r="R406" s="19"/>
      <c r="S406" s="19"/>
      <c r="T406" s="19"/>
      <c r="U406" s="19"/>
      <c r="V406" s="19"/>
      <c r="W406" s="19"/>
      <c r="X406" s="20">
        <f>SUM(X390:X405)</f>
        <v>1144.1108000000002</v>
      </c>
      <c r="Y406" s="20">
        <f t="shared" ref="Y406:AG406" si="1745">SUM(Y390:Y405)</f>
        <v>9006.4402175999985</v>
      </c>
      <c r="Z406" s="20">
        <f t="shared" si="1745"/>
        <v>18012.880435199997</v>
      </c>
      <c r="AA406" s="20">
        <f t="shared" si="1745"/>
        <v>1801.2880435199995</v>
      </c>
      <c r="AB406" s="20">
        <f t="shared" si="1745"/>
        <v>0</v>
      </c>
      <c r="AC406" s="20">
        <f t="shared" si="1745"/>
        <v>171.46579965311554</v>
      </c>
      <c r="AD406" s="20">
        <f t="shared" si="1745"/>
        <v>42375</v>
      </c>
      <c r="AE406" s="20">
        <f t="shared" si="1745"/>
        <v>42375</v>
      </c>
      <c r="AF406" s="20">
        <f t="shared" si="1745"/>
        <v>182</v>
      </c>
      <c r="AG406" s="20">
        <f t="shared" si="1745"/>
        <v>108.5</v>
      </c>
      <c r="AH406" s="841"/>
      <c r="AI406" s="20">
        <f t="shared" ref="AI406:AJ406" si="1746">SUM(AI390:AI405)</f>
        <v>83.5</v>
      </c>
      <c r="AJ406" s="20">
        <f t="shared" si="1746"/>
        <v>108.5</v>
      </c>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2"/>
      <c r="CI406" s="21"/>
      <c r="CJ406" s="21"/>
      <c r="CK406" s="21"/>
      <c r="CL406" s="21"/>
      <c r="CM406" s="21"/>
      <c r="CN406" s="21"/>
      <c r="CO406" s="21"/>
      <c r="CP406" s="21"/>
      <c r="CQ406" s="21"/>
      <c r="CR406" s="21"/>
      <c r="CS406" s="21"/>
      <c r="CT406" s="21"/>
      <c r="CU406" s="21"/>
      <c r="CV406" s="21"/>
      <c r="CW406" s="21"/>
      <c r="CX406" s="21"/>
      <c r="CY406" s="21"/>
      <c r="CZ406" s="21"/>
      <c r="DA406" s="21"/>
      <c r="DB406" s="21"/>
      <c r="DC406" s="21"/>
      <c r="DD406" s="21"/>
      <c r="DE406" s="21"/>
      <c r="DF406" s="21"/>
      <c r="DG406" s="21"/>
      <c r="DH406" s="21"/>
      <c r="DI406" s="21"/>
      <c r="DJ406" s="21"/>
      <c r="DK406" s="21"/>
      <c r="DL406" s="21"/>
      <c r="DM406" s="21"/>
      <c r="DN406" s="21"/>
    </row>
  </sheetData>
  <sheetProtection selectLockedCells="1"/>
  <mergeCells count="300">
    <mergeCell ref="AU390:AU405"/>
    <mergeCell ref="AV390:AV405"/>
    <mergeCell ref="AW390:AW405"/>
    <mergeCell ref="AX390:AX405"/>
    <mergeCell ref="AY390:AY405"/>
    <mergeCell ref="AZ390:AZ405"/>
    <mergeCell ref="AK390:AK405"/>
    <mergeCell ref="AM390:AM405"/>
    <mergeCell ref="AN390:AN405"/>
    <mergeCell ref="AO390:AO405"/>
    <mergeCell ref="AP390:AP405"/>
    <mergeCell ref="AQ390:AQ405"/>
    <mergeCell ref="AR390:AR405"/>
    <mergeCell ref="AS390:AS405"/>
    <mergeCell ref="AT390:AT405"/>
    <mergeCell ref="AX350:AX365"/>
    <mergeCell ref="AY350:AY365"/>
    <mergeCell ref="AZ350:AZ365"/>
    <mergeCell ref="AK370:AK385"/>
    <mergeCell ref="AM370:AM385"/>
    <mergeCell ref="AN370:AN385"/>
    <mergeCell ref="AO370:AO385"/>
    <mergeCell ref="AP370:AP385"/>
    <mergeCell ref="AQ370:AQ385"/>
    <mergeCell ref="AR370:AR385"/>
    <mergeCell ref="AS370:AS385"/>
    <mergeCell ref="AT370:AT385"/>
    <mergeCell ref="AU370:AU385"/>
    <mergeCell ref="AV370:AV385"/>
    <mergeCell ref="AW370:AW385"/>
    <mergeCell ref="AX370:AX385"/>
    <mergeCell ref="AY370:AY385"/>
    <mergeCell ref="AZ370:AZ385"/>
    <mergeCell ref="AK350:AK365"/>
    <mergeCell ref="AM350:AM365"/>
    <mergeCell ref="AN350:AN365"/>
    <mergeCell ref="AO350:AO365"/>
    <mergeCell ref="AP350:AP365"/>
    <mergeCell ref="AQ350:AQ365"/>
    <mergeCell ref="AR350:AR365"/>
    <mergeCell ref="AS350:AS365"/>
    <mergeCell ref="AT350:AT365"/>
    <mergeCell ref="AU310:AU325"/>
    <mergeCell ref="AV310:AV325"/>
    <mergeCell ref="AW310:AW325"/>
    <mergeCell ref="AR310:AR325"/>
    <mergeCell ref="AS310:AS325"/>
    <mergeCell ref="AT310:AT325"/>
    <mergeCell ref="AU350:AU365"/>
    <mergeCell ref="AV350:AV365"/>
    <mergeCell ref="AW350:AW365"/>
    <mergeCell ref="AX310:AX325"/>
    <mergeCell ref="AY310:AY325"/>
    <mergeCell ref="AZ310:AZ325"/>
    <mergeCell ref="AK330:AK345"/>
    <mergeCell ref="AM330:AM345"/>
    <mergeCell ref="AN330:AN345"/>
    <mergeCell ref="AO330:AO345"/>
    <mergeCell ref="AP330:AP345"/>
    <mergeCell ref="AQ330:AQ345"/>
    <mergeCell ref="AR330:AR345"/>
    <mergeCell ref="AS330:AS345"/>
    <mergeCell ref="AT330:AT345"/>
    <mergeCell ref="AU330:AU345"/>
    <mergeCell ref="AV330:AV345"/>
    <mergeCell ref="AW330:AW345"/>
    <mergeCell ref="AX330:AX345"/>
    <mergeCell ref="AY330:AY345"/>
    <mergeCell ref="AZ330:AZ345"/>
    <mergeCell ref="AK310:AK325"/>
    <mergeCell ref="AM310:AM325"/>
    <mergeCell ref="AN310:AN325"/>
    <mergeCell ref="AO310:AO325"/>
    <mergeCell ref="AP310:AP325"/>
    <mergeCell ref="AQ310:AQ325"/>
    <mergeCell ref="AX270:AX285"/>
    <mergeCell ref="AY270:AY285"/>
    <mergeCell ref="AZ270:AZ285"/>
    <mergeCell ref="AK290:AK305"/>
    <mergeCell ref="AM290:AM305"/>
    <mergeCell ref="AN290:AN305"/>
    <mergeCell ref="AO290:AO305"/>
    <mergeCell ref="AP290:AP305"/>
    <mergeCell ref="AQ290:AQ305"/>
    <mergeCell ref="AR290:AR305"/>
    <mergeCell ref="AS290:AS305"/>
    <mergeCell ref="AT290:AT305"/>
    <mergeCell ref="AU290:AU305"/>
    <mergeCell ref="AV290:AV305"/>
    <mergeCell ref="AW290:AW305"/>
    <mergeCell ref="AX290:AX305"/>
    <mergeCell ref="AY290:AY305"/>
    <mergeCell ref="AZ290:AZ305"/>
    <mergeCell ref="AK270:AK285"/>
    <mergeCell ref="AM270:AM285"/>
    <mergeCell ref="AN270:AN285"/>
    <mergeCell ref="AO270:AO285"/>
    <mergeCell ref="AP270:AP285"/>
    <mergeCell ref="AQ270:AQ285"/>
    <mergeCell ref="AR270:AR285"/>
    <mergeCell ref="AS270:AS285"/>
    <mergeCell ref="AT270:AT285"/>
    <mergeCell ref="AU230:AU245"/>
    <mergeCell ref="AV230:AV245"/>
    <mergeCell ref="AW230:AW245"/>
    <mergeCell ref="AR230:AR245"/>
    <mergeCell ref="AS230:AS245"/>
    <mergeCell ref="AT230:AT245"/>
    <mergeCell ref="AU270:AU285"/>
    <mergeCell ref="AV270:AV285"/>
    <mergeCell ref="AW270:AW285"/>
    <mergeCell ref="AX230:AX245"/>
    <mergeCell ref="AY230:AY245"/>
    <mergeCell ref="AZ230:AZ245"/>
    <mergeCell ref="AK250:AK265"/>
    <mergeCell ref="AM250:AM265"/>
    <mergeCell ref="AN250:AN265"/>
    <mergeCell ref="AO250:AO265"/>
    <mergeCell ref="AP250:AP265"/>
    <mergeCell ref="AQ250:AQ265"/>
    <mergeCell ref="AR250:AR265"/>
    <mergeCell ref="AS250:AS265"/>
    <mergeCell ref="AT250:AT265"/>
    <mergeCell ref="AU250:AU265"/>
    <mergeCell ref="AV250:AV265"/>
    <mergeCell ref="AW250:AW265"/>
    <mergeCell ref="AX250:AX265"/>
    <mergeCell ref="AY250:AY265"/>
    <mergeCell ref="AZ250:AZ265"/>
    <mergeCell ref="AK230:AK245"/>
    <mergeCell ref="AM230:AM245"/>
    <mergeCell ref="AN230:AN245"/>
    <mergeCell ref="AO230:AO245"/>
    <mergeCell ref="AP230:AP245"/>
    <mergeCell ref="AQ230:AQ245"/>
    <mergeCell ref="AK30:AK45"/>
    <mergeCell ref="AM30:AM45"/>
    <mergeCell ref="AN30:AN45"/>
    <mergeCell ref="AO30:AO45"/>
    <mergeCell ref="AP30:AP45"/>
    <mergeCell ref="AQ30:AQ45"/>
    <mergeCell ref="AR30:AR45"/>
    <mergeCell ref="AK10:AK25"/>
    <mergeCell ref="AM10:AM25"/>
    <mergeCell ref="AR10:AR25"/>
    <mergeCell ref="AN10:AN25"/>
    <mergeCell ref="AO10:AO25"/>
    <mergeCell ref="AP10:AP25"/>
    <mergeCell ref="AQ10:AQ25"/>
    <mergeCell ref="AO50:AO65"/>
    <mergeCell ref="AP50:AP65"/>
    <mergeCell ref="AQ50:AQ65"/>
    <mergeCell ref="AR50:AR65"/>
    <mergeCell ref="AS50:AS65"/>
    <mergeCell ref="AS30:AS45"/>
    <mergeCell ref="AX10:AX25"/>
    <mergeCell ref="AY10:AY25"/>
    <mergeCell ref="AZ10:AZ25"/>
    <mergeCell ref="AS10:AS25"/>
    <mergeCell ref="AT10:AT25"/>
    <mergeCell ref="AU10:AU25"/>
    <mergeCell ref="AV10:AV25"/>
    <mergeCell ref="AW10:AW25"/>
    <mergeCell ref="AY30:AY45"/>
    <mergeCell ref="AZ30:AZ45"/>
    <mergeCell ref="AT30:AT45"/>
    <mergeCell ref="AU30:AU45"/>
    <mergeCell ref="AV30:AV45"/>
    <mergeCell ref="AW30:AW45"/>
    <mergeCell ref="AX30:AX45"/>
    <mergeCell ref="AZ50:AZ65"/>
    <mergeCell ref="AT50:AT65"/>
    <mergeCell ref="AU50:AU65"/>
    <mergeCell ref="AU70:AU85"/>
    <mergeCell ref="AV70:AV85"/>
    <mergeCell ref="AW70:AW85"/>
    <mergeCell ref="AX70:AX85"/>
    <mergeCell ref="AQ90:AQ105"/>
    <mergeCell ref="AY110:AY125"/>
    <mergeCell ref="AZ110:AZ125"/>
    <mergeCell ref="AY70:AY85"/>
    <mergeCell ref="AZ70:AZ85"/>
    <mergeCell ref="AZ90:AZ105"/>
    <mergeCell ref="AW90:AW105"/>
    <mergeCell ref="AX110:AX125"/>
    <mergeCell ref="AK70:AK85"/>
    <mergeCell ref="AM70:AM85"/>
    <mergeCell ref="AN70:AN85"/>
    <mergeCell ref="AO70:AO85"/>
    <mergeCell ref="AP70:AP85"/>
    <mergeCell ref="AQ70:AQ85"/>
    <mergeCell ref="AR70:AR85"/>
    <mergeCell ref="AS70:AS85"/>
    <mergeCell ref="AT70:AT85"/>
    <mergeCell ref="AV50:AV65"/>
    <mergeCell ref="AW50:AW65"/>
    <mergeCell ref="AX50:AX65"/>
    <mergeCell ref="AY50:AY65"/>
    <mergeCell ref="AK50:AK65"/>
    <mergeCell ref="AM50:AM65"/>
    <mergeCell ref="AN50:AN65"/>
    <mergeCell ref="AR130:AR145"/>
    <mergeCell ref="AS130:AS145"/>
    <mergeCell ref="AS110:AS125"/>
    <mergeCell ref="AX90:AX105"/>
    <mergeCell ref="AY90:AY105"/>
    <mergeCell ref="AK110:AK125"/>
    <mergeCell ref="AM110:AM125"/>
    <mergeCell ref="AN110:AN125"/>
    <mergeCell ref="AO110:AO125"/>
    <mergeCell ref="AP110:AP125"/>
    <mergeCell ref="AQ110:AQ125"/>
    <mergeCell ref="AR110:AR125"/>
    <mergeCell ref="AR90:AR105"/>
    <mergeCell ref="AS90:AS105"/>
    <mergeCell ref="AT90:AT105"/>
    <mergeCell ref="AU90:AU105"/>
    <mergeCell ref="AV90:AV105"/>
    <mergeCell ref="AK90:AK105"/>
    <mergeCell ref="AM90:AM105"/>
    <mergeCell ref="AN90:AN105"/>
    <mergeCell ref="AO90:AO105"/>
    <mergeCell ref="AP90:AP105"/>
    <mergeCell ref="AT110:AT125"/>
    <mergeCell ref="AU110:AU125"/>
    <mergeCell ref="AV110:AV125"/>
    <mergeCell ref="AW110:AW125"/>
    <mergeCell ref="AU150:AU165"/>
    <mergeCell ref="AV150:AV165"/>
    <mergeCell ref="AW150:AW165"/>
    <mergeCell ref="AX150:AX165"/>
    <mergeCell ref="AY150:AY165"/>
    <mergeCell ref="AZ150:AZ165"/>
    <mergeCell ref="AZ130:AZ145"/>
    <mergeCell ref="AK150:AK165"/>
    <mergeCell ref="AM150:AM165"/>
    <mergeCell ref="AN150:AN165"/>
    <mergeCell ref="AO150:AO165"/>
    <mergeCell ref="AP150:AP165"/>
    <mergeCell ref="AQ150:AQ165"/>
    <mergeCell ref="AR150:AR165"/>
    <mergeCell ref="AS150:AS165"/>
    <mergeCell ref="AT150:AT165"/>
    <mergeCell ref="AT130:AT145"/>
    <mergeCell ref="AU130:AU145"/>
    <mergeCell ref="AV130:AV145"/>
    <mergeCell ref="AW130:AW145"/>
    <mergeCell ref="AX130:AX145"/>
    <mergeCell ref="AY130:AY145"/>
    <mergeCell ref="AK130:AK145"/>
    <mergeCell ref="AM130:AM145"/>
    <mergeCell ref="AN130:AN145"/>
    <mergeCell ref="AO130:AO145"/>
    <mergeCell ref="AP130:AP145"/>
    <mergeCell ref="AQ130:AQ145"/>
    <mergeCell ref="AX170:AX185"/>
    <mergeCell ref="AY170:AY185"/>
    <mergeCell ref="AZ170:AZ185"/>
    <mergeCell ref="AK190:AK205"/>
    <mergeCell ref="AM190:AM205"/>
    <mergeCell ref="AN190:AN205"/>
    <mergeCell ref="AO190:AO205"/>
    <mergeCell ref="AP190:AP205"/>
    <mergeCell ref="AQ190:AQ205"/>
    <mergeCell ref="AR190:AR205"/>
    <mergeCell ref="AR170:AR185"/>
    <mergeCell ref="AS170:AS185"/>
    <mergeCell ref="AT170:AT185"/>
    <mergeCell ref="AU170:AU185"/>
    <mergeCell ref="AV170:AV185"/>
    <mergeCell ref="AW170:AW185"/>
    <mergeCell ref="AK170:AK185"/>
    <mergeCell ref="AM170:AM185"/>
    <mergeCell ref="AN170:AN185"/>
    <mergeCell ref="AO170:AO185"/>
    <mergeCell ref="AP170:AP185"/>
    <mergeCell ref="AQ170:AQ185"/>
    <mergeCell ref="AK210:AK225"/>
    <mergeCell ref="AM210:AM225"/>
    <mergeCell ref="AN210:AN225"/>
    <mergeCell ref="AO210:AO225"/>
    <mergeCell ref="AP210:AP225"/>
    <mergeCell ref="AQ210:AQ225"/>
    <mergeCell ref="AR210:AR225"/>
    <mergeCell ref="AS210:AS225"/>
    <mergeCell ref="AS190:AS205"/>
    <mergeCell ref="AZ210:AZ225"/>
    <mergeCell ref="AT210:AT225"/>
    <mergeCell ref="AU210:AU225"/>
    <mergeCell ref="AV210:AV225"/>
    <mergeCell ref="AW210:AW225"/>
    <mergeCell ref="AX210:AX225"/>
    <mergeCell ref="AY210:AY225"/>
    <mergeCell ref="AY190:AY205"/>
    <mergeCell ref="AZ190:AZ205"/>
    <mergeCell ref="AT190:AT205"/>
    <mergeCell ref="AU190:AU205"/>
    <mergeCell ref="AV190:AV205"/>
    <mergeCell ref="AW190:AW205"/>
    <mergeCell ref="AX190:AX205"/>
  </mergeCells>
  <dataValidations disablePrompts="1" count="1">
    <dataValidation type="decimal" allowBlank="1" showInputMessage="1" showErrorMessage="1" promptTitle="Restricted range" prompt="only between 0.5m/s to 2.5 m/s" sqref="AU10:AU18 AU30:AU38 AU50:AU58 AU70:AU78 AU90:AU98 AU110:AU118 AU130:AU138 AU150:AU158 AU170:AU178 AU190:AU198 AU210:AU218 AU230:AU238 AU250:AU258 AU270:AU278 AU290:AU298 AU310:AU318 AU330:AU338 AU350:AU358 AU370:AU378 AU390:AU398" xr:uid="{9585557E-151A-44BB-A4A8-11C63BE2347D}">
      <formula1>0.5</formula1>
      <formula2>2.5</formula2>
    </dataValidation>
  </dataValidations>
  <printOptions horizontalCentered="1"/>
  <pageMargins left="0.19685039370078741" right="0.19685039370078741" top="0.19685039370078741" bottom="0.19685039370078741" header="0.31496062992125984" footer="0.31496062992125984"/>
  <pageSetup paperSize="9" scale="5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6C9E-BECB-461E-9EE4-832728322695}">
  <sheetPr codeName="Sheet2">
    <pageSetUpPr fitToPage="1"/>
  </sheetPr>
  <dimension ref="C4:DO32"/>
  <sheetViews>
    <sheetView topLeftCell="Y1" zoomScale="66" zoomScaleNormal="53" workbookViewId="0">
      <selection activeCell="X1" sqref="X1:X1048576"/>
    </sheetView>
  </sheetViews>
  <sheetFormatPr defaultRowHeight="14.45"/>
  <cols>
    <col min="3" max="3" width="4.5703125" bestFit="1" customWidth="1"/>
    <col min="4" max="4" width="15.42578125" bestFit="1" customWidth="1"/>
    <col min="5" max="5" width="4.5703125" bestFit="1" customWidth="1"/>
    <col min="6" max="6" width="4.5703125" customWidth="1"/>
    <col min="7" max="7" width="4.140625" customWidth="1"/>
    <col min="8" max="8" width="4.42578125" customWidth="1"/>
    <col min="9" max="9" width="3.5703125" customWidth="1"/>
    <col min="10" max="10" width="5.5703125" customWidth="1"/>
    <col min="11" max="12" width="4.85546875" customWidth="1"/>
    <col min="13" max="13" width="5.28515625" customWidth="1"/>
    <col min="14" max="17" width="4.5703125" bestFit="1" customWidth="1"/>
    <col min="18" max="18" width="5.85546875" customWidth="1"/>
    <col min="19" max="19" width="4.5703125" bestFit="1" customWidth="1"/>
    <col min="20" max="20" width="6.42578125" bestFit="1" customWidth="1"/>
    <col min="21" max="21" width="4.5703125" customWidth="1"/>
    <col min="22" max="22" width="5.85546875" customWidth="1"/>
    <col min="23" max="23" width="4.85546875" customWidth="1"/>
    <col min="24" max="24" width="10.28515625" bestFit="1" customWidth="1"/>
    <col min="25" max="29" width="13.7109375" bestFit="1" customWidth="1"/>
    <col min="30" max="30" width="6.85546875" bestFit="1" customWidth="1"/>
    <col min="31" max="31" width="7.28515625" customWidth="1"/>
    <col min="32" max="34" width="5.85546875" customWidth="1"/>
    <col min="35" max="35" width="5.5703125" customWidth="1"/>
    <col min="36" max="36" width="6.85546875" bestFit="1" customWidth="1"/>
    <col min="37" max="37" width="8.42578125" customWidth="1"/>
    <col min="38" max="38" width="6.85546875" bestFit="1" customWidth="1"/>
    <col min="39" max="39" width="7.28515625" bestFit="1" customWidth="1"/>
    <col min="40" max="43" width="6.85546875" bestFit="1" customWidth="1"/>
    <col min="44" max="44" width="4.85546875" customWidth="1"/>
    <col min="45" max="47" width="6.85546875" bestFit="1" customWidth="1"/>
    <col min="48" max="48" width="3.85546875" customWidth="1"/>
    <col min="49" max="49" width="6.85546875" bestFit="1" customWidth="1"/>
    <col min="50" max="50" width="4" customWidth="1"/>
    <col min="51" max="51" width="4.85546875" customWidth="1"/>
    <col min="52" max="52" width="5.5703125" bestFit="1" customWidth="1"/>
    <col min="53" max="53" width="4.85546875" bestFit="1" customWidth="1"/>
    <col min="54" max="55" width="4.5703125" bestFit="1" customWidth="1"/>
    <col min="56" max="56" width="6.85546875" customWidth="1"/>
    <col min="57" max="58" width="4.5703125" bestFit="1" customWidth="1"/>
    <col min="59" max="59" width="5.5703125" customWidth="1"/>
    <col min="60" max="60" width="5.7109375" customWidth="1"/>
    <col min="61" max="62" width="4.5703125" bestFit="1" customWidth="1"/>
    <col min="63" max="63" width="6.42578125" customWidth="1"/>
    <col min="64" max="65" width="4.5703125" bestFit="1" customWidth="1"/>
    <col min="66" max="67" width="5.5703125" customWidth="1"/>
    <col min="68" max="68" width="7.140625" customWidth="1"/>
    <col min="69" max="69" width="5.42578125" customWidth="1"/>
    <col min="70" max="71" width="5.140625" customWidth="1"/>
    <col min="72" max="72" width="6.42578125" customWidth="1"/>
    <col min="73" max="73" width="6.5703125" bestFit="1" customWidth="1"/>
    <col min="74" max="74" width="5.42578125" customWidth="1"/>
    <col min="75" max="76" width="6.85546875" customWidth="1"/>
    <col min="77" max="77" width="4.5703125" bestFit="1" customWidth="1"/>
    <col min="78" max="78" width="7.28515625" customWidth="1"/>
    <col min="79" max="79" width="7.42578125" customWidth="1"/>
    <col min="80" max="80" width="7.140625" customWidth="1"/>
    <col min="81" max="81" width="9.85546875" bestFit="1" customWidth="1"/>
    <col min="82" max="84" width="8.85546875" bestFit="1" customWidth="1"/>
    <col min="85" max="85" width="5.5703125" bestFit="1" customWidth="1"/>
    <col min="86" max="88" width="4.5703125" bestFit="1" customWidth="1"/>
    <col min="89" max="89" width="6.28515625" customWidth="1"/>
    <col min="90" max="91" width="4.5703125" bestFit="1" customWidth="1"/>
    <col min="92" max="92" width="4.85546875" customWidth="1"/>
    <col min="93" max="93" width="5.140625" customWidth="1"/>
    <col min="94" max="95" width="4.5703125" bestFit="1" customWidth="1"/>
    <col min="96" max="96" width="8.85546875" bestFit="1" customWidth="1"/>
    <col min="97" max="98" width="4.5703125" bestFit="1" customWidth="1"/>
    <col min="99" max="99" width="5" customWidth="1"/>
    <col min="100" max="105" width="8.85546875" bestFit="1" customWidth="1"/>
    <col min="106" max="106" width="5.85546875" customWidth="1"/>
    <col min="107" max="107" width="7.28515625" customWidth="1"/>
    <col min="108" max="108" width="8.42578125" bestFit="1" customWidth="1"/>
    <col min="109" max="109" width="8.85546875" bestFit="1" customWidth="1"/>
    <col min="110" max="110" width="4.5703125" bestFit="1" customWidth="1"/>
    <col min="111" max="117" width="8.85546875" bestFit="1" customWidth="1"/>
  </cols>
  <sheetData>
    <row r="4" spans="3:119">
      <c r="BG4" t="s">
        <v>482</v>
      </c>
    </row>
    <row r="7" spans="3:119">
      <c r="AD7" s="3"/>
    </row>
    <row r="8" spans="3:119" ht="29.1">
      <c r="C8" s="8" t="s">
        <v>514</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9" t="s">
        <v>221</v>
      </c>
      <c r="AS8" s="10"/>
      <c r="AT8" s="10"/>
      <c r="AU8" s="11"/>
      <c r="AV8" s="9" t="s">
        <v>222</v>
      </c>
      <c r="AW8" s="10"/>
      <c r="AX8" s="10"/>
      <c r="AY8" s="11"/>
      <c r="AZ8" s="12" t="s">
        <v>483</v>
      </c>
      <c r="BA8" s="12"/>
      <c r="BB8" s="12"/>
      <c r="BC8" s="12"/>
      <c r="BD8" s="12"/>
      <c r="BE8" s="12"/>
      <c r="BF8" s="12"/>
      <c r="BG8" s="12"/>
      <c r="BH8" s="12"/>
      <c r="BI8" s="12"/>
      <c r="BJ8" s="12"/>
      <c r="BK8" s="12"/>
      <c r="BL8" s="12"/>
      <c r="BM8" s="12"/>
      <c r="BN8" s="12"/>
      <c r="BO8" s="12"/>
      <c r="BP8" s="9" t="s">
        <v>484</v>
      </c>
      <c r="BQ8" s="10"/>
      <c r="BR8" s="10"/>
      <c r="BS8" s="10"/>
      <c r="BT8" s="10"/>
      <c r="BU8" s="10"/>
      <c r="BV8" s="10"/>
      <c r="BW8" s="10"/>
      <c r="BX8" s="10"/>
      <c r="BY8" s="11"/>
      <c r="BZ8" s="9" t="s">
        <v>485</v>
      </c>
      <c r="CA8" s="10"/>
      <c r="CB8" s="10"/>
      <c r="CC8" s="10"/>
      <c r="CD8" s="9" t="s">
        <v>486</v>
      </c>
      <c r="CE8" s="10"/>
      <c r="CF8" s="11"/>
      <c r="CG8" s="12" t="s">
        <v>487</v>
      </c>
      <c r="CH8" s="12"/>
      <c r="CI8" s="12"/>
      <c r="CJ8" s="12"/>
      <c r="CK8" s="12"/>
      <c r="CL8" s="12"/>
      <c r="CM8" s="12"/>
      <c r="CN8" s="12"/>
      <c r="CO8" s="12"/>
      <c r="CP8" s="12"/>
      <c r="CQ8" s="12"/>
      <c r="CR8" s="12"/>
      <c r="CS8" s="12"/>
      <c r="CT8" s="12"/>
      <c r="CU8" s="12"/>
      <c r="CV8" s="12"/>
      <c r="CW8" s="9" t="s">
        <v>488</v>
      </c>
      <c r="CX8" s="10"/>
      <c r="CY8" s="10"/>
      <c r="CZ8" s="10"/>
      <c r="DA8" s="10"/>
      <c r="DB8" s="10"/>
      <c r="DC8" s="10"/>
      <c r="DD8" s="10"/>
      <c r="DE8" s="10"/>
      <c r="DF8" s="11"/>
      <c r="DG8" s="9" t="s">
        <v>489</v>
      </c>
      <c r="DH8" s="10"/>
      <c r="DI8" s="10"/>
      <c r="DJ8" s="10"/>
      <c r="DK8" s="9"/>
      <c r="DL8" s="10"/>
      <c r="DM8" s="11"/>
      <c r="DN8" s="1"/>
      <c r="DO8" s="1"/>
    </row>
    <row r="9" spans="3:119" ht="120" customHeight="1">
      <c r="C9" s="4" t="s">
        <v>164</v>
      </c>
      <c r="D9" s="5" t="s">
        <v>165</v>
      </c>
      <c r="E9" s="5" t="s">
        <v>166</v>
      </c>
      <c r="F9" s="5" t="s">
        <v>167</v>
      </c>
      <c r="G9" s="5" t="s">
        <v>168</v>
      </c>
      <c r="H9" s="5" t="s">
        <v>169</v>
      </c>
      <c r="I9" s="5" t="s">
        <v>170</v>
      </c>
      <c r="J9" s="5" t="s">
        <v>171</v>
      </c>
      <c r="K9" s="5" t="s">
        <v>172</v>
      </c>
      <c r="L9" s="5" t="s">
        <v>173</v>
      </c>
      <c r="M9" s="5" t="s">
        <v>174</v>
      </c>
      <c r="N9" s="5" t="s">
        <v>175</v>
      </c>
      <c r="O9" s="5" t="s">
        <v>176</v>
      </c>
      <c r="P9" s="5" t="s">
        <v>177</v>
      </c>
      <c r="Q9" s="5" t="s">
        <v>178</v>
      </c>
      <c r="R9" s="5" t="s">
        <v>199</v>
      </c>
      <c r="S9" s="5" t="s">
        <v>180</v>
      </c>
      <c r="T9" s="5" t="s">
        <v>223</v>
      </c>
      <c r="U9" s="5" t="s">
        <v>224</v>
      </c>
      <c r="V9" s="5" t="s">
        <v>199</v>
      </c>
      <c r="W9" s="5" t="s">
        <v>180</v>
      </c>
      <c r="X9" s="5" t="s">
        <v>225</v>
      </c>
      <c r="Y9" s="5" t="s">
        <v>226</v>
      </c>
      <c r="Z9" s="5" t="s">
        <v>227</v>
      </c>
      <c r="AA9" s="5" t="s">
        <v>228</v>
      </c>
      <c r="AB9" s="5" t="s">
        <v>229</v>
      </c>
      <c r="AC9" s="5" t="s">
        <v>230</v>
      </c>
      <c r="AD9" s="5" t="s">
        <v>231</v>
      </c>
      <c r="AE9" s="5" t="s">
        <v>232</v>
      </c>
      <c r="AF9" s="6" t="s">
        <v>233</v>
      </c>
      <c r="AG9" s="6" t="s">
        <v>234</v>
      </c>
      <c r="AH9" s="5" t="s">
        <v>236</v>
      </c>
      <c r="AI9" s="5" t="s">
        <v>237</v>
      </c>
      <c r="AJ9" s="5" t="s">
        <v>238</v>
      </c>
      <c r="AK9" s="5" t="s">
        <v>239</v>
      </c>
      <c r="AL9" s="5" t="s">
        <v>240</v>
      </c>
      <c r="AM9" s="5" t="s">
        <v>241</v>
      </c>
      <c r="AN9" s="5" t="s">
        <v>242</v>
      </c>
      <c r="AO9" s="5" t="s">
        <v>243</v>
      </c>
      <c r="AP9" s="5" t="s">
        <v>244</v>
      </c>
      <c r="AQ9" s="5" t="s">
        <v>245</v>
      </c>
      <c r="AR9" s="5" t="s">
        <v>246</v>
      </c>
      <c r="AS9" s="5" t="s">
        <v>247</v>
      </c>
      <c r="AT9" s="5" t="s">
        <v>248</v>
      </c>
      <c r="AU9" s="5" t="s">
        <v>249</v>
      </c>
      <c r="AV9" s="5" t="s">
        <v>250</v>
      </c>
      <c r="AW9" s="5" t="s">
        <v>251</v>
      </c>
      <c r="AX9" s="5" t="s">
        <v>252</v>
      </c>
      <c r="AY9" s="5" t="s">
        <v>253</v>
      </c>
      <c r="AZ9" s="5" t="s">
        <v>490</v>
      </c>
      <c r="BA9" s="5" t="s">
        <v>491</v>
      </c>
      <c r="BB9" s="5" t="s">
        <v>492</v>
      </c>
      <c r="BC9" s="5" t="s">
        <v>493</v>
      </c>
      <c r="BD9" s="5" t="s">
        <v>494</v>
      </c>
      <c r="BE9" s="5" t="s">
        <v>492</v>
      </c>
      <c r="BF9" s="5" t="s">
        <v>493</v>
      </c>
      <c r="BG9" s="5" t="s">
        <v>495</v>
      </c>
      <c r="BH9" s="5" t="s">
        <v>496</v>
      </c>
      <c r="BI9" s="5" t="s">
        <v>492</v>
      </c>
      <c r="BJ9" s="5" t="s">
        <v>493</v>
      </c>
      <c r="BK9" s="5" t="s">
        <v>497</v>
      </c>
      <c r="BL9" s="5" t="s">
        <v>492</v>
      </c>
      <c r="BM9" s="5" t="s">
        <v>493</v>
      </c>
      <c r="BN9" s="5" t="s">
        <v>495</v>
      </c>
      <c r="BO9" s="5" t="s">
        <v>498</v>
      </c>
      <c r="BP9" s="5" t="s">
        <v>499</v>
      </c>
      <c r="BQ9" s="5" t="s">
        <v>500</v>
      </c>
      <c r="BR9" s="5" t="s">
        <v>501</v>
      </c>
      <c r="BS9" s="5" t="s">
        <v>502</v>
      </c>
      <c r="BT9" s="5" t="s">
        <v>503</v>
      </c>
      <c r="BU9" s="5" t="s">
        <v>504</v>
      </c>
      <c r="BV9" s="5" t="s">
        <v>505</v>
      </c>
      <c r="BW9" s="5" t="s">
        <v>506</v>
      </c>
      <c r="BX9" s="5" t="s">
        <v>173</v>
      </c>
      <c r="BY9" s="5" t="s">
        <v>174</v>
      </c>
      <c r="BZ9" s="5" t="s">
        <v>503</v>
      </c>
      <c r="CA9" s="5" t="s">
        <v>507</v>
      </c>
      <c r="CB9" s="5" t="s">
        <v>173</v>
      </c>
      <c r="CC9" s="5" t="s">
        <v>508</v>
      </c>
      <c r="CD9" s="7" t="s">
        <v>509</v>
      </c>
      <c r="CE9" s="7" t="s">
        <v>510</v>
      </c>
      <c r="CF9" s="7" t="s">
        <v>511</v>
      </c>
      <c r="CG9" s="5" t="s">
        <v>512</v>
      </c>
      <c r="CH9" s="5" t="s">
        <v>513</v>
      </c>
      <c r="CI9" s="5" t="s">
        <v>492</v>
      </c>
      <c r="CJ9" s="5" t="s">
        <v>493</v>
      </c>
      <c r="CK9" s="5" t="s">
        <v>494</v>
      </c>
      <c r="CL9" s="5" t="s">
        <v>492</v>
      </c>
      <c r="CM9" s="5" t="s">
        <v>493</v>
      </c>
      <c r="CN9" s="5" t="s">
        <v>495</v>
      </c>
      <c r="CO9" s="5" t="s">
        <v>496</v>
      </c>
      <c r="CP9" s="5" t="s">
        <v>492</v>
      </c>
      <c r="CQ9" s="5" t="s">
        <v>493</v>
      </c>
      <c r="CR9" s="5" t="s">
        <v>497</v>
      </c>
      <c r="CS9" s="5" t="s">
        <v>492</v>
      </c>
      <c r="CT9" s="5" t="s">
        <v>493</v>
      </c>
      <c r="CU9" s="5" t="s">
        <v>495</v>
      </c>
      <c r="CV9" s="5" t="s">
        <v>498</v>
      </c>
      <c r="CW9" s="5" t="s">
        <v>499</v>
      </c>
      <c r="CX9" s="5" t="s">
        <v>500</v>
      </c>
      <c r="CY9" s="5" t="s">
        <v>501</v>
      </c>
      <c r="CZ9" s="5" t="s">
        <v>502</v>
      </c>
      <c r="DA9" s="5" t="s">
        <v>503</v>
      </c>
      <c r="DB9" s="5" t="s">
        <v>504</v>
      </c>
      <c r="DC9" s="5" t="s">
        <v>505</v>
      </c>
      <c r="DD9" s="5" t="s">
        <v>506</v>
      </c>
      <c r="DE9" s="5" t="s">
        <v>173</v>
      </c>
      <c r="DF9" s="5" t="s">
        <v>174</v>
      </c>
      <c r="DG9" s="5" t="s">
        <v>503</v>
      </c>
      <c r="DH9" s="5" t="s">
        <v>507</v>
      </c>
      <c r="DI9" s="5" t="s">
        <v>173</v>
      </c>
      <c r="DJ9" s="5" t="s">
        <v>508</v>
      </c>
      <c r="DK9" s="7" t="s">
        <v>509</v>
      </c>
      <c r="DL9" s="7" t="s">
        <v>510</v>
      </c>
      <c r="DM9" s="7" t="s">
        <v>511</v>
      </c>
      <c r="DN9" s="2"/>
      <c r="DO9" s="2"/>
    </row>
    <row r="10" spans="3:119" ht="18.600000000000001">
      <c r="C10" s="13"/>
      <c r="D10" s="14" t="s">
        <v>200</v>
      </c>
      <c r="E10" s="14">
        <v>3</v>
      </c>
      <c r="F10" s="14">
        <v>3</v>
      </c>
      <c r="G10" s="14">
        <v>2.4</v>
      </c>
      <c r="H10" s="14">
        <v>1</v>
      </c>
      <c r="I10" s="14">
        <v>2</v>
      </c>
      <c r="J10" s="14">
        <v>1.75</v>
      </c>
      <c r="K10" s="14">
        <v>3</v>
      </c>
      <c r="L10" s="15">
        <v>0.15</v>
      </c>
      <c r="M10" s="15">
        <v>0.05</v>
      </c>
      <c r="N10" s="14">
        <v>24</v>
      </c>
      <c r="O10" s="14">
        <v>50</v>
      </c>
      <c r="P10" s="13">
        <v>43.1</v>
      </c>
      <c r="Q10" s="13">
        <v>100</v>
      </c>
      <c r="R10" s="13" t="s">
        <v>17</v>
      </c>
      <c r="S10" s="13">
        <v>180</v>
      </c>
      <c r="T10" s="13">
        <v>-16.600000000000001</v>
      </c>
      <c r="U10" s="13">
        <v>8</v>
      </c>
      <c r="V10" s="13" t="str">
        <f>R10</f>
        <v>ISO 6</v>
      </c>
      <c r="W10" s="13">
        <f>S10</f>
        <v>180</v>
      </c>
      <c r="X10" s="16">
        <f>E10*F10*10.76</f>
        <v>96.84</v>
      </c>
      <c r="Y10" s="16">
        <f>X10*G10*3.28</f>
        <v>762.32447999999999</v>
      </c>
      <c r="Z10" s="16">
        <f>Y10*S10/60</f>
        <v>2286.9734400000002</v>
      </c>
      <c r="AA10" s="16">
        <f>Z10*L10</f>
        <v>343.04601600000001</v>
      </c>
      <c r="AB10" s="16">
        <f>Z10*M10</f>
        <v>114.34867200000002</v>
      </c>
      <c r="AC10" s="16">
        <f>IF(ISNUMBER(N10), (AA10*0.075*60/2.20462)*BO10/7000, "Ambient")</f>
        <v>34.316051620675644</v>
      </c>
      <c r="AD10" s="16">
        <f>IF(ISNUMBER(N10), CEILING(CE10/(0.68*BO10),25), "Ambient")</f>
        <v>3750</v>
      </c>
      <c r="AE10" s="16">
        <f>CEILING(MAX((Z10+AA10),AD10),25)</f>
        <v>3750</v>
      </c>
      <c r="AF10" s="16">
        <f>CEILING(IF(OR($R10="ISO 6",$R10="GRADE B",$R10="1K",$R10=1000,$R10="ISO 5",$R10="GRADE A",$R10=100),AE10*1/100,IF(OR($R10="ISO 7",$R10="GRADE C",$R10="10K",$R10=10000),$AE10*1/250,IF(OR($R10="ISO 8",$R10="GRADE D",$R10="100K",$R10=100000),$AE10*1/250,IF(OR($R10="NC",$R10="20 Micron",$R10="5 Micron",$R10="N C"),$AE10*1/350,0)))),2)</f>
        <v>38</v>
      </c>
      <c r="AG10" s="16">
        <f>IF(ISNUMBER(N10), CEILING(MAX(AH10,AI10),0.5), "Ambient")</f>
        <v>9.5</v>
      </c>
      <c r="AH10" s="17">
        <f>IF(ISNUMBER(N10), CEILING(CD10/12000,0.5), "Ambient")</f>
        <v>5</v>
      </c>
      <c r="AI10" s="17">
        <f>IF(ISNUMBER(N10),CEILING(AE10/400,0.5), "Ambient")</f>
        <v>9.5</v>
      </c>
      <c r="AJ10" s="965">
        <f>CEILING(SUM(AE10:AE18),250)</f>
        <v>33250</v>
      </c>
      <c r="AK10" s="18" t="s">
        <v>254</v>
      </c>
      <c r="AL10" s="974">
        <v>150</v>
      </c>
      <c r="AM10" s="965" t="e" cm="1">
        <f t="array" aca="1" ref="AM10" ca="1">_xlfn.SINGLE(IF(AM30ISNUMBER(N10),'BOD-Hot &amp; Cold'!AK26SWITCH(TRIM(UPPER(AR10)),
    "4", 150,
    "3", 125,
    "2", 110,
    "1", 100,
    125
  ),
  IF(
    ISTEXT(N10),
    _xlfn.SWITCH(TRIM(UPPER(AR10)),
      "5", 135,
      "4", 110,
      "3", 90,
      "2", 75,
      "1", 65,
      100)
  )
))</f>
        <v>#NAME?</v>
      </c>
      <c r="AN10" s="968">
        <f>IF(AJ10*AL10/(6356*0.7*0.9*1.1*25.4)&lt;=1,1,IF(AJ10*AL10/(6356*0.7*0.9*1.1*25.4)&lt;=1.5,1.5,IF(AJ10*AL10/(6356*0.7*0.9*1.1*25.4)&lt;=2,2,IF(AJ10*AL10/(6356*0.7*0.9*1.1*25.4)&lt;=3,3,IF(AJ10*AL10/(6356*0.7*0.9*1.1*25.4)&lt;=5,5,IF(AJ10*AL10/(6356*0.7*0.9*1.1*25.4)&lt;=7.5,7.5,IF(AJ10*AL10/(6356*0.7*0.9*1.1*25.4)&lt;=10,10,IF(AJ10*AL10/(6356*0.7*0.9*1.1*25.4)&lt;=12.5,12.5,IF(AJ10*AL10/(6356*0.7*0.9*1.1*25.4)&lt;=15,15,IF(AJ10*AL10/(6356*0.7*0.9*1.1*25.4)&lt;=20,20,IF(AJ10*AL10/(6356*0.7*0.9*1.1*25.4)&lt;=25,25,IF(AJ10*AL10/(6356*0.7*0.9*1.1*25.4)&lt;=30,30,IF(AJ10*AL10/(6356*0.7*0.9*1.1*25.4)&lt;=40,40,IF(AJ10*AL10/(6356*0.7*0.9*1.1*25.4)&lt;=50,50,"Refer"))))))))))))))</f>
        <v>50</v>
      </c>
      <c r="AO10" s="965">
        <f>IF((AK11-250)*(AK13-150)*10.76/(1000*1000)&gt;=MAX(AH19,AI19),4,(IF(((AK11-250)*(AK13-150)*10.76*1.5/(1000*1000))&gt;=MAX(AH19,AI19),6,(IF(((AK11-250)*(AK13-150)*2*10.76/(1000*1000))&gt;=MAX(AH19,AI19),8,0)))))</f>
        <v>4</v>
      </c>
      <c r="AP10" s="965">
        <f>AG19</f>
        <v>84.5</v>
      </c>
      <c r="AQ10" s="974">
        <v>4</v>
      </c>
      <c r="AR10" s="968">
        <f>MAX(AH19,AI19)*24/6</f>
        <v>338</v>
      </c>
      <c r="AS10" s="968">
        <f>AR10*0.06309</f>
        <v>21.324419999999996</v>
      </c>
      <c r="AT10" s="984">
        <v>2</v>
      </c>
      <c r="AU10" s="968">
        <f>SQRT((4*AR10*0.00006309)/(3.14*AT10))*1000</f>
        <v>116.5436961873919</v>
      </c>
      <c r="AV10" s="968"/>
      <c r="AW10" s="968"/>
      <c r="AX10" s="981"/>
      <c r="AY10" s="968"/>
      <c r="AZ10" s="17">
        <f>-CONVERT(N10,"C","F")+CONVERT((N10+8),"C","F")</f>
        <v>14.399999999999991</v>
      </c>
      <c r="BA10" s="17">
        <f>CONVERT(P10,"C","F")-CONVERT(N10,"C","F")</f>
        <v>34.379999999999995</v>
      </c>
      <c r="BB10" s="17">
        <f>N10+8</f>
        <v>32</v>
      </c>
      <c r="BC10" s="17">
        <f>BF10+35</f>
        <v>85</v>
      </c>
      <c r="BD10" s="17">
        <f>0.622*7000*(BC10/100)*(6.1078*10^((7.5*BB10)/(237.3+BB10)))/(1013.25-(6.1078*10^((7.5*BB10)/(237.3+BB10)))*BC10/100)</f>
        <v>180.86341983910182</v>
      </c>
      <c r="BE10" s="17">
        <f>N10</f>
        <v>24</v>
      </c>
      <c r="BF10" s="17">
        <f>O10</f>
        <v>50</v>
      </c>
      <c r="BG10" s="17">
        <f>0.622*7000*(BF10/100)*(6.1078*10^((7.5*BE10)/(237.3+BE10)))/(1013.25-(6.1078*10^((7.5*BE10)/(237.3+BE10)))*BF10/100)</f>
        <v>65.062647806544774</v>
      </c>
      <c r="BH10" s="17">
        <f>BD10-BG10</f>
        <v>115.80077203255705</v>
      </c>
      <c r="BI10" s="17">
        <f>P10</f>
        <v>43.1</v>
      </c>
      <c r="BJ10" s="17">
        <f>Q10</f>
        <v>100</v>
      </c>
      <c r="BK10" s="17">
        <f>0.622*7000*(BJ10/100)*(6.1078*10^((7.5*BI10)/(237.3+BI10)))/(1013.25-(6.1078*10^((7.5*BI10)/(237.3+BI10)))*BJ10/100)</f>
        <v>408.11800181338162</v>
      </c>
      <c r="BL10" s="17">
        <f>N10</f>
        <v>24</v>
      </c>
      <c r="BM10" s="17">
        <f>BF10</f>
        <v>50</v>
      </c>
      <c r="BN10" s="17">
        <f>0.622*7000*(BM10/100)*(6.1078*10^((7.5*BL10)/(237.3+BL10)))/(1013.25-(6.1078*10^((7.5*BL10)/(237.3+BL10)))*BM10/100)</f>
        <v>65.062647806544774</v>
      </c>
      <c r="BO10" s="17">
        <f>BK10-BN10</f>
        <v>343.05535400683686</v>
      </c>
      <c r="BP10" s="17">
        <f>($E10*$G10*10.76*2+$F10*$G10*2*10.76)*$BA10*0.45</f>
        <v>4794.2772479999994</v>
      </c>
      <c r="BQ10" s="17">
        <f>($E10*$G10*10.76*2+$F10*$G10*2*10.76)*$AZ10*0.45</f>
        <v>2008.0742399999988</v>
      </c>
      <c r="BR10" s="17">
        <f>($E10*$F10*10.76)*$AZ10*0.45</f>
        <v>627.52319999999963</v>
      </c>
      <c r="BS10" s="17">
        <f>($E10*$F10*10.76)*$BA10*0.45</f>
        <v>1498.21164</v>
      </c>
      <c r="BT10" s="17">
        <f>$H10*285*1.08*$BA10</f>
        <v>10582.163999999999</v>
      </c>
      <c r="BU10" s="17">
        <f>$I10*1000*3.412</f>
        <v>6824</v>
      </c>
      <c r="BV10" s="17">
        <f>$J10*$X10*3.412</f>
        <v>578.23163999999997</v>
      </c>
      <c r="BW10" s="17">
        <f>$K10*1.08*375*$AZ10</f>
        <v>17495.999999999989</v>
      </c>
      <c r="BX10" s="17">
        <f>($AA10+$AB10)*1.08*$BA10</f>
        <v>16983.247723315199</v>
      </c>
      <c r="BY10" s="17"/>
      <c r="BZ10" s="17">
        <f>$H10*200*0.68*$BO10</f>
        <v>46655.528144929813</v>
      </c>
      <c r="CA10" s="17">
        <f>$K10*375*0.68*$BO10</f>
        <v>262437.34581523022</v>
      </c>
      <c r="CB10" s="17">
        <f>($AA10+$AB10)*0.68*$BO10</f>
        <v>106699.95369662697</v>
      </c>
      <c r="CC10" s="17">
        <f>($Z10-$AA10)*0.68*$BO10</f>
        <v>453474.80321066466</v>
      </c>
      <c r="CD10" s="17">
        <f>$BP10+$BT10+$BU10+$BV10+$BW10+$BX10</f>
        <v>57257.920611315189</v>
      </c>
      <c r="CE10" s="17">
        <f>$BZ10+$CA10+$CB10+$CC10</f>
        <v>869267.63086745166</v>
      </c>
      <c r="CF10" s="17">
        <f>$CD10+$CE10</f>
        <v>926525.55147876684</v>
      </c>
      <c r="CG10" s="17">
        <f>CONVERT(N10,"C","F")-CONVERT((N10-8),"C","F")</f>
        <v>14.400000000000006</v>
      </c>
      <c r="CH10" s="17">
        <f>CONVERT(T10,"C","F")-CONVERT(N10,"C","F")</f>
        <v>-73.080000000000013</v>
      </c>
      <c r="CI10" s="17">
        <f>CL10-8</f>
        <v>16</v>
      </c>
      <c r="CJ10" s="17">
        <f>O10+40</f>
        <v>90</v>
      </c>
      <c r="CK10" s="17">
        <f>0.622*7000*(CJ10/100)*(6.1078*10^((7.5*CI10)/(237.3+CI10)))/(1013.25-(6.1078*10^((7.5*CI10)/(237.3+CI10)))*CJ10/100)</f>
        <v>71.46880726181422</v>
      </c>
      <c r="CL10" s="17">
        <f>N10</f>
        <v>24</v>
      </c>
      <c r="CM10" s="17">
        <f>O10</f>
        <v>50</v>
      </c>
      <c r="CN10" s="17">
        <f>0.622*7000*(CM10/100)*(6.1078*10^((7.5*CL10)/(237.3+CL10)))/(1013.25-(6.1078*10^((7.5*CL10)/(237.3+CL10)))*CM10/100)</f>
        <v>65.062647806544774</v>
      </c>
      <c r="CO10" s="17">
        <f>CK10-CN10</f>
        <v>6.4061594552694459</v>
      </c>
      <c r="CP10" s="17">
        <f>T10</f>
        <v>-16.600000000000001</v>
      </c>
      <c r="CQ10" s="17">
        <f>U10</f>
        <v>8</v>
      </c>
      <c r="CR10" s="17">
        <f>0.622*7000*(CQ10/100)*(6.1078*10^((7.5*CP10)/(237.3+CP10)))/(1013.25-(6.1078*10^((7.5*CP10)/(237.3+CP10)))*CQ10/100)</f>
        <v>0.57291417407581968</v>
      </c>
      <c r="CS10" s="17">
        <f>CL10</f>
        <v>24</v>
      </c>
      <c r="CT10" s="17">
        <f>O10</f>
        <v>50</v>
      </c>
      <c r="CU10" s="17">
        <f>0.622*7000*(CT10/100)*(6.1078*10^((7.5*CS10)/(237.3+CS10)))/(1013.25-(6.1078*10^((7.5*CS10)/(237.3+CS10)))*CT10/100)</f>
        <v>65.062647806544774</v>
      </c>
      <c r="CV10" s="17">
        <f>CR10-CU10</f>
        <v>-64.489733632468955</v>
      </c>
      <c r="CW10" s="17">
        <f t="shared" ref="CW10:CX18" si="0">($E10*$G10*10.76*2+$F10*$G10*2*10.76)*$CH10*0.45</f>
        <v>-10190.976768</v>
      </c>
      <c r="CX10" s="17">
        <f t="shared" si="0"/>
        <v>-10190.976768</v>
      </c>
      <c r="CY10" s="17">
        <f>($E10*$F10*10.76)*$CG10*0.45</f>
        <v>627.52320000000032</v>
      </c>
      <c r="CZ10" s="17">
        <f>($E10*$F10*10.76)*$CH10*0.45</f>
        <v>-3184.6802400000006</v>
      </c>
      <c r="DA10" s="17">
        <f>$H10*285*1.08*$CH10</f>
        <v>-22494.024000000005</v>
      </c>
      <c r="DB10" s="17">
        <f>$I10*1000*3.412</f>
        <v>6824</v>
      </c>
      <c r="DC10" s="17">
        <f>$J10*$X10*3.412</f>
        <v>578.23163999999997</v>
      </c>
      <c r="DD10" s="17">
        <f>$K10*1.08*375*$CG10</f>
        <v>17496.000000000007</v>
      </c>
      <c r="DE10" s="17">
        <f>($AA10+$AB10)*1.08*$CH10</f>
        <v>-36100.516102963207</v>
      </c>
      <c r="DF10" s="17"/>
      <c r="DG10" s="17">
        <f>$H10*200*0.68*CV10</f>
        <v>-8770.6037740157772</v>
      </c>
      <c r="DH10" s="17">
        <f>$K10*375*0.68*CV10</f>
        <v>-49334.646228838748</v>
      </c>
      <c r="DI10" s="17">
        <f>(AA10+AB10)*0.68*CV10</f>
        <v>-20058.137883937849</v>
      </c>
      <c r="DJ10" s="17">
        <f>(Z10-AA10)*0.68*CO10</f>
        <v>8468.1141523783226</v>
      </c>
      <c r="DK10" s="17">
        <f>CW10+CZ10+CY10+DA10+DB10+DC10+DD10+DE10</f>
        <v>-46444.442270963205</v>
      </c>
      <c r="DL10" s="17">
        <f>DG10+DH10+DI10+DJ10</f>
        <v>-69695.273734414048</v>
      </c>
      <c r="DM10" s="17">
        <f>DK10+DL10</f>
        <v>-116139.71600537725</v>
      </c>
    </row>
    <row r="11" spans="3:119" ht="18.600000000000001">
      <c r="C11" s="13"/>
      <c r="D11" s="14" t="s">
        <v>201</v>
      </c>
      <c r="E11" s="14">
        <v>1.8</v>
      </c>
      <c r="F11" s="14">
        <v>2.2000000000000002</v>
      </c>
      <c r="G11" s="14">
        <v>2.4</v>
      </c>
      <c r="H11" s="14">
        <v>2</v>
      </c>
      <c r="I11" s="14">
        <v>1</v>
      </c>
      <c r="J11" s="14">
        <v>1.75</v>
      </c>
      <c r="K11" s="14">
        <v>3</v>
      </c>
      <c r="L11" s="15">
        <v>0.15</v>
      </c>
      <c r="M11" s="15">
        <v>0.05</v>
      </c>
      <c r="N11" s="14">
        <v>24</v>
      </c>
      <c r="O11" s="14">
        <v>50</v>
      </c>
      <c r="P11" s="13">
        <v>45</v>
      </c>
      <c r="Q11" s="13">
        <v>85</v>
      </c>
      <c r="R11" s="13" t="s">
        <v>17</v>
      </c>
      <c r="S11" s="13">
        <v>180</v>
      </c>
      <c r="T11" s="13">
        <v>0</v>
      </c>
      <c r="U11" s="13">
        <v>100</v>
      </c>
      <c r="V11" s="13" t="str">
        <f t="shared" ref="V11:V18" si="1">R11</f>
        <v>ISO 6</v>
      </c>
      <c r="W11" s="13">
        <f t="shared" ref="W11:W18" si="2">S11</f>
        <v>180</v>
      </c>
      <c r="X11" s="16">
        <f t="shared" ref="X11:X18" si="3">E11*F11*10.76</f>
        <v>42.6096</v>
      </c>
      <c r="Y11" s="16">
        <f t="shared" ref="Y11:Y18" si="4">X11*G11*3.28</f>
        <v>335.4227712</v>
      </c>
      <c r="Z11" s="16">
        <f t="shared" ref="Z11:Z18" si="5">Y11*S11/60</f>
        <v>1006.2683135999999</v>
      </c>
      <c r="AA11" s="16">
        <f t="shared" ref="AA11:AA18" si="6">Z11*L11</f>
        <v>150.94024703999997</v>
      </c>
      <c r="AB11" s="16">
        <f t="shared" ref="AB11:AB18" si="7">Z11*M11</f>
        <v>50.313415679999999</v>
      </c>
      <c r="AC11" s="16">
        <f t="shared" ref="AC11:AC18" si="8">IF(ISNUMBER(N11), (AA11*0.075*60/2.20462)*BO11/7000, "Ambient")</f>
        <v>13.885311512514399</v>
      </c>
      <c r="AD11" s="16">
        <f t="shared" ref="AD11:AD17" si="9">IF(ISNUMBER(N11), CEILING(CE11/(0.68*BO11),25), "Ambient")</f>
        <v>2600</v>
      </c>
      <c r="AE11" s="16">
        <f t="shared" ref="AE11:AE18" si="10">CEILING(MAX((Z11+AA11),AD11),25)</f>
        <v>2600</v>
      </c>
      <c r="AF11" s="16">
        <f t="shared" ref="AF11:AF18" si="11">CEILING(IF(OR($R11="ISO 6",$R11="GRADE B",$R11="1K",$R11=1000,$R11="ISO 5",$R11="GRADE A",$R11=100),AE11*1/100,IF(OR($R11="ISO 7",$R11="GRADE C",$R11="10K",$R11=10000),$AE11*1/250,IF(OR($R11="ISO 8",$R11="GRADE D",$R11="100K",$R11=100000),$AE11*1/250,IF(OR($R11="NC",$R11="20 Micron",$R11="5 Micron",$R11="N C"),$AE11*1/350,0)))),2)</f>
        <v>26</v>
      </c>
      <c r="AG11" s="16">
        <f t="shared" ref="AG11:AG18" si="12">IF(ISNUMBER(N11), CEILING(MAX(AH11,AI11),0.5), "Ambient")</f>
        <v>6.5</v>
      </c>
      <c r="AH11" s="17">
        <f t="shared" ref="AH11:AH18" si="13">IF(ISNUMBER(N11), CEILING(CD11/12000,0.5), "Ambient")</f>
        <v>5</v>
      </c>
      <c r="AI11" s="17">
        <f t="shared" ref="AI11:AI18" si="14">IF(ISNUMBER(N11),CEILING(AE11/400,0.5), "Ambient")</f>
        <v>6.5</v>
      </c>
      <c r="AJ11" s="966"/>
      <c r="AK11" s="18">
        <f>IF(AJ10&lt;=2000,950,(IF(AJ10&lt;=3000,1150,(IF(AJ10&lt;=8000,1550,(IF(AJ10&lt;=10000,1750,(IF(AJ10&lt;=18000,2050,(IF(AJ10&lt;=32000,2900,(IF(AJ10&lt;=40000,3600,4000)))))))))))))</f>
        <v>3600</v>
      </c>
      <c r="AL11" s="975"/>
      <c r="AM11" s="977"/>
      <c r="AN11" s="979"/>
      <c r="AO11" s="966"/>
      <c r="AP11" s="966"/>
      <c r="AQ11" s="975"/>
      <c r="AR11" s="969"/>
      <c r="AS11" s="969"/>
      <c r="AT11" s="985"/>
      <c r="AU11" s="969"/>
      <c r="AV11" s="969"/>
      <c r="AW11" s="969"/>
      <c r="AX11" s="982"/>
      <c r="AY11" s="969"/>
      <c r="AZ11" s="17">
        <f t="shared" ref="AZ11:AZ18" si="15">-CONVERT(N11,"C","F")+CONVERT((N11+8),"C","F")</f>
        <v>14.399999999999991</v>
      </c>
      <c r="BA11" s="17">
        <f t="shared" ref="BA11:BA18" si="16">CONVERT(P11,"C","F")-CONVERT(N11,"C","F")</f>
        <v>37.799999999999997</v>
      </c>
      <c r="BB11" s="17">
        <f t="shared" ref="BB11:BB18" si="17">BE11+8</f>
        <v>32</v>
      </c>
      <c r="BC11" s="17">
        <f t="shared" ref="BC11:BC18" si="18">BF11+35</f>
        <v>85</v>
      </c>
      <c r="BD11" s="17">
        <f t="shared" ref="BD11:BD18" si="19">0.622*7000*(BC11/100)*(6.1078*10^((7.5*BB11)/(237.3+BB11)))/(1013.25-(6.1078*10^((7.5*BB11)/(237.3+BB11)))*BC11/100)</f>
        <v>180.86341983910182</v>
      </c>
      <c r="BE11" s="17">
        <f t="shared" ref="BE11:BE18" si="20">N11</f>
        <v>24</v>
      </c>
      <c r="BF11" s="17">
        <f t="shared" ref="BF11:BF18" si="21">O11</f>
        <v>50</v>
      </c>
      <c r="BG11" s="17">
        <f t="shared" ref="BG11:BG18" si="22">0.622*7000*(BF11/100)*(6.1078*10^((7.5*BE11)/(237.3+BE11)))/(1013.25-(6.1078*10^((7.5*BE11)/(237.3+BE11)))*BF11/100)</f>
        <v>65.062647806544774</v>
      </c>
      <c r="BH11" s="17">
        <f t="shared" ref="BH11:BH18" si="23">BD11-BG11</f>
        <v>115.80077203255705</v>
      </c>
      <c r="BI11" s="17">
        <f t="shared" ref="BI11:BI18" si="24">P11</f>
        <v>45</v>
      </c>
      <c r="BJ11" s="17">
        <f t="shared" ref="BJ11:BJ18" si="25">Q11</f>
        <v>85</v>
      </c>
      <c r="BK11" s="17">
        <f t="shared" ref="BK11:BK18" si="26">0.622*7000*(BJ11/100)*(6.1078*10^((7.5*BI11)/(237.3+BI11)))/(1013.25-(6.1078*10^((7.5*BI11)/(237.3+BI11)))*BJ11/100)</f>
        <v>380.54120080897206</v>
      </c>
      <c r="BL11" s="17">
        <f t="shared" ref="BL11:BL18" si="27">BE11</f>
        <v>24</v>
      </c>
      <c r="BM11" s="17">
        <f t="shared" ref="BM11:BM18" si="28">BF11</f>
        <v>50</v>
      </c>
      <c r="BN11" s="17">
        <f t="shared" ref="BN11:BN18" si="29">0.622*7000*(BM11/100)*(6.1078*10^((7.5*BL11)/(237.3+BL11)))/(1013.25-(6.1078*10^((7.5*BL11)/(237.3+BL11)))*BM11/100)</f>
        <v>65.062647806544774</v>
      </c>
      <c r="BO11" s="17">
        <f t="shared" ref="BO11:BO18" si="30">BK11-BN11</f>
        <v>315.4785530024273</v>
      </c>
      <c r="BP11" s="17">
        <f t="shared" ref="BP11:BP18" si="31">(E11*G11*10.76*2+F11*G11*2*10.76)*BA11*0.45</f>
        <v>3514.1299199999999</v>
      </c>
      <c r="BQ11" s="17">
        <f t="shared" ref="BQ11:BQ18" si="32">(E11*G11*10.76*2+F11*G11*2*10.76)*AZ11*0.45</f>
        <v>1338.7161599999993</v>
      </c>
      <c r="BR11" s="17">
        <f t="shared" ref="BR11:BR18" si="33">(E11*F11*10.76)*AZ11*0.45</f>
        <v>276.11020799999983</v>
      </c>
      <c r="BS11" s="17">
        <f t="shared" ref="BS11:BS18" si="34">(E11*F11*10.76)*BA11*0.45</f>
        <v>724.78929599999992</v>
      </c>
      <c r="BT11" s="17">
        <f t="shared" ref="BT11:BT18" si="35">H11*285*1.08*BA11</f>
        <v>23269.68</v>
      </c>
      <c r="BU11" s="17">
        <f t="shared" ref="BU11:BU18" si="36">I11*1000*3.412</f>
        <v>3412</v>
      </c>
      <c r="BV11" s="17">
        <f t="shared" ref="BV11:BV18" si="37">J11*X11*3.412</f>
        <v>254.42192159999999</v>
      </c>
      <c r="BW11" s="17">
        <f t="shared" ref="BW11:BW18" si="38">K11*1.08*375*AZ11</f>
        <v>17495.999999999989</v>
      </c>
      <c r="BX11" s="17">
        <f t="shared" ref="BX11:BX18" si="39">(AA11+AB11)*1.08*BA11</f>
        <v>8215.9795268812795</v>
      </c>
      <c r="BY11" s="17"/>
      <c r="BZ11" s="17">
        <f t="shared" ref="BZ11:BZ18" si="40">H11*200*0.68*BO11</f>
        <v>85810.166416660228</v>
      </c>
      <c r="CA11" s="17">
        <f t="shared" ref="CA11:CA18" si="41">K11*375*0.68*BO11</f>
        <v>241341.0930468569</v>
      </c>
      <c r="CB11" s="17">
        <f t="shared" ref="CB11:CB18" si="42">(AA11+AB11)*0.68*BO11</f>
        <v>43174.02572491402</v>
      </c>
      <c r="CC11" s="17">
        <f t="shared" ref="CC11:CC18" si="43">($Z11-$AA11)*0.68*$BO11</f>
        <v>183489.60933088462</v>
      </c>
      <c r="CD11" s="17">
        <f t="shared" ref="CD11:CD18" si="44">$BP11+$BT11+$BU11+$BV11+$BW11+$BX11</f>
        <v>56162.211368481272</v>
      </c>
      <c r="CE11" s="17">
        <f t="shared" ref="CE11:CE18" si="45">$BZ11+$CA11+$CB11+$CC11</f>
        <v>553814.8945193158</v>
      </c>
      <c r="CF11" s="17">
        <f t="shared" ref="CF11:CF18" si="46">$CD11+$CE11</f>
        <v>609977.10588779708</v>
      </c>
      <c r="CG11" s="17">
        <f t="shared" ref="CG11:CG18" si="47">CONVERT(N11,"C","F")-CONVERT((N11-8),"C","F")</f>
        <v>14.400000000000006</v>
      </c>
      <c r="CH11" s="17">
        <f t="shared" ref="CH11:CH18" si="48">CONVERT(T11,"C","F")-CONVERT(N11,"C","F")</f>
        <v>-43.2</v>
      </c>
      <c r="CI11" s="17">
        <f t="shared" ref="CI11:CI18" si="49">CL11-8</f>
        <v>16</v>
      </c>
      <c r="CJ11" s="17">
        <f t="shared" ref="CJ11:CJ18" si="50">O11+40</f>
        <v>90</v>
      </c>
      <c r="CK11" s="17">
        <f t="shared" ref="CK11:CK18" si="51">0.622*7000*(CJ11/100)*(6.1078*10^((7.5*CI11)/(237.3+CI11)))/(1013.25-(6.1078*10^((7.5*CI11)/(237.3+CI11)))*CJ11/100)</f>
        <v>71.46880726181422</v>
      </c>
      <c r="CL11" s="17">
        <f t="shared" ref="CL11:CL18" si="52">N11</f>
        <v>24</v>
      </c>
      <c r="CM11" s="17">
        <f t="shared" ref="CM11:CM18" si="53">O11</f>
        <v>50</v>
      </c>
      <c r="CN11" s="17">
        <f t="shared" ref="CN11:CN18" si="54">0.622*7000*(CM11/100)*(6.1078*10^((7.5*CL11)/(237.3+CL11)))/(1013.25-(6.1078*10^((7.5*CL11)/(237.3+CL11)))*CM11/100)</f>
        <v>65.062647806544774</v>
      </c>
      <c r="CO11" s="17">
        <f t="shared" ref="CO11:CO18" si="55">CK11-CN11</f>
        <v>6.4061594552694459</v>
      </c>
      <c r="CP11" s="17">
        <f t="shared" ref="CP11:CP18" si="56">T11</f>
        <v>0</v>
      </c>
      <c r="CQ11" s="17">
        <f t="shared" ref="CQ11:CQ18" si="57">U11</f>
        <v>100</v>
      </c>
      <c r="CR11" s="17">
        <f t="shared" ref="CR11:CR18" si="58">0.622*7000*(CQ11/100)*(6.1078*10^((7.5*CP11)/(237.3+CP11)))/(1013.25-(6.1078*10^((7.5*CP11)/(237.3+CP11)))*CQ11/100)</f>
        <v>26.404773030064671</v>
      </c>
      <c r="CS11" s="17">
        <f t="shared" ref="CS11:CS18" si="59">CL11</f>
        <v>24</v>
      </c>
      <c r="CT11" s="17">
        <f t="shared" ref="CT11:CT18" si="60">O11</f>
        <v>50</v>
      </c>
      <c r="CU11" s="17">
        <f t="shared" ref="CU11:CU18" si="61">0.622*7000*(CT11/100)*(6.1078*10^((7.5*CS11)/(237.3+CS11)))/(1013.25-(6.1078*10^((7.5*CS11)/(237.3+CS11)))*CT11/100)</f>
        <v>65.062647806544774</v>
      </c>
      <c r="CV11" s="17">
        <f t="shared" ref="CV11:CV18" si="62">CR11-CU11</f>
        <v>-38.657874776480099</v>
      </c>
      <c r="CW11" s="17">
        <f t="shared" si="0"/>
        <v>-4016.1484800000003</v>
      </c>
      <c r="CX11" s="17">
        <f t="shared" si="0"/>
        <v>-4016.1484800000003</v>
      </c>
      <c r="CY11" s="17">
        <f t="shared" ref="CY11:CY18" si="63">($E11*$F11*10.76)*$CG11*0.45</f>
        <v>276.11020800000011</v>
      </c>
      <c r="CZ11" s="17">
        <f t="shared" ref="CZ11:CZ18" si="64">($E11*$F11*10.76)*$CH11*0.45</f>
        <v>-828.33062400000006</v>
      </c>
      <c r="DA11" s="17">
        <f t="shared" ref="DA11:DA18" si="65">$H11*285*1.08*$CH11</f>
        <v>-26593.920000000002</v>
      </c>
      <c r="DB11" s="17">
        <f t="shared" ref="DB11:DB18" si="66">$I11*1000*3.412</f>
        <v>3412</v>
      </c>
      <c r="DC11" s="17">
        <f t="shared" ref="DC11:DC18" si="67">$J11*$X11*3.412</f>
        <v>254.42192159999999</v>
      </c>
      <c r="DD11" s="17">
        <f t="shared" ref="DD11:DD18" si="68">$K11*1.08*375*$CG11</f>
        <v>17496.000000000007</v>
      </c>
      <c r="DE11" s="17">
        <f t="shared" ref="DE11:DE18" si="69">($AA11+$AB11)*1.08*$CH11</f>
        <v>-9389.6908878643208</v>
      </c>
      <c r="DF11" s="17"/>
      <c r="DG11" s="17">
        <f t="shared" ref="DG11:DG18" si="70">$H11*200*0.68*CV11</f>
        <v>-10514.941939202587</v>
      </c>
      <c r="DH11" s="17">
        <f t="shared" ref="DH11:DH18" si="71">$K11*375*0.68*CV11</f>
        <v>-29573.274204007277</v>
      </c>
      <c r="DI11" s="17">
        <f t="shared" ref="DI11:DI18" si="72">(AA11+AB11)*0.68*CV11</f>
        <v>-5290.4264463816498</v>
      </c>
      <c r="DJ11" s="17">
        <f t="shared" ref="DJ11:DJ18" si="73">(Z11-AA11)*0.68*CO11</f>
        <v>3725.9702270464613</v>
      </c>
      <c r="DK11" s="17">
        <f t="shared" ref="DK11:DK18" si="74">CW11+CZ11+CY11+DA11+DB11+DC11+DD11+DE11</f>
        <v>-19389.557862264315</v>
      </c>
      <c r="DL11" s="17">
        <f t="shared" ref="DL11:DL18" si="75">DG11+DH11+DI11+DJ11</f>
        <v>-41652.672362545054</v>
      </c>
      <c r="DM11" s="17">
        <f t="shared" ref="DM11:DM18" si="76">DK11+DL11</f>
        <v>-61042.230224809369</v>
      </c>
    </row>
    <row r="12" spans="3:119" ht="18.600000000000001">
      <c r="C12" s="13"/>
      <c r="D12" s="14" t="s">
        <v>202</v>
      </c>
      <c r="E12" s="14">
        <v>1.5</v>
      </c>
      <c r="F12" s="14">
        <v>2.8</v>
      </c>
      <c r="G12" s="14">
        <v>2.4</v>
      </c>
      <c r="H12" s="14">
        <v>2</v>
      </c>
      <c r="I12" s="14">
        <v>3</v>
      </c>
      <c r="J12" s="14">
        <v>1.75</v>
      </c>
      <c r="K12" s="14">
        <v>3</v>
      </c>
      <c r="L12" s="15">
        <v>0.15</v>
      </c>
      <c r="M12" s="15">
        <v>0.05</v>
      </c>
      <c r="N12" s="14">
        <v>24</v>
      </c>
      <c r="O12" s="14">
        <v>50</v>
      </c>
      <c r="P12" s="13">
        <v>45</v>
      </c>
      <c r="Q12" s="13">
        <v>85</v>
      </c>
      <c r="R12" s="13" t="s">
        <v>17</v>
      </c>
      <c r="S12" s="13">
        <v>180</v>
      </c>
      <c r="T12" s="13">
        <v>0</v>
      </c>
      <c r="U12" s="13">
        <v>100</v>
      </c>
      <c r="V12" s="13" t="str">
        <f t="shared" si="1"/>
        <v>ISO 6</v>
      </c>
      <c r="W12" s="13">
        <f t="shared" si="2"/>
        <v>180</v>
      </c>
      <c r="X12" s="16">
        <f t="shared" si="3"/>
        <v>45.191999999999993</v>
      </c>
      <c r="Y12" s="16">
        <f t="shared" si="4"/>
        <v>355.75142399999993</v>
      </c>
      <c r="Z12" s="16">
        <f t="shared" si="5"/>
        <v>1067.2542719999997</v>
      </c>
      <c r="AA12" s="16">
        <f t="shared" si="6"/>
        <v>160.08814079999993</v>
      </c>
      <c r="AB12" s="16">
        <f t="shared" si="7"/>
        <v>53.362713599999985</v>
      </c>
      <c r="AC12" s="16">
        <f t="shared" si="8"/>
        <v>14.726845543575877</v>
      </c>
      <c r="AD12" s="16">
        <f t="shared" si="9"/>
        <v>2650</v>
      </c>
      <c r="AE12" s="16">
        <f t="shared" si="10"/>
        <v>2650</v>
      </c>
      <c r="AF12" s="16">
        <f t="shared" si="11"/>
        <v>28</v>
      </c>
      <c r="AG12" s="16">
        <f t="shared" si="12"/>
        <v>7</v>
      </c>
      <c r="AH12" s="17">
        <f t="shared" si="13"/>
        <v>5.5</v>
      </c>
      <c r="AI12" s="17">
        <f t="shared" si="14"/>
        <v>7</v>
      </c>
      <c r="AJ12" s="966"/>
      <c r="AK12" s="18" t="s">
        <v>255</v>
      </c>
      <c r="AL12" s="975"/>
      <c r="AM12" s="977"/>
      <c r="AN12" s="979"/>
      <c r="AO12" s="966"/>
      <c r="AP12" s="966"/>
      <c r="AQ12" s="975"/>
      <c r="AR12" s="969"/>
      <c r="AS12" s="969"/>
      <c r="AT12" s="985"/>
      <c r="AU12" s="969"/>
      <c r="AV12" s="969"/>
      <c r="AW12" s="969"/>
      <c r="AX12" s="982"/>
      <c r="AY12" s="969"/>
      <c r="AZ12" s="17">
        <f t="shared" si="15"/>
        <v>14.399999999999991</v>
      </c>
      <c r="BA12" s="17">
        <f t="shared" si="16"/>
        <v>37.799999999999997</v>
      </c>
      <c r="BB12" s="17">
        <f t="shared" si="17"/>
        <v>32</v>
      </c>
      <c r="BC12" s="17">
        <f t="shared" si="18"/>
        <v>85</v>
      </c>
      <c r="BD12" s="17">
        <f t="shared" si="19"/>
        <v>180.86341983910182</v>
      </c>
      <c r="BE12" s="17">
        <f t="shared" si="20"/>
        <v>24</v>
      </c>
      <c r="BF12" s="17">
        <f t="shared" si="21"/>
        <v>50</v>
      </c>
      <c r="BG12" s="17">
        <f t="shared" si="22"/>
        <v>65.062647806544774</v>
      </c>
      <c r="BH12" s="17">
        <f t="shared" si="23"/>
        <v>115.80077203255705</v>
      </c>
      <c r="BI12" s="17">
        <f t="shared" si="24"/>
        <v>45</v>
      </c>
      <c r="BJ12" s="17">
        <f t="shared" si="25"/>
        <v>85</v>
      </c>
      <c r="BK12" s="17">
        <f t="shared" si="26"/>
        <v>380.54120080897206</v>
      </c>
      <c r="BL12" s="17">
        <f t="shared" si="27"/>
        <v>24</v>
      </c>
      <c r="BM12" s="17">
        <f t="shared" si="28"/>
        <v>50</v>
      </c>
      <c r="BN12" s="17">
        <f t="shared" si="29"/>
        <v>65.062647806544774</v>
      </c>
      <c r="BO12" s="17">
        <f t="shared" si="30"/>
        <v>315.4785530024273</v>
      </c>
      <c r="BP12" s="17">
        <f t="shared" si="31"/>
        <v>3777.6896639999995</v>
      </c>
      <c r="BQ12" s="17">
        <f t="shared" si="32"/>
        <v>1439.1198719999991</v>
      </c>
      <c r="BR12" s="17">
        <f t="shared" si="33"/>
        <v>292.84415999999976</v>
      </c>
      <c r="BS12" s="17">
        <f t="shared" si="34"/>
        <v>768.71591999999987</v>
      </c>
      <c r="BT12" s="17">
        <f t="shared" si="35"/>
        <v>23269.68</v>
      </c>
      <c r="BU12" s="17">
        <f t="shared" si="36"/>
        <v>10236</v>
      </c>
      <c r="BV12" s="17">
        <f t="shared" si="37"/>
        <v>269.84143199999994</v>
      </c>
      <c r="BW12" s="17">
        <f t="shared" si="38"/>
        <v>17495.999999999989</v>
      </c>
      <c r="BX12" s="17">
        <f t="shared" si="39"/>
        <v>8713.9176800255973</v>
      </c>
      <c r="BY12" s="17"/>
      <c r="BZ12" s="17">
        <f t="shared" si="40"/>
        <v>85810.166416660228</v>
      </c>
      <c r="CA12" s="17">
        <f t="shared" si="41"/>
        <v>241341.0930468569</v>
      </c>
      <c r="CB12" s="17">
        <f t="shared" si="42"/>
        <v>45790.633344605762</v>
      </c>
      <c r="CC12" s="17">
        <f t="shared" si="43"/>
        <v>194610.19171457452</v>
      </c>
      <c r="CD12" s="17">
        <f t="shared" si="44"/>
        <v>63763.12877602558</v>
      </c>
      <c r="CE12" s="17">
        <f t="shared" si="45"/>
        <v>567552.08452269738</v>
      </c>
      <c r="CF12" s="17">
        <f t="shared" si="46"/>
        <v>631315.21329872299</v>
      </c>
      <c r="CG12" s="17">
        <f t="shared" si="47"/>
        <v>14.400000000000006</v>
      </c>
      <c r="CH12" s="17">
        <f t="shared" si="48"/>
        <v>-43.2</v>
      </c>
      <c r="CI12" s="17">
        <f t="shared" si="49"/>
        <v>16</v>
      </c>
      <c r="CJ12" s="17">
        <f t="shared" si="50"/>
        <v>90</v>
      </c>
      <c r="CK12" s="17">
        <f t="shared" si="51"/>
        <v>71.46880726181422</v>
      </c>
      <c r="CL12" s="17">
        <f t="shared" si="52"/>
        <v>24</v>
      </c>
      <c r="CM12" s="17">
        <f t="shared" si="53"/>
        <v>50</v>
      </c>
      <c r="CN12" s="17">
        <f t="shared" si="54"/>
        <v>65.062647806544774</v>
      </c>
      <c r="CO12" s="17">
        <f t="shared" si="55"/>
        <v>6.4061594552694459</v>
      </c>
      <c r="CP12" s="17">
        <f t="shared" si="56"/>
        <v>0</v>
      </c>
      <c r="CQ12" s="17">
        <f t="shared" si="57"/>
        <v>100</v>
      </c>
      <c r="CR12" s="17">
        <f t="shared" si="58"/>
        <v>26.404773030064671</v>
      </c>
      <c r="CS12" s="17">
        <f t="shared" si="59"/>
        <v>24</v>
      </c>
      <c r="CT12" s="17">
        <f t="shared" si="60"/>
        <v>50</v>
      </c>
      <c r="CU12" s="17">
        <f t="shared" si="61"/>
        <v>65.062647806544774</v>
      </c>
      <c r="CV12" s="17">
        <f t="shared" si="62"/>
        <v>-38.657874776480099</v>
      </c>
      <c r="CW12" s="17">
        <f t="shared" si="0"/>
        <v>-4317.3596159999997</v>
      </c>
      <c r="CX12" s="17">
        <f t="shared" si="0"/>
        <v>-4317.3596159999997</v>
      </c>
      <c r="CY12" s="17">
        <f t="shared" si="63"/>
        <v>292.8441600000001</v>
      </c>
      <c r="CZ12" s="17">
        <f t="shared" si="64"/>
        <v>-878.53247999999996</v>
      </c>
      <c r="DA12" s="17">
        <f t="shared" si="65"/>
        <v>-26593.920000000002</v>
      </c>
      <c r="DB12" s="17">
        <f t="shared" si="66"/>
        <v>10236</v>
      </c>
      <c r="DC12" s="17">
        <f t="shared" si="67"/>
        <v>269.84143199999994</v>
      </c>
      <c r="DD12" s="17">
        <f t="shared" si="68"/>
        <v>17496.000000000007</v>
      </c>
      <c r="DE12" s="17">
        <f t="shared" si="69"/>
        <v>-9958.7630628863972</v>
      </c>
      <c r="DF12" s="17"/>
      <c r="DG12" s="17">
        <f t="shared" si="70"/>
        <v>-10514.941939202587</v>
      </c>
      <c r="DH12" s="17">
        <f t="shared" si="71"/>
        <v>-29573.274204007277</v>
      </c>
      <c r="DI12" s="17">
        <f t="shared" si="72"/>
        <v>-5611.0583522229599</v>
      </c>
      <c r="DJ12" s="17">
        <f t="shared" si="73"/>
        <v>3951.7866044432153</v>
      </c>
      <c r="DK12" s="17">
        <f t="shared" si="74"/>
        <v>-13453.88956688639</v>
      </c>
      <c r="DL12" s="17">
        <f t="shared" si="75"/>
        <v>-41747.487890989607</v>
      </c>
      <c r="DM12" s="17">
        <f t="shared" si="76"/>
        <v>-55201.377457875999</v>
      </c>
    </row>
    <row r="13" spans="3:119" ht="18.600000000000001">
      <c r="C13" s="13"/>
      <c r="D13" s="14" t="s">
        <v>203</v>
      </c>
      <c r="E13" s="14">
        <v>2.1</v>
      </c>
      <c r="F13" s="14">
        <v>3.5</v>
      </c>
      <c r="G13" s="14">
        <v>2.4</v>
      </c>
      <c r="H13" s="14">
        <v>0</v>
      </c>
      <c r="I13" s="14">
        <v>1</v>
      </c>
      <c r="J13" s="14">
        <v>1.75</v>
      </c>
      <c r="K13" s="14">
        <v>3</v>
      </c>
      <c r="L13" s="15">
        <v>0.15</v>
      </c>
      <c r="M13" s="15">
        <v>0.05</v>
      </c>
      <c r="N13" s="14">
        <v>24</v>
      </c>
      <c r="O13" s="14">
        <v>50</v>
      </c>
      <c r="P13" s="13">
        <v>45</v>
      </c>
      <c r="Q13" s="13">
        <v>85</v>
      </c>
      <c r="R13" s="13" t="s">
        <v>17</v>
      </c>
      <c r="S13" s="13">
        <v>180</v>
      </c>
      <c r="T13" s="13">
        <v>0</v>
      </c>
      <c r="U13" s="13">
        <v>100</v>
      </c>
      <c r="V13" s="13" t="str">
        <f t="shared" si="1"/>
        <v>ISO 6</v>
      </c>
      <c r="W13" s="13">
        <f t="shared" si="2"/>
        <v>180</v>
      </c>
      <c r="X13" s="16">
        <f t="shared" si="3"/>
        <v>79.085999999999999</v>
      </c>
      <c r="Y13" s="16">
        <f t="shared" si="4"/>
        <v>622.56499199999996</v>
      </c>
      <c r="Z13" s="16">
        <f t="shared" si="5"/>
        <v>1867.6949759999998</v>
      </c>
      <c r="AA13" s="16">
        <f t="shared" si="6"/>
        <v>280.15424639999998</v>
      </c>
      <c r="AB13" s="16">
        <f t="shared" si="7"/>
        <v>93.384748799999997</v>
      </c>
      <c r="AC13" s="16">
        <f t="shared" si="8"/>
        <v>25.771979701257791</v>
      </c>
      <c r="AD13" s="16">
        <f t="shared" si="9"/>
        <v>3100</v>
      </c>
      <c r="AE13" s="16">
        <f t="shared" si="10"/>
        <v>3100</v>
      </c>
      <c r="AF13" s="16">
        <f t="shared" si="11"/>
        <v>32</v>
      </c>
      <c r="AG13" s="16">
        <f t="shared" si="12"/>
        <v>8</v>
      </c>
      <c r="AH13" s="17">
        <f t="shared" si="13"/>
        <v>3.5</v>
      </c>
      <c r="AI13" s="17">
        <f t="shared" si="14"/>
        <v>8</v>
      </c>
      <c r="AJ13" s="966"/>
      <c r="AK13" s="18">
        <f>IF(AJ10&lt;=2000,950,(IF(AJ10&lt;=4000,1100,(IF(AJ10&lt;=6000,1250,(IF(AJ10&lt;=10000,1550,(IF(AJ10&lt;=15000,1750,(IF(AJ10&lt;=24000,2050,(IF(AJ10&lt;=40000,2900,3600)))))))))))))</f>
        <v>2900</v>
      </c>
      <c r="AL13" s="975"/>
      <c r="AM13" s="977"/>
      <c r="AN13" s="979"/>
      <c r="AO13" s="966"/>
      <c r="AP13" s="966"/>
      <c r="AQ13" s="975"/>
      <c r="AR13" s="969"/>
      <c r="AS13" s="969"/>
      <c r="AT13" s="985"/>
      <c r="AU13" s="969"/>
      <c r="AV13" s="969"/>
      <c r="AW13" s="969"/>
      <c r="AX13" s="982"/>
      <c r="AY13" s="969"/>
      <c r="AZ13" s="17">
        <f t="shared" si="15"/>
        <v>14.399999999999991</v>
      </c>
      <c r="BA13" s="17">
        <f t="shared" si="16"/>
        <v>37.799999999999997</v>
      </c>
      <c r="BB13" s="17">
        <f t="shared" si="17"/>
        <v>32</v>
      </c>
      <c r="BC13" s="17">
        <f t="shared" si="18"/>
        <v>85</v>
      </c>
      <c r="BD13" s="17">
        <f t="shared" si="19"/>
        <v>180.86341983910182</v>
      </c>
      <c r="BE13" s="17">
        <f t="shared" si="20"/>
        <v>24</v>
      </c>
      <c r="BF13" s="17">
        <f t="shared" si="21"/>
        <v>50</v>
      </c>
      <c r="BG13" s="17">
        <f t="shared" si="22"/>
        <v>65.062647806544774</v>
      </c>
      <c r="BH13" s="17">
        <f t="shared" si="23"/>
        <v>115.80077203255705</v>
      </c>
      <c r="BI13" s="17">
        <f t="shared" si="24"/>
        <v>45</v>
      </c>
      <c r="BJ13" s="17">
        <f t="shared" si="25"/>
        <v>85</v>
      </c>
      <c r="BK13" s="17">
        <f t="shared" si="26"/>
        <v>380.54120080897206</v>
      </c>
      <c r="BL13" s="17">
        <f t="shared" si="27"/>
        <v>24</v>
      </c>
      <c r="BM13" s="17">
        <f t="shared" si="28"/>
        <v>50</v>
      </c>
      <c r="BN13" s="17">
        <f t="shared" si="29"/>
        <v>65.062647806544774</v>
      </c>
      <c r="BO13" s="17">
        <f t="shared" si="30"/>
        <v>315.4785530024273</v>
      </c>
      <c r="BP13" s="17">
        <f t="shared" si="31"/>
        <v>4919.7818879999995</v>
      </c>
      <c r="BQ13" s="17">
        <f t="shared" si="32"/>
        <v>1874.2026239999989</v>
      </c>
      <c r="BR13" s="17">
        <f t="shared" si="33"/>
        <v>512.47727999999972</v>
      </c>
      <c r="BS13" s="17">
        <f t="shared" si="34"/>
        <v>1345.2528599999998</v>
      </c>
      <c r="BT13" s="17">
        <f t="shared" si="35"/>
        <v>0</v>
      </c>
      <c r="BU13" s="17">
        <f t="shared" si="36"/>
        <v>3412</v>
      </c>
      <c r="BV13" s="17">
        <f t="shared" si="37"/>
        <v>472.22250599999995</v>
      </c>
      <c r="BW13" s="17">
        <f t="shared" si="38"/>
        <v>17495.999999999989</v>
      </c>
      <c r="BX13" s="17">
        <f t="shared" si="39"/>
        <v>15249.355940044799</v>
      </c>
      <c r="BY13" s="17"/>
      <c r="BZ13" s="17">
        <f t="shared" si="40"/>
        <v>0</v>
      </c>
      <c r="CA13" s="17">
        <f t="shared" si="41"/>
        <v>241341.0930468569</v>
      </c>
      <c r="CB13" s="17">
        <f t="shared" si="42"/>
        <v>80133.608353060117</v>
      </c>
      <c r="CC13" s="17">
        <f t="shared" si="43"/>
        <v>340567.83550050546</v>
      </c>
      <c r="CD13" s="17">
        <f t="shared" si="44"/>
        <v>41549.360334044788</v>
      </c>
      <c r="CE13" s="17">
        <f t="shared" si="45"/>
        <v>662042.53690042254</v>
      </c>
      <c r="CF13" s="17">
        <f t="shared" si="46"/>
        <v>703591.89723446732</v>
      </c>
      <c r="CG13" s="17">
        <f t="shared" si="47"/>
        <v>14.400000000000006</v>
      </c>
      <c r="CH13" s="17">
        <f t="shared" si="48"/>
        <v>-43.2</v>
      </c>
      <c r="CI13" s="17">
        <f t="shared" si="49"/>
        <v>16</v>
      </c>
      <c r="CJ13" s="17">
        <f t="shared" si="50"/>
        <v>90</v>
      </c>
      <c r="CK13" s="17">
        <f t="shared" si="51"/>
        <v>71.46880726181422</v>
      </c>
      <c r="CL13" s="17">
        <f t="shared" si="52"/>
        <v>24</v>
      </c>
      <c r="CM13" s="17">
        <f t="shared" si="53"/>
        <v>50</v>
      </c>
      <c r="CN13" s="17">
        <f t="shared" si="54"/>
        <v>65.062647806544774</v>
      </c>
      <c r="CO13" s="17">
        <f t="shared" si="55"/>
        <v>6.4061594552694459</v>
      </c>
      <c r="CP13" s="17">
        <f t="shared" si="56"/>
        <v>0</v>
      </c>
      <c r="CQ13" s="17">
        <f t="shared" si="57"/>
        <v>100</v>
      </c>
      <c r="CR13" s="17">
        <f t="shared" si="58"/>
        <v>26.404773030064671</v>
      </c>
      <c r="CS13" s="17">
        <f t="shared" si="59"/>
        <v>24</v>
      </c>
      <c r="CT13" s="17">
        <f t="shared" si="60"/>
        <v>50</v>
      </c>
      <c r="CU13" s="17">
        <f t="shared" si="61"/>
        <v>65.062647806544774</v>
      </c>
      <c r="CV13" s="17">
        <f t="shared" si="62"/>
        <v>-38.657874776480099</v>
      </c>
      <c r="CW13" s="17">
        <f t="shared" si="0"/>
        <v>-5622.6078720000005</v>
      </c>
      <c r="CX13" s="17">
        <f t="shared" si="0"/>
        <v>-5622.6078720000005</v>
      </c>
      <c r="CY13" s="17">
        <f t="shared" si="63"/>
        <v>512.47728000000018</v>
      </c>
      <c r="CZ13" s="17">
        <f t="shared" si="64"/>
        <v>-1537.4318400000002</v>
      </c>
      <c r="DA13" s="17">
        <f t="shared" si="65"/>
        <v>0</v>
      </c>
      <c r="DB13" s="17">
        <f t="shared" si="66"/>
        <v>3412</v>
      </c>
      <c r="DC13" s="17">
        <f t="shared" si="67"/>
        <v>472.22250599999995</v>
      </c>
      <c r="DD13" s="17">
        <f t="shared" si="68"/>
        <v>17496.000000000007</v>
      </c>
      <c r="DE13" s="17">
        <f t="shared" si="69"/>
        <v>-17427.835360051202</v>
      </c>
      <c r="DF13" s="17"/>
      <c r="DG13" s="17">
        <f t="shared" si="70"/>
        <v>0</v>
      </c>
      <c r="DH13" s="17">
        <f t="shared" si="71"/>
        <v>-29573.274204007277</v>
      </c>
      <c r="DI13" s="17">
        <f t="shared" si="72"/>
        <v>-9819.3521163901842</v>
      </c>
      <c r="DJ13" s="17">
        <f t="shared" si="73"/>
        <v>6915.6265577756276</v>
      </c>
      <c r="DK13" s="17">
        <f t="shared" si="74"/>
        <v>-2695.1752860511951</v>
      </c>
      <c r="DL13" s="17">
        <f t="shared" si="75"/>
        <v>-32476.999762621832</v>
      </c>
      <c r="DM13" s="17">
        <f t="shared" si="76"/>
        <v>-35172.175048673031</v>
      </c>
    </row>
    <row r="14" spans="3:119" ht="18.600000000000001">
      <c r="C14" s="13"/>
      <c r="D14" s="14" t="s">
        <v>204</v>
      </c>
      <c r="E14" s="14">
        <v>2.7</v>
      </c>
      <c r="F14" s="14">
        <v>4</v>
      </c>
      <c r="G14" s="14">
        <v>2.4</v>
      </c>
      <c r="H14" s="14">
        <v>2</v>
      </c>
      <c r="I14" s="14">
        <v>1</v>
      </c>
      <c r="J14" s="14">
        <v>1.75</v>
      </c>
      <c r="K14" s="14">
        <v>3</v>
      </c>
      <c r="L14" s="15">
        <v>0.15</v>
      </c>
      <c r="M14" s="15">
        <v>0.05</v>
      </c>
      <c r="N14" s="14">
        <v>24</v>
      </c>
      <c r="O14" s="14">
        <v>50</v>
      </c>
      <c r="P14" s="13">
        <v>45</v>
      </c>
      <c r="Q14" s="13">
        <v>85</v>
      </c>
      <c r="R14" s="13" t="s">
        <v>17</v>
      </c>
      <c r="S14" s="13">
        <v>180</v>
      </c>
      <c r="T14" s="13">
        <v>0</v>
      </c>
      <c r="U14" s="13">
        <v>100</v>
      </c>
      <c r="V14" s="13" t="str">
        <f t="shared" si="1"/>
        <v>ISO 6</v>
      </c>
      <c r="W14" s="13">
        <f t="shared" si="2"/>
        <v>180</v>
      </c>
      <c r="X14" s="16">
        <f t="shared" si="3"/>
        <v>116.208</v>
      </c>
      <c r="Y14" s="16">
        <f t="shared" si="4"/>
        <v>914.78937599999995</v>
      </c>
      <c r="Z14" s="16">
        <f t="shared" si="5"/>
        <v>2744.3681280000001</v>
      </c>
      <c r="AA14" s="16">
        <f t="shared" si="6"/>
        <v>411.65521919999998</v>
      </c>
      <c r="AB14" s="16">
        <f t="shared" si="7"/>
        <v>137.21840640000002</v>
      </c>
      <c r="AC14" s="16">
        <f t="shared" si="8"/>
        <v>37.869031397766541</v>
      </c>
      <c r="AD14" s="16">
        <f t="shared" si="9"/>
        <v>4425</v>
      </c>
      <c r="AE14" s="16">
        <f t="shared" si="10"/>
        <v>4425</v>
      </c>
      <c r="AF14" s="16">
        <f t="shared" si="11"/>
        <v>46</v>
      </c>
      <c r="AG14" s="16">
        <f t="shared" si="12"/>
        <v>11.5</v>
      </c>
      <c r="AH14" s="17">
        <f t="shared" si="13"/>
        <v>6.5</v>
      </c>
      <c r="AI14" s="17">
        <f t="shared" si="14"/>
        <v>11.5</v>
      </c>
      <c r="AJ14" s="966"/>
      <c r="AK14" s="18" t="s">
        <v>256</v>
      </c>
      <c r="AL14" s="975"/>
      <c r="AM14" s="977"/>
      <c r="AN14" s="979"/>
      <c r="AO14" s="966"/>
      <c r="AP14" s="966"/>
      <c r="AQ14" s="975"/>
      <c r="AR14" s="969"/>
      <c r="AS14" s="969"/>
      <c r="AT14" s="985"/>
      <c r="AU14" s="969"/>
      <c r="AV14" s="969"/>
      <c r="AW14" s="969"/>
      <c r="AX14" s="982"/>
      <c r="AY14" s="969"/>
      <c r="AZ14" s="17">
        <f t="shared" si="15"/>
        <v>14.399999999999991</v>
      </c>
      <c r="BA14" s="17">
        <f t="shared" si="16"/>
        <v>37.799999999999997</v>
      </c>
      <c r="BB14" s="17">
        <f t="shared" si="17"/>
        <v>32</v>
      </c>
      <c r="BC14" s="17">
        <f t="shared" si="18"/>
        <v>85</v>
      </c>
      <c r="BD14" s="17">
        <f t="shared" si="19"/>
        <v>180.86341983910182</v>
      </c>
      <c r="BE14" s="17">
        <f t="shared" si="20"/>
        <v>24</v>
      </c>
      <c r="BF14" s="17">
        <f t="shared" si="21"/>
        <v>50</v>
      </c>
      <c r="BG14" s="17">
        <f t="shared" si="22"/>
        <v>65.062647806544774</v>
      </c>
      <c r="BH14" s="17">
        <f t="shared" si="23"/>
        <v>115.80077203255705</v>
      </c>
      <c r="BI14" s="17">
        <f t="shared" si="24"/>
        <v>45</v>
      </c>
      <c r="BJ14" s="17">
        <f t="shared" si="25"/>
        <v>85</v>
      </c>
      <c r="BK14" s="17">
        <f t="shared" si="26"/>
        <v>380.54120080897206</v>
      </c>
      <c r="BL14" s="17">
        <f t="shared" si="27"/>
        <v>24</v>
      </c>
      <c r="BM14" s="17">
        <f t="shared" si="28"/>
        <v>50</v>
      </c>
      <c r="BN14" s="17">
        <f t="shared" si="29"/>
        <v>65.062647806544774</v>
      </c>
      <c r="BO14" s="17">
        <f t="shared" si="30"/>
        <v>315.4785530024273</v>
      </c>
      <c r="BP14" s="17">
        <f t="shared" si="31"/>
        <v>5886.1676159999997</v>
      </c>
      <c r="BQ14" s="17">
        <f t="shared" si="32"/>
        <v>2242.3495679999987</v>
      </c>
      <c r="BR14" s="17">
        <f t="shared" si="33"/>
        <v>753.02783999999963</v>
      </c>
      <c r="BS14" s="17">
        <f t="shared" si="34"/>
        <v>1976.6980799999997</v>
      </c>
      <c r="BT14" s="17">
        <f t="shared" si="35"/>
        <v>23269.68</v>
      </c>
      <c r="BU14" s="17">
        <f t="shared" si="36"/>
        <v>3412</v>
      </c>
      <c r="BV14" s="17">
        <f t="shared" si="37"/>
        <v>693.87796800000001</v>
      </c>
      <c r="BW14" s="17">
        <f t="shared" si="38"/>
        <v>17495.999999999989</v>
      </c>
      <c r="BX14" s="17">
        <f t="shared" si="39"/>
        <v>22407.216891494401</v>
      </c>
      <c r="BY14" s="17"/>
      <c r="BZ14" s="17">
        <f t="shared" si="40"/>
        <v>85810.166416660228</v>
      </c>
      <c r="CA14" s="17">
        <f t="shared" si="41"/>
        <v>241341.0930468569</v>
      </c>
      <c r="CB14" s="17">
        <f t="shared" si="42"/>
        <v>117747.34288612915</v>
      </c>
      <c r="CC14" s="17">
        <f t="shared" si="43"/>
        <v>500426.20726604894</v>
      </c>
      <c r="CD14" s="17">
        <f t="shared" si="44"/>
        <v>73164.94247549439</v>
      </c>
      <c r="CE14" s="17">
        <f t="shared" si="45"/>
        <v>945324.80961569515</v>
      </c>
      <c r="CF14" s="17">
        <f t="shared" si="46"/>
        <v>1018489.7520911895</v>
      </c>
      <c r="CG14" s="17">
        <f t="shared" si="47"/>
        <v>14.400000000000006</v>
      </c>
      <c r="CH14" s="17">
        <f t="shared" si="48"/>
        <v>-43.2</v>
      </c>
      <c r="CI14" s="17">
        <f t="shared" si="49"/>
        <v>16</v>
      </c>
      <c r="CJ14" s="17">
        <f t="shared" si="50"/>
        <v>90</v>
      </c>
      <c r="CK14" s="17">
        <f t="shared" si="51"/>
        <v>71.46880726181422</v>
      </c>
      <c r="CL14" s="17">
        <f t="shared" si="52"/>
        <v>24</v>
      </c>
      <c r="CM14" s="17">
        <f t="shared" si="53"/>
        <v>50</v>
      </c>
      <c r="CN14" s="17">
        <f t="shared" si="54"/>
        <v>65.062647806544774</v>
      </c>
      <c r="CO14" s="17">
        <f t="shared" si="55"/>
        <v>6.4061594552694459</v>
      </c>
      <c r="CP14" s="17">
        <f t="shared" si="56"/>
        <v>0</v>
      </c>
      <c r="CQ14" s="17">
        <f t="shared" si="57"/>
        <v>100</v>
      </c>
      <c r="CR14" s="17">
        <f t="shared" si="58"/>
        <v>26.404773030064671</v>
      </c>
      <c r="CS14" s="17">
        <f t="shared" si="59"/>
        <v>24</v>
      </c>
      <c r="CT14" s="17">
        <f t="shared" si="60"/>
        <v>50</v>
      </c>
      <c r="CU14" s="17">
        <f t="shared" si="61"/>
        <v>65.062647806544774</v>
      </c>
      <c r="CV14" s="17">
        <f t="shared" si="62"/>
        <v>-38.657874776480099</v>
      </c>
      <c r="CW14" s="17">
        <f t="shared" si="0"/>
        <v>-6727.0487040000007</v>
      </c>
      <c r="CX14" s="17">
        <f t="shared" si="0"/>
        <v>-6727.0487040000007</v>
      </c>
      <c r="CY14" s="17">
        <f t="shared" si="63"/>
        <v>753.02784000000031</v>
      </c>
      <c r="CZ14" s="17">
        <f t="shared" si="64"/>
        <v>-2259.0835200000006</v>
      </c>
      <c r="DA14" s="17">
        <f t="shared" si="65"/>
        <v>-26593.920000000002</v>
      </c>
      <c r="DB14" s="17">
        <f t="shared" si="66"/>
        <v>3412</v>
      </c>
      <c r="DC14" s="17">
        <f t="shared" si="67"/>
        <v>693.87796800000001</v>
      </c>
      <c r="DD14" s="17">
        <f t="shared" si="68"/>
        <v>17496.000000000007</v>
      </c>
      <c r="DE14" s="17">
        <f t="shared" si="69"/>
        <v>-25608.247875993602</v>
      </c>
      <c r="DF14" s="17"/>
      <c r="DG14" s="17">
        <f t="shared" si="70"/>
        <v>-10514.941939202587</v>
      </c>
      <c r="DH14" s="17">
        <f t="shared" si="71"/>
        <v>-29573.274204007277</v>
      </c>
      <c r="DI14" s="17">
        <f t="shared" si="72"/>
        <v>-14428.435762859046</v>
      </c>
      <c r="DJ14" s="17">
        <f t="shared" si="73"/>
        <v>10161.736982853985</v>
      </c>
      <c r="DK14" s="17">
        <f t="shared" si="74"/>
        <v>-38833.394291993594</v>
      </c>
      <c r="DL14" s="17">
        <f t="shared" si="75"/>
        <v>-44354.914923214921</v>
      </c>
      <c r="DM14" s="17">
        <f t="shared" si="76"/>
        <v>-83188.309215208516</v>
      </c>
    </row>
    <row r="15" spans="3:119" ht="18.600000000000001">
      <c r="C15" s="13"/>
      <c r="D15" s="14" t="s">
        <v>205</v>
      </c>
      <c r="E15" s="14">
        <v>3.8</v>
      </c>
      <c r="F15" s="14">
        <v>4.2</v>
      </c>
      <c r="G15" s="14">
        <v>2.4</v>
      </c>
      <c r="H15" s="14">
        <v>3</v>
      </c>
      <c r="I15" s="14">
        <v>3</v>
      </c>
      <c r="J15" s="14">
        <v>1.75</v>
      </c>
      <c r="K15" s="14">
        <v>3</v>
      </c>
      <c r="L15" s="15">
        <v>0.15</v>
      </c>
      <c r="M15" s="15">
        <v>0.05</v>
      </c>
      <c r="N15" s="14">
        <v>24</v>
      </c>
      <c r="O15" s="14">
        <v>50</v>
      </c>
      <c r="P15" s="13">
        <v>45</v>
      </c>
      <c r="Q15" s="13">
        <v>85</v>
      </c>
      <c r="R15" s="13" t="s">
        <v>17</v>
      </c>
      <c r="S15" s="13">
        <v>180</v>
      </c>
      <c r="T15" s="13">
        <v>0</v>
      </c>
      <c r="U15" s="13">
        <v>100</v>
      </c>
      <c r="V15" s="13" t="str">
        <f t="shared" si="1"/>
        <v>ISO 6</v>
      </c>
      <c r="W15" s="13">
        <f t="shared" si="2"/>
        <v>180</v>
      </c>
      <c r="X15" s="16">
        <f t="shared" si="3"/>
        <v>171.72959999999998</v>
      </c>
      <c r="Y15" s="16">
        <f t="shared" si="4"/>
        <v>1351.8554111999997</v>
      </c>
      <c r="Z15" s="16">
        <f t="shared" si="5"/>
        <v>4055.5662335999991</v>
      </c>
      <c r="AA15" s="16">
        <f t="shared" si="6"/>
        <v>608.33493503999989</v>
      </c>
      <c r="AB15" s="16">
        <f t="shared" si="7"/>
        <v>202.77831167999997</v>
      </c>
      <c r="AC15" s="16">
        <f t="shared" si="8"/>
        <v>55.962013065588351</v>
      </c>
      <c r="AD15" s="16">
        <f t="shared" si="9"/>
        <v>6000</v>
      </c>
      <c r="AE15" s="16">
        <f t="shared" si="10"/>
        <v>6000</v>
      </c>
      <c r="AF15" s="16">
        <f t="shared" si="11"/>
        <v>60</v>
      </c>
      <c r="AG15" s="16">
        <f t="shared" si="12"/>
        <v>15</v>
      </c>
      <c r="AH15" s="17">
        <f t="shared" si="13"/>
        <v>9</v>
      </c>
      <c r="AI15" s="17">
        <f t="shared" si="14"/>
        <v>15</v>
      </c>
      <c r="AJ15" s="966"/>
      <c r="AK15" s="18" t="e">
        <f ca="1">IF(AM10&lt;=315,1600,(IF(AM10=355,1650,(IF(AM10=400,1650,(IF(AM10=450,1700,(IF(AM10=500,1700,(IF(AM10=560,1800,(IF(AM10=630,2000,(IF(AM10=710,2200,2500)))))))))))))))+IF(AQ10=2,1800,(IF(AQ10=3,2300,(IF(AQ10=4,3300,0)))))+IF(AO10&lt;=4,600,(IF(AO10&lt;=6,800,(IF(AO10&lt;=8,1000,1200)))))</f>
        <v>#NAME?</v>
      </c>
      <c r="AL15" s="975"/>
      <c r="AM15" s="977"/>
      <c r="AN15" s="979"/>
      <c r="AO15" s="966"/>
      <c r="AP15" s="966"/>
      <c r="AQ15" s="975"/>
      <c r="AR15" s="969"/>
      <c r="AS15" s="969"/>
      <c r="AT15" s="985"/>
      <c r="AU15" s="969"/>
      <c r="AV15" s="969"/>
      <c r="AW15" s="969"/>
      <c r="AX15" s="982"/>
      <c r="AY15" s="969"/>
      <c r="AZ15" s="17">
        <f t="shared" si="15"/>
        <v>14.399999999999991</v>
      </c>
      <c r="BA15" s="17">
        <f t="shared" si="16"/>
        <v>37.799999999999997</v>
      </c>
      <c r="BB15" s="17">
        <f t="shared" si="17"/>
        <v>32</v>
      </c>
      <c r="BC15" s="17">
        <f t="shared" si="18"/>
        <v>85</v>
      </c>
      <c r="BD15" s="17">
        <f t="shared" si="19"/>
        <v>180.86341983910182</v>
      </c>
      <c r="BE15" s="17">
        <f t="shared" si="20"/>
        <v>24</v>
      </c>
      <c r="BF15" s="17">
        <f t="shared" si="21"/>
        <v>50</v>
      </c>
      <c r="BG15" s="17">
        <f t="shared" si="22"/>
        <v>65.062647806544774</v>
      </c>
      <c r="BH15" s="17">
        <f t="shared" si="23"/>
        <v>115.80077203255705</v>
      </c>
      <c r="BI15" s="17">
        <f t="shared" si="24"/>
        <v>45</v>
      </c>
      <c r="BJ15" s="17">
        <f t="shared" si="25"/>
        <v>85</v>
      </c>
      <c r="BK15" s="17">
        <f t="shared" si="26"/>
        <v>380.54120080897206</v>
      </c>
      <c r="BL15" s="17">
        <f t="shared" si="27"/>
        <v>24</v>
      </c>
      <c r="BM15" s="17">
        <f t="shared" si="28"/>
        <v>50</v>
      </c>
      <c r="BN15" s="17">
        <f t="shared" si="29"/>
        <v>65.062647806544774</v>
      </c>
      <c r="BO15" s="17">
        <f t="shared" si="30"/>
        <v>315.4785530024273</v>
      </c>
      <c r="BP15" s="17">
        <f t="shared" si="31"/>
        <v>7028.2598399999997</v>
      </c>
      <c r="BQ15" s="17">
        <f t="shared" si="32"/>
        <v>2677.4323199999981</v>
      </c>
      <c r="BR15" s="17">
        <f t="shared" si="33"/>
        <v>1112.8078079999991</v>
      </c>
      <c r="BS15" s="17">
        <f t="shared" si="34"/>
        <v>2921.1204959999995</v>
      </c>
      <c r="BT15" s="17">
        <f t="shared" si="35"/>
        <v>34904.520000000004</v>
      </c>
      <c r="BU15" s="17">
        <f t="shared" si="36"/>
        <v>10236</v>
      </c>
      <c r="BV15" s="17">
        <f t="shared" si="37"/>
        <v>1025.3974415999999</v>
      </c>
      <c r="BW15" s="17">
        <f t="shared" si="38"/>
        <v>17495.999999999989</v>
      </c>
      <c r="BX15" s="17">
        <f t="shared" si="39"/>
        <v>33112.887184097279</v>
      </c>
      <c r="BY15" s="17"/>
      <c r="BZ15" s="17">
        <f t="shared" si="40"/>
        <v>128715.24962499036</v>
      </c>
      <c r="CA15" s="17">
        <f t="shared" si="41"/>
        <v>241341.0930468569</v>
      </c>
      <c r="CB15" s="17">
        <f t="shared" si="42"/>
        <v>174004.40670950196</v>
      </c>
      <c r="CC15" s="17">
        <f t="shared" si="43"/>
        <v>739518.72851538321</v>
      </c>
      <c r="CD15" s="17">
        <f t="shared" si="44"/>
        <v>103803.06446569727</v>
      </c>
      <c r="CE15" s="17">
        <f t="shared" si="45"/>
        <v>1283579.4778967323</v>
      </c>
      <c r="CF15" s="17">
        <f t="shared" si="46"/>
        <v>1387382.5423624297</v>
      </c>
      <c r="CG15" s="17">
        <f t="shared" si="47"/>
        <v>14.400000000000006</v>
      </c>
      <c r="CH15" s="17">
        <f t="shared" si="48"/>
        <v>-43.2</v>
      </c>
      <c r="CI15" s="17">
        <f t="shared" si="49"/>
        <v>16</v>
      </c>
      <c r="CJ15" s="17">
        <f t="shared" si="50"/>
        <v>90</v>
      </c>
      <c r="CK15" s="17">
        <f t="shared" si="51"/>
        <v>71.46880726181422</v>
      </c>
      <c r="CL15" s="17">
        <f t="shared" si="52"/>
        <v>24</v>
      </c>
      <c r="CM15" s="17">
        <f t="shared" si="53"/>
        <v>50</v>
      </c>
      <c r="CN15" s="17">
        <f t="shared" si="54"/>
        <v>65.062647806544774</v>
      </c>
      <c r="CO15" s="17">
        <f t="shared" si="55"/>
        <v>6.4061594552694459</v>
      </c>
      <c r="CP15" s="17">
        <f t="shared" si="56"/>
        <v>0</v>
      </c>
      <c r="CQ15" s="17">
        <f t="shared" si="57"/>
        <v>100</v>
      </c>
      <c r="CR15" s="17">
        <f t="shared" si="58"/>
        <v>26.404773030064671</v>
      </c>
      <c r="CS15" s="17">
        <f t="shared" si="59"/>
        <v>24</v>
      </c>
      <c r="CT15" s="17">
        <f t="shared" si="60"/>
        <v>50</v>
      </c>
      <c r="CU15" s="17">
        <f t="shared" si="61"/>
        <v>65.062647806544774</v>
      </c>
      <c r="CV15" s="17">
        <f t="shared" si="62"/>
        <v>-38.657874776480099</v>
      </c>
      <c r="CW15" s="17">
        <f t="shared" si="0"/>
        <v>-8032.2969600000006</v>
      </c>
      <c r="CX15" s="17">
        <f t="shared" si="0"/>
        <v>-8032.2969600000006</v>
      </c>
      <c r="CY15" s="17">
        <f t="shared" si="63"/>
        <v>1112.8078080000003</v>
      </c>
      <c r="CZ15" s="17">
        <f t="shared" si="64"/>
        <v>-3338.4234240000001</v>
      </c>
      <c r="DA15" s="17">
        <f t="shared" si="65"/>
        <v>-39890.880000000005</v>
      </c>
      <c r="DB15" s="17">
        <f t="shared" si="66"/>
        <v>10236</v>
      </c>
      <c r="DC15" s="17">
        <f t="shared" si="67"/>
        <v>1025.3974415999999</v>
      </c>
      <c r="DD15" s="17">
        <f t="shared" si="68"/>
        <v>17496.000000000007</v>
      </c>
      <c r="DE15" s="17">
        <f t="shared" si="69"/>
        <v>-37843.299638968318</v>
      </c>
      <c r="DF15" s="17"/>
      <c r="DG15" s="17">
        <f t="shared" si="70"/>
        <v>-15772.412908803883</v>
      </c>
      <c r="DH15" s="17">
        <f t="shared" si="71"/>
        <v>-29573.274204007277</v>
      </c>
      <c r="DI15" s="17">
        <f t="shared" si="72"/>
        <v>-21322.021738447256</v>
      </c>
      <c r="DJ15" s="17">
        <f t="shared" si="73"/>
        <v>15016.78909688422</v>
      </c>
      <c r="DK15" s="17">
        <f t="shared" si="74"/>
        <v>-59234.694773368319</v>
      </c>
      <c r="DL15" s="17">
        <f t="shared" si="75"/>
        <v>-51650.919754374198</v>
      </c>
      <c r="DM15" s="17">
        <f t="shared" si="76"/>
        <v>-110885.61452774252</v>
      </c>
    </row>
    <row r="16" spans="3:119" ht="18.600000000000001">
      <c r="C16" s="13"/>
      <c r="D16" s="14" t="s">
        <v>206</v>
      </c>
      <c r="E16" s="14">
        <v>3.1</v>
      </c>
      <c r="F16" s="14">
        <v>2.6</v>
      </c>
      <c r="G16" s="14">
        <v>2.4</v>
      </c>
      <c r="H16" s="14">
        <v>2</v>
      </c>
      <c r="I16" s="14">
        <v>1</v>
      </c>
      <c r="J16" s="14">
        <v>1.75</v>
      </c>
      <c r="K16" s="14">
        <v>3</v>
      </c>
      <c r="L16" s="15">
        <v>0.15</v>
      </c>
      <c r="M16" s="15">
        <v>0.05</v>
      </c>
      <c r="N16" s="14">
        <v>24</v>
      </c>
      <c r="O16" s="14">
        <v>50</v>
      </c>
      <c r="P16" s="13">
        <v>45</v>
      </c>
      <c r="Q16" s="13">
        <v>85</v>
      </c>
      <c r="R16" s="13" t="s">
        <v>17</v>
      </c>
      <c r="S16" s="13">
        <v>180</v>
      </c>
      <c r="T16" s="13">
        <v>0</v>
      </c>
      <c r="U16" s="13">
        <v>100</v>
      </c>
      <c r="V16" s="13" t="str">
        <f t="shared" si="1"/>
        <v>ISO 6</v>
      </c>
      <c r="W16" s="13">
        <f t="shared" si="2"/>
        <v>180</v>
      </c>
      <c r="X16" s="16">
        <f t="shared" si="3"/>
        <v>86.7256</v>
      </c>
      <c r="Y16" s="16">
        <f t="shared" si="4"/>
        <v>682.70392319999996</v>
      </c>
      <c r="Z16" s="16">
        <f t="shared" si="5"/>
        <v>2048.1117695999997</v>
      </c>
      <c r="AA16" s="16">
        <f t="shared" si="6"/>
        <v>307.21676543999996</v>
      </c>
      <c r="AB16" s="16">
        <f t="shared" si="7"/>
        <v>102.40558847999999</v>
      </c>
      <c r="AC16" s="16">
        <f t="shared" si="8"/>
        <v>28.261517876481335</v>
      </c>
      <c r="AD16" s="16">
        <f t="shared" si="9"/>
        <v>3700</v>
      </c>
      <c r="AE16" s="16">
        <f t="shared" si="10"/>
        <v>3700</v>
      </c>
      <c r="AF16" s="16">
        <f t="shared" si="11"/>
        <v>38</v>
      </c>
      <c r="AG16" s="16">
        <f t="shared" si="12"/>
        <v>9.5</v>
      </c>
      <c r="AH16" s="17">
        <f t="shared" si="13"/>
        <v>6</v>
      </c>
      <c r="AI16" s="17">
        <f t="shared" si="14"/>
        <v>9.5</v>
      </c>
      <c r="AJ16" s="966"/>
      <c r="AK16" s="18"/>
      <c r="AL16" s="975"/>
      <c r="AM16" s="977"/>
      <c r="AN16" s="979"/>
      <c r="AO16" s="966"/>
      <c r="AP16" s="966"/>
      <c r="AQ16" s="975"/>
      <c r="AR16" s="969"/>
      <c r="AS16" s="969"/>
      <c r="AT16" s="985"/>
      <c r="AU16" s="969"/>
      <c r="AV16" s="969"/>
      <c r="AW16" s="969"/>
      <c r="AX16" s="982"/>
      <c r="AY16" s="969"/>
      <c r="AZ16" s="17">
        <f t="shared" si="15"/>
        <v>14.399999999999991</v>
      </c>
      <c r="BA16" s="17">
        <f t="shared" si="16"/>
        <v>37.799999999999997</v>
      </c>
      <c r="BB16" s="17">
        <f t="shared" si="17"/>
        <v>32</v>
      </c>
      <c r="BC16" s="17">
        <f t="shared" si="18"/>
        <v>85</v>
      </c>
      <c r="BD16" s="17">
        <f t="shared" si="19"/>
        <v>180.86341983910182</v>
      </c>
      <c r="BE16" s="17">
        <f t="shared" si="20"/>
        <v>24</v>
      </c>
      <c r="BF16" s="17">
        <f t="shared" si="21"/>
        <v>50</v>
      </c>
      <c r="BG16" s="17">
        <f t="shared" si="22"/>
        <v>65.062647806544774</v>
      </c>
      <c r="BH16" s="17">
        <f t="shared" si="23"/>
        <v>115.80077203255705</v>
      </c>
      <c r="BI16" s="17">
        <f t="shared" si="24"/>
        <v>45</v>
      </c>
      <c r="BJ16" s="17">
        <f t="shared" si="25"/>
        <v>85</v>
      </c>
      <c r="BK16" s="17">
        <f t="shared" si="26"/>
        <v>380.54120080897206</v>
      </c>
      <c r="BL16" s="17">
        <f t="shared" si="27"/>
        <v>24</v>
      </c>
      <c r="BM16" s="17">
        <f t="shared" si="28"/>
        <v>50</v>
      </c>
      <c r="BN16" s="17">
        <f t="shared" si="29"/>
        <v>65.062647806544774</v>
      </c>
      <c r="BO16" s="17">
        <f t="shared" si="30"/>
        <v>315.4785530024273</v>
      </c>
      <c r="BP16" s="17">
        <f t="shared" si="31"/>
        <v>5007.6351359999999</v>
      </c>
      <c r="BQ16" s="17">
        <f t="shared" si="32"/>
        <v>1907.670527999999</v>
      </c>
      <c r="BR16" s="17">
        <f t="shared" si="33"/>
        <v>561.98188799999969</v>
      </c>
      <c r="BS16" s="17">
        <f t="shared" si="34"/>
        <v>1475.202456</v>
      </c>
      <c r="BT16" s="17">
        <f t="shared" si="35"/>
        <v>23269.68</v>
      </c>
      <c r="BU16" s="17">
        <f t="shared" si="36"/>
        <v>3412</v>
      </c>
      <c r="BV16" s="17">
        <f t="shared" si="37"/>
        <v>517.83855759999994</v>
      </c>
      <c r="BW16" s="17">
        <f t="shared" si="38"/>
        <v>17495.999999999989</v>
      </c>
      <c r="BX16" s="17">
        <f t="shared" si="39"/>
        <v>16722.42297643008</v>
      </c>
      <c r="BY16" s="17"/>
      <c r="BZ16" s="17">
        <f t="shared" si="40"/>
        <v>85810.166416660228</v>
      </c>
      <c r="CA16" s="17">
        <f t="shared" si="41"/>
        <v>241341.0930468569</v>
      </c>
      <c r="CB16" s="17">
        <f t="shared" si="42"/>
        <v>87874.40589464824</v>
      </c>
      <c r="CC16" s="17">
        <f t="shared" si="43"/>
        <v>373466.22505225497</v>
      </c>
      <c r="CD16" s="17">
        <f t="shared" si="44"/>
        <v>66425.576670030074</v>
      </c>
      <c r="CE16" s="17">
        <f t="shared" si="45"/>
        <v>788491.89041042025</v>
      </c>
      <c r="CF16" s="17">
        <f t="shared" si="46"/>
        <v>854917.46708045038</v>
      </c>
      <c r="CG16" s="17">
        <f t="shared" si="47"/>
        <v>14.400000000000006</v>
      </c>
      <c r="CH16" s="17">
        <f t="shared" si="48"/>
        <v>-43.2</v>
      </c>
      <c r="CI16" s="17">
        <f t="shared" si="49"/>
        <v>16</v>
      </c>
      <c r="CJ16" s="17">
        <f t="shared" si="50"/>
        <v>90</v>
      </c>
      <c r="CK16" s="17">
        <f t="shared" si="51"/>
        <v>71.46880726181422</v>
      </c>
      <c r="CL16" s="17">
        <f t="shared" si="52"/>
        <v>24</v>
      </c>
      <c r="CM16" s="17">
        <f t="shared" si="53"/>
        <v>50</v>
      </c>
      <c r="CN16" s="17">
        <f t="shared" si="54"/>
        <v>65.062647806544774</v>
      </c>
      <c r="CO16" s="17">
        <f t="shared" si="55"/>
        <v>6.4061594552694459</v>
      </c>
      <c r="CP16" s="17">
        <f t="shared" si="56"/>
        <v>0</v>
      </c>
      <c r="CQ16" s="17">
        <f t="shared" si="57"/>
        <v>100</v>
      </c>
      <c r="CR16" s="17">
        <f t="shared" si="58"/>
        <v>26.404773030064671</v>
      </c>
      <c r="CS16" s="17">
        <f t="shared" si="59"/>
        <v>24</v>
      </c>
      <c r="CT16" s="17">
        <f t="shared" si="60"/>
        <v>50</v>
      </c>
      <c r="CU16" s="17">
        <f t="shared" si="61"/>
        <v>65.062647806544774</v>
      </c>
      <c r="CV16" s="17">
        <f t="shared" si="62"/>
        <v>-38.657874776480099</v>
      </c>
      <c r="CW16" s="17">
        <f t="shared" si="0"/>
        <v>-5723.0115840000008</v>
      </c>
      <c r="CX16" s="17">
        <f t="shared" si="0"/>
        <v>-5723.0115840000008</v>
      </c>
      <c r="CY16" s="17">
        <f t="shared" si="63"/>
        <v>561.98188800000014</v>
      </c>
      <c r="CZ16" s="17">
        <f t="shared" si="64"/>
        <v>-1685.9456640000001</v>
      </c>
      <c r="DA16" s="17">
        <f t="shared" si="65"/>
        <v>-26593.920000000002</v>
      </c>
      <c r="DB16" s="17">
        <f t="shared" si="66"/>
        <v>3412</v>
      </c>
      <c r="DC16" s="17">
        <f t="shared" si="67"/>
        <v>517.83855759999994</v>
      </c>
      <c r="DD16" s="17">
        <f t="shared" si="68"/>
        <v>17496.000000000007</v>
      </c>
      <c r="DE16" s="17">
        <f t="shared" si="69"/>
        <v>-19111.340544491522</v>
      </c>
      <c r="DF16" s="17"/>
      <c r="DG16" s="17">
        <f t="shared" si="70"/>
        <v>-10514.941939202587</v>
      </c>
      <c r="DH16" s="17">
        <f t="shared" si="71"/>
        <v>-29573.274204007277</v>
      </c>
      <c r="DI16" s="17">
        <f t="shared" si="72"/>
        <v>-10767.888171170733</v>
      </c>
      <c r="DJ16" s="17">
        <f t="shared" si="73"/>
        <v>7583.666674241028</v>
      </c>
      <c r="DK16" s="17">
        <f t="shared" si="74"/>
        <v>-31126.397346891517</v>
      </c>
      <c r="DL16" s="17">
        <f t="shared" si="75"/>
        <v>-43272.437640139571</v>
      </c>
      <c r="DM16" s="17">
        <f t="shared" si="76"/>
        <v>-74398.834987031092</v>
      </c>
    </row>
    <row r="17" spans="3:117" ht="18.600000000000001">
      <c r="C17" s="13"/>
      <c r="D17" s="14" t="s">
        <v>207</v>
      </c>
      <c r="E17" s="14">
        <v>1.9</v>
      </c>
      <c r="F17" s="14">
        <v>2.4</v>
      </c>
      <c r="G17" s="14">
        <v>2.4</v>
      </c>
      <c r="H17" s="14">
        <v>3</v>
      </c>
      <c r="I17" s="14">
        <v>2</v>
      </c>
      <c r="J17" s="14">
        <v>1.75</v>
      </c>
      <c r="K17" s="14">
        <v>3</v>
      </c>
      <c r="L17" s="15">
        <v>0.15</v>
      </c>
      <c r="M17" s="15">
        <v>0.05</v>
      </c>
      <c r="N17" s="14">
        <v>24</v>
      </c>
      <c r="O17" s="14">
        <v>50</v>
      </c>
      <c r="P17" s="13">
        <v>45</v>
      </c>
      <c r="Q17" s="13">
        <v>85</v>
      </c>
      <c r="R17" s="13" t="s">
        <v>17</v>
      </c>
      <c r="S17" s="13">
        <v>180</v>
      </c>
      <c r="T17" s="13">
        <v>0</v>
      </c>
      <c r="U17" s="13">
        <v>100</v>
      </c>
      <c r="V17" s="13" t="str">
        <f t="shared" si="1"/>
        <v>ISO 6</v>
      </c>
      <c r="W17" s="13">
        <f t="shared" si="2"/>
        <v>180</v>
      </c>
      <c r="X17" s="16">
        <f t="shared" si="3"/>
        <v>49.065599999999996</v>
      </c>
      <c r="Y17" s="16">
        <f t="shared" si="4"/>
        <v>386.24440319999997</v>
      </c>
      <c r="Z17" s="16">
        <f t="shared" si="5"/>
        <v>1158.7332095999998</v>
      </c>
      <c r="AA17" s="16">
        <f t="shared" si="6"/>
        <v>173.80998143999997</v>
      </c>
      <c r="AB17" s="16">
        <f t="shared" si="7"/>
        <v>57.936660479999993</v>
      </c>
      <c r="AC17" s="16">
        <f t="shared" si="8"/>
        <v>15.989146590168096</v>
      </c>
      <c r="AD17" s="16">
        <f t="shared" si="9"/>
        <v>2950</v>
      </c>
      <c r="AE17" s="16">
        <f t="shared" si="10"/>
        <v>2950</v>
      </c>
      <c r="AF17" s="16">
        <f t="shared" si="11"/>
        <v>30</v>
      </c>
      <c r="AG17" s="16">
        <f t="shared" si="12"/>
        <v>7.5</v>
      </c>
      <c r="AH17" s="17">
        <f t="shared" si="13"/>
        <v>6.5</v>
      </c>
      <c r="AI17" s="17">
        <f t="shared" si="14"/>
        <v>7.5</v>
      </c>
      <c r="AJ17" s="966"/>
      <c r="AK17" s="18"/>
      <c r="AL17" s="975"/>
      <c r="AM17" s="977"/>
      <c r="AN17" s="979"/>
      <c r="AO17" s="966"/>
      <c r="AP17" s="966"/>
      <c r="AQ17" s="975"/>
      <c r="AR17" s="969"/>
      <c r="AS17" s="969"/>
      <c r="AT17" s="985"/>
      <c r="AU17" s="969"/>
      <c r="AV17" s="969"/>
      <c r="AW17" s="969"/>
      <c r="AX17" s="982"/>
      <c r="AY17" s="969"/>
      <c r="AZ17" s="17">
        <f t="shared" si="15"/>
        <v>14.399999999999991</v>
      </c>
      <c r="BA17" s="17">
        <f t="shared" si="16"/>
        <v>37.799999999999997</v>
      </c>
      <c r="BB17" s="17">
        <f t="shared" si="17"/>
        <v>32</v>
      </c>
      <c r="BC17" s="17">
        <f t="shared" si="18"/>
        <v>85</v>
      </c>
      <c r="BD17" s="17">
        <f t="shared" si="19"/>
        <v>180.86341983910182</v>
      </c>
      <c r="BE17" s="17">
        <f t="shared" si="20"/>
        <v>24</v>
      </c>
      <c r="BF17" s="17">
        <f t="shared" si="21"/>
        <v>50</v>
      </c>
      <c r="BG17" s="17">
        <f t="shared" si="22"/>
        <v>65.062647806544774</v>
      </c>
      <c r="BH17" s="17">
        <f t="shared" si="23"/>
        <v>115.80077203255705</v>
      </c>
      <c r="BI17" s="17">
        <f t="shared" si="24"/>
        <v>45</v>
      </c>
      <c r="BJ17" s="17">
        <f t="shared" si="25"/>
        <v>85</v>
      </c>
      <c r="BK17" s="17">
        <f t="shared" si="26"/>
        <v>380.54120080897206</v>
      </c>
      <c r="BL17" s="17">
        <f t="shared" si="27"/>
        <v>24</v>
      </c>
      <c r="BM17" s="17">
        <f t="shared" si="28"/>
        <v>50</v>
      </c>
      <c r="BN17" s="17">
        <f t="shared" si="29"/>
        <v>65.062647806544774</v>
      </c>
      <c r="BO17" s="17">
        <f t="shared" si="30"/>
        <v>315.4785530024273</v>
      </c>
      <c r="BP17" s="17">
        <f t="shared" si="31"/>
        <v>3777.6896639999995</v>
      </c>
      <c r="BQ17" s="17">
        <f t="shared" si="32"/>
        <v>1439.1198719999991</v>
      </c>
      <c r="BR17" s="17">
        <f t="shared" si="33"/>
        <v>317.94508799999977</v>
      </c>
      <c r="BS17" s="17">
        <f t="shared" si="34"/>
        <v>834.6058559999999</v>
      </c>
      <c r="BT17" s="17">
        <f t="shared" si="35"/>
        <v>34904.520000000004</v>
      </c>
      <c r="BU17" s="17">
        <f t="shared" si="36"/>
        <v>6824</v>
      </c>
      <c r="BV17" s="17">
        <f t="shared" si="37"/>
        <v>292.97069759999994</v>
      </c>
      <c r="BW17" s="17">
        <f t="shared" si="38"/>
        <v>17495.999999999989</v>
      </c>
      <c r="BX17" s="17">
        <f t="shared" si="39"/>
        <v>9460.8249097420794</v>
      </c>
      <c r="BY17" s="17"/>
      <c r="BZ17" s="17">
        <f t="shared" si="40"/>
        <v>128715.24962499036</v>
      </c>
      <c r="CA17" s="17">
        <f t="shared" si="41"/>
        <v>241341.0930468569</v>
      </c>
      <c r="CB17" s="17">
        <f t="shared" si="42"/>
        <v>49715.544774143411</v>
      </c>
      <c r="CC17" s="17">
        <f t="shared" si="43"/>
        <v>211291.06529010949</v>
      </c>
      <c r="CD17" s="17">
        <f t="shared" si="44"/>
        <v>72756.005271342074</v>
      </c>
      <c r="CE17" s="17">
        <f t="shared" si="45"/>
        <v>631062.95273610018</v>
      </c>
      <c r="CF17" s="17">
        <f t="shared" si="46"/>
        <v>703818.9580074423</v>
      </c>
      <c r="CG17" s="17">
        <f t="shared" si="47"/>
        <v>14.400000000000006</v>
      </c>
      <c r="CH17" s="17">
        <f t="shared" si="48"/>
        <v>-43.2</v>
      </c>
      <c r="CI17" s="17">
        <f t="shared" si="49"/>
        <v>16</v>
      </c>
      <c r="CJ17" s="17">
        <f t="shared" si="50"/>
        <v>90</v>
      </c>
      <c r="CK17" s="17">
        <f t="shared" si="51"/>
        <v>71.46880726181422</v>
      </c>
      <c r="CL17" s="17">
        <f t="shared" si="52"/>
        <v>24</v>
      </c>
      <c r="CM17" s="17">
        <f t="shared" si="53"/>
        <v>50</v>
      </c>
      <c r="CN17" s="17">
        <f t="shared" si="54"/>
        <v>65.062647806544774</v>
      </c>
      <c r="CO17" s="17">
        <f t="shared" si="55"/>
        <v>6.4061594552694459</v>
      </c>
      <c r="CP17" s="17">
        <f t="shared" si="56"/>
        <v>0</v>
      </c>
      <c r="CQ17" s="17">
        <f t="shared" si="57"/>
        <v>100</v>
      </c>
      <c r="CR17" s="17">
        <f t="shared" si="58"/>
        <v>26.404773030064671</v>
      </c>
      <c r="CS17" s="17">
        <f t="shared" si="59"/>
        <v>24</v>
      </c>
      <c r="CT17" s="17">
        <f t="shared" si="60"/>
        <v>50</v>
      </c>
      <c r="CU17" s="17">
        <f t="shared" si="61"/>
        <v>65.062647806544774</v>
      </c>
      <c r="CV17" s="17">
        <f t="shared" si="62"/>
        <v>-38.657874776480099</v>
      </c>
      <c r="CW17" s="17">
        <f t="shared" si="0"/>
        <v>-4317.3596159999997</v>
      </c>
      <c r="CX17" s="17">
        <f t="shared" si="0"/>
        <v>-4317.3596159999997</v>
      </c>
      <c r="CY17" s="17">
        <f t="shared" si="63"/>
        <v>317.94508800000011</v>
      </c>
      <c r="CZ17" s="17">
        <f t="shared" si="64"/>
        <v>-953.83526399999994</v>
      </c>
      <c r="DA17" s="17">
        <f t="shared" si="65"/>
        <v>-39890.880000000005</v>
      </c>
      <c r="DB17" s="17">
        <f t="shared" si="66"/>
        <v>6824</v>
      </c>
      <c r="DC17" s="17">
        <f t="shared" si="67"/>
        <v>292.97069759999994</v>
      </c>
      <c r="DD17" s="17">
        <f t="shared" si="68"/>
        <v>17496.000000000007</v>
      </c>
      <c r="DE17" s="17">
        <f t="shared" si="69"/>
        <v>-10812.371325419521</v>
      </c>
      <c r="DF17" s="17"/>
      <c r="DG17" s="17">
        <f t="shared" si="70"/>
        <v>-15772.412908803883</v>
      </c>
      <c r="DH17" s="17">
        <f t="shared" si="71"/>
        <v>-29573.274204007277</v>
      </c>
      <c r="DI17" s="17">
        <f t="shared" si="72"/>
        <v>-6092.0062109849305</v>
      </c>
      <c r="DJ17" s="17">
        <f t="shared" si="73"/>
        <v>4290.5111705383488</v>
      </c>
      <c r="DK17" s="17">
        <f t="shared" si="74"/>
        <v>-31043.530419819519</v>
      </c>
      <c r="DL17" s="17">
        <f t="shared" si="75"/>
        <v>-47147.182153257745</v>
      </c>
      <c r="DM17" s="17">
        <f t="shared" si="76"/>
        <v>-78190.712573077268</v>
      </c>
    </row>
    <row r="18" spans="3:117" ht="18.600000000000001">
      <c r="C18" s="13"/>
      <c r="D18" s="14" t="s">
        <v>208</v>
      </c>
      <c r="E18" s="14">
        <v>3</v>
      </c>
      <c r="F18" s="14">
        <v>2.9</v>
      </c>
      <c r="G18" s="14">
        <v>2.4</v>
      </c>
      <c r="H18" s="14">
        <v>2</v>
      </c>
      <c r="I18" s="14">
        <v>1</v>
      </c>
      <c r="J18" s="14">
        <v>1.75</v>
      </c>
      <c r="K18" s="14">
        <v>3</v>
      </c>
      <c r="L18" s="15">
        <v>0.15</v>
      </c>
      <c r="M18" s="15">
        <v>0.05</v>
      </c>
      <c r="N18" s="14">
        <v>24</v>
      </c>
      <c r="O18" s="14">
        <v>50</v>
      </c>
      <c r="P18" s="13">
        <v>45</v>
      </c>
      <c r="Q18" s="13">
        <v>85</v>
      </c>
      <c r="R18" s="13" t="s">
        <v>17</v>
      </c>
      <c r="S18" s="13">
        <v>180</v>
      </c>
      <c r="T18" s="13">
        <v>0</v>
      </c>
      <c r="U18" s="13">
        <v>100</v>
      </c>
      <c r="V18" s="13" t="str">
        <f t="shared" si="1"/>
        <v>ISO 6</v>
      </c>
      <c r="W18" s="13">
        <f t="shared" si="2"/>
        <v>180</v>
      </c>
      <c r="X18" s="16">
        <f t="shared" si="3"/>
        <v>93.611999999999995</v>
      </c>
      <c r="Y18" s="16">
        <f t="shared" si="4"/>
        <v>736.91366399999993</v>
      </c>
      <c r="Z18" s="16">
        <f t="shared" si="5"/>
        <v>2210.7409919999996</v>
      </c>
      <c r="AA18" s="16">
        <f t="shared" si="6"/>
        <v>331.61114879999991</v>
      </c>
      <c r="AB18" s="16">
        <f t="shared" si="7"/>
        <v>110.53704959999999</v>
      </c>
      <c r="AC18" s="16">
        <f t="shared" si="8"/>
        <v>30.505608625978603</v>
      </c>
      <c r="AD18" s="16">
        <f>IF(ISNUMBER(N18), CEILING(CE18/(0.68*BO18),25), "Ambient")</f>
        <v>3850</v>
      </c>
      <c r="AE18" s="16">
        <f t="shared" si="10"/>
        <v>3850</v>
      </c>
      <c r="AF18" s="16">
        <f t="shared" si="11"/>
        <v>40</v>
      </c>
      <c r="AG18" s="16">
        <f t="shared" si="12"/>
        <v>10</v>
      </c>
      <c r="AH18" s="17">
        <f t="shared" si="13"/>
        <v>6</v>
      </c>
      <c r="AI18" s="17">
        <f t="shared" si="14"/>
        <v>10</v>
      </c>
      <c r="AJ18" s="967"/>
      <c r="AK18" s="18"/>
      <c r="AL18" s="976"/>
      <c r="AM18" s="978"/>
      <c r="AN18" s="980"/>
      <c r="AO18" s="967"/>
      <c r="AP18" s="967"/>
      <c r="AQ18" s="976"/>
      <c r="AR18" s="970"/>
      <c r="AS18" s="970"/>
      <c r="AT18" s="986"/>
      <c r="AU18" s="970"/>
      <c r="AV18" s="970"/>
      <c r="AW18" s="970"/>
      <c r="AX18" s="983"/>
      <c r="AY18" s="970"/>
      <c r="AZ18" s="17">
        <f t="shared" si="15"/>
        <v>14.399999999999991</v>
      </c>
      <c r="BA18" s="17">
        <f t="shared" si="16"/>
        <v>37.799999999999997</v>
      </c>
      <c r="BB18" s="17">
        <f t="shared" si="17"/>
        <v>32</v>
      </c>
      <c r="BC18" s="17">
        <f t="shared" si="18"/>
        <v>85</v>
      </c>
      <c r="BD18" s="17">
        <f t="shared" si="19"/>
        <v>180.86341983910182</v>
      </c>
      <c r="BE18" s="17">
        <f t="shared" si="20"/>
        <v>24</v>
      </c>
      <c r="BF18" s="17">
        <f t="shared" si="21"/>
        <v>50</v>
      </c>
      <c r="BG18" s="17">
        <f t="shared" si="22"/>
        <v>65.062647806544774</v>
      </c>
      <c r="BH18" s="17">
        <f t="shared" si="23"/>
        <v>115.80077203255705</v>
      </c>
      <c r="BI18" s="17">
        <f t="shared" si="24"/>
        <v>45</v>
      </c>
      <c r="BJ18" s="17">
        <f t="shared" si="25"/>
        <v>85</v>
      </c>
      <c r="BK18" s="17">
        <f t="shared" si="26"/>
        <v>380.54120080897206</v>
      </c>
      <c r="BL18" s="17">
        <f t="shared" si="27"/>
        <v>24</v>
      </c>
      <c r="BM18" s="17">
        <f t="shared" si="28"/>
        <v>50</v>
      </c>
      <c r="BN18" s="17">
        <f t="shared" si="29"/>
        <v>65.062647806544774</v>
      </c>
      <c r="BO18" s="17">
        <f t="shared" si="30"/>
        <v>315.4785530024273</v>
      </c>
      <c r="BP18" s="17">
        <f t="shared" si="31"/>
        <v>5183.3416319999997</v>
      </c>
      <c r="BQ18" s="17">
        <f t="shared" si="32"/>
        <v>1974.6063359999991</v>
      </c>
      <c r="BR18" s="17">
        <f t="shared" si="33"/>
        <v>606.60575999999958</v>
      </c>
      <c r="BS18" s="17">
        <f t="shared" si="34"/>
        <v>1592.3401199999998</v>
      </c>
      <c r="BT18" s="17">
        <f t="shared" si="35"/>
        <v>23269.68</v>
      </c>
      <c r="BU18" s="17">
        <f t="shared" si="36"/>
        <v>3412</v>
      </c>
      <c r="BV18" s="17">
        <f t="shared" si="37"/>
        <v>558.95725199999993</v>
      </c>
      <c r="BW18" s="17">
        <f t="shared" si="38"/>
        <v>17495.999999999989</v>
      </c>
      <c r="BX18" s="17">
        <f t="shared" si="39"/>
        <v>18050.258051481596</v>
      </c>
      <c r="BY18" s="17"/>
      <c r="BZ18" s="17">
        <f t="shared" si="40"/>
        <v>85810.166416660228</v>
      </c>
      <c r="CA18" s="17">
        <f t="shared" si="41"/>
        <v>241341.0930468569</v>
      </c>
      <c r="CB18" s="17">
        <f t="shared" si="42"/>
        <v>94852.026213826248</v>
      </c>
      <c r="CC18" s="17">
        <f t="shared" si="43"/>
        <v>403121.11140876159</v>
      </c>
      <c r="CD18" s="17">
        <f t="shared" si="44"/>
        <v>67970.236935481589</v>
      </c>
      <c r="CE18" s="17">
        <f t="shared" si="45"/>
        <v>825124.39708610496</v>
      </c>
      <c r="CF18" s="17">
        <f t="shared" si="46"/>
        <v>893094.63402158651</v>
      </c>
      <c r="CG18" s="17">
        <f t="shared" si="47"/>
        <v>14.400000000000006</v>
      </c>
      <c r="CH18" s="17">
        <f t="shared" si="48"/>
        <v>-43.2</v>
      </c>
      <c r="CI18" s="17">
        <f t="shared" si="49"/>
        <v>16</v>
      </c>
      <c r="CJ18" s="17">
        <f t="shared" si="50"/>
        <v>90</v>
      </c>
      <c r="CK18" s="17">
        <f t="shared" si="51"/>
        <v>71.46880726181422</v>
      </c>
      <c r="CL18" s="17">
        <f t="shared" si="52"/>
        <v>24</v>
      </c>
      <c r="CM18" s="17">
        <f t="shared" si="53"/>
        <v>50</v>
      </c>
      <c r="CN18" s="17">
        <f t="shared" si="54"/>
        <v>65.062647806544774</v>
      </c>
      <c r="CO18" s="17">
        <f t="shared" si="55"/>
        <v>6.4061594552694459</v>
      </c>
      <c r="CP18" s="17">
        <f t="shared" si="56"/>
        <v>0</v>
      </c>
      <c r="CQ18" s="17">
        <f t="shared" si="57"/>
        <v>100</v>
      </c>
      <c r="CR18" s="17">
        <f t="shared" si="58"/>
        <v>26.404773030064671</v>
      </c>
      <c r="CS18" s="17">
        <f t="shared" si="59"/>
        <v>24</v>
      </c>
      <c r="CT18" s="17">
        <f t="shared" si="60"/>
        <v>50</v>
      </c>
      <c r="CU18" s="17">
        <f t="shared" si="61"/>
        <v>65.062647806544774</v>
      </c>
      <c r="CV18" s="17">
        <f t="shared" si="62"/>
        <v>-38.657874776480099</v>
      </c>
      <c r="CW18" s="17">
        <f t="shared" si="0"/>
        <v>-5923.8190080000013</v>
      </c>
      <c r="CX18" s="17">
        <f t="shared" si="0"/>
        <v>-5923.8190080000013</v>
      </c>
      <c r="CY18" s="17">
        <f t="shared" si="63"/>
        <v>606.60576000000026</v>
      </c>
      <c r="CZ18" s="17">
        <f t="shared" si="64"/>
        <v>-1819.81728</v>
      </c>
      <c r="DA18" s="17">
        <f t="shared" si="65"/>
        <v>-26593.920000000002</v>
      </c>
      <c r="DB18" s="17">
        <f t="shared" si="66"/>
        <v>3412</v>
      </c>
      <c r="DC18" s="17">
        <f t="shared" si="67"/>
        <v>558.95725199999993</v>
      </c>
      <c r="DD18" s="17">
        <f t="shared" si="68"/>
        <v>17496.000000000007</v>
      </c>
      <c r="DE18" s="17">
        <f t="shared" si="69"/>
        <v>-20628.866344550399</v>
      </c>
      <c r="DF18" s="17"/>
      <c r="DG18" s="17">
        <f t="shared" si="70"/>
        <v>-10514.941939202587</v>
      </c>
      <c r="DH18" s="17">
        <f t="shared" si="71"/>
        <v>-29573.274204007277</v>
      </c>
      <c r="DI18" s="17">
        <f t="shared" si="72"/>
        <v>-11622.906586747564</v>
      </c>
      <c r="DJ18" s="17">
        <f t="shared" si="73"/>
        <v>8185.8436806323762</v>
      </c>
      <c r="DK18" s="17">
        <f t="shared" si="74"/>
        <v>-32892.859620550393</v>
      </c>
      <c r="DL18" s="17">
        <f t="shared" si="75"/>
        <v>-43525.279049325058</v>
      </c>
      <c r="DM18" s="17">
        <f t="shared" si="76"/>
        <v>-76418.13866987545</v>
      </c>
    </row>
    <row r="19" spans="3:117">
      <c r="C19" s="19"/>
      <c r="D19" s="19"/>
      <c r="E19" s="19"/>
      <c r="F19" s="19"/>
      <c r="G19" s="19"/>
      <c r="H19" s="19"/>
      <c r="I19" s="19"/>
      <c r="J19" s="19"/>
      <c r="K19" s="19"/>
      <c r="L19" s="19"/>
      <c r="M19" s="19"/>
      <c r="N19" s="19"/>
      <c r="O19" s="19"/>
      <c r="P19" s="19"/>
      <c r="Q19" s="19"/>
      <c r="R19" s="19"/>
      <c r="S19" s="19"/>
      <c r="T19" s="19"/>
      <c r="U19" s="19"/>
      <c r="V19" s="19"/>
      <c r="W19" s="19"/>
      <c r="X19" s="20">
        <f t="shared" ref="X19:AE19" si="77">SUM(X10:X18)</f>
        <v>781.0684</v>
      </c>
      <c r="Y19" s="20">
        <f t="shared" si="77"/>
        <v>6148.5704447999988</v>
      </c>
      <c r="Z19" s="20">
        <f t="shared" si="77"/>
        <v>18445.711334399995</v>
      </c>
      <c r="AA19" s="20">
        <f t="shared" si="77"/>
        <v>2766.8567001599995</v>
      </c>
      <c r="AB19" s="20">
        <f t="shared" si="77"/>
        <v>922.28556671999991</v>
      </c>
      <c r="AC19" s="20">
        <f t="shared" si="77"/>
        <v>257.28750593400662</v>
      </c>
      <c r="AD19" s="20">
        <f t="shared" si="77"/>
        <v>33025</v>
      </c>
      <c r="AE19" s="20">
        <f t="shared" si="77"/>
        <v>33025</v>
      </c>
      <c r="AF19" s="20">
        <f>SUM(AF10:AF18)</f>
        <v>338</v>
      </c>
      <c r="AG19" s="20">
        <f>SUM(AG10:AG18)</f>
        <v>84.5</v>
      </c>
      <c r="AH19" s="20">
        <f>CEILING(SUM(AH10:AH18),0.5)</f>
        <v>53</v>
      </c>
      <c r="AI19" s="20">
        <f>CEILING(SUM(AI10:AI18),0.5)</f>
        <v>84.5</v>
      </c>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2"/>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row>
    <row r="20" spans="3:117">
      <c r="C20" s="19"/>
      <c r="D20" s="19"/>
      <c r="E20" s="19"/>
      <c r="F20" s="19"/>
      <c r="G20" s="19"/>
      <c r="H20" s="19"/>
      <c r="I20" s="19"/>
      <c r="J20" s="19"/>
      <c r="K20" s="19"/>
      <c r="L20" s="19"/>
      <c r="M20" s="19"/>
      <c r="N20" s="19"/>
      <c r="O20" s="19"/>
      <c r="P20" s="19"/>
      <c r="Q20" s="19"/>
      <c r="R20" s="19"/>
      <c r="S20" s="19"/>
      <c r="T20" s="19"/>
      <c r="U20" s="19"/>
      <c r="V20" s="19"/>
      <c r="W20" s="19"/>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row>
    <row r="21" spans="3:117" ht="29.1">
      <c r="C21" s="8" t="s">
        <v>515</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23" t="s">
        <v>221</v>
      </c>
      <c r="AS21" s="24"/>
      <c r="AT21" s="24"/>
      <c r="AU21" s="25"/>
      <c r="AV21" s="23" t="s">
        <v>222</v>
      </c>
      <c r="AW21" s="24"/>
      <c r="AX21" s="24"/>
      <c r="AY21" s="25"/>
      <c r="AZ21" s="26" t="s">
        <v>483</v>
      </c>
      <c r="BA21" s="26"/>
      <c r="BB21" s="26"/>
      <c r="BC21" s="26"/>
      <c r="BD21" s="26"/>
      <c r="BE21" s="26"/>
      <c r="BF21" s="26"/>
      <c r="BG21" s="26"/>
      <c r="BH21" s="26"/>
      <c r="BI21" s="26"/>
      <c r="BJ21" s="26"/>
      <c r="BK21" s="26"/>
      <c r="BL21" s="26"/>
      <c r="BM21" s="26"/>
      <c r="BN21" s="26"/>
      <c r="BO21" s="26"/>
      <c r="BP21" s="23" t="s">
        <v>484</v>
      </c>
      <c r="BQ21" s="24"/>
      <c r="BR21" s="24"/>
      <c r="BS21" s="24"/>
      <c r="BT21" s="24"/>
      <c r="BU21" s="24"/>
      <c r="BV21" s="24"/>
      <c r="BW21" s="24"/>
      <c r="BX21" s="24"/>
      <c r="BY21" s="25"/>
      <c r="BZ21" s="23" t="s">
        <v>485</v>
      </c>
      <c r="CA21" s="24"/>
      <c r="CB21" s="24"/>
      <c r="CC21" s="24"/>
      <c r="CD21" s="23" t="s">
        <v>486</v>
      </c>
      <c r="CE21" s="24"/>
      <c r="CF21" s="25"/>
      <c r="CG21" s="26" t="s">
        <v>487</v>
      </c>
      <c r="CH21" s="26"/>
      <c r="CI21" s="26"/>
      <c r="CJ21" s="26"/>
      <c r="CK21" s="26"/>
      <c r="CL21" s="26"/>
      <c r="CM21" s="26"/>
      <c r="CN21" s="26"/>
      <c r="CO21" s="26"/>
      <c r="CP21" s="26"/>
      <c r="CQ21" s="26"/>
      <c r="CR21" s="26"/>
      <c r="CS21" s="26"/>
      <c r="CT21" s="26"/>
      <c r="CU21" s="26"/>
      <c r="CV21" s="26"/>
      <c r="CW21" s="23" t="s">
        <v>488</v>
      </c>
      <c r="CX21" s="24"/>
      <c r="CY21" s="24"/>
      <c r="CZ21" s="24"/>
      <c r="DA21" s="24"/>
      <c r="DB21" s="24"/>
      <c r="DC21" s="24"/>
      <c r="DD21" s="24"/>
      <c r="DE21" s="24"/>
      <c r="DF21" s="25"/>
      <c r="DG21" s="23" t="s">
        <v>489</v>
      </c>
      <c r="DH21" s="24"/>
      <c r="DI21" s="24"/>
      <c r="DJ21" s="24"/>
      <c r="DK21" s="23"/>
      <c r="DL21" s="24"/>
      <c r="DM21" s="25"/>
    </row>
    <row r="22" spans="3:117" ht="108.95" customHeight="1">
      <c r="C22" s="4" t="s">
        <v>164</v>
      </c>
      <c r="D22" s="5" t="s">
        <v>165</v>
      </c>
      <c r="E22" s="5" t="s">
        <v>166</v>
      </c>
      <c r="F22" s="5" t="s">
        <v>167</v>
      </c>
      <c r="G22" s="5" t="s">
        <v>168</v>
      </c>
      <c r="H22" s="5" t="s">
        <v>169</v>
      </c>
      <c r="I22" s="5" t="s">
        <v>170</v>
      </c>
      <c r="J22" s="5" t="s">
        <v>171</v>
      </c>
      <c r="K22" s="5" t="s">
        <v>516</v>
      </c>
      <c r="L22" s="5" t="s">
        <v>173</v>
      </c>
      <c r="M22" s="5" t="s">
        <v>174</v>
      </c>
      <c r="N22" s="5" t="s">
        <v>175</v>
      </c>
      <c r="O22" s="5" t="s">
        <v>517</v>
      </c>
      <c r="P22" s="5" t="s">
        <v>177</v>
      </c>
      <c r="Q22" s="5" t="s">
        <v>224</v>
      </c>
      <c r="R22" s="5" t="s">
        <v>199</v>
      </c>
      <c r="S22" s="5" t="s">
        <v>180</v>
      </c>
      <c r="T22" s="5" t="s">
        <v>223</v>
      </c>
      <c r="U22" s="5" t="s">
        <v>224</v>
      </c>
      <c r="V22" s="5" t="s">
        <v>199</v>
      </c>
      <c r="W22" s="5" t="s">
        <v>180</v>
      </c>
      <c r="X22" s="6" t="s">
        <v>518</v>
      </c>
      <c r="Y22" s="6" t="s">
        <v>519</v>
      </c>
      <c r="Z22" s="6" t="s">
        <v>227</v>
      </c>
      <c r="AA22" s="6" t="s">
        <v>520</v>
      </c>
      <c r="AB22" s="6" t="s">
        <v>521</v>
      </c>
      <c r="AC22" s="6" t="s">
        <v>522</v>
      </c>
      <c r="AD22" s="6" t="s">
        <v>523</v>
      </c>
      <c r="AE22" s="6" t="s">
        <v>232</v>
      </c>
      <c r="AF22" s="6" t="s">
        <v>233</v>
      </c>
      <c r="AG22" s="6" t="s">
        <v>524</v>
      </c>
      <c r="AH22" s="6" t="s">
        <v>525</v>
      </c>
      <c r="AI22" s="6" t="s">
        <v>526</v>
      </c>
      <c r="AJ22" s="6" t="s">
        <v>238</v>
      </c>
      <c r="AK22" s="6" t="s">
        <v>239</v>
      </c>
      <c r="AL22" s="6" t="s">
        <v>527</v>
      </c>
      <c r="AM22" s="6" t="s">
        <v>528</v>
      </c>
      <c r="AN22" s="6" t="s">
        <v>242</v>
      </c>
      <c r="AO22" s="6" t="s">
        <v>529</v>
      </c>
      <c r="AP22" s="6" t="s">
        <v>530</v>
      </c>
      <c r="AQ22" s="6" t="s">
        <v>245</v>
      </c>
      <c r="AR22" s="6" t="s">
        <v>246</v>
      </c>
      <c r="AS22" s="6" t="s">
        <v>247</v>
      </c>
      <c r="AT22" s="6" t="s">
        <v>248</v>
      </c>
      <c r="AU22" s="6" t="s">
        <v>253</v>
      </c>
      <c r="AV22" s="6" t="s">
        <v>250</v>
      </c>
      <c r="AW22" s="6" t="s">
        <v>251</v>
      </c>
      <c r="AX22" s="6" t="s">
        <v>248</v>
      </c>
      <c r="AY22" s="6" t="s">
        <v>253</v>
      </c>
      <c r="AZ22" s="6" t="s">
        <v>531</v>
      </c>
      <c r="BA22" s="6" t="s">
        <v>532</v>
      </c>
      <c r="BB22" s="6" t="s">
        <v>533</v>
      </c>
      <c r="BC22" s="6" t="s">
        <v>493</v>
      </c>
      <c r="BD22" s="6" t="s">
        <v>494</v>
      </c>
      <c r="BE22" s="6" t="s">
        <v>534</v>
      </c>
      <c r="BF22" s="6" t="s">
        <v>493</v>
      </c>
      <c r="BG22" s="6" t="s">
        <v>495</v>
      </c>
      <c r="BH22" s="6" t="s">
        <v>496</v>
      </c>
      <c r="BI22" s="6" t="s">
        <v>534</v>
      </c>
      <c r="BJ22" s="6" t="s">
        <v>493</v>
      </c>
      <c r="BK22" s="6" t="s">
        <v>497</v>
      </c>
      <c r="BL22" s="6" t="s">
        <v>534</v>
      </c>
      <c r="BM22" s="6" t="s">
        <v>493</v>
      </c>
      <c r="BN22" s="6" t="s">
        <v>495</v>
      </c>
      <c r="BO22" s="6" t="s">
        <v>498</v>
      </c>
      <c r="BP22" s="6" t="s">
        <v>499</v>
      </c>
      <c r="BQ22" s="6" t="s">
        <v>500</v>
      </c>
      <c r="BR22" s="6" t="s">
        <v>501</v>
      </c>
      <c r="BS22" s="6" t="s">
        <v>502</v>
      </c>
      <c r="BT22" s="6" t="s">
        <v>503</v>
      </c>
      <c r="BU22" s="6" t="s">
        <v>504</v>
      </c>
      <c r="BV22" s="6" t="s">
        <v>505</v>
      </c>
      <c r="BW22" s="6" t="s">
        <v>506</v>
      </c>
      <c r="BX22" s="6" t="s">
        <v>173</v>
      </c>
      <c r="BY22" s="6" t="s">
        <v>174</v>
      </c>
      <c r="BZ22" s="6" t="s">
        <v>503</v>
      </c>
      <c r="CA22" s="6" t="s">
        <v>507</v>
      </c>
      <c r="CB22" s="6" t="s">
        <v>173</v>
      </c>
      <c r="CC22" s="6" t="s">
        <v>508</v>
      </c>
      <c r="CD22" s="27" t="s">
        <v>509</v>
      </c>
      <c r="CE22" s="27" t="s">
        <v>510</v>
      </c>
      <c r="CF22" s="27" t="s">
        <v>511</v>
      </c>
      <c r="CG22" s="6" t="s">
        <v>512</v>
      </c>
      <c r="CH22" s="6" t="s">
        <v>513</v>
      </c>
      <c r="CI22" s="6" t="s">
        <v>534</v>
      </c>
      <c r="CJ22" s="6" t="s">
        <v>493</v>
      </c>
      <c r="CK22" s="6" t="s">
        <v>494</v>
      </c>
      <c r="CL22" s="6" t="s">
        <v>534</v>
      </c>
      <c r="CM22" s="6" t="s">
        <v>493</v>
      </c>
      <c r="CN22" s="6" t="s">
        <v>495</v>
      </c>
      <c r="CO22" s="6" t="s">
        <v>496</v>
      </c>
      <c r="CP22" s="6" t="s">
        <v>534</v>
      </c>
      <c r="CQ22" s="6" t="s">
        <v>493</v>
      </c>
      <c r="CR22" s="6" t="s">
        <v>497</v>
      </c>
      <c r="CS22" s="6" t="s">
        <v>534</v>
      </c>
      <c r="CT22" s="6" t="s">
        <v>493</v>
      </c>
      <c r="CU22" s="6" t="s">
        <v>495</v>
      </c>
      <c r="CV22" s="6" t="s">
        <v>498</v>
      </c>
      <c r="CW22" s="6" t="s">
        <v>499</v>
      </c>
      <c r="CX22" s="6" t="s">
        <v>500</v>
      </c>
      <c r="CY22" s="6" t="s">
        <v>501</v>
      </c>
      <c r="CZ22" s="6" t="s">
        <v>502</v>
      </c>
      <c r="DA22" s="6" t="s">
        <v>503</v>
      </c>
      <c r="DB22" s="6" t="s">
        <v>504</v>
      </c>
      <c r="DC22" s="6" t="s">
        <v>505</v>
      </c>
      <c r="DD22" s="6" t="s">
        <v>506</v>
      </c>
      <c r="DE22" s="6" t="s">
        <v>173</v>
      </c>
      <c r="DF22" s="6" t="s">
        <v>174</v>
      </c>
      <c r="DG22" s="6" t="s">
        <v>503</v>
      </c>
      <c r="DH22" s="6" t="s">
        <v>507</v>
      </c>
      <c r="DI22" s="6" t="s">
        <v>173</v>
      </c>
      <c r="DJ22" s="6" t="s">
        <v>508</v>
      </c>
      <c r="DK22" s="27" t="s">
        <v>509</v>
      </c>
      <c r="DL22" s="27" t="s">
        <v>510</v>
      </c>
      <c r="DM22" s="27" t="s">
        <v>511</v>
      </c>
    </row>
    <row r="23" spans="3:117" ht="18.600000000000001" customHeight="1">
      <c r="C23" s="13"/>
      <c r="D23" s="14" t="str">
        <f t="shared" ref="D23:O31" si="78">D10</f>
        <v>Clean Room 10</v>
      </c>
      <c r="E23" s="14">
        <f t="shared" si="78"/>
        <v>3</v>
      </c>
      <c r="F23" s="14">
        <f t="shared" si="78"/>
        <v>3</v>
      </c>
      <c r="G23" s="14">
        <f t="shared" si="78"/>
        <v>2.4</v>
      </c>
      <c r="H23" s="14">
        <f t="shared" si="78"/>
        <v>1</v>
      </c>
      <c r="I23" s="14">
        <f t="shared" si="78"/>
        <v>2</v>
      </c>
      <c r="J23" s="14">
        <f t="shared" si="78"/>
        <v>1.75</v>
      </c>
      <c r="K23" s="14">
        <f t="shared" si="78"/>
        <v>3</v>
      </c>
      <c r="L23" s="15">
        <f t="shared" si="78"/>
        <v>0.15</v>
      </c>
      <c r="M23" s="15">
        <f>M10</f>
        <v>0.05</v>
      </c>
      <c r="N23" s="14">
        <f t="shared" ref="N23:O23" si="79">N10</f>
        <v>24</v>
      </c>
      <c r="O23" s="14">
        <f t="shared" si="79"/>
        <v>50</v>
      </c>
      <c r="P23" s="13">
        <f t="shared" ref="P23:P31" si="80">P10</f>
        <v>43.1</v>
      </c>
      <c r="Q23" s="13">
        <f t="shared" ref="Q23:W23" si="81">Q10</f>
        <v>100</v>
      </c>
      <c r="R23" s="13" t="str">
        <f t="shared" si="81"/>
        <v>ISO 6</v>
      </c>
      <c r="S23" s="13">
        <f t="shared" si="81"/>
        <v>180</v>
      </c>
      <c r="T23" s="13">
        <f t="shared" si="81"/>
        <v>-16.600000000000001</v>
      </c>
      <c r="U23" s="13">
        <f t="shared" si="81"/>
        <v>8</v>
      </c>
      <c r="V23" s="13" t="str">
        <f t="shared" si="81"/>
        <v>ISO 6</v>
      </c>
      <c r="W23" s="13">
        <f t="shared" si="81"/>
        <v>180</v>
      </c>
      <c r="X23" s="16">
        <f>E23*F23*10.76</f>
        <v>96.84</v>
      </c>
      <c r="Y23" s="16">
        <f>X23*G23*3.28</f>
        <v>762.32447999999999</v>
      </c>
      <c r="Z23" s="16">
        <f>Y23*S23/60</f>
        <v>2286.9734400000002</v>
      </c>
      <c r="AA23" s="16">
        <f>Z23*L23</f>
        <v>343.04601600000001</v>
      </c>
      <c r="AB23" s="16">
        <f>Z23*M23</f>
        <v>114.34867200000002</v>
      </c>
      <c r="AC23" s="16">
        <f>IF(ISNUMBER(N23), ABS((AA23*0.075*60/2.20462)*CV23/7000), "Ambient")</f>
        <v>6.4509502693589287</v>
      </c>
      <c r="AD23" s="16">
        <f>IF(ISNUMBER(N18), CEILING(DL23/(0.68*CV23),25), "Ambient")</f>
        <v>1600</v>
      </c>
      <c r="AE23" s="16">
        <f>CEILING(MAX((Z23+AA23),ABS(AD23)),25)</f>
        <v>2650</v>
      </c>
      <c r="AF23" s="16">
        <f t="shared" ref="AF23:AF31" si="82">CEILING(IF(OR($R23="ISO 6",$R23="GRADE B",$R23="1K",$R23=1000,$R23="ISO 5",$R23="GRADE A",$R23=100),AE23*1/100,IF(OR($R23="ISO 7",$R23="GRADE C",$R23="10K",$R23=10000),$AE23*1/250,IF(OR($R23="ISO 8",$R23="GRADE D",$R23="100K",$R23=100000),$AE23*1/250,IF(OR($R23="NC",$R23="20 Micron",$R23="5 Micron",$R23="N C"),$AE23*1/350,0)))),2)</f>
        <v>28</v>
      </c>
      <c r="AG23" s="16">
        <f>CEILING(MAX(AH23,AI23),0.5)</f>
        <v>10</v>
      </c>
      <c r="AH23" s="17">
        <f>CEILING(ABS($DM23/12000),0.5)</f>
        <v>10</v>
      </c>
      <c r="AI23" s="17">
        <f>CEILING($AE23/400,0.5)</f>
        <v>7</v>
      </c>
      <c r="AJ23" s="965" t="s">
        <v>535</v>
      </c>
      <c r="AK23" s="18" t="s">
        <v>254</v>
      </c>
      <c r="AL23" s="974">
        <f>AL10</f>
        <v>150</v>
      </c>
      <c r="AM23" s="965" t="str">
        <f>IF(AJ23&lt;=1300,200,IF(AJ23&lt;=1600,225,IF(AJ23&lt;=2100,250,IF(AJ23&lt;=2700,280,IF(AJ23&lt;=3450,315,IF(AJ23&lt;=4250,355,IF(AJ23&lt;=5250,400,IF(AJ23&lt;=6750,450,IF(AJ23&lt;=8500,500,IF(AJ23&lt;=10750,560,IF(AJ23&lt;=13500,630,IF(AJ23&lt;=17000,710,IF(AJ23&lt;=21500,800,IF(AJ23&lt;=27000,900,IF(AJ23&lt;=34000,1000,IF(AJ23&lt;=43000,1120,IF(AJ23&lt;=49000,1200,IF(AJ23&lt;=68000,1450,"Refer"))))))))))))))))))</f>
        <v>Refer</v>
      </c>
      <c r="AN23" s="968" t="e">
        <f>IF(AJ23*AL23/(6356*0.7*0.9*1.1*25.4)&lt;=1,1,IF(AJ23*AL23/(6356*0.7*0.9*1.1*25.4)&lt;=1.5,1.5,IF(AJ23*AL23/(6356*0.7*0.9*1.1*25.4)&lt;=2,2,IF(AJ23*AL23/(6356*0.7*0.9*1.1*25.4)&lt;=3,3,IF(AJ23*AL23/(6356*0.7*0.9*1.1*25.4)&lt;=5,5,IF(AJ23*AL23/(6356*0.7*0.9*1.1*25.4)&lt;=7.5,7.5,IF(AJ23*AL23/(6356*0.7*0.9*1.1*25.4)&lt;=10,10,IF(AJ23*AL23/(6356*0.7*0.9*1.1*25.4)&lt;=12.5,12.5,IF(AJ23*AL23/(6356*0.7*0.9*1.1*25.4)&lt;=15,15,IF(AJ23*AL23/(6356*0.7*0.9*1.1*25.4)&lt;=20,20,IF(AJ23*AL23/(6356*0.7*0.9*1.1*25.4)&lt;=25,25,IF(AJ23*AL23/(6356*0.7*0.9*1.1*25.4)&lt;=30,30,IF(AJ23*AL23/(6356*0.7*0.9*1.1*25.4)&lt;=40,40,IF(AJ23*AL23/(6356*0.7*0.9*1.1*25.4)&lt;=50,50,"Refer"))))))))))))))</f>
        <v>#VALUE!</v>
      </c>
      <c r="AO23" s="965">
        <f>IF((AK24-250)*(AK26-150)*10.76/(1000*1000)&gt;=MAX(AH32,AI32),4,(IF(((AK24-250)*(AK26-150)*10.76*1.5/(1000*1000))&gt;=MAX(AH32,AI32),6,(IF(((AK24-250)*(AK26-150)*2*10.76/(1000*1000))&gt;=MAX(AH32,AI32),8,10)))))</f>
        <v>4</v>
      </c>
      <c r="AP23" s="968">
        <f>AG32</f>
        <v>66</v>
      </c>
      <c r="AQ23" s="974">
        <f>AQ10</f>
        <v>4</v>
      </c>
      <c r="AR23" s="965"/>
      <c r="AS23" s="965"/>
      <c r="AT23" s="965"/>
      <c r="AU23" s="965"/>
      <c r="AV23" s="968">
        <f>MAX(AH32,AI32)*24/6</f>
        <v>240</v>
      </c>
      <c r="AW23" s="968">
        <f>AV23*0.06309</f>
        <v>15.141599999999999</v>
      </c>
      <c r="AX23" s="971">
        <f>AT10*AV23/AR10</f>
        <v>1.4201183431952662</v>
      </c>
      <c r="AY23" s="968">
        <f>SQRT((4*AV23*0.00006309)/(3.14*AX23))*1000</f>
        <v>116.5436961873919</v>
      </c>
      <c r="AZ23" s="17">
        <f>CONVERT(N23,"C","F")-CONVERT((N23+8),"C","F")</f>
        <v>-14.399999999999991</v>
      </c>
      <c r="BA23" s="17">
        <f>CONVERT(P23,"C","F")-CONVERT(N23,"C","F")</f>
        <v>34.379999999999995</v>
      </c>
      <c r="BB23" s="17">
        <f>N23+8</f>
        <v>32</v>
      </c>
      <c r="BC23" s="17">
        <f>BF23+35</f>
        <v>85</v>
      </c>
      <c r="BD23" s="17">
        <f>0.622*7000*(BC23/100)*(6.1078*10^((7.5*BB23)/(237.3+BB23)))/(1013.25-(6.1078*10^((7.5*BB23)/(237.3+BB23)))*BC23/100)</f>
        <v>180.86341983910182</v>
      </c>
      <c r="BE23" s="17">
        <f>N23</f>
        <v>24</v>
      </c>
      <c r="BF23" s="17">
        <f>O23</f>
        <v>50</v>
      </c>
      <c r="BG23" s="17">
        <f t="shared" ref="BG23:BG31" si="83">0.622*7000*(BF23/100)*(6.1078*10^((7.5*BE23)/(237.3+BE23)))/(1013.25-(6.1078*10^((7.5*BE23)/(237.3+BE23)))*BF23/100)</f>
        <v>65.062647806544774</v>
      </c>
      <c r="BH23" s="17">
        <f>BD23-BG23</f>
        <v>115.80077203255705</v>
      </c>
      <c r="BI23" s="17">
        <f>P23</f>
        <v>43.1</v>
      </c>
      <c r="BJ23" s="17">
        <f>Q23</f>
        <v>100</v>
      </c>
      <c r="BK23" s="17">
        <f t="shared" ref="BK23:BK31" si="84">0.622*7000*(BJ23/100)*(6.1078*10^((7.5*BI23)/(237.3+BI23)))/(1013.25-(6.1078*10^((7.5*BI23)/(237.3+BI23)))*BJ23/100)</f>
        <v>408.11800181338162</v>
      </c>
      <c r="BL23" s="17">
        <f>N23</f>
        <v>24</v>
      </c>
      <c r="BM23" s="17">
        <f>BF23</f>
        <v>50</v>
      </c>
      <c r="BN23" s="17">
        <f t="shared" ref="BN23:BN31" si="85">0.622*7000*(BM23/100)*(6.1078*10^((7.5*BL23)/(237.3+BL23)))/(1013.25-(6.1078*10^((7.5*BL23)/(237.3+BL23)))*BM23/100)</f>
        <v>65.062647806544774</v>
      </c>
      <c r="BO23" s="17">
        <f>BK23-BN23</f>
        <v>343.05535400683686</v>
      </c>
      <c r="BP23" s="17">
        <f>($E23*$G23*10.76*2+$F23*$G23*2*10.76)*$BA23*0.45</f>
        <v>4794.2772479999994</v>
      </c>
      <c r="BQ23" s="17">
        <f>($E23*$G23*10.76*2+$F23*$G23*2*10.76)*$AZ23*0.45</f>
        <v>-2008.0742399999988</v>
      </c>
      <c r="BR23" s="17">
        <f>($E23*$F23*10.76)*$AZ23*0.45</f>
        <v>-627.52319999999963</v>
      </c>
      <c r="BS23" s="17">
        <f>($E23*$F23*10.76)*$BA23*0.45</f>
        <v>1498.21164</v>
      </c>
      <c r="BT23" s="17">
        <f>$H23*285*1.08*$BA23</f>
        <v>10582.163999999999</v>
      </c>
      <c r="BU23" s="17">
        <f>$I23*1000*3.412</f>
        <v>6824</v>
      </c>
      <c r="BV23" s="17">
        <f>$J23*$X23*3.412</f>
        <v>578.23163999999997</v>
      </c>
      <c r="BW23" s="17">
        <f>$K23*1.08*375*$AZ23</f>
        <v>-17495.999999999989</v>
      </c>
      <c r="BX23" s="17">
        <f>($AA23+$AB23)*1.08*$BA23</f>
        <v>16983.247723315199</v>
      </c>
      <c r="BY23" s="17"/>
      <c r="BZ23" s="17">
        <f>$H23*200*0.68*$BO23</f>
        <v>46655.528144929813</v>
      </c>
      <c r="CA23" s="17">
        <f>$K23*375*0.68*$BO23</f>
        <v>262437.34581523022</v>
      </c>
      <c r="CB23" s="17">
        <f>($AA23+$AB23)*0.68*$BO23</f>
        <v>106699.95369662697</v>
      </c>
      <c r="CC23" s="17">
        <f>($Z23-$AA23)*0.68*$BO23</f>
        <v>453474.80321066466</v>
      </c>
      <c r="CD23" s="17">
        <f>$BP23+$BT23+$BU23+$BV23+$BW23+$BX23</f>
        <v>22265.92061131521</v>
      </c>
      <c r="CE23" s="17">
        <f>$BZ23+$CA23+$CB23+$CC23</f>
        <v>869267.63086745166</v>
      </c>
      <c r="CF23" s="17">
        <f>$CD23+$CE23</f>
        <v>891533.55147876684</v>
      </c>
      <c r="CG23" s="17">
        <f>CONVERT(N23,"C","F")-CONVERT((N23-8),"C","F")</f>
        <v>14.400000000000006</v>
      </c>
      <c r="CH23" s="17">
        <f>CONVERT(T23,"C","F")-CONVERT(N23,"C","F")</f>
        <v>-73.080000000000013</v>
      </c>
      <c r="CI23" s="17">
        <f>CL23-8</f>
        <v>16</v>
      </c>
      <c r="CJ23" s="17">
        <f>O23+40</f>
        <v>90</v>
      </c>
      <c r="CK23" s="17">
        <f t="shared" ref="CK23:CK31" si="86">0.622*7000*(CJ23/100)*(6.1078*10^((7.5*CI23)/(237.3+CI23)))/(1013.25-(6.1078*10^((7.5*CI23)/(237.3+CI23)))*CJ23/100)</f>
        <v>71.46880726181422</v>
      </c>
      <c r="CL23" s="17">
        <f>N23</f>
        <v>24</v>
      </c>
      <c r="CM23" s="17">
        <f>O23</f>
        <v>50</v>
      </c>
      <c r="CN23" s="17">
        <f t="shared" ref="CN23:CN31" si="87">0.622*7000*(CM23/100)*(6.1078*10^((7.5*CL23)/(237.3+CL23)))/(1013.25-(6.1078*10^((7.5*CL23)/(237.3+CL23)))*CM23/100)</f>
        <v>65.062647806544774</v>
      </c>
      <c r="CO23" s="17">
        <f>CK23-CN23</f>
        <v>6.4061594552694459</v>
      </c>
      <c r="CP23" s="17">
        <f>T23</f>
        <v>-16.600000000000001</v>
      </c>
      <c r="CQ23" s="17">
        <f>U23</f>
        <v>8</v>
      </c>
      <c r="CR23" s="17">
        <f t="shared" ref="CR23:CR31" si="88">0.622*7000*(CQ23/100)*(6.1078*10^((7.5*CP23)/(237.3+CP23)))/(1013.25-(6.1078*10^((7.5*CP23)/(237.3+CP23)))*CQ23/100)</f>
        <v>0.57291417407581968</v>
      </c>
      <c r="CS23" s="17">
        <f>CL23</f>
        <v>24</v>
      </c>
      <c r="CT23" s="17">
        <f>O23</f>
        <v>50</v>
      </c>
      <c r="CU23" s="17">
        <f t="shared" ref="CU23:CU31" si="89">0.622*7000*(CT23/100)*(6.1078*10^((7.5*CS23)/(237.3+CS23)))/(1013.25-(6.1078*10^((7.5*CS23)/(237.3+CS23)))*CT23/100)</f>
        <v>65.062647806544774</v>
      </c>
      <c r="CV23" s="17">
        <f>CR23-CU23</f>
        <v>-64.489733632468955</v>
      </c>
      <c r="CW23" s="17">
        <f t="shared" ref="CW23:CX31" si="90">($E23*$G23*10.76*2+$F23*$G23*2*10.76)*$CH23*0.45</f>
        <v>-10190.976768</v>
      </c>
      <c r="CX23" s="17">
        <f t="shared" si="90"/>
        <v>-10190.976768</v>
      </c>
      <c r="CY23" s="17">
        <f>($E23*$F23*10.76)*$CG23*0.45</f>
        <v>627.52320000000032</v>
      </c>
      <c r="CZ23" s="17">
        <f>($E23*$F23*10.76)*$CH23*0.45</f>
        <v>-3184.6802400000006</v>
      </c>
      <c r="DA23" s="17">
        <f>$H23*285*1.08*$CH23</f>
        <v>-22494.024000000005</v>
      </c>
      <c r="DB23" s="17">
        <f>$I23*1000*3.412</f>
        <v>6824</v>
      </c>
      <c r="DC23" s="17">
        <f>$J23*$X23*3.412</f>
        <v>578.23163999999997</v>
      </c>
      <c r="DD23" s="17">
        <f>$K23*1.08*375*$CG23</f>
        <v>17496.000000000007</v>
      </c>
      <c r="DE23" s="17">
        <f>($AA23+$AB23)*1.08*$CH23</f>
        <v>-36100.516102963207</v>
      </c>
      <c r="DF23" s="17"/>
      <c r="DG23" s="17">
        <f>$H23*200*0.68*CV23</f>
        <v>-8770.6037740157772</v>
      </c>
      <c r="DH23" s="17">
        <f>$K23*375*0.68*CV23</f>
        <v>-49334.646228838748</v>
      </c>
      <c r="DI23" s="17">
        <f>(AA23+AB23)*0.68*CV23</f>
        <v>-20058.137883937849</v>
      </c>
      <c r="DJ23" s="17">
        <f>(Z23-AA23)*0.68*CO23</f>
        <v>8468.1141523783226</v>
      </c>
      <c r="DK23" s="17">
        <f>CW23+CZ23+CY23+DA23+DB23+DC23+DD23+DE23</f>
        <v>-46444.442270963205</v>
      </c>
      <c r="DL23" s="17">
        <f>DG23+DH23+DI23+DJ23</f>
        <v>-69695.273734414048</v>
      </c>
      <c r="DM23" s="17">
        <f>DK23+DL23</f>
        <v>-116139.71600537725</v>
      </c>
    </row>
    <row r="24" spans="3:117" ht="18.600000000000001">
      <c r="C24" s="13"/>
      <c r="D24" s="14" t="str">
        <f t="shared" si="78"/>
        <v>Clean Room 11</v>
      </c>
      <c r="E24" s="14">
        <f t="shared" si="78"/>
        <v>1.8</v>
      </c>
      <c r="F24" s="14">
        <f t="shared" si="78"/>
        <v>2.2000000000000002</v>
      </c>
      <c r="G24" s="14">
        <f t="shared" si="78"/>
        <v>2.4</v>
      </c>
      <c r="H24" s="14">
        <f t="shared" si="78"/>
        <v>2</v>
      </c>
      <c r="I24" s="14">
        <f t="shared" si="78"/>
        <v>1</v>
      </c>
      <c r="J24" s="14">
        <f t="shared" si="78"/>
        <v>1.75</v>
      </c>
      <c r="K24" s="14">
        <f t="shared" si="78"/>
        <v>3</v>
      </c>
      <c r="L24" s="15">
        <f t="shared" si="78"/>
        <v>0.15</v>
      </c>
      <c r="M24" s="15">
        <f t="shared" si="78"/>
        <v>0.05</v>
      </c>
      <c r="N24" s="14">
        <f t="shared" si="78"/>
        <v>24</v>
      </c>
      <c r="O24" s="14">
        <f t="shared" si="78"/>
        <v>50</v>
      </c>
      <c r="P24" s="13">
        <f t="shared" si="80"/>
        <v>45</v>
      </c>
      <c r="Q24" s="13">
        <f t="shared" ref="Q24:W24" si="91">Q11</f>
        <v>85</v>
      </c>
      <c r="R24" s="13" t="str">
        <f t="shared" si="91"/>
        <v>ISO 6</v>
      </c>
      <c r="S24" s="13">
        <f t="shared" si="91"/>
        <v>180</v>
      </c>
      <c r="T24" s="13">
        <f t="shared" si="91"/>
        <v>0</v>
      </c>
      <c r="U24" s="13">
        <f t="shared" si="91"/>
        <v>100</v>
      </c>
      <c r="V24" s="13" t="str">
        <f t="shared" si="91"/>
        <v>ISO 6</v>
      </c>
      <c r="W24" s="13">
        <f t="shared" si="91"/>
        <v>180</v>
      </c>
      <c r="X24" s="16">
        <f t="shared" ref="X24:X31" si="92">E24*F24*10.76</f>
        <v>42.6096</v>
      </c>
      <c r="Y24" s="16">
        <f t="shared" ref="Y24:Y31" si="93">X24*G24*3.28</f>
        <v>335.4227712</v>
      </c>
      <c r="Z24" s="16">
        <f t="shared" ref="Z24:Z31" si="94">Y24*S24/60</f>
        <v>1006.2683135999999</v>
      </c>
      <c r="AA24" s="16">
        <f t="shared" ref="AA24:AA31" si="95">Z24*L24</f>
        <v>150.94024703999997</v>
      </c>
      <c r="AB24" s="16">
        <f t="shared" ref="AB24:AB31" si="96">Z24*M24</f>
        <v>50.313415679999999</v>
      </c>
      <c r="AC24" s="16">
        <f t="shared" ref="AC24:AC31" si="97">IF(ISNUMBER(N24), ABS((AA24*0.075*60/2.20462)*CV24/7000), "Ambient")</f>
        <v>1.7014679082766972</v>
      </c>
      <c r="AD24" s="16">
        <f>IF(ISNUMBER(N24), CEILING(DL24/(0.68*CV24),25), "Ambient")</f>
        <v>1600</v>
      </c>
      <c r="AE24" s="16">
        <f t="shared" ref="AE24:AE27" si="98">CEILING(MAX((Z24+AA24),ABS(AD24)),25)</f>
        <v>1600</v>
      </c>
      <c r="AF24" s="16">
        <f t="shared" ref="AF24:AF27" si="99">CEILING(IF(OR($R24="ISO 6",$R24="GRADE B",$R24="1K",$R24=1000,$R24="ISO 5",$R24="GRADE A",$R24=100),AE24*1/100,IF(OR($R24="ISO 7",$R24="GRADE C",$R24="10K",$R24=10000),$AE24*1/250,IF(OR($R24="ISO 8",$R24="GRADE D",$R24="100K",$R24=100000),$AE24*1/250,IF(OR($R24="NC",$R24="20 Micron",$R24="5 Micron",$R24="N C"),$AE24*1/350,0)))),2)</f>
        <v>16</v>
      </c>
      <c r="AG24" s="16">
        <f t="shared" ref="AG24:AG27" si="100">CEILING(MAX(AH24,AI24),0.5)</f>
        <v>5.5</v>
      </c>
      <c r="AH24" s="17">
        <f t="shared" ref="AH24:AH27" si="101">CEILING(ABS($DM24/12000),0.5)</f>
        <v>5.5</v>
      </c>
      <c r="AI24" s="17">
        <f t="shared" ref="AI24:AI27" si="102">CEILING($AE24/400,0.5)</f>
        <v>4</v>
      </c>
      <c r="AJ24" s="966"/>
      <c r="AK24" s="18">
        <f>AK11</f>
        <v>3600</v>
      </c>
      <c r="AL24" s="975"/>
      <c r="AM24" s="977"/>
      <c r="AN24" s="979"/>
      <c r="AO24" s="966"/>
      <c r="AP24" s="969"/>
      <c r="AQ24" s="975"/>
      <c r="AR24" s="966"/>
      <c r="AS24" s="966"/>
      <c r="AT24" s="966"/>
      <c r="AU24" s="966"/>
      <c r="AV24" s="969"/>
      <c r="AW24" s="969"/>
      <c r="AX24" s="972"/>
      <c r="AY24" s="969"/>
      <c r="AZ24" s="17">
        <f t="shared" ref="AZ24:AZ31" si="103">CONVERT(N24,"C","F")-CONVERT((N24+8),"C","F")</f>
        <v>-14.399999999999991</v>
      </c>
      <c r="BA24" s="17">
        <f t="shared" ref="BA24:BA31" si="104">CONVERT(P24,"C","F")-CONVERT(N24,"C","F")</f>
        <v>37.799999999999997</v>
      </c>
      <c r="BB24" s="17">
        <f t="shared" ref="BB24:BB31" si="105">BE24+8</f>
        <v>32</v>
      </c>
      <c r="BC24" s="17">
        <f t="shared" ref="BC24:BC31" si="106">BF24+35</f>
        <v>85</v>
      </c>
      <c r="BD24" s="17">
        <f t="shared" ref="BD24:BD31" si="107">0.622*7000*(BC24/100)*(6.1078*10^((7.5*BB24)/(237.3+BB24)))/(1013.25-(6.1078*10^((7.5*BB24)/(237.3+BB24)))*BC24/100)</f>
        <v>180.86341983910182</v>
      </c>
      <c r="BE24" s="17">
        <f t="shared" ref="BE24:BE31" si="108">N24</f>
        <v>24</v>
      </c>
      <c r="BF24" s="17">
        <f t="shared" ref="BF24:BF31" si="109">O24</f>
        <v>50</v>
      </c>
      <c r="BG24" s="17">
        <f t="shared" si="83"/>
        <v>65.062647806544774</v>
      </c>
      <c r="BH24" s="17">
        <f t="shared" ref="BH24:BH31" si="110">BD24-BG24</f>
        <v>115.80077203255705</v>
      </c>
      <c r="BI24" s="17">
        <f t="shared" ref="BI24:BI31" si="111">P24</f>
        <v>45</v>
      </c>
      <c r="BJ24" s="17">
        <f t="shared" ref="BJ24:BJ31" si="112">Q24</f>
        <v>85</v>
      </c>
      <c r="BK24" s="17">
        <f t="shared" si="84"/>
        <v>380.54120080897206</v>
      </c>
      <c r="BL24" s="17">
        <f t="shared" ref="BL24:BL31" si="113">BE24</f>
        <v>24</v>
      </c>
      <c r="BM24" s="17">
        <f t="shared" ref="BM24:BM31" si="114">BF24</f>
        <v>50</v>
      </c>
      <c r="BN24" s="17">
        <f t="shared" si="85"/>
        <v>65.062647806544774</v>
      </c>
      <c r="BO24" s="17">
        <f t="shared" ref="BO24:BO31" si="115">BK24-BN24</f>
        <v>315.4785530024273</v>
      </c>
      <c r="BP24" s="17">
        <f t="shared" ref="BP24:BP31" si="116">(E24*G24*10.76*2+F24*G24*2*10.76)*BA24*0.45</f>
        <v>3514.1299199999999</v>
      </c>
      <c r="BQ24" s="17">
        <f t="shared" ref="BQ24:BQ31" si="117">(E24*G24*10.76*2+F24*G24*2*10.76)*AZ24*0.45</f>
        <v>-1338.7161599999993</v>
      </c>
      <c r="BR24" s="17">
        <f t="shared" ref="BR24:BR31" si="118">(E24*F24*10.76)*AZ24*0.45</f>
        <v>-276.11020799999983</v>
      </c>
      <c r="BS24" s="17">
        <f t="shared" ref="BS24:BS31" si="119">(E24*F24*10.76)*BA24*0.45</f>
        <v>724.78929599999992</v>
      </c>
      <c r="BT24" s="17">
        <f t="shared" ref="BT24:BT31" si="120">H24*285*1.08*BA24</f>
        <v>23269.68</v>
      </c>
      <c r="BU24" s="17">
        <f t="shared" ref="BU24:BU31" si="121">I24*1000*3.412</f>
        <v>3412</v>
      </c>
      <c r="BV24" s="17">
        <f t="shared" ref="BV24:BV31" si="122">J24*X24*3.412</f>
        <v>254.42192159999999</v>
      </c>
      <c r="BW24" s="17">
        <f t="shared" ref="BW24:BW31" si="123">K24*1.08*375*AZ24</f>
        <v>-17495.999999999989</v>
      </c>
      <c r="BX24" s="17">
        <f t="shared" ref="BX24:BX31" si="124">(AA24+AB24)*1.08*BA24</f>
        <v>8215.9795268812795</v>
      </c>
      <c r="BY24" s="17"/>
      <c r="BZ24" s="17">
        <f t="shared" ref="BZ24:BZ31" si="125">H24*200*0.68*BO24</f>
        <v>85810.166416660228</v>
      </c>
      <c r="CA24" s="17">
        <f t="shared" ref="CA24:CA31" si="126">K24*375*0.68*BO24</f>
        <v>241341.0930468569</v>
      </c>
      <c r="CB24" s="17">
        <f t="shared" ref="CB24:CB31" si="127">(AA24+AB24)*0.68*BO24</f>
        <v>43174.02572491402</v>
      </c>
      <c r="CC24" s="17">
        <f t="shared" ref="CC24:CC31" si="128">($Z24-$AA24)*0.68*$BO24</f>
        <v>183489.60933088462</v>
      </c>
      <c r="CD24" s="17">
        <f t="shared" ref="CD24:CD31" si="129">$BP24+$BT24+$BU24+$BV24+$BW24+$BX24</f>
        <v>21170.211368481287</v>
      </c>
      <c r="CE24" s="17">
        <f t="shared" ref="CE24:CE31" si="130">$BZ24+$CA24+$CB24+$CC24</f>
        <v>553814.8945193158</v>
      </c>
      <c r="CF24" s="17">
        <f t="shared" ref="CF24:CF31" si="131">$CD24+$CE24</f>
        <v>574985.10588779708</v>
      </c>
      <c r="CG24" s="17">
        <f t="shared" ref="CG24:CG31" si="132">CONVERT(N24,"C","F")-CONVERT((N24-8),"C","F")</f>
        <v>14.400000000000006</v>
      </c>
      <c r="CH24" s="17">
        <f t="shared" ref="CH24:CH31" si="133">CONVERT(T24,"C","F")-CONVERT(N24,"C","F")</f>
        <v>-43.2</v>
      </c>
      <c r="CI24" s="17">
        <f t="shared" ref="CI24:CI31" si="134">CL24-8</f>
        <v>16</v>
      </c>
      <c r="CJ24" s="17">
        <f t="shared" ref="CJ24:CJ31" si="135">O24+40</f>
        <v>90</v>
      </c>
      <c r="CK24" s="17">
        <f t="shared" si="86"/>
        <v>71.46880726181422</v>
      </c>
      <c r="CL24" s="17">
        <f t="shared" ref="CL24:CL31" si="136">N24</f>
        <v>24</v>
      </c>
      <c r="CM24" s="17">
        <f t="shared" ref="CM24:CM31" si="137">O24</f>
        <v>50</v>
      </c>
      <c r="CN24" s="17">
        <f t="shared" si="87"/>
        <v>65.062647806544774</v>
      </c>
      <c r="CO24" s="17">
        <f t="shared" ref="CO24:CO31" si="138">CK24-CN24</f>
        <v>6.4061594552694459</v>
      </c>
      <c r="CP24" s="17">
        <f t="shared" ref="CP24:CP31" si="139">T24</f>
        <v>0</v>
      </c>
      <c r="CQ24" s="17">
        <f t="shared" ref="CQ24:CQ31" si="140">U24</f>
        <v>100</v>
      </c>
      <c r="CR24" s="17">
        <f t="shared" si="88"/>
        <v>26.404773030064671</v>
      </c>
      <c r="CS24" s="17">
        <f t="shared" ref="CS24:CS31" si="141">CL24</f>
        <v>24</v>
      </c>
      <c r="CT24" s="17">
        <f t="shared" ref="CT24:CT31" si="142">O24</f>
        <v>50</v>
      </c>
      <c r="CU24" s="17">
        <f t="shared" si="89"/>
        <v>65.062647806544774</v>
      </c>
      <c r="CV24" s="17">
        <f t="shared" ref="CV24:CV31" si="143">CR24-CU24</f>
        <v>-38.657874776480099</v>
      </c>
      <c r="CW24" s="17">
        <f t="shared" si="90"/>
        <v>-4016.1484800000003</v>
      </c>
      <c r="CX24" s="17">
        <f t="shared" si="90"/>
        <v>-4016.1484800000003</v>
      </c>
      <c r="CY24" s="17">
        <f t="shared" ref="CY24:CY31" si="144">($E24*$F24*10.76)*$CG24*0.45</f>
        <v>276.11020800000011</v>
      </c>
      <c r="CZ24" s="17">
        <f t="shared" ref="CZ24:CZ31" si="145">($E24*$F24*10.76)*$CH24*0.45</f>
        <v>-828.33062400000006</v>
      </c>
      <c r="DA24" s="17">
        <f t="shared" ref="DA24:DA31" si="146">$H24*285*1.08*$CH24</f>
        <v>-26593.920000000002</v>
      </c>
      <c r="DB24" s="17">
        <f t="shared" ref="DB24:DB31" si="147">$I24*1000*3.412</f>
        <v>3412</v>
      </c>
      <c r="DC24" s="17">
        <f t="shared" ref="DC24:DC31" si="148">$J24*$X24*3.412</f>
        <v>254.42192159999999</v>
      </c>
      <c r="DD24" s="17">
        <f t="shared" ref="DD24:DD31" si="149">$K24*1.08*375*$CG24</f>
        <v>17496.000000000007</v>
      </c>
      <c r="DE24" s="17">
        <f t="shared" ref="DE24:DE31" si="150">($AA24+$AB24)*1.08*$CH24</f>
        <v>-9389.6908878643208</v>
      </c>
      <c r="DF24" s="17"/>
      <c r="DG24" s="17">
        <f t="shared" ref="DG24:DG31" si="151">$H24*200*0.68*CV24</f>
        <v>-10514.941939202587</v>
      </c>
      <c r="DH24" s="17">
        <f t="shared" ref="DH24:DH31" si="152">$K24*375*0.68*CV24</f>
        <v>-29573.274204007277</v>
      </c>
      <c r="DI24" s="17">
        <f t="shared" ref="DI24:DI31" si="153">(AA24+AB24)*0.68*CV24</f>
        <v>-5290.4264463816498</v>
      </c>
      <c r="DJ24" s="17">
        <f t="shared" ref="DJ24:DJ31" si="154">(Z24-AA24)*0.68*CO24</f>
        <v>3725.9702270464613</v>
      </c>
      <c r="DK24" s="17">
        <f t="shared" ref="DK24:DK31" si="155">CW24+CZ24+CY24+DA24+DB24+DC24+DD24+DE24</f>
        <v>-19389.557862264315</v>
      </c>
      <c r="DL24" s="17">
        <f t="shared" ref="DL24:DL31" si="156">DG24+DH24+DI24+DJ24</f>
        <v>-41652.672362545054</v>
      </c>
      <c r="DM24" s="17">
        <f t="shared" ref="DM24:DM31" si="157">DK24+DL24</f>
        <v>-61042.230224809369</v>
      </c>
    </row>
    <row r="25" spans="3:117" ht="18.600000000000001">
      <c r="C25" s="13"/>
      <c r="D25" s="14" t="str">
        <f t="shared" si="78"/>
        <v>Clean Room 12</v>
      </c>
      <c r="E25" s="14">
        <f t="shared" si="78"/>
        <v>1.5</v>
      </c>
      <c r="F25" s="14">
        <f t="shared" si="78"/>
        <v>2.8</v>
      </c>
      <c r="G25" s="14">
        <f t="shared" si="78"/>
        <v>2.4</v>
      </c>
      <c r="H25" s="14">
        <f t="shared" si="78"/>
        <v>2</v>
      </c>
      <c r="I25" s="14">
        <f t="shared" si="78"/>
        <v>3</v>
      </c>
      <c r="J25" s="14">
        <f t="shared" si="78"/>
        <v>1.75</v>
      </c>
      <c r="K25" s="14">
        <f t="shared" si="78"/>
        <v>3</v>
      </c>
      <c r="L25" s="15">
        <f t="shared" si="78"/>
        <v>0.15</v>
      </c>
      <c r="M25" s="15">
        <f t="shared" si="78"/>
        <v>0.05</v>
      </c>
      <c r="N25" s="14">
        <f t="shared" si="78"/>
        <v>24</v>
      </c>
      <c r="O25" s="14">
        <f t="shared" si="78"/>
        <v>50</v>
      </c>
      <c r="P25" s="13">
        <f t="shared" si="80"/>
        <v>45</v>
      </c>
      <c r="Q25" s="13">
        <f t="shared" ref="Q25:W25" si="158">Q12</f>
        <v>85</v>
      </c>
      <c r="R25" s="13" t="str">
        <f t="shared" si="158"/>
        <v>ISO 6</v>
      </c>
      <c r="S25" s="13">
        <f t="shared" si="158"/>
        <v>180</v>
      </c>
      <c r="T25" s="13">
        <f t="shared" si="158"/>
        <v>0</v>
      </c>
      <c r="U25" s="13">
        <f t="shared" si="158"/>
        <v>100</v>
      </c>
      <c r="V25" s="13" t="str">
        <f t="shared" si="158"/>
        <v>ISO 6</v>
      </c>
      <c r="W25" s="13">
        <f t="shared" si="158"/>
        <v>180</v>
      </c>
      <c r="X25" s="16">
        <f t="shared" si="92"/>
        <v>45.191999999999993</v>
      </c>
      <c r="Y25" s="16">
        <f t="shared" si="93"/>
        <v>355.75142399999993</v>
      </c>
      <c r="Z25" s="16">
        <f t="shared" si="94"/>
        <v>1067.2542719999997</v>
      </c>
      <c r="AA25" s="16">
        <f t="shared" si="95"/>
        <v>160.08814079999993</v>
      </c>
      <c r="AB25" s="16">
        <f t="shared" si="96"/>
        <v>53.362713599999985</v>
      </c>
      <c r="AC25" s="16">
        <f t="shared" si="97"/>
        <v>1.8045871754449818</v>
      </c>
      <c r="AD25" s="16">
        <f>IF(ISNUMBER(N25), CEILING(DL25/(0.68*CV25),25), "Ambient")</f>
        <v>1600</v>
      </c>
      <c r="AE25" s="16">
        <f t="shared" si="98"/>
        <v>1600</v>
      </c>
      <c r="AF25" s="16">
        <f t="shared" si="99"/>
        <v>16</v>
      </c>
      <c r="AG25" s="16">
        <f t="shared" si="100"/>
        <v>5</v>
      </c>
      <c r="AH25" s="17">
        <f t="shared" si="101"/>
        <v>5</v>
      </c>
      <c r="AI25" s="17">
        <f t="shared" si="102"/>
        <v>4</v>
      </c>
      <c r="AJ25" s="966"/>
      <c r="AK25" s="18" t="s">
        <v>255</v>
      </c>
      <c r="AL25" s="975"/>
      <c r="AM25" s="977"/>
      <c r="AN25" s="979"/>
      <c r="AO25" s="966"/>
      <c r="AP25" s="969"/>
      <c r="AQ25" s="975"/>
      <c r="AR25" s="966"/>
      <c r="AS25" s="966"/>
      <c r="AT25" s="966"/>
      <c r="AU25" s="966"/>
      <c r="AV25" s="969"/>
      <c r="AW25" s="969"/>
      <c r="AX25" s="972"/>
      <c r="AY25" s="969"/>
      <c r="AZ25" s="17">
        <f t="shared" si="103"/>
        <v>-14.399999999999991</v>
      </c>
      <c r="BA25" s="17">
        <f t="shared" si="104"/>
        <v>37.799999999999997</v>
      </c>
      <c r="BB25" s="17">
        <f t="shared" si="105"/>
        <v>32</v>
      </c>
      <c r="BC25" s="17">
        <f t="shared" si="106"/>
        <v>85</v>
      </c>
      <c r="BD25" s="17">
        <f t="shared" si="107"/>
        <v>180.86341983910182</v>
      </c>
      <c r="BE25" s="17">
        <f t="shared" si="108"/>
        <v>24</v>
      </c>
      <c r="BF25" s="17">
        <f t="shared" si="109"/>
        <v>50</v>
      </c>
      <c r="BG25" s="17">
        <f t="shared" si="83"/>
        <v>65.062647806544774</v>
      </c>
      <c r="BH25" s="17">
        <f t="shared" si="110"/>
        <v>115.80077203255705</v>
      </c>
      <c r="BI25" s="17">
        <f t="shared" si="111"/>
        <v>45</v>
      </c>
      <c r="BJ25" s="17">
        <f t="shared" si="112"/>
        <v>85</v>
      </c>
      <c r="BK25" s="17">
        <f t="shared" si="84"/>
        <v>380.54120080897206</v>
      </c>
      <c r="BL25" s="17">
        <f t="shared" si="113"/>
        <v>24</v>
      </c>
      <c r="BM25" s="17">
        <f t="shared" si="114"/>
        <v>50</v>
      </c>
      <c r="BN25" s="17">
        <f t="shared" si="85"/>
        <v>65.062647806544774</v>
      </c>
      <c r="BO25" s="17">
        <f t="shared" si="115"/>
        <v>315.4785530024273</v>
      </c>
      <c r="BP25" s="17">
        <f t="shared" si="116"/>
        <v>3777.6896639999995</v>
      </c>
      <c r="BQ25" s="17">
        <f t="shared" si="117"/>
        <v>-1439.1198719999991</v>
      </c>
      <c r="BR25" s="17">
        <f t="shared" si="118"/>
        <v>-292.84415999999976</v>
      </c>
      <c r="BS25" s="17">
        <f t="shared" si="119"/>
        <v>768.71591999999987</v>
      </c>
      <c r="BT25" s="17">
        <f t="shared" si="120"/>
        <v>23269.68</v>
      </c>
      <c r="BU25" s="17">
        <f t="shared" si="121"/>
        <v>10236</v>
      </c>
      <c r="BV25" s="17">
        <f t="shared" si="122"/>
        <v>269.84143199999994</v>
      </c>
      <c r="BW25" s="17">
        <f t="shared" si="123"/>
        <v>-17495.999999999989</v>
      </c>
      <c r="BX25" s="17">
        <f t="shared" si="124"/>
        <v>8713.9176800255973</v>
      </c>
      <c r="BY25" s="17"/>
      <c r="BZ25" s="17">
        <f t="shared" si="125"/>
        <v>85810.166416660228</v>
      </c>
      <c r="CA25" s="17">
        <f t="shared" si="126"/>
        <v>241341.0930468569</v>
      </c>
      <c r="CB25" s="17">
        <f t="shared" si="127"/>
        <v>45790.633344605762</v>
      </c>
      <c r="CC25" s="17">
        <f t="shared" si="128"/>
        <v>194610.19171457452</v>
      </c>
      <c r="CD25" s="17">
        <f t="shared" si="129"/>
        <v>28771.128776025609</v>
      </c>
      <c r="CE25" s="17">
        <f t="shared" si="130"/>
        <v>567552.08452269738</v>
      </c>
      <c r="CF25" s="17">
        <f t="shared" si="131"/>
        <v>596323.21329872299</v>
      </c>
      <c r="CG25" s="17">
        <f t="shared" si="132"/>
        <v>14.400000000000006</v>
      </c>
      <c r="CH25" s="17">
        <f t="shared" si="133"/>
        <v>-43.2</v>
      </c>
      <c r="CI25" s="17">
        <f t="shared" si="134"/>
        <v>16</v>
      </c>
      <c r="CJ25" s="17">
        <f t="shared" si="135"/>
        <v>90</v>
      </c>
      <c r="CK25" s="17">
        <f t="shared" si="86"/>
        <v>71.46880726181422</v>
      </c>
      <c r="CL25" s="17">
        <f t="shared" si="136"/>
        <v>24</v>
      </c>
      <c r="CM25" s="17">
        <f t="shared" si="137"/>
        <v>50</v>
      </c>
      <c r="CN25" s="17">
        <f t="shared" si="87"/>
        <v>65.062647806544774</v>
      </c>
      <c r="CO25" s="17">
        <f t="shared" si="138"/>
        <v>6.4061594552694459</v>
      </c>
      <c r="CP25" s="17">
        <f t="shared" si="139"/>
        <v>0</v>
      </c>
      <c r="CQ25" s="17">
        <f t="shared" si="140"/>
        <v>100</v>
      </c>
      <c r="CR25" s="17">
        <f t="shared" si="88"/>
        <v>26.404773030064671</v>
      </c>
      <c r="CS25" s="17">
        <f t="shared" si="141"/>
        <v>24</v>
      </c>
      <c r="CT25" s="17">
        <f t="shared" si="142"/>
        <v>50</v>
      </c>
      <c r="CU25" s="17">
        <f t="shared" si="89"/>
        <v>65.062647806544774</v>
      </c>
      <c r="CV25" s="17">
        <f t="shared" si="143"/>
        <v>-38.657874776480099</v>
      </c>
      <c r="CW25" s="17">
        <f t="shared" si="90"/>
        <v>-4317.3596159999997</v>
      </c>
      <c r="CX25" s="17">
        <f t="shared" si="90"/>
        <v>-4317.3596159999997</v>
      </c>
      <c r="CY25" s="17">
        <f t="shared" si="144"/>
        <v>292.8441600000001</v>
      </c>
      <c r="CZ25" s="17">
        <f t="shared" si="145"/>
        <v>-878.53247999999996</v>
      </c>
      <c r="DA25" s="17">
        <f t="shared" si="146"/>
        <v>-26593.920000000002</v>
      </c>
      <c r="DB25" s="17">
        <f t="shared" si="147"/>
        <v>10236</v>
      </c>
      <c r="DC25" s="17">
        <f t="shared" si="148"/>
        <v>269.84143199999994</v>
      </c>
      <c r="DD25" s="17">
        <f t="shared" si="149"/>
        <v>17496.000000000007</v>
      </c>
      <c r="DE25" s="17">
        <f t="shared" si="150"/>
        <v>-9958.7630628863972</v>
      </c>
      <c r="DF25" s="17"/>
      <c r="DG25" s="17">
        <f t="shared" si="151"/>
        <v>-10514.941939202587</v>
      </c>
      <c r="DH25" s="17">
        <f t="shared" si="152"/>
        <v>-29573.274204007277</v>
      </c>
      <c r="DI25" s="17">
        <f t="shared" si="153"/>
        <v>-5611.0583522229599</v>
      </c>
      <c r="DJ25" s="17">
        <f t="shared" si="154"/>
        <v>3951.7866044432153</v>
      </c>
      <c r="DK25" s="17">
        <f t="shared" si="155"/>
        <v>-13453.88956688639</v>
      </c>
      <c r="DL25" s="17">
        <f t="shared" si="156"/>
        <v>-41747.487890989607</v>
      </c>
      <c r="DM25" s="17">
        <f t="shared" si="157"/>
        <v>-55201.377457875999</v>
      </c>
    </row>
    <row r="26" spans="3:117" ht="18.600000000000001">
      <c r="C26" s="13"/>
      <c r="D26" s="14" t="str">
        <f t="shared" si="78"/>
        <v>Clean Room 13</v>
      </c>
      <c r="E26" s="14">
        <f t="shared" si="78"/>
        <v>2.1</v>
      </c>
      <c r="F26" s="14">
        <f t="shared" si="78"/>
        <v>3.5</v>
      </c>
      <c r="G26" s="14">
        <f t="shared" si="78"/>
        <v>2.4</v>
      </c>
      <c r="H26" s="14">
        <f t="shared" si="78"/>
        <v>0</v>
      </c>
      <c r="I26" s="14">
        <f t="shared" si="78"/>
        <v>1</v>
      </c>
      <c r="J26" s="14">
        <f t="shared" si="78"/>
        <v>1.75</v>
      </c>
      <c r="K26" s="14">
        <f t="shared" si="78"/>
        <v>3</v>
      </c>
      <c r="L26" s="15">
        <f t="shared" si="78"/>
        <v>0.15</v>
      </c>
      <c r="M26" s="15">
        <f t="shared" si="78"/>
        <v>0.05</v>
      </c>
      <c r="N26" s="14">
        <f t="shared" si="78"/>
        <v>24</v>
      </c>
      <c r="O26" s="14">
        <f t="shared" si="78"/>
        <v>50</v>
      </c>
      <c r="P26" s="13">
        <f t="shared" si="80"/>
        <v>45</v>
      </c>
      <c r="Q26" s="13">
        <f t="shared" ref="Q26:W26" si="159">Q13</f>
        <v>85</v>
      </c>
      <c r="R26" s="13" t="str">
        <f t="shared" si="159"/>
        <v>ISO 6</v>
      </c>
      <c r="S26" s="13">
        <f t="shared" si="159"/>
        <v>180</v>
      </c>
      <c r="T26" s="13">
        <f t="shared" si="159"/>
        <v>0</v>
      </c>
      <c r="U26" s="13">
        <f t="shared" si="159"/>
        <v>100</v>
      </c>
      <c r="V26" s="13" t="str">
        <f t="shared" si="159"/>
        <v>ISO 6</v>
      </c>
      <c r="W26" s="13">
        <f t="shared" si="159"/>
        <v>180</v>
      </c>
      <c r="X26" s="16">
        <f t="shared" si="92"/>
        <v>79.085999999999999</v>
      </c>
      <c r="Y26" s="16">
        <f t="shared" si="93"/>
        <v>622.56499199999996</v>
      </c>
      <c r="Z26" s="16">
        <f t="shared" si="94"/>
        <v>1867.6949759999998</v>
      </c>
      <c r="AA26" s="16">
        <f t="shared" si="95"/>
        <v>280.15424639999998</v>
      </c>
      <c r="AB26" s="16">
        <f t="shared" si="96"/>
        <v>93.384748799999997</v>
      </c>
      <c r="AC26" s="16">
        <f t="shared" si="97"/>
        <v>3.1580275570287188</v>
      </c>
      <c r="AD26" s="16">
        <f>IF(ISNUMBER(N26), CEILING(DL26/(0.68*CV26),25), "Ambient")</f>
        <v>1250</v>
      </c>
      <c r="AE26" s="16">
        <f t="shared" si="98"/>
        <v>2150</v>
      </c>
      <c r="AF26" s="16">
        <f t="shared" si="99"/>
        <v>22</v>
      </c>
      <c r="AG26" s="16">
        <f t="shared" si="100"/>
        <v>5.5</v>
      </c>
      <c r="AH26" s="17">
        <f t="shared" si="101"/>
        <v>3</v>
      </c>
      <c r="AI26" s="17">
        <f t="shared" si="102"/>
        <v>5.5</v>
      </c>
      <c r="AJ26" s="966"/>
      <c r="AK26" s="18">
        <f>AK13</f>
        <v>2900</v>
      </c>
      <c r="AL26" s="975"/>
      <c r="AM26" s="977"/>
      <c r="AN26" s="979"/>
      <c r="AO26" s="966"/>
      <c r="AP26" s="969"/>
      <c r="AQ26" s="975"/>
      <c r="AR26" s="966"/>
      <c r="AS26" s="966"/>
      <c r="AT26" s="966"/>
      <c r="AU26" s="966"/>
      <c r="AV26" s="969"/>
      <c r="AW26" s="969"/>
      <c r="AX26" s="972"/>
      <c r="AY26" s="969"/>
      <c r="AZ26" s="17">
        <f t="shared" si="103"/>
        <v>-14.399999999999991</v>
      </c>
      <c r="BA26" s="17">
        <f t="shared" si="104"/>
        <v>37.799999999999997</v>
      </c>
      <c r="BB26" s="17">
        <f t="shared" si="105"/>
        <v>32</v>
      </c>
      <c r="BC26" s="17">
        <f t="shared" si="106"/>
        <v>85</v>
      </c>
      <c r="BD26" s="17">
        <f t="shared" si="107"/>
        <v>180.86341983910182</v>
      </c>
      <c r="BE26" s="17">
        <f t="shared" si="108"/>
        <v>24</v>
      </c>
      <c r="BF26" s="17">
        <f t="shared" si="109"/>
        <v>50</v>
      </c>
      <c r="BG26" s="17">
        <f t="shared" si="83"/>
        <v>65.062647806544774</v>
      </c>
      <c r="BH26" s="17">
        <f t="shared" si="110"/>
        <v>115.80077203255705</v>
      </c>
      <c r="BI26" s="17">
        <f t="shared" si="111"/>
        <v>45</v>
      </c>
      <c r="BJ26" s="17">
        <f t="shared" si="112"/>
        <v>85</v>
      </c>
      <c r="BK26" s="17">
        <f t="shared" si="84"/>
        <v>380.54120080897206</v>
      </c>
      <c r="BL26" s="17">
        <f t="shared" si="113"/>
        <v>24</v>
      </c>
      <c r="BM26" s="17">
        <f t="shared" si="114"/>
        <v>50</v>
      </c>
      <c r="BN26" s="17">
        <f t="shared" si="85"/>
        <v>65.062647806544774</v>
      </c>
      <c r="BO26" s="17">
        <f t="shared" si="115"/>
        <v>315.4785530024273</v>
      </c>
      <c r="BP26" s="17">
        <f t="shared" si="116"/>
        <v>4919.7818879999995</v>
      </c>
      <c r="BQ26" s="17">
        <f t="shared" si="117"/>
        <v>-1874.2026239999989</v>
      </c>
      <c r="BR26" s="17">
        <f t="shared" si="118"/>
        <v>-512.47727999999972</v>
      </c>
      <c r="BS26" s="17">
        <f t="shared" si="119"/>
        <v>1345.2528599999998</v>
      </c>
      <c r="BT26" s="17">
        <f t="shared" si="120"/>
        <v>0</v>
      </c>
      <c r="BU26" s="17">
        <f t="shared" si="121"/>
        <v>3412</v>
      </c>
      <c r="BV26" s="17">
        <f t="shared" si="122"/>
        <v>472.22250599999995</v>
      </c>
      <c r="BW26" s="17">
        <f t="shared" si="123"/>
        <v>-17495.999999999989</v>
      </c>
      <c r="BX26" s="17">
        <f t="shared" si="124"/>
        <v>15249.355940044799</v>
      </c>
      <c r="BY26" s="17"/>
      <c r="BZ26" s="17">
        <f t="shared" si="125"/>
        <v>0</v>
      </c>
      <c r="CA26" s="17">
        <f t="shared" si="126"/>
        <v>241341.0930468569</v>
      </c>
      <c r="CB26" s="17">
        <f t="shared" si="127"/>
        <v>80133.608353060117</v>
      </c>
      <c r="CC26" s="17">
        <f t="shared" si="128"/>
        <v>340567.83550050546</v>
      </c>
      <c r="CD26" s="17">
        <f t="shared" si="129"/>
        <v>6557.3603340448099</v>
      </c>
      <c r="CE26" s="17">
        <f t="shared" si="130"/>
        <v>662042.53690042254</v>
      </c>
      <c r="CF26" s="17">
        <f t="shared" si="131"/>
        <v>668599.89723446732</v>
      </c>
      <c r="CG26" s="17">
        <f t="shared" si="132"/>
        <v>14.400000000000006</v>
      </c>
      <c r="CH26" s="17">
        <f t="shared" si="133"/>
        <v>-43.2</v>
      </c>
      <c r="CI26" s="17">
        <f t="shared" si="134"/>
        <v>16</v>
      </c>
      <c r="CJ26" s="17">
        <f t="shared" si="135"/>
        <v>90</v>
      </c>
      <c r="CK26" s="17">
        <f t="shared" si="86"/>
        <v>71.46880726181422</v>
      </c>
      <c r="CL26" s="17">
        <f t="shared" si="136"/>
        <v>24</v>
      </c>
      <c r="CM26" s="17">
        <f t="shared" si="137"/>
        <v>50</v>
      </c>
      <c r="CN26" s="17">
        <f t="shared" si="87"/>
        <v>65.062647806544774</v>
      </c>
      <c r="CO26" s="17">
        <f t="shared" si="138"/>
        <v>6.4061594552694459</v>
      </c>
      <c r="CP26" s="17">
        <f t="shared" si="139"/>
        <v>0</v>
      </c>
      <c r="CQ26" s="17">
        <f t="shared" si="140"/>
        <v>100</v>
      </c>
      <c r="CR26" s="17">
        <f t="shared" si="88"/>
        <v>26.404773030064671</v>
      </c>
      <c r="CS26" s="17">
        <f t="shared" si="141"/>
        <v>24</v>
      </c>
      <c r="CT26" s="17">
        <f t="shared" si="142"/>
        <v>50</v>
      </c>
      <c r="CU26" s="17">
        <f t="shared" si="89"/>
        <v>65.062647806544774</v>
      </c>
      <c r="CV26" s="17">
        <f t="shared" si="143"/>
        <v>-38.657874776480099</v>
      </c>
      <c r="CW26" s="17">
        <f t="shared" si="90"/>
        <v>-5622.6078720000005</v>
      </c>
      <c r="CX26" s="17">
        <f t="shared" si="90"/>
        <v>-5622.6078720000005</v>
      </c>
      <c r="CY26" s="17">
        <f t="shared" si="144"/>
        <v>512.47728000000018</v>
      </c>
      <c r="CZ26" s="17">
        <f t="shared" si="145"/>
        <v>-1537.4318400000002</v>
      </c>
      <c r="DA26" s="17">
        <f t="shared" si="146"/>
        <v>0</v>
      </c>
      <c r="DB26" s="17">
        <f t="shared" si="147"/>
        <v>3412</v>
      </c>
      <c r="DC26" s="17">
        <f t="shared" si="148"/>
        <v>472.22250599999995</v>
      </c>
      <c r="DD26" s="17">
        <f t="shared" si="149"/>
        <v>17496.000000000007</v>
      </c>
      <c r="DE26" s="17">
        <f t="shared" si="150"/>
        <v>-17427.835360051202</v>
      </c>
      <c r="DF26" s="17"/>
      <c r="DG26" s="17">
        <f t="shared" si="151"/>
        <v>0</v>
      </c>
      <c r="DH26" s="17">
        <f t="shared" si="152"/>
        <v>-29573.274204007277</v>
      </c>
      <c r="DI26" s="17">
        <f t="shared" si="153"/>
        <v>-9819.3521163901842</v>
      </c>
      <c r="DJ26" s="17">
        <f t="shared" si="154"/>
        <v>6915.6265577756276</v>
      </c>
      <c r="DK26" s="17">
        <f t="shared" si="155"/>
        <v>-2695.1752860511951</v>
      </c>
      <c r="DL26" s="17">
        <f t="shared" si="156"/>
        <v>-32476.999762621832</v>
      </c>
      <c r="DM26" s="17">
        <f t="shared" si="157"/>
        <v>-35172.175048673031</v>
      </c>
    </row>
    <row r="27" spans="3:117" ht="18.600000000000001">
      <c r="C27" s="13"/>
      <c r="D27" s="14" t="str">
        <f t="shared" si="78"/>
        <v>Clean Room 14</v>
      </c>
      <c r="E27" s="14">
        <f t="shared" si="78"/>
        <v>2.7</v>
      </c>
      <c r="F27" s="14">
        <f t="shared" si="78"/>
        <v>4</v>
      </c>
      <c r="G27" s="14">
        <f t="shared" si="78"/>
        <v>2.4</v>
      </c>
      <c r="H27" s="14">
        <f t="shared" si="78"/>
        <v>2</v>
      </c>
      <c r="I27" s="14">
        <f t="shared" si="78"/>
        <v>1</v>
      </c>
      <c r="J27" s="14">
        <f t="shared" si="78"/>
        <v>1.75</v>
      </c>
      <c r="K27" s="14">
        <f t="shared" si="78"/>
        <v>3</v>
      </c>
      <c r="L27" s="15">
        <f t="shared" si="78"/>
        <v>0.15</v>
      </c>
      <c r="M27" s="15">
        <f t="shared" si="78"/>
        <v>0.05</v>
      </c>
      <c r="N27" s="14">
        <f t="shared" si="78"/>
        <v>24</v>
      </c>
      <c r="O27" s="14">
        <f>O14</f>
        <v>50</v>
      </c>
      <c r="P27" s="13">
        <f t="shared" si="80"/>
        <v>45</v>
      </c>
      <c r="Q27" s="13">
        <f t="shared" ref="Q27:W27" si="160">Q14</f>
        <v>85</v>
      </c>
      <c r="R27" s="13" t="str">
        <f t="shared" si="160"/>
        <v>ISO 6</v>
      </c>
      <c r="S27" s="13">
        <f t="shared" si="160"/>
        <v>180</v>
      </c>
      <c r="T27" s="13">
        <f t="shared" si="160"/>
        <v>0</v>
      </c>
      <c r="U27" s="13">
        <f t="shared" si="160"/>
        <v>100</v>
      </c>
      <c r="V27" s="13" t="str">
        <f t="shared" si="160"/>
        <v>ISO 6</v>
      </c>
      <c r="W27" s="13">
        <f t="shared" si="160"/>
        <v>180</v>
      </c>
      <c r="X27" s="16">
        <f t="shared" si="92"/>
        <v>116.208</v>
      </c>
      <c r="Y27" s="16">
        <f t="shared" si="93"/>
        <v>914.78937599999995</v>
      </c>
      <c r="Z27" s="16">
        <f t="shared" si="94"/>
        <v>2744.3681280000001</v>
      </c>
      <c r="AA27" s="16">
        <f t="shared" si="95"/>
        <v>411.65521919999998</v>
      </c>
      <c r="AB27" s="16">
        <f t="shared" si="96"/>
        <v>137.21840640000002</v>
      </c>
      <c r="AC27" s="16">
        <f t="shared" si="97"/>
        <v>4.6403670225728106</v>
      </c>
      <c r="AD27" s="16">
        <f>IF(ISNUMBER(N27), CEILING(DL27/(0.68*CV27),25), "Ambient")</f>
        <v>1700</v>
      </c>
      <c r="AE27" s="16">
        <f t="shared" si="98"/>
        <v>3175</v>
      </c>
      <c r="AF27" s="16">
        <f t="shared" si="99"/>
        <v>32</v>
      </c>
      <c r="AG27" s="16">
        <f t="shared" si="100"/>
        <v>8</v>
      </c>
      <c r="AH27" s="17">
        <f t="shared" si="101"/>
        <v>7</v>
      </c>
      <c r="AI27" s="17">
        <f t="shared" si="102"/>
        <v>8</v>
      </c>
      <c r="AJ27" s="966"/>
      <c r="AK27" s="18" t="s">
        <v>256</v>
      </c>
      <c r="AL27" s="975"/>
      <c r="AM27" s="977"/>
      <c r="AN27" s="979"/>
      <c r="AO27" s="966"/>
      <c r="AP27" s="969"/>
      <c r="AQ27" s="975"/>
      <c r="AR27" s="966"/>
      <c r="AS27" s="966"/>
      <c r="AT27" s="966"/>
      <c r="AU27" s="966"/>
      <c r="AV27" s="969"/>
      <c r="AW27" s="969"/>
      <c r="AX27" s="972"/>
      <c r="AY27" s="969"/>
      <c r="AZ27" s="17">
        <f t="shared" si="103"/>
        <v>-14.399999999999991</v>
      </c>
      <c r="BA27" s="17">
        <f t="shared" si="104"/>
        <v>37.799999999999997</v>
      </c>
      <c r="BB27" s="17">
        <f t="shared" si="105"/>
        <v>32</v>
      </c>
      <c r="BC27" s="17">
        <f t="shared" si="106"/>
        <v>85</v>
      </c>
      <c r="BD27" s="17">
        <f t="shared" si="107"/>
        <v>180.86341983910182</v>
      </c>
      <c r="BE27" s="17">
        <f t="shared" si="108"/>
        <v>24</v>
      </c>
      <c r="BF27" s="17">
        <f t="shared" si="109"/>
        <v>50</v>
      </c>
      <c r="BG27" s="17">
        <f t="shared" si="83"/>
        <v>65.062647806544774</v>
      </c>
      <c r="BH27" s="17">
        <f t="shared" si="110"/>
        <v>115.80077203255705</v>
      </c>
      <c r="BI27" s="17">
        <f t="shared" si="111"/>
        <v>45</v>
      </c>
      <c r="BJ27" s="17">
        <f t="shared" si="112"/>
        <v>85</v>
      </c>
      <c r="BK27" s="17">
        <f t="shared" si="84"/>
        <v>380.54120080897206</v>
      </c>
      <c r="BL27" s="17">
        <f t="shared" si="113"/>
        <v>24</v>
      </c>
      <c r="BM27" s="17">
        <f t="shared" si="114"/>
        <v>50</v>
      </c>
      <c r="BN27" s="17">
        <f t="shared" si="85"/>
        <v>65.062647806544774</v>
      </c>
      <c r="BO27" s="17">
        <f t="shared" si="115"/>
        <v>315.4785530024273</v>
      </c>
      <c r="BP27" s="17">
        <f t="shared" si="116"/>
        <v>5886.1676159999997</v>
      </c>
      <c r="BQ27" s="17">
        <f t="shared" si="117"/>
        <v>-2242.3495679999987</v>
      </c>
      <c r="BR27" s="17">
        <f t="shared" si="118"/>
        <v>-753.02783999999963</v>
      </c>
      <c r="BS27" s="17">
        <f t="shared" si="119"/>
        <v>1976.6980799999997</v>
      </c>
      <c r="BT27" s="17">
        <f t="shared" si="120"/>
        <v>23269.68</v>
      </c>
      <c r="BU27" s="17">
        <f t="shared" si="121"/>
        <v>3412</v>
      </c>
      <c r="BV27" s="17">
        <f t="shared" si="122"/>
        <v>693.87796800000001</v>
      </c>
      <c r="BW27" s="17">
        <f t="shared" si="123"/>
        <v>-17495.999999999989</v>
      </c>
      <c r="BX27" s="17">
        <f t="shared" si="124"/>
        <v>22407.216891494401</v>
      </c>
      <c r="BY27" s="17"/>
      <c r="BZ27" s="17">
        <f t="shared" si="125"/>
        <v>85810.166416660228</v>
      </c>
      <c r="CA27" s="17">
        <f t="shared" si="126"/>
        <v>241341.0930468569</v>
      </c>
      <c r="CB27" s="17">
        <f t="shared" si="127"/>
        <v>117747.34288612915</v>
      </c>
      <c r="CC27" s="17">
        <f t="shared" si="128"/>
        <v>500426.20726604894</v>
      </c>
      <c r="CD27" s="17">
        <f t="shared" si="129"/>
        <v>38172.942475494412</v>
      </c>
      <c r="CE27" s="17">
        <f t="shared" si="130"/>
        <v>945324.80961569515</v>
      </c>
      <c r="CF27" s="17">
        <f t="shared" si="131"/>
        <v>983497.75209118961</v>
      </c>
      <c r="CG27" s="17">
        <f t="shared" si="132"/>
        <v>14.400000000000006</v>
      </c>
      <c r="CH27" s="17">
        <f t="shared" si="133"/>
        <v>-43.2</v>
      </c>
      <c r="CI27" s="17">
        <f t="shared" si="134"/>
        <v>16</v>
      </c>
      <c r="CJ27" s="17">
        <f t="shared" si="135"/>
        <v>90</v>
      </c>
      <c r="CK27" s="17">
        <f t="shared" si="86"/>
        <v>71.46880726181422</v>
      </c>
      <c r="CL27" s="17">
        <f t="shared" si="136"/>
        <v>24</v>
      </c>
      <c r="CM27" s="17">
        <f t="shared" si="137"/>
        <v>50</v>
      </c>
      <c r="CN27" s="17">
        <f t="shared" si="87"/>
        <v>65.062647806544774</v>
      </c>
      <c r="CO27" s="17">
        <f t="shared" si="138"/>
        <v>6.4061594552694459</v>
      </c>
      <c r="CP27" s="17">
        <f t="shared" si="139"/>
        <v>0</v>
      </c>
      <c r="CQ27" s="17">
        <f t="shared" si="140"/>
        <v>100</v>
      </c>
      <c r="CR27" s="17">
        <f t="shared" si="88"/>
        <v>26.404773030064671</v>
      </c>
      <c r="CS27" s="17">
        <f t="shared" si="141"/>
        <v>24</v>
      </c>
      <c r="CT27" s="17">
        <f t="shared" si="142"/>
        <v>50</v>
      </c>
      <c r="CU27" s="17">
        <f t="shared" si="89"/>
        <v>65.062647806544774</v>
      </c>
      <c r="CV27" s="17">
        <f t="shared" si="143"/>
        <v>-38.657874776480099</v>
      </c>
      <c r="CW27" s="17">
        <f t="shared" si="90"/>
        <v>-6727.0487040000007</v>
      </c>
      <c r="CX27" s="17">
        <f t="shared" si="90"/>
        <v>-6727.0487040000007</v>
      </c>
      <c r="CY27" s="17">
        <f t="shared" si="144"/>
        <v>753.02784000000031</v>
      </c>
      <c r="CZ27" s="17">
        <f t="shared" si="145"/>
        <v>-2259.0835200000006</v>
      </c>
      <c r="DA27" s="17">
        <f t="shared" si="146"/>
        <v>-26593.920000000002</v>
      </c>
      <c r="DB27" s="17">
        <f t="shared" si="147"/>
        <v>3412</v>
      </c>
      <c r="DC27" s="17">
        <f t="shared" si="148"/>
        <v>693.87796800000001</v>
      </c>
      <c r="DD27" s="17">
        <f t="shared" si="149"/>
        <v>17496.000000000007</v>
      </c>
      <c r="DE27" s="17">
        <f t="shared" si="150"/>
        <v>-25608.247875993602</v>
      </c>
      <c r="DF27" s="17"/>
      <c r="DG27" s="17">
        <f t="shared" si="151"/>
        <v>-10514.941939202587</v>
      </c>
      <c r="DH27" s="17">
        <f t="shared" si="152"/>
        <v>-29573.274204007277</v>
      </c>
      <c r="DI27" s="17">
        <f t="shared" si="153"/>
        <v>-14428.435762859046</v>
      </c>
      <c r="DJ27" s="17">
        <f t="shared" si="154"/>
        <v>10161.736982853985</v>
      </c>
      <c r="DK27" s="17">
        <f t="shared" si="155"/>
        <v>-38833.394291993594</v>
      </c>
      <c r="DL27" s="17">
        <f t="shared" si="156"/>
        <v>-44354.914923214921</v>
      </c>
      <c r="DM27" s="17">
        <f t="shared" si="157"/>
        <v>-83188.309215208516</v>
      </c>
    </row>
    <row r="28" spans="3:117" ht="18.600000000000001">
      <c r="C28" s="13"/>
      <c r="D28" s="14" t="str">
        <f t="shared" si="78"/>
        <v>Clean Room 15</v>
      </c>
      <c r="E28" s="14">
        <f t="shared" si="78"/>
        <v>3.8</v>
      </c>
      <c r="F28" s="14">
        <f t="shared" si="78"/>
        <v>4.2</v>
      </c>
      <c r="G28" s="14">
        <f t="shared" si="78"/>
        <v>2.4</v>
      </c>
      <c r="H28" s="14">
        <f t="shared" si="78"/>
        <v>3</v>
      </c>
      <c r="I28" s="14">
        <f t="shared" si="78"/>
        <v>3</v>
      </c>
      <c r="J28" s="14">
        <f t="shared" si="78"/>
        <v>1.75</v>
      </c>
      <c r="K28" s="14">
        <f t="shared" si="78"/>
        <v>3</v>
      </c>
      <c r="L28" s="15">
        <f t="shared" si="78"/>
        <v>0.15</v>
      </c>
      <c r="M28" s="15">
        <f t="shared" si="78"/>
        <v>0.05</v>
      </c>
      <c r="N28" s="14">
        <f t="shared" si="78"/>
        <v>24</v>
      </c>
      <c r="O28" s="14">
        <f t="shared" si="78"/>
        <v>50</v>
      </c>
      <c r="P28" s="13">
        <f t="shared" si="80"/>
        <v>45</v>
      </c>
      <c r="Q28" s="13">
        <f t="shared" ref="Q28:W28" si="161">Q15</f>
        <v>85</v>
      </c>
      <c r="R28" s="13" t="str">
        <f t="shared" si="161"/>
        <v>ISO 6</v>
      </c>
      <c r="S28" s="13">
        <f t="shared" si="161"/>
        <v>180</v>
      </c>
      <c r="T28" s="13">
        <f t="shared" si="161"/>
        <v>0</v>
      </c>
      <c r="U28" s="13">
        <f t="shared" si="161"/>
        <v>100</v>
      </c>
      <c r="V28" s="13" t="str">
        <f t="shared" si="161"/>
        <v>ISO 6</v>
      </c>
      <c r="W28" s="13">
        <f t="shared" si="161"/>
        <v>180</v>
      </c>
      <c r="X28" s="16">
        <f t="shared" si="92"/>
        <v>171.72959999999998</v>
      </c>
      <c r="Y28" s="16">
        <f t="shared" si="93"/>
        <v>1351.8554111999997</v>
      </c>
      <c r="Z28" s="16">
        <f t="shared" si="94"/>
        <v>4055.5662335999991</v>
      </c>
      <c r="AA28" s="16">
        <f t="shared" si="95"/>
        <v>608.33493503999989</v>
      </c>
      <c r="AB28" s="16">
        <f t="shared" si="96"/>
        <v>202.77831167999997</v>
      </c>
      <c r="AC28" s="16">
        <f t="shared" si="97"/>
        <v>6.8574312666909325</v>
      </c>
      <c r="AD28" s="16">
        <f t="shared" ref="AD28:AD31" si="162">IF(ISNUMBER(N23), CEILING(DL28/(0.68*CV28),25), "Ambient")</f>
        <v>1975</v>
      </c>
      <c r="AE28" s="16">
        <f t="shared" ref="AE28:AE31" si="163">CEILING(MAX((Z28+AA28),ABS(AD28)),25)</f>
        <v>4675</v>
      </c>
      <c r="AF28" s="16">
        <f t="shared" si="82"/>
        <v>48</v>
      </c>
      <c r="AG28" s="16">
        <f t="shared" ref="AG28:AG31" si="164">CEILING(MAX(AH28,AI28),0.5)</f>
        <v>12</v>
      </c>
      <c r="AH28" s="17">
        <f t="shared" ref="AH28:AH31" si="165">CEILING(ABS($DM28/12000),0.5)</f>
        <v>9.5</v>
      </c>
      <c r="AI28" s="17">
        <f t="shared" ref="AI28:AI31" si="166">CEILING($AE28/400,0.5)</f>
        <v>12</v>
      </c>
      <c r="AJ28" s="966"/>
      <c r="AK28" s="18" t="e">
        <f ca="1">AK15</f>
        <v>#NAME?</v>
      </c>
      <c r="AL28" s="975"/>
      <c r="AM28" s="977"/>
      <c r="AN28" s="979"/>
      <c r="AO28" s="966"/>
      <c r="AP28" s="969"/>
      <c r="AQ28" s="975"/>
      <c r="AR28" s="966"/>
      <c r="AS28" s="966"/>
      <c r="AT28" s="966"/>
      <c r="AU28" s="966"/>
      <c r="AV28" s="969"/>
      <c r="AW28" s="969"/>
      <c r="AX28" s="972"/>
      <c r="AY28" s="969"/>
      <c r="AZ28" s="17">
        <f t="shared" si="103"/>
        <v>-14.399999999999991</v>
      </c>
      <c r="BA28" s="17">
        <f t="shared" si="104"/>
        <v>37.799999999999997</v>
      </c>
      <c r="BB28" s="17">
        <f t="shared" si="105"/>
        <v>32</v>
      </c>
      <c r="BC28" s="17">
        <f t="shared" si="106"/>
        <v>85</v>
      </c>
      <c r="BD28" s="17">
        <f t="shared" si="107"/>
        <v>180.86341983910182</v>
      </c>
      <c r="BE28" s="17">
        <f t="shared" si="108"/>
        <v>24</v>
      </c>
      <c r="BF28" s="17">
        <f t="shared" si="109"/>
        <v>50</v>
      </c>
      <c r="BG28" s="17">
        <f t="shared" si="83"/>
        <v>65.062647806544774</v>
      </c>
      <c r="BH28" s="17">
        <f t="shared" si="110"/>
        <v>115.80077203255705</v>
      </c>
      <c r="BI28" s="17">
        <f t="shared" si="111"/>
        <v>45</v>
      </c>
      <c r="BJ28" s="17">
        <f t="shared" si="112"/>
        <v>85</v>
      </c>
      <c r="BK28" s="17">
        <f t="shared" si="84"/>
        <v>380.54120080897206</v>
      </c>
      <c r="BL28" s="17">
        <f t="shared" si="113"/>
        <v>24</v>
      </c>
      <c r="BM28" s="17">
        <f t="shared" si="114"/>
        <v>50</v>
      </c>
      <c r="BN28" s="17">
        <f t="shared" si="85"/>
        <v>65.062647806544774</v>
      </c>
      <c r="BO28" s="17">
        <f t="shared" si="115"/>
        <v>315.4785530024273</v>
      </c>
      <c r="BP28" s="17">
        <f t="shared" si="116"/>
        <v>7028.2598399999997</v>
      </c>
      <c r="BQ28" s="17">
        <f t="shared" si="117"/>
        <v>-2677.4323199999981</v>
      </c>
      <c r="BR28" s="17">
        <f t="shared" si="118"/>
        <v>-1112.8078079999991</v>
      </c>
      <c r="BS28" s="17">
        <f t="shared" si="119"/>
        <v>2921.1204959999995</v>
      </c>
      <c r="BT28" s="17">
        <f t="shared" si="120"/>
        <v>34904.520000000004</v>
      </c>
      <c r="BU28" s="17">
        <f t="shared" si="121"/>
        <v>10236</v>
      </c>
      <c r="BV28" s="17">
        <f t="shared" si="122"/>
        <v>1025.3974415999999</v>
      </c>
      <c r="BW28" s="17">
        <f t="shared" si="123"/>
        <v>-17495.999999999989</v>
      </c>
      <c r="BX28" s="17">
        <f t="shared" si="124"/>
        <v>33112.887184097279</v>
      </c>
      <c r="BY28" s="17"/>
      <c r="BZ28" s="17">
        <f t="shared" si="125"/>
        <v>128715.24962499036</v>
      </c>
      <c r="CA28" s="17">
        <f t="shared" si="126"/>
        <v>241341.0930468569</v>
      </c>
      <c r="CB28" s="17">
        <f t="shared" si="127"/>
        <v>174004.40670950196</v>
      </c>
      <c r="CC28" s="17">
        <f t="shared" si="128"/>
        <v>739518.72851538321</v>
      </c>
      <c r="CD28" s="17">
        <f t="shared" si="129"/>
        <v>68811.064465697302</v>
      </c>
      <c r="CE28" s="17">
        <f t="shared" si="130"/>
        <v>1283579.4778967323</v>
      </c>
      <c r="CF28" s="17">
        <f t="shared" si="131"/>
        <v>1352390.5423624297</v>
      </c>
      <c r="CG28" s="17">
        <f t="shared" si="132"/>
        <v>14.400000000000006</v>
      </c>
      <c r="CH28" s="17">
        <f t="shared" si="133"/>
        <v>-43.2</v>
      </c>
      <c r="CI28" s="17">
        <f t="shared" si="134"/>
        <v>16</v>
      </c>
      <c r="CJ28" s="17">
        <f t="shared" si="135"/>
        <v>90</v>
      </c>
      <c r="CK28" s="17">
        <f t="shared" si="86"/>
        <v>71.46880726181422</v>
      </c>
      <c r="CL28" s="17">
        <f t="shared" si="136"/>
        <v>24</v>
      </c>
      <c r="CM28" s="17">
        <f t="shared" si="137"/>
        <v>50</v>
      </c>
      <c r="CN28" s="17">
        <f t="shared" si="87"/>
        <v>65.062647806544774</v>
      </c>
      <c r="CO28" s="17">
        <f t="shared" si="138"/>
        <v>6.4061594552694459</v>
      </c>
      <c r="CP28" s="17">
        <f t="shared" si="139"/>
        <v>0</v>
      </c>
      <c r="CQ28" s="17">
        <f t="shared" si="140"/>
        <v>100</v>
      </c>
      <c r="CR28" s="17">
        <f t="shared" si="88"/>
        <v>26.404773030064671</v>
      </c>
      <c r="CS28" s="17">
        <f t="shared" si="141"/>
        <v>24</v>
      </c>
      <c r="CT28" s="17">
        <f t="shared" si="142"/>
        <v>50</v>
      </c>
      <c r="CU28" s="17">
        <f t="shared" si="89"/>
        <v>65.062647806544774</v>
      </c>
      <c r="CV28" s="17">
        <f t="shared" si="143"/>
        <v>-38.657874776480099</v>
      </c>
      <c r="CW28" s="17">
        <f t="shared" si="90"/>
        <v>-8032.2969600000006</v>
      </c>
      <c r="CX28" s="17">
        <f t="shared" si="90"/>
        <v>-8032.2969600000006</v>
      </c>
      <c r="CY28" s="17">
        <f t="shared" si="144"/>
        <v>1112.8078080000003</v>
      </c>
      <c r="CZ28" s="17">
        <f t="shared" si="145"/>
        <v>-3338.4234240000001</v>
      </c>
      <c r="DA28" s="17">
        <f t="shared" si="146"/>
        <v>-39890.880000000005</v>
      </c>
      <c r="DB28" s="17">
        <f t="shared" si="147"/>
        <v>10236</v>
      </c>
      <c r="DC28" s="17">
        <f t="shared" si="148"/>
        <v>1025.3974415999999</v>
      </c>
      <c r="DD28" s="17">
        <f t="shared" si="149"/>
        <v>17496.000000000007</v>
      </c>
      <c r="DE28" s="17">
        <f t="shared" si="150"/>
        <v>-37843.299638968318</v>
      </c>
      <c r="DF28" s="17"/>
      <c r="DG28" s="17">
        <f t="shared" si="151"/>
        <v>-15772.412908803883</v>
      </c>
      <c r="DH28" s="17">
        <f t="shared" si="152"/>
        <v>-29573.274204007277</v>
      </c>
      <c r="DI28" s="17">
        <f t="shared" si="153"/>
        <v>-21322.021738447256</v>
      </c>
      <c r="DJ28" s="17">
        <f t="shared" si="154"/>
        <v>15016.78909688422</v>
      </c>
      <c r="DK28" s="17">
        <f t="shared" si="155"/>
        <v>-59234.694773368319</v>
      </c>
      <c r="DL28" s="17">
        <f t="shared" si="156"/>
        <v>-51650.919754374198</v>
      </c>
      <c r="DM28" s="17">
        <f t="shared" si="157"/>
        <v>-110885.61452774252</v>
      </c>
    </row>
    <row r="29" spans="3:117" ht="18.600000000000001">
      <c r="C29" s="13"/>
      <c r="D29" s="14" t="str">
        <f t="shared" si="78"/>
        <v>Clean Room 16</v>
      </c>
      <c r="E29" s="14">
        <f t="shared" si="78"/>
        <v>3.1</v>
      </c>
      <c r="F29" s="14">
        <f t="shared" si="78"/>
        <v>2.6</v>
      </c>
      <c r="G29" s="14">
        <f t="shared" si="78"/>
        <v>2.4</v>
      </c>
      <c r="H29" s="14">
        <f t="shared" si="78"/>
        <v>2</v>
      </c>
      <c r="I29" s="14">
        <f t="shared" si="78"/>
        <v>1</v>
      </c>
      <c r="J29" s="14">
        <f t="shared" si="78"/>
        <v>1.75</v>
      </c>
      <c r="K29" s="14">
        <f t="shared" si="78"/>
        <v>3</v>
      </c>
      <c r="L29" s="15">
        <f t="shared" si="78"/>
        <v>0.15</v>
      </c>
      <c r="M29" s="15">
        <f t="shared" si="78"/>
        <v>0.05</v>
      </c>
      <c r="N29" s="14">
        <f t="shared" si="78"/>
        <v>24</v>
      </c>
      <c r="O29" s="14">
        <f t="shared" si="78"/>
        <v>50</v>
      </c>
      <c r="P29" s="13">
        <f t="shared" si="80"/>
        <v>45</v>
      </c>
      <c r="Q29" s="13">
        <f t="shared" ref="Q29:W29" si="167">Q16</f>
        <v>85</v>
      </c>
      <c r="R29" s="13" t="str">
        <f t="shared" si="167"/>
        <v>ISO 6</v>
      </c>
      <c r="S29" s="13">
        <f t="shared" si="167"/>
        <v>180</v>
      </c>
      <c r="T29" s="13">
        <f t="shared" si="167"/>
        <v>0</v>
      </c>
      <c r="U29" s="13">
        <f t="shared" si="167"/>
        <v>100</v>
      </c>
      <c r="V29" s="13" t="str">
        <f t="shared" si="167"/>
        <v>ISO 6</v>
      </c>
      <c r="W29" s="13">
        <f t="shared" si="167"/>
        <v>180</v>
      </c>
      <c r="X29" s="16">
        <f t="shared" si="92"/>
        <v>86.7256</v>
      </c>
      <c r="Y29" s="16">
        <f t="shared" si="93"/>
        <v>682.70392319999996</v>
      </c>
      <c r="Z29" s="16">
        <f t="shared" si="94"/>
        <v>2048.1117695999997</v>
      </c>
      <c r="AA29" s="16">
        <f t="shared" si="95"/>
        <v>307.21676543999996</v>
      </c>
      <c r="AB29" s="16">
        <f t="shared" si="96"/>
        <v>102.40558847999999</v>
      </c>
      <c r="AC29" s="16">
        <f t="shared" si="97"/>
        <v>3.4630887224015612</v>
      </c>
      <c r="AD29" s="16">
        <f t="shared" si="162"/>
        <v>1650</v>
      </c>
      <c r="AE29" s="16">
        <f t="shared" si="163"/>
        <v>2375</v>
      </c>
      <c r="AF29" s="16">
        <f t="shared" si="82"/>
        <v>24</v>
      </c>
      <c r="AG29" s="16">
        <f t="shared" si="164"/>
        <v>6.5</v>
      </c>
      <c r="AH29" s="17">
        <f t="shared" si="165"/>
        <v>6.5</v>
      </c>
      <c r="AI29" s="17">
        <f t="shared" si="166"/>
        <v>6</v>
      </c>
      <c r="AJ29" s="966"/>
      <c r="AK29" s="18"/>
      <c r="AL29" s="975"/>
      <c r="AM29" s="977"/>
      <c r="AN29" s="979"/>
      <c r="AO29" s="966"/>
      <c r="AP29" s="969"/>
      <c r="AQ29" s="975"/>
      <c r="AR29" s="966"/>
      <c r="AS29" s="966"/>
      <c r="AT29" s="966"/>
      <c r="AU29" s="966"/>
      <c r="AV29" s="969"/>
      <c r="AW29" s="969"/>
      <c r="AX29" s="972"/>
      <c r="AY29" s="969"/>
      <c r="AZ29" s="17">
        <f t="shared" si="103"/>
        <v>-14.399999999999991</v>
      </c>
      <c r="BA29" s="17">
        <f t="shared" si="104"/>
        <v>37.799999999999997</v>
      </c>
      <c r="BB29" s="17">
        <f t="shared" si="105"/>
        <v>32</v>
      </c>
      <c r="BC29" s="17">
        <f t="shared" si="106"/>
        <v>85</v>
      </c>
      <c r="BD29" s="17">
        <f t="shared" si="107"/>
        <v>180.86341983910182</v>
      </c>
      <c r="BE29" s="17">
        <f t="shared" si="108"/>
        <v>24</v>
      </c>
      <c r="BF29" s="17">
        <f t="shared" si="109"/>
        <v>50</v>
      </c>
      <c r="BG29" s="17">
        <f t="shared" si="83"/>
        <v>65.062647806544774</v>
      </c>
      <c r="BH29" s="17">
        <f t="shared" si="110"/>
        <v>115.80077203255705</v>
      </c>
      <c r="BI29" s="17">
        <f t="shared" si="111"/>
        <v>45</v>
      </c>
      <c r="BJ29" s="17">
        <f t="shared" si="112"/>
        <v>85</v>
      </c>
      <c r="BK29" s="17">
        <f t="shared" si="84"/>
        <v>380.54120080897206</v>
      </c>
      <c r="BL29" s="17">
        <f t="shared" si="113"/>
        <v>24</v>
      </c>
      <c r="BM29" s="17">
        <f t="shared" si="114"/>
        <v>50</v>
      </c>
      <c r="BN29" s="17">
        <f t="shared" si="85"/>
        <v>65.062647806544774</v>
      </c>
      <c r="BO29" s="17">
        <f t="shared" si="115"/>
        <v>315.4785530024273</v>
      </c>
      <c r="BP29" s="17">
        <f t="shared" si="116"/>
        <v>5007.6351359999999</v>
      </c>
      <c r="BQ29" s="17">
        <f t="shared" si="117"/>
        <v>-1907.670527999999</v>
      </c>
      <c r="BR29" s="17">
        <f t="shared" si="118"/>
        <v>-561.98188799999969</v>
      </c>
      <c r="BS29" s="17">
        <f t="shared" si="119"/>
        <v>1475.202456</v>
      </c>
      <c r="BT29" s="17">
        <f t="shared" si="120"/>
        <v>23269.68</v>
      </c>
      <c r="BU29" s="17">
        <f t="shared" si="121"/>
        <v>3412</v>
      </c>
      <c r="BV29" s="17">
        <f t="shared" si="122"/>
        <v>517.83855759999994</v>
      </c>
      <c r="BW29" s="17">
        <f t="shared" si="123"/>
        <v>-17495.999999999989</v>
      </c>
      <c r="BX29" s="17">
        <f t="shared" si="124"/>
        <v>16722.42297643008</v>
      </c>
      <c r="BY29" s="17"/>
      <c r="BZ29" s="17">
        <f t="shared" si="125"/>
        <v>85810.166416660228</v>
      </c>
      <c r="CA29" s="17">
        <f t="shared" si="126"/>
        <v>241341.0930468569</v>
      </c>
      <c r="CB29" s="17">
        <f t="shared" si="127"/>
        <v>87874.40589464824</v>
      </c>
      <c r="CC29" s="17">
        <f t="shared" si="128"/>
        <v>373466.22505225497</v>
      </c>
      <c r="CD29" s="17">
        <f t="shared" si="129"/>
        <v>31433.576670030092</v>
      </c>
      <c r="CE29" s="17">
        <f t="shared" si="130"/>
        <v>788491.89041042025</v>
      </c>
      <c r="CF29" s="17">
        <f t="shared" si="131"/>
        <v>819925.46708045038</v>
      </c>
      <c r="CG29" s="17">
        <f t="shared" si="132"/>
        <v>14.400000000000006</v>
      </c>
      <c r="CH29" s="17">
        <f t="shared" si="133"/>
        <v>-43.2</v>
      </c>
      <c r="CI29" s="17">
        <f t="shared" si="134"/>
        <v>16</v>
      </c>
      <c r="CJ29" s="17">
        <f t="shared" si="135"/>
        <v>90</v>
      </c>
      <c r="CK29" s="17">
        <f t="shared" si="86"/>
        <v>71.46880726181422</v>
      </c>
      <c r="CL29" s="17">
        <f t="shared" si="136"/>
        <v>24</v>
      </c>
      <c r="CM29" s="17">
        <f t="shared" si="137"/>
        <v>50</v>
      </c>
      <c r="CN29" s="17">
        <f t="shared" si="87"/>
        <v>65.062647806544774</v>
      </c>
      <c r="CO29" s="17">
        <f t="shared" si="138"/>
        <v>6.4061594552694459</v>
      </c>
      <c r="CP29" s="17">
        <f t="shared" si="139"/>
        <v>0</v>
      </c>
      <c r="CQ29" s="17">
        <f t="shared" si="140"/>
        <v>100</v>
      </c>
      <c r="CR29" s="17">
        <f t="shared" si="88"/>
        <v>26.404773030064671</v>
      </c>
      <c r="CS29" s="17">
        <f t="shared" si="141"/>
        <v>24</v>
      </c>
      <c r="CT29" s="17">
        <f t="shared" si="142"/>
        <v>50</v>
      </c>
      <c r="CU29" s="17">
        <f t="shared" si="89"/>
        <v>65.062647806544774</v>
      </c>
      <c r="CV29" s="17">
        <f t="shared" si="143"/>
        <v>-38.657874776480099</v>
      </c>
      <c r="CW29" s="17">
        <f t="shared" si="90"/>
        <v>-5723.0115840000008</v>
      </c>
      <c r="CX29" s="17">
        <f t="shared" si="90"/>
        <v>-5723.0115840000008</v>
      </c>
      <c r="CY29" s="17">
        <f t="shared" si="144"/>
        <v>561.98188800000014</v>
      </c>
      <c r="CZ29" s="17">
        <f t="shared" si="145"/>
        <v>-1685.9456640000001</v>
      </c>
      <c r="DA29" s="17">
        <f t="shared" si="146"/>
        <v>-26593.920000000002</v>
      </c>
      <c r="DB29" s="17">
        <f t="shared" si="147"/>
        <v>3412</v>
      </c>
      <c r="DC29" s="17">
        <f t="shared" si="148"/>
        <v>517.83855759999994</v>
      </c>
      <c r="DD29" s="17">
        <f t="shared" si="149"/>
        <v>17496.000000000007</v>
      </c>
      <c r="DE29" s="17">
        <f t="shared" si="150"/>
        <v>-19111.340544491522</v>
      </c>
      <c r="DF29" s="17"/>
      <c r="DG29" s="17">
        <f t="shared" si="151"/>
        <v>-10514.941939202587</v>
      </c>
      <c r="DH29" s="17">
        <f t="shared" si="152"/>
        <v>-29573.274204007277</v>
      </c>
      <c r="DI29" s="17">
        <f t="shared" si="153"/>
        <v>-10767.888171170733</v>
      </c>
      <c r="DJ29" s="17">
        <f t="shared" si="154"/>
        <v>7583.666674241028</v>
      </c>
      <c r="DK29" s="17">
        <f t="shared" si="155"/>
        <v>-31126.397346891517</v>
      </c>
      <c r="DL29" s="17">
        <f t="shared" si="156"/>
        <v>-43272.437640139571</v>
      </c>
      <c r="DM29" s="17">
        <f t="shared" si="157"/>
        <v>-74398.834987031092</v>
      </c>
    </row>
    <row r="30" spans="3:117" ht="18.600000000000001">
      <c r="C30" s="13"/>
      <c r="D30" s="14" t="str">
        <f t="shared" si="78"/>
        <v>Clean Room 17</v>
      </c>
      <c r="E30" s="14">
        <f t="shared" si="78"/>
        <v>1.9</v>
      </c>
      <c r="F30" s="14">
        <f t="shared" si="78"/>
        <v>2.4</v>
      </c>
      <c r="G30" s="14">
        <f t="shared" si="78"/>
        <v>2.4</v>
      </c>
      <c r="H30" s="14">
        <f t="shared" si="78"/>
        <v>3</v>
      </c>
      <c r="I30" s="14">
        <f t="shared" si="78"/>
        <v>2</v>
      </c>
      <c r="J30" s="14">
        <f t="shared" si="78"/>
        <v>1.75</v>
      </c>
      <c r="K30" s="14">
        <f t="shared" si="78"/>
        <v>3</v>
      </c>
      <c r="L30" s="15">
        <f t="shared" si="78"/>
        <v>0.15</v>
      </c>
      <c r="M30" s="15">
        <f t="shared" si="78"/>
        <v>0.05</v>
      </c>
      <c r="N30" s="14">
        <f t="shared" si="78"/>
        <v>24</v>
      </c>
      <c r="O30" s="14">
        <f t="shared" si="78"/>
        <v>50</v>
      </c>
      <c r="P30" s="13">
        <f t="shared" si="80"/>
        <v>45</v>
      </c>
      <c r="Q30" s="13">
        <f t="shared" ref="Q30:W30" si="168">Q17</f>
        <v>85</v>
      </c>
      <c r="R30" s="13" t="str">
        <f t="shared" si="168"/>
        <v>ISO 6</v>
      </c>
      <c r="S30" s="13">
        <f t="shared" si="168"/>
        <v>180</v>
      </c>
      <c r="T30" s="13">
        <f t="shared" si="168"/>
        <v>0</v>
      </c>
      <c r="U30" s="13">
        <f t="shared" si="168"/>
        <v>100</v>
      </c>
      <c r="V30" s="13" t="str">
        <f t="shared" si="168"/>
        <v>ISO 6</v>
      </c>
      <c r="W30" s="13">
        <f t="shared" si="168"/>
        <v>180</v>
      </c>
      <c r="X30" s="16">
        <f t="shared" si="92"/>
        <v>49.065599999999996</v>
      </c>
      <c r="Y30" s="16">
        <f t="shared" si="93"/>
        <v>386.24440319999997</v>
      </c>
      <c r="Z30" s="16">
        <f t="shared" si="94"/>
        <v>1158.7332095999998</v>
      </c>
      <c r="AA30" s="16">
        <f t="shared" si="95"/>
        <v>173.80998143999997</v>
      </c>
      <c r="AB30" s="16">
        <f t="shared" si="96"/>
        <v>57.936660479999993</v>
      </c>
      <c r="AC30" s="16">
        <f t="shared" si="97"/>
        <v>1.9592660761974088</v>
      </c>
      <c r="AD30" s="16">
        <f t="shared" si="162"/>
        <v>1800</v>
      </c>
      <c r="AE30" s="16">
        <f t="shared" si="163"/>
        <v>1800</v>
      </c>
      <c r="AF30" s="16">
        <f t="shared" si="82"/>
        <v>18</v>
      </c>
      <c r="AG30" s="16">
        <f t="shared" si="164"/>
        <v>7</v>
      </c>
      <c r="AH30" s="17">
        <f t="shared" si="165"/>
        <v>7</v>
      </c>
      <c r="AI30" s="17">
        <f t="shared" si="166"/>
        <v>4.5</v>
      </c>
      <c r="AJ30" s="966"/>
      <c r="AK30" s="18"/>
      <c r="AL30" s="975"/>
      <c r="AM30" s="977"/>
      <c r="AN30" s="979"/>
      <c r="AO30" s="966"/>
      <c r="AP30" s="969"/>
      <c r="AQ30" s="975"/>
      <c r="AR30" s="966"/>
      <c r="AS30" s="966"/>
      <c r="AT30" s="966"/>
      <c r="AU30" s="966"/>
      <c r="AV30" s="969"/>
      <c r="AW30" s="969"/>
      <c r="AX30" s="972"/>
      <c r="AY30" s="969"/>
      <c r="AZ30" s="17">
        <f t="shared" si="103"/>
        <v>-14.399999999999991</v>
      </c>
      <c r="BA30" s="17">
        <f t="shared" si="104"/>
        <v>37.799999999999997</v>
      </c>
      <c r="BB30" s="17">
        <f t="shared" si="105"/>
        <v>32</v>
      </c>
      <c r="BC30" s="17">
        <f t="shared" si="106"/>
        <v>85</v>
      </c>
      <c r="BD30" s="17">
        <f t="shared" si="107"/>
        <v>180.86341983910182</v>
      </c>
      <c r="BE30" s="17">
        <f t="shared" si="108"/>
        <v>24</v>
      </c>
      <c r="BF30" s="17">
        <f t="shared" si="109"/>
        <v>50</v>
      </c>
      <c r="BG30" s="17">
        <f t="shared" si="83"/>
        <v>65.062647806544774</v>
      </c>
      <c r="BH30" s="17">
        <f t="shared" si="110"/>
        <v>115.80077203255705</v>
      </c>
      <c r="BI30" s="17">
        <f t="shared" si="111"/>
        <v>45</v>
      </c>
      <c r="BJ30" s="17">
        <f t="shared" si="112"/>
        <v>85</v>
      </c>
      <c r="BK30" s="17">
        <f t="shared" si="84"/>
        <v>380.54120080897206</v>
      </c>
      <c r="BL30" s="17">
        <f t="shared" si="113"/>
        <v>24</v>
      </c>
      <c r="BM30" s="17">
        <f t="shared" si="114"/>
        <v>50</v>
      </c>
      <c r="BN30" s="17">
        <f t="shared" si="85"/>
        <v>65.062647806544774</v>
      </c>
      <c r="BO30" s="17">
        <f t="shared" si="115"/>
        <v>315.4785530024273</v>
      </c>
      <c r="BP30" s="17">
        <f t="shared" si="116"/>
        <v>3777.6896639999995</v>
      </c>
      <c r="BQ30" s="17">
        <f t="shared" si="117"/>
        <v>-1439.1198719999991</v>
      </c>
      <c r="BR30" s="17">
        <f t="shared" si="118"/>
        <v>-317.94508799999977</v>
      </c>
      <c r="BS30" s="17">
        <f t="shared" si="119"/>
        <v>834.6058559999999</v>
      </c>
      <c r="BT30" s="17">
        <f t="shared" si="120"/>
        <v>34904.520000000004</v>
      </c>
      <c r="BU30" s="17">
        <f t="shared" si="121"/>
        <v>6824</v>
      </c>
      <c r="BV30" s="17">
        <f t="shared" si="122"/>
        <v>292.97069759999994</v>
      </c>
      <c r="BW30" s="17">
        <f t="shared" si="123"/>
        <v>-17495.999999999989</v>
      </c>
      <c r="BX30" s="17">
        <f t="shared" si="124"/>
        <v>9460.8249097420794</v>
      </c>
      <c r="BY30" s="17"/>
      <c r="BZ30" s="17">
        <f t="shared" si="125"/>
        <v>128715.24962499036</v>
      </c>
      <c r="CA30" s="17">
        <f t="shared" si="126"/>
        <v>241341.0930468569</v>
      </c>
      <c r="CB30" s="17">
        <f t="shared" si="127"/>
        <v>49715.544774143411</v>
      </c>
      <c r="CC30" s="17">
        <f t="shared" si="128"/>
        <v>211291.06529010949</v>
      </c>
      <c r="CD30" s="17">
        <f t="shared" si="129"/>
        <v>37764.005271342096</v>
      </c>
      <c r="CE30" s="17">
        <f t="shared" si="130"/>
        <v>631062.95273610018</v>
      </c>
      <c r="CF30" s="17">
        <f t="shared" si="131"/>
        <v>668826.9580074423</v>
      </c>
      <c r="CG30" s="17">
        <f t="shared" si="132"/>
        <v>14.400000000000006</v>
      </c>
      <c r="CH30" s="17">
        <f t="shared" si="133"/>
        <v>-43.2</v>
      </c>
      <c r="CI30" s="17">
        <f t="shared" si="134"/>
        <v>16</v>
      </c>
      <c r="CJ30" s="17">
        <f t="shared" si="135"/>
        <v>90</v>
      </c>
      <c r="CK30" s="17">
        <f t="shared" si="86"/>
        <v>71.46880726181422</v>
      </c>
      <c r="CL30" s="17">
        <f t="shared" si="136"/>
        <v>24</v>
      </c>
      <c r="CM30" s="17">
        <f t="shared" si="137"/>
        <v>50</v>
      </c>
      <c r="CN30" s="17">
        <f t="shared" si="87"/>
        <v>65.062647806544774</v>
      </c>
      <c r="CO30" s="17">
        <f t="shared" si="138"/>
        <v>6.4061594552694459</v>
      </c>
      <c r="CP30" s="17">
        <f t="shared" si="139"/>
        <v>0</v>
      </c>
      <c r="CQ30" s="17">
        <f t="shared" si="140"/>
        <v>100</v>
      </c>
      <c r="CR30" s="17">
        <f t="shared" si="88"/>
        <v>26.404773030064671</v>
      </c>
      <c r="CS30" s="17">
        <f t="shared" si="141"/>
        <v>24</v>
      </c>
      <c r="CT30" s="17">
        <f t="shared" si="142"/>
        <v>50</v>
      </c>
      <c r="CU30" s="17">
        <f t="shared" si="89"/>
        <v>65.062647806544774</v>
      </c>
      <c r="CV30" s="17">
        <f t="shared" si="143"/>
        <v>-38.657874776480099</v>
      </c>
      <c r="CW30" s="17">
        <f t="shared" si="90"/>
        <v>-4317.3596159999997</v>
      </c>
      <c r="CX30" s="17">
        <f t="shared" si="90"/>
        <v>-4317.3596159999997</v>
      </c>
      <c r="CY30" s="17">
        <f t="shared" si="144"/>
        <v>317.94508800000011</v>
      </c>
      <c r="CZ30" s="17">
        <f t="shared" si="145"/>
        <v>-953.83526399999994</v>
      </c>
      <c r="DA30" s="17">
        <f t="shared" si="146"/>
        <v>-39890.880000000005</v>
      </c>
      <c r="DB30" s="17">
        <f t="shared" si="147"/>
        <v>6824</v>
      </c>
      <c r="DC30" s="17">
        <f t="shared" si="148"/>
        <v>292.97069759999994</v>
      </c>
      <c r="DD30" s="17">
        <f t="shared" si="149"/>
        <v>17496.000000000007</v>
      </c>
      <c r="DE30" s="17">
        <f t="shared" si="150"/>
        <v>-10812.371325419521</v>
      </c>
      <c r="DF30" s="17"/>
      <c r="DG30" s="17">
        <f t="shared" si="151"/>
        <v>-15772.412908803883</v>
      </c>
      <c r="DH30" s="17">
        <f t="shared" si="152"/>
        <v>-29573.274204007277</v>
      </c>
      <c r="DI30" s="17">
        <f t="shared" si="153"/>
        <v>-6092.0062109849305</v>
      </c>
      <c r="DJ30" s="17">
        <f t="shared" si="154"/>
        <v>4290.5111705383488</v>
      </c>
      <c r="DK30" s="17">
        <f t="shared" si="155"/>
        <v>-31043.530419819519</v>
      </c>
      <c r="DL30" s="17">
        <f t="shared" si="156"/>
        <v>-47147.182153257745</v>
      </c>
      <c r="DM30" s="17">
        <f t="shared" si="157"/>
        <v>-78190.712573077268</v>
      </c>
    </row>
    <row r="31" spans="3:117" ht="18.600000000000001">
      <c r="C31" s="13"/>
      <c r="D31" s="14" t="str">
        <f t="shared" si="78"/>
        <v>Clean Room 18</v>
      </c>
      <c r="E31" s="14">
        <f t="shared" si="78"/>
        <v>3</v>
      </c>
      <c r="F31" s="14">
        <f t="shared" si="78"/>
        <v>2.9</v>
      </c>
      <c r="G31" s="14">
        <f t="shared" si="78"/>
        <v>2.4</v>
      </c>
      <c r="H31" s="14">
        <f t="shared" si="78"/>
        <v>2</v>
      </c>
      <c r="I31" s="14">
        <f t="shared" si="78"/>
        <v>1</v>
      </c>
      <c r="J31" s="14">
        <f t="shared" si="78"/>
        <v>1.75</v>
      </c>
      <c r="K31" s="14">
        <f t="shared" si="78"/>
        <v>3</v>
      </c>
      <c r="L31" s="15">
        <f t="shared" si="78"/>
        <v>0.15</v>
      </c>
      <c r="M31" s="15">
        <f t="shared" si="78"/>
        <v>0.05</v>
      </c>
      <c r="N31" s="14">
        <f t="shared" si="78"/>
        <v>24</v>
      </c>
      <c r="O31" s="14">
        <f t="shared" si="78"/>
        <v>50</v>
      </c>
      <c r="P31" s="13">
        <f t="shared" si="80"/>
        <v>45</v>
      </c>
      <c r="Q31" s="13">
        <f t="shared" ref="Q31:W31" si="169">Q18</f>
        <v>85</v>
      </c>
      <c r="R31" s="13" t="str">
        <f t="shared" si="169"/>
        <v>ISO 6</v>
      </c>
      <c r="S31" s="13">
        <f t="shared" si="169"/>
        <v>180</v>
      </c>
      <c r="T31" s="13">
        <f t="shared" si="169"/>
        <v>0</v>
      </c>
      <c r="U31" s="13">
        <f t="shared" si="169"/>
        <v>100</v>
      </c>
      <c r="V31" s="13" t="str">
        <f t="shared" si="169"/>
        <v>ISO 6</v>
      </c>
      <c r="W31" s="13">
        <f t="shared" si="169"/>
        <v>180</v>
      </c>
      <c r="X31" s="16">
        <f t="shared" si="92"/>
        <v>93.611999999999995</v>
      </c>
      <c r="Y31" s="16">
        <f t="shared" si="93"/>
        <v>736.91366399999993</v>
      </c>
      <c r="Z31" s="16">
        <f t="shared" si="94"/>
        <v>2210.7409919999996</v>
      </c>
      <c r="AA31" s="16">
        <f t="shared" si="95"/>
        <v>331.61114879999991</v>
      </c>
      <c r="AB31" s="16">
        <f t="shared" si="96"/>
        <v>110.53704959999999</v>
      </c>
      <c r="AC31" s="16">
        <f t="shared" si="97"/>
        <v>3.7380734348503193</v>
      </c>
      <c r="AD31" s="16">
        <f t="shared" si="162"/>
        <v>1675</v>
      </c>
      <c r="AE31" s="16">
        <f t="shared" si="163"/>
        <v>2550</v>
      </c>
      <c r="AF31" s="16">
        <f t="shared" si="82"/>
        <v>26</v>
      </c>
      <c r="AG31" s="16">
        <f t="shared" si="164"/>
        <v>6.5</v>
      </c>
      <c r="AH31" s="17">
        <f t="shared" si="165"/>
        <v>6.5</v>
      </c>
      <c r="AI31" s="17">
        <f t="shared" si="166"/>
        <v>6.5</v>
      </c>
      <c r="AJ31" s="967"/>
      <c r="AK31" s="18"/>
      <c r="AL31" s="976"/>
      <c r="AM31" s="978"/>
      <c r="AN31" s="980"/>
      <c r="AO31" s="967"/>
      <c r="AP31" s="970"/>
      <c r="AQ31" s="976"/>
      <c r="AR31" s="967"/>
      <c r="AS31" s="967"/>
      <c r="AT31" s="967"/>
      <c r="AU31" s="967"/>
      <c r="AV31" s="970"/>
      <c r="AW31" s="970"/>
      <c r="AX31" s="973"/>
      <c r="AY31" s="970"/>
      <c r="AZ31" s="17">
        <f t="shared" si="103"/>
        <v>-14.399999999999991</v>
      </c>
      <c r="BA31" s="17">
        <f t="shared" si="104"/>
        <v>37.799999999999997</v>
      </c>
      <c r="BB31" s="17">
        <f t="shared" si="105"/>
        <v>32</v>
      </c>
      <c r="BC31" s="17">
        <f t="shared" si="106"/>
        <v>85</v>
      </c>
      <c r="BD31" s="17">
        <f t="shared" si="107"/>
        <v>180.86341983910182</v>
      </c>
      <c r="BE31" s="17">
        <f t="shared" si="108"/>
        <v>24</v>
      </c>
      <c r="BF31" s="17">
        <f t="shared" si="109"/>
        <v>50</v>
      </c>
      <c r="BG31" s="17">
        <f t="shared" si="83"/>
        <v>65.062647806544774</v>
      </c>
      <c r="BH31" s="17">
        <f t="shared" si="110"/>
        <v>115.80077203255705</v>
      </c>
      <c r="BI31" s="17">
        <f t="shared" si="111"/>
        <v>45</v>
      </c>
      <c r="BJ31" s="17">
        <f t="shared" si="112"/>
        <v>85</v>
      </c>
      <c r="BK31" s="17">
        <f t="shared" si="84"/>
        <v>380.54120080897206</v>
      </c>
      <c r="BL31" s="17">
        <f t="shared" si="113"/>
        <v>24</v>
      </c>
      <c r="BM31" s="17">
        <f t="shared" si="114"/>
        <v>50</v>
      </c>
      <c r="BN31" s="17">
        <f t="shared" si="85"/>
        <v>65.062647806544774</v>
      </c>
      <c r="BO31" s="17">
        <f t="shared" si="115"/>
        <v>315.4785530024273</v>
      </c>
      <c r="BP31" s="17">
        <f t="shared" si="116"/>
        <v>5183.3416319999997</v>
      </c>
      <c r="BQ31" s="17">
        <f t="shared" si="117"/>
        <v>-1974.6063359999991</v>
      </c>
      <c r="BR31" s="17">
        <f t="shared" si="118"/>
        <v>-606.60575999999958</v>
      </c>
      <c r="BS31" s="17">
        <f t="shared" si="119"/>
        <v>1592.3401199999998</v>
      </c>
      <c r="BT31" s="17">
        <f t="shared" si="120"/>
        <v>23269.68</v>
      </c>
      <c r="BU31" s="17">
        <f t="shared" si="121"/>
        <v>3412</v>
      </c>
      <c r="BV31" s="17">
        <f t="shared" si="122"/>
        <v>558.95725199999993</v>
      </c>
      <c r="BW31" s="17">
        <f t="shared" si="123"/>
        <v>-17495.999999999989</v>
      </c>
      <c r="BX31" s="17">
        <f t="shared" si="124"/>
        <v>18050.258051481596</v>
      </c>
      <c r="BY31" s="17"/>
      <c r="BZ31" s="17">
        <f t="shared" si="125"/>
        <v>85810.166416660228</v>
      </c>
      <c r="CA31" s="17">
        <f t="shared" si="126"/>
        <v>241341.0930468569</v>
      </c>
      <c r="CB31" s="17">
        <f t="shared" si="127"/>
        <v>94852.026213826248</v>
      </c>
      <c r="CC31" s="17">
        <f t="shared" si="128"/>
        <v>403121.11140876159</v>
      </c>
      <c r="CD31" s="17">
        <f t="shared" si="129"/>
        <v>32978.236935481604</v>
      </c>
      <c r="CE31" s="17">
        <f t="shared" si="130"/>
        <v>825124.39708610496</v>
      </c>
      <c r="CF31" s="17">
        <f t="shared" si="131"/>
        <v>858102.63402158651</v>
      </c>
      <c r="CG31" s="17">
        <f t="shared" si="132"/>
        <v>14.400000000000006</v>
      </c>
      <c r="CH31" s="17">
        <f t="shared" si="133"/>
        <v>-43.2</v>
      </c>
      <c r="CI31" s="17">
        <f t="shared" si="134"/>
        <v>16</v>
      </c>
      <c r="CJ31" s="17">
        <f t="shared" si="135"/>
        <v>90</v>
      </c>
      <c r="CK31" s="17">
        <f t="shared" si="86"/>
        <v>71.46880726181422</v>
      </c>
      <c r="CL31" s="17">
        <f t="shared" si="136"/>
        <v>24</v>
      </c>
      <c r="CM31" s="17">
        <f t="shared" si="137"/>
        <v>50</v>
      </c>
      <c r="CN31" s="17">
        <f t="shared" si="87"/>
        <v>65.062647806544774</v>
      </c>
      <c r="CO31" s="17">
        <f t="shared" si="138"/>
        <v>6.4061594552694459</v>
      </c>
      <c r="CP31" s="17">
        <f t="shared" si="139"/>
        <v>0</v>
      </c>
      <c r="CQ31" s="17">
        <f t="shared" si="140"/>
        <v>100</v>
      </c>
      <c r="CR31" s="17">
        <f t="shared" si="88"/>
        <v>26.404773030064671</v>
      </c>
      <c r="CS31" s="17">
        <f t="shared" si="141"/>
        <v>24</v>
      </c>
      <c r="CT31" s="17">
        <f t="shared" si="142"/>
        <v>50</v>
      </c>
      <c r="CU31" s="17">
        <f t="shared" si="89"/>
        <v>65.062647806544774</v>
      </c>
      <c r="CV31" s="17">
        <f t="shared" si="143"/>
        <v>-38.657874776480099</v>
      </c>
      <c r="CW31" s="17">
        <f t="shared" si="90"/>
        <v>-5923.8190080000013</v>
      </c>
      <c r="CX31" s="17">
        <f t="shared" si="90"/>
        <v>-5923.8190080000013</v>
      </c>
      <c r="CY31" s="17">
        <f t="shared" si="144"/>
        <v>606.60576000000026</v>
      </c>
      <c r="CZ31" s="17">
        <f t="shared" si="145"/>
        <v>-1819.81728</v>
      </c>
      <c r="DA31" s="17">
        <f t="shared" si="146"/>
        <v>-26593.920000000002</v>
      </c>
      <c r="DB31" s="17">
        <f t="shared" si="147"/>
        <v>3412</v>
      </c>
      <c r="DC31" s="17">
        <f t="shared" si="148"/>
        <v>558.95725199999993</v>
      </c>
      <c r="DD31" s="17">
        <f t="shared" si="149"/>
        <v>17496.000000000007</v>
      </c>
      <c r="DE31" s="17">
        <f t="shared" si="150"/>
        <v>-20628.866344550399</v>
      </c>
      <c r="DF31" s="17"/>
      <c r="DG31" s="17">
        <f t="shared" si="151"/>
        <v>-10514.941939202587</v>
      </c>
      <c r="DH31" s="17">
        <f t="shared" si="152"/>
        <v>-29573.274204007277</v>
      </c>
      <c r="DI31" s="17">
        <f t="shared" si="153"/>
        <v>-11622.906586747564</v>
      </c>
      <c r="DJ31" s="17">
        <f t="shared" si="154"/>
        <v>8185.8436806323762</v>
      </c>
      <c r="DK31" s="17">
        <f t="shared" si="155"/>
        <v>-32892.859620550393</v>
      </c>
      <c r="DL31" s="17">
        <f t="shared" si="156"/>
        <v>-43525.279049325058</v>
      </c>
      <c r="DM31" s="17">
        <f t="shared" si="157"/>
        <v>-76418.13866987545</v>
      </c>
    </row>
    <row r="32" spans="3:117">
      <c r="C32" s="19"/>
      <c r="D32" s="19"/>
      <c r="E32" s="19"/>
      <c r="F32" s="19"/>
      <c r="G32" s="19"/>
      <c r="H32" s="19"/>
      <c r="I32" s="19"/>
      <c r="J32" s="19"/>
      <c r="K32" s="19"/>
      <c r="L32" s="19"/>
      <c r="M32" s="19"/>
      <c r="N32" s="19"/>
      <c r="O32" s="19"/>
      <c r="P32" s="19"/>
      <c r="Q32" s="19"/>
      <c r="R32" s="19"/>
      <c r="S32" s="19"/>
      <c r="T32" s="19"/>
      <c r="U32" s="19"/>
      <c r="V32" s="19"/>
      <c r="W32" s="19"/>
      <c r="X32" s="20">
        <f t="shared" ref="X32:AE32" si="170">SUM(X23:X31)</f>
        <v>781.0684</v>
      </c>
      <c r="Y32" s="20">
        <f t="shared" si="170"/>
        <v>6148.5704447999988</v>
      </c>
      <c r="Z32" s="20">
        <f t="shared" si="170"/>
        <v>18445.711334399995</v>
      </c>
      <c r="AA32" s="20">
        <f t="shared" si="170"/>
        <v>2766.8567001599995</v>
      </c>
      <c r="AB32" s="20">
        <f t="shared" si="170"/>
        <v>922.28556671999991</v>
      </c>
      <c r="AC32" s="20">
        <f t="shared" si="170"/>
        <v>33.773259432822357</v>
      </c>
      <c r="AD32" s="20">
        <f t="shared" si="170"/>
        <v>14850</v>
      </c>
      <c r="AE32" s="20">
        <f t="shared" si="170"/>
        <v>22575</v>
      </c>
      <c r="AF32" s="20">
        <f>SUM(AF23:AF31)</f>
        <v>230</v>
      </c>
      <c r="AG32" s="20">
        <f>SUM(AG23:AG31)</f>
        <v>66</v>
      </c>
      <c r="AH32" s="20">
        <f>ABS(SUM(AH23:AH31))</f>
        <v>60</v>
      </c>
      <c r="AI32" s="20">
        <f>ABS(SUM(AI23:AI31))</f>
        <v>57.5</v>
      </c>
      <c r="AJ32" s="21"/>
      <c r="AK32" s="21"/>
      <c r="AL32" s="21"/>
      <c r="AM32" s="21"/>
      <c r="AN32" s="21"/>
      <c r="AO32" s="21"/>
      <c r="AP32" s="21"/>
      <c r="AQ32" s="21"/>
      <c r="AR32" s="21"/>
      <c r="AS32" s="21"/>
      <c r="AT32" s="21"/>
      <c r="AU32" s="21"/>
      <c r="AV32" s="21"/>
      <c r="AW32" s="21"/>
      <c r="AX32" s="21" t="s">
        <v>536</v>
      </c>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row>
  </sheetData>
  <sheetProtection selectLockedCells="1"/>
  <mergeCells count="30">
    <mergeCell ref="AJ10:AJ18"/>
    <mergeCell ref="AL10:AL18"/>
    <mergeCell ref="AM10:AM18"/>
    <mergeCell ref="AN10:AN18"/>
    <mergeCell ref="AO10:AO18"/>
    <mergeCell ref="AP10:AP18"/>
    <mergeCell ref="AQ10:AQ18"/>
    <mergeCell ref="AR10:AR18"/>
    <mergeCell ref="AS10:AS18"/>
    <mergeCell ref="AT10:AT18"/>
    <mergeCell ref="AU10:AU18"/>
    <mergeCell ref="AV10:AV18"/>
    <mergeCell ref="AW10:AW18"/>
    <mergeCell ref="AX10:AX18"/>
    <mergeCell ref="AY10:AY18"/>
    <mergeCell ref="AJ23:AJ31"/>
    <mergeCell ref="AL23:AL31"/>
    <mergeCell ref="AM23:AM31"/>
    <mergeCell ref="AN23:AN31"/>
    <mergeCell ref="AO23:AO31"/>
    <mergeCell ref="AP23:AP31"/>
    <mergeCell ref="AQ23:AQ31"/>
    <mergeCell ref="AR23:AR31"/>
    <mergeCell ref="AS23:AS31"/>
    <mergeCell ref="AT23:AT31"/>
    <mergeCell ref="AU23:AU31"/>
    <mergeCell ref="AV23:AV31"/>
    <mergeCell ref="AW23:AW31"/>
    <mergeCell ref="AX23:AX31"/>
    <mergeCell ref="AY23:AY31"/>
  </mergeCells>
  <dataValidations disablePrompts="1" count="2">
    <dataValidation type="decimal" allowBlank="1" showInputMessage="1" showErrorMessage="1" promptTitle="Restricted range" prompt="only between 0.5m/s to 2.5 m/s" sqref="AT10:AT18" xr:uid="{D60F0015-AB60-4B6B-8B1F-0C9986F65DF9}">
      <formula1>0.5</formula1>
      <formula2>2.5</formula2>
    </dataValidation>
    <dataValidation type="decimal" allowBlank="1" showInputMessage="1" showErrorMessage="1" promptTitle="Restricted Entry" prompt="Input Range only Between 0.5 m/s to 2.5 m/s" sqref="AX23:AX31" xr:uid="{0CA05A2C-4901-4ED3-A28D-9FB4BF5F31D4}">
      <formula1>0.5</formula1>
      <formula2>2.5</formula2>
    </dataValidation>
  </dataValidations>
  <printOptions horizontalCentered="1"/>
  <pageMargins left="0.19685039370078741" right="0.19685039370078741" top="0.19685039370078741" bottom="0.19685039370078741" header="0.31496062992125984" footer="0.31496062992125984"/>
  <pageSetup paperSize="9" scale="51"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A7AB-3768-4D18-A568-85C7195D70F4}">
  <sheetPr codeName="Sheet9"/>
  <dimension ref="C17:AX586"/>
  <sheetViews>
    <sheetView view="pageBreakPreview" topLeftCell="C36" zoomScale="62" zoomScaleNormal="100" zoomScaleSheetLayoutView="25" workbookViewId="0">
      <selection activeCell="I36" sqref="I36"/>
    </sheetView>
  </sheetViews>
  <sheetFormatPr defaultColWidth="8.85546875" defaultRowHeight="12.6"/>
  <cols>
    <col min="1" max="1" width="8.85546875" style="28"/>
    <col min="2" max="2" width="3.85546875" style="28" customWidth="1"/>
    <col min="3" max="3" width="7.5703125" style="28" customWidth="1"/>
    <col min="4" max="4" width="11.85546875" style="28" customWidth="1"/>
    <col min="5" max="5" width="7.5703125" style="28" customWidth="1"/>
    <col min="6" max="6" width="7.85546875" style="28" customWidth="1"/>
    <col min="7" max="7" width="8.5703125" style="28" customWidth="1"/>
    <col min="8" max="8" width="8.42578125" style="28" customWidth="1"/>
    <col min="9" max="9" width="28.85546875" style="28" customWidth="1"/>
    <col min="10" max="10" width="7" style="28" customWidth="1"/>
    <col min="11" max="11" width="8.85546875" style="28"/>
    <col min="12" max="12" width="11.42578125" style="28" customWidth="1"/>
    <col min="13" max="13" width="15.140625" style="28" customWidth="1"/>
    <col min="14" max="14" width="10.5703125" style="28" customWidth="1"/>
    <col min="15" max="16" width="13.85546875" style="28" customWidth="1"/>
    <col min="17" max="17" width="11.5703125" style="28" customWidth="1"/>
    <col min="18" max="18" width="11.85546875" style="28" customWidth="1"/>
    <col min="19" max="19" width="14" style="28" customWidth="1"/>
    <col min="20" max="20" width="12.28515625" style="28" customWidth="1"/>
    <col min="21" max="22" width="10.140625" style="28" customWidth="1"/>
    <col min="23" max="23" width="14.85546875" style="28" customWidth="1"/>
    <col min="24" max="24" width="6.42578125" style="28" customWidth="1"/>
    <col min="25" max="25" width="9.140625" style="28" customWidth="1"/>
    <col min="26" max="27" width="6.42578125" style="28" customWidth="1"/>
    <col min="28" max="28" width="6.5703125" style="28" customWidth="1"/>
    <col min="29" max="29" width="6.42578125" style="28" customWidth="1"/>
    <col min="30" max="31" width="6.85546875" style="28" customWidth="1"/>
    <col min="32" max="32" width="11.5703125" style="28" customWidth="1"/>
    <col min="33" max="33" width="11.140625" style="28" customWidth="1"/>
    <col min="34" max="35" width="14.5703125" style="28" customWidth="1"/>
    <col min="36" max="36" width="12" style="28" customWidth="1"/>
    <col min="37" max="37" width="11.5703125" style="28" customWidth="1"/>
    <col min="38" max="38" width="19.85546875" style="28" customWidth="1"/>
    <col min="39" max="39" width="17" style="28" customWidth="1"/>
    <col min="40" max="40" width="17.140625" style="28" customWidth="1"/>
    <col min="41" max="41" width="9.5703125" style="28" customWidth="1"/>
    <col min="42" max="42" width="10.5703125" style="28" customWidth="1"/>
    <col min="43" max="49" width="9.140625" style="28" customWidth="1"/>
    <col min="50" max="50" width="8.85546875" style="28"/>
    <col min="51" max="51" width="10.5703125" style="28" bestFit="1" customWidth="1"/>
    <col min="52" max="16384" width="8.85546875" style="28"/>
  </cols>
  <sheetData>
    <row r="17" spans="3:40" ht="14.1">
      <c r="C17" s="903"/>
      <c r="D17" s="903"/>
      <c r="E17" s="903"/>
      <c r="F17" s="903"/>
      <c r="G17" s="903"/>
      <c r="H17" s="903"/>
      <c r="I17" s="903"/>
      <c r="J17" s="903"/>
      <c r="K17" s="903"/>
      <c r="L17" s="903"/>
      <c r="M17" s="903"/>
      <c r="N17" s="903"/>
      <c r="O17" s="903"/>
      <c r="P17" s="30"/>
    </row>
    <row r="18" spans="3:40" ht="15" customHeight="1">
      <c r="C18" s="904"/>
      <c r="D18" s="904"/>
      <c r="E18" s="904"/>
      <c r="F18" s="904"/>
      <c r="G18" s="904"/>
      <c r="H18" s="904"/>
      <c r="I18" s="904"/>
      <c r="J18" s="904"/>
      <c r="K18" s="904"/>
      <c r="L18" s="904"/>
      <c r="M18" s="904"/>
      <c r="N18" s="904"/>
      <c r="O18" s="904"/>
      <c r="P18" s="30"/>
    </row>
    <row r="19" spans="3:40" ht="15" customHeight="1">
      <c r="C19" s="31"/>
      <c r="D19" s="31"/>
      <c r="E19" s="31"/>
      <c r="F19" s="31"/>
      <c r="G19" s="31"/>
      <c r="H19" s="32"/>
      <c r="I19" s="33"/>
      <c r="J19" s="34"/>
      <c r="K19" s="34"/>
      <c r="L19" s="31"/>
      <c r="M19" s="35"/>
      <c r="N19" s="36"/>
      <c r="O19" s="37"/>
      <c r="P19" s="37"/>
    </row>
    <row r="20" spans="3:40" ht="12.75" customHeight="1">
      <c r="C20" s="38"/>
      <c r="D20" s="32"/>
      <c r="E20" s="31"/>
      <c r="F20" s="31"/>
      <c r="G20" s="39"/>
      <c r="H20" s="38"/>
      <c r="I20" s="40"/>
      <c r="J20" s="40"/>
      <c r="K20" s="40"/>
      <c r="L20" s="38"/>
      <c r="M20" s="41"/>
      <c r="N20" s="36"/>
      <c r="O20" s="36"/>
      <c r="P20" s="36"/>
    </row>
    <row r="21" spans="3:40" ht="15" hidden="1" customHeight="1">
      <c r="C21" s="905"/>
      <c r="D21" s="906"/>
      <c r="E21" s="906"/>
      <c r="F21" s="906"/>
      <c r="G21" s="906"/>
      <c r="H21" s="906"/>
      <c r="I21" s="906"/>
      <c r="J21" s="906"/>
      <c r="K21" s="906"/>
      <c r="L21" s="906"/>
      <c r="M21" s="906"/>
      <c r="N21" s="43"/>
      <c r="O21" s="43"/>
      <c r="P21" s="43"/>
    </row>
    <row r="22" spans="3:40" ht="15" hidden="1" customHeight="1"/>
    <row r="23" spans="3:40" ht="5.25" customHeight="1">
      <c r="C23" s="905"/>
      <c r="D23" s="906"/>
      <c r="E23" s="906"/>
      <c r="F23" s="906"/>
      <c r="G23" s="906"/>
      <c r="H23" s="906"/>
      <c r="I23" s="906"/>
      <c r="J23" s="906"/>
      <c r="K23" s="906"/>
      <c r="L23" s="906"/>
      <c r="M23" s="906"/>
      <c r="N23" s="43"/>
      <c r="O23" s="43"/>
      <c r="P23" s="43"/>
    </row>
    <row r="24" spans="3:40" ht="14.1">
      <c r="C24" s="44" t="s">
        <v>257</v>
      </c>
      <c r="D24" s="42"/>
      <c r="E24" s="42"/>
      <c r="F24" s="42"/>
      <c r="G24" s="42"/>
      <c r="H24" s="42"/>
      <c r="I24" s="42"/>
      <c r="J24" s="42"/>
      <c r="K24" s="42"/>
      <c r="L24" s="42"/>
      <c r="M24" s="42"/>
      <c r="N24" s="43"/>
      <c r="O24" s="43"/>
      <c r="P24" s="43"/>
    </row>
    <row r="25" spans="3:40" ht="5.25" customHeight="1" thickBot="1"/>
    <row r="26" spans="3:40">
      <c r="C26" s="907" t="s">
        <v>164</v>
      </c>
      <c r="D26" s="909" t="s">
        <v>258</v>
      </c>
      <c r="E26" s="909"/>
      <c r="F26" s="909"/>
      <c r="G26" s="909"/>
      <c r="H26" s="909"/>
      <c r="I26" s="909"/>
      <c r="J26" s="909" t="s">
        <v>259</v>
      </c>
      <c r="K26" s="909" t="s">
        <v>260</v>
      </c>
      <c r="L26" s="909" t="s">
        <v>261</v>
      </c>
      <c r="M26" s="909"/>
      <c r="N26" s="909" t="s">
        <v>262</v>
      </c>
      <c r="O26" s="911"/>
      <c r="P26" s="45"/>
    </row>
    <row r="27" spans="3:40" ht="12.95" thickBot="1">
      <c r="C27" s="908"/>
      <c r="D27" s="910"/>
      <c r="E27" s="910"/>
      <c r="F27" s="910"/>
      <c r="G27" s="910"/>
      <c r="H27" s="910"/>
      <c r="I27" s="910"/>
      <c r="J27" s="910"/>
      <c r="K27" s="910"/>
      <c r="L27" s="46" t="s">
        <v>263</v>
      </c>
      <c r="M27" s="46" t="s">
        <v>264</v>
      </c>
      <c r="N27" s="46" t="s">
        <v>263</v>
      </c>
      <c r="O27" s="47" t="s">
        <v>264</v>
      </c>
      <c r="P27" s="45"/>
      <c r="Q27" s="29"/>
      <c r="R27" s="29"/>
      <c r="S27" s="29"/>
      <c r="T27" s="29"/>
      <c r="U27" s="29"/>
      <c r="V27" s="29"/>
      <c r="W27" s="29"/>
      <c r="X27" s="29"/>
      <c r="Y27" s="29"/>
    </row>
    <row r="28" spans="3:40" ht="12.95">
      <c r="C28" s="48" t="s">
        <v>265</v>
      </c>
      <c r="D28" s="892" t="s">
        <v>266</v>
      </c>
      <c r="E28" s="893"/>
      <c r="F28" s="893"/>
      <c r="G28" s="893"/>
      <c r="H28" s="893"/>
      <c r="I28" s="894"/>
      <c r="J28" s="49"/>
      <c r="K28" s="49"/>
      <c r="L28" s="49"/>
      <c r="M28" s="49"/>
      <c r="N28" s="49"/>
      <c r="O28" s="50"/>
      <c r="P28" s="45"/>
      <c r="Q28" s="29"/>
      <c r="R28" s="29"/>
      <c r="S28" s="29"/>
      <c r="T28" s="29"/>
      <c r="U28" s="29"/>
      <c r="V28" s="29"/>
      <c r="W28" s="29"/>
      <c r="X28" s="29"/>
      <c r="Y28" s="29"/>
    </row>
    <row r="29" spans="3:40" ht="12.95">
      <c r="C29" s="51"/>
      <c r="D29" s="895"/>
      <c r="E29" s="896"/>
      <c r="F29" s="896"/>
      <c r="G29" s="896"/>
      <c r="H29" s="896"/>
      <c r="I29" s="897"/>
      <c r="J29" s="52"/>
      <c r="K29" s="52"/>
      <c r="L29" s="53"/>
      <c r="M29" s="53"/>
      <c r="N29" s="53"/>
      <c r="O29" s="54"/>
      <c r="P29" s="55"/>
      <c r="AM29" s="56"/>
      <c r="AN29" s="56"/>
    </row>
    <row r="30" spans="3:40">
      <c r="C30" s="57"/>
      <c r="D30" s="898"/>
      <c r="E30" s="899"/>
      <c r="F30" s="899"/>
      <c r="G30" s="899"/>
      <c r="H30" s="899"/>
      <c r="I30" s="900"/>
      <c r="J30" s="52"/>
      <c r="K30" s="52"/>
      <c r="L30" s="53"/>
      <c r="M30" s="53"/>
      <c r="N30" s="53"/>
      <c r="O30" s="54"/>
      <c r="P30" s="55"/>
      <c r="AM30" s="56"/>
      <c r="AN30" s="56"/>
    </row>
    <row r="31" spans="3:40" ht="237.6">
      <c r="C31" s="57"/>
      <c r="D31" s="849" t="s">
        <v>267</v>
      </c>
      <c r="E31" s="847"/>
      <c r="F31" s="847"/>
      <c r="G31" s="847"/>
      <c r="H31" s="847"/>
      <c r="I31" s="848"/>
      <c r="J31" s="845"/>
      <c r="K31" s="845"/>
      <c r="L31" s="846"/>
      <c r="M31" s="846"/>
      <c r="N31" s="53"/>
      <c r="O31" s="54"/>
      <c r="P31" s="55"/>
      <c r="AG31" s="822"/>
      <c r="AH31" s="822"/>
      <c r="AI31" s="822"/>
      <c r="AJ31" s="822"/>
      <c r="AK31" s="822"/>
      <c r="AL31" s="822"/>
      <c r="AM31" s="823" t="s">
        <v>268</v>
      </c>
      <c r="AN31" s="823" t="s">
        <v>269</v>
      </c>
    </row>
    <row r="32" spans="3:40" ht="20.100000000000001">
      <c r="C32" s="57"/>
      <c r="D32" s="819"/>
      <c r="E32" s="820"/>
      <c r="F32" s="820"/>
      <c r="G32" s="820"/>
      <c r="H32" s="820"/>
      <c r="I32" s="821"/>
      <c r="J32" s="52"/>
      <c r="K32" s="52"/>
      <c r="L32" s="53"/>
      <c r="M32" s="53"/>
      <c r="N32" s="53"/>
      <c r="O32" s="54"/>
      <c r="P32" s="55"/>
      <c r="AF32" s="824" t="s">
        <v>537</v>
      </c>
      <c r="AG32" s="824" t="s">
        <v>173</v>
      </c>
      <c r="AH32" s="824"/>
      <c r="AI32" s="824"/>
      <c r="AJ32" s="824"/>
      <c r="AK32" s="824"/>
      <c r="AL32" s="824" t="s">
        <v>96</v>
      </c>
      <c r="AM32" s="825"/>
      <c r="AN32" s="825"/>
    </row>
    <row r="33" spans="3:40" ht="20.100000000000001">
      <c r="C33" s="57"/>
      <c r="D33" s="819"/>
      <c r="E33" s="820"/>
      <c r="F33" s="820"/>
      <c r="G33" s="820"/>
      <c r="H33" s="820"/>
      <c r="I33" s="821"/>
      <c r="J33" s="52"/>
      <c r="K33" s="52"/>
      <c r="L33" s="53"/>
      <c r="M33" s="53"/>
      <c r="N33" s="53"/>
      <c r="O33" s="54"/>
      <c r="P33" s="55"/>
      <c r="AF33" s="824" t="s">
        <v>337</v>
      </c>
      <c r="AG33" s="824" t="s">
        <v>270</v>
      </c>
      <c r="AH33" s="824" t="s">
        <v>271</v>
      </c>
      <c r="AI33" s="824" t="s">
        <v>219</v>
      </c>
      <c r="AJ33" s="824" t="s">
        <v>272</v>
      </c>
      <c r="AK33" s="824" t="s">
        <v>273</v>
      </c>
      <c r="AL33" s="824" t="s">
        <v>270</v>
      </c>
      <c r="AM33" s="825"/>
      <c r="AN33" s="825"/>
    </row>
    <row r="34" spans="3:40" ht="14.1">
      <c r="C34" s="57"/>
      <c r="D34" s="901" t="str">
        <f>"AHU - " &amp; INT((ROW()-34)/14)+1 &amp; "  " &amp; IF(I35&gt;0,"Air-Conditioning System " &amp; IF(OR(G38="Header", G38="C"), "(Chilled Water)",IF(OR(G38="Distributor", G38="D"), "(DX)", "Ventilation System")),IF(NOT(I35&gt;0), "Ventilation System ( SUPPLY )", "Refer"))</f>
        <v>AHU - 1  Air-Conditioning System (DX)</v>
      </c>
      <c r="E34" s="901"/>
      <c r="F34" s="901"/>
      <c r="G34" s="901"/>
      <c r="H34" s="901"/>
      <c r="I34" s="901"/>
      <c r="J34" s="52"/>
      <c r="K34" s="52"/>
      <c r="L34" s="53"/>
      <c r="M34" s="53"/>
      <c r="N34" s="53"/>
      <c r="O34" s="54"/>
      <c r="P34" s="55"/>
      <c r="AM34" s="56"/>
      <c r="AN34" s="56"/>
    </row>
    <row r="35" spans="3:40" ht="27.95" customHeight="1">
      <c r="C35" s="57"/>
      <c r="D35" s="832" t="s">
        <v>274</v>
      </c>
      <c r="E35" s="833" t="str">
        <f>'BOD-Cold &amp; Amb.'!R10</f>
        <v>Class100K</v>
      </c>
      <c r="F35" s="832" t="s">
        <v>275</v>
      </c>
      <c r="G35" s="833">
        <f>'BOD-Cold &amp; Amb.'!AK10</f>
        <v>15750</v>
      </c>
      <c r="H35" s="832" t="s">
        <v>276</v>
      </c>
      <c r="I35" s="833">
        <f>'BOD-Cold &amp; Amb.'!AQ10</f>
        <v>56</v>
      </c>
      <c r="J35" s="902" t="s">
        <v>277</v>
      </c>
      <c r="K35" s="902">
        <v>1</v>
      </c>
      <c r="L35" s="917">
        <f>Q35</f>
        <v>867500</v>
      </c>
      <c r="M35" s="902">
        <f>K35*L35</f>
        <v>867500</v>
      </c>
      <c r="N35" s="902"/>
      <c r="O35" s="902"/>
      <c r="P35" s="902"/>
      <c r="Q35" s="913">
        <f t="shared" ref="Q35" si="0">CEILING((S35+T35+U35+V35+W35),250)</f>
        <v>867500</v>
      </c>
      <c r="R35" s="913">
        <f>IF(I35&gt;0,625,375)</f>
        <v>625</v>
      </c>
      <c r="S35" s="913">
        <f>(E36*G36*3*10.76+E36*I36*2*10.76+G36*I36*2*10.76)*R35/(1000*1000)</f>
        <v>410140.9375</v>
      </c>
      <c r="T35" s="913">
        <f>I35*4*1050</f>
        <v>235200</v>
      </c>
      <c r="U35" s="916">
        <f>_xlfn.IFS(
  G35&lt;=2000,5000,
  G35&lt;=5000,8000,
  G35&lt;=10000,10000,
  G35&lt;=18000,15000,
  G35&lt;=40000,20000,
  G35&gt;40000,25000
)</f>
        <v>15000</v>
      </c>
      <c r="V35" s="912">
        <f t="shared" ref="V35" si="1">IF(X35=200,17150,(IF(X35=225,18150,(IF(X35=250,18900,(IF(X35=280,19150,(IF(X35=315,19650,(IF(X35=355,21900,(IF(X35=400,24400,0)))))))))))))+IF(X35=450,31000,(IF(X35=500,37450,(IF(X35=560,45650,(IF(X35=630,58900,(IF(X35=710,77950,0)))))))))+IF(X35=800,119650,(IF(X35=900,153300,(IF(X35=1000,178900,(IF(X35=1120,286500,(IF(X35=1250,394500,(IF(X35=1450,461500,0)))))))))))</f>
        <v>77950</v>
      </c>
      <c r="W35" s="913">
        <f>_xlfn.IFS(
  $I$37=0.5,16600,
  $I$37=1,19050,
  $I$37=1.5,21750,
  $I$37=2,23600,
  $I$37=3,30000,
  $I$37=5,38000,
  $I$37=7.5,52300,
  $I$37=10,59600,
  $I$37=12.5,100350,
  $I$37=15,106000,
  $I$37=20,129150,
  $I$37=25,146050,
  $I$37=30,173600,
  $I$51=40,233900,
  $I$37=50,304650,
  $I$37=60,350000,
  $I$37=70,400000
)</f>
        <v>129150</v>
      </c>
      <c r="X35" s="912">
        <f>E37</f>
        <v>710</v>
      </c>
      <c r="Y35" s="912">
        <f t="shared" ref="Y35" si="2">IF(G35&lt;=6750,450,(IF(G35&lt;=8500,500,(IF(G35&lt;=10750,560,(IF(G35&lt;=13500,630,(IF(G35&lt;=17000,710,(IF(G35&lt;=21500,800,(IF(G35&lt;=27000,900,(IF(G35&lt;=34000,1000,0)))))))))))))))</f>
        <v>710</v>
      </c>
      <c r="Z35" s="912">
        <f t="shared" ref="Z35" si="3">IF(G35&lt;=1300,200,(IF(G35&lt;=1600,225,(IF(G35&lt;=2100,250,(IF(G35&lt;=2700,280,(IF(G35&lt;=3450,315,(IF(G35&lt;=4250,355,(IF(G35&lt;=5250,400,(IF(G35&lt;=6750,450,0)))))))))))))))</f>
        <v>0</v>
      </c>
      <c r="AA35" s="912">
        <f t="shared" ref="AA35" si="4">IF(G35&lt;=2000,5000,(IF(G35&lt;=5000,8000,(IF(G35&lt;=10000,10000,(IF(G35&lt;=18000,15000,(IF(G35&lt;=40000,20000,10000)))))))))</f>
        <v>15000</v>
      </c>
      <c r="AB35" s="912">
        <f>IF(E36=950,2,(IF(E36=1150,3,(IF(E36=1550,4,(IF(E36=1750,5,(IF(E36=2050,6,(IF(E36=2900,8,(IF(E36=3600,10,12)))))))))))))</f>
        <v>6</v>
      </c>
      <c r="AC35" s="912">
        <f>IF(G36=950,2,(IF(G36=1150,3,(IF(G36=1550,4,(IF(G36=1750,5,(IF(G36=2050,6,(IF(G36=2900,8,(IF(G36=3600,10,12)))))))))))))</f>
        <v>6</v>
      </c>
      <c r="AD35" s="912">
        <f t="shared" ref="AD35" si="5">AC35*AB35</f>
        <v>36</v>
      </c>
      <c r="AE35" s="912">
        <v>150</v>
      </c>
      <c r="AF35" s="912">
        <f t="shared" ref="AF35" si="6">CEILING((SQRT(G35/1000))*4*2*AE35*1.25*K35,100)</f>
        <v>6000</v>
      </c>
      <c r="AG35" s="912">
        <f>E43*F43*H43/(305*305)</f>
        <v>0</v>
      </c>
      <c r="AH35" s="912">
        <f>E44*F44*H44/(305*305)</f>
        <v>36</v>
      </c>
      <c r="AI35" s="912">
        <f>H45*E45*F45/(305*305)</f>
        <v>36</v>
      </c>
      <c r="AJ35" s="912">
        <f>H46*E46*F46/(305*305)</f>
        <v>36</v>
      </c>
      <c r="AK35" s="912">
        <f>H47*E47*F47/(305*305)</f>
        <v>0</v>
      </c>
      <c r="AL35" s="912" t="b">
        <f>IF(I35=0,0)</f>
        <v>0</v>
      </c>
      <c r="AM35" s="915">
        <f t="shared" ref="AM35" si="7">(G35*2.2/1100)</f>
        <v>31.5</v>
      </c>
      <c r="AN35" s="915">
        <f t="shared" ref="AN35" si="8">(G35*1/1100)</f>
        <v>14.318181818181818</v>
      </c>
    </row>
    <row r="36" spans="3:40" ht="14.1">
      <c r="C36" s="57"/>
      <c r="D36" s="832" t="s">
        <v>278</v>
      </c>
      <c r="E36" s="833">
        <f>'BOD-Cold &amp; Amb.'!AL11</f>
        <v>2050</v>
      </c>
      <c r="F36" s="832" t="s">
        <v>279</v>
      </c>
      <c r="G36" s="833">
        <f>'BOD-Cold &amp; Amb.'!AL13</f>
        <v>2050</v>
      </c>
      <c r="H36" s="832" t="s">
        <v>280</v>
      </c>
      <c r="I36" s="833">
        <f>'BOD-Cold &amp; Amb.'!AL15</f>
        <v>5900</v>
      </c>
      <c r="J36" s="902"/>
      <c r="K36" s="902"/>
      <c r="L36" s="902"/>
      <c r="M36" s="902"/>
      <c r="N36" s="902"/>
      <c r="O36" s="902"/>
      <c r="P36" s="902"/>
      <c r="Q36" s="913"/>
      <c r="R36" s="913"/>
      <c r="S36" s="913"/>
      <c r="T36" s="913"/>
      <c r="U36" s="912"/>
      <c r="V36" s="912"/>
      <c r="W36" s="913"/>
      <c r="X36" s="912"/>
      <c r="Y36" s="912"/>
      <c r="Z36" s="912"/>
      <c r="AA36" s="912"/>
      <c r="AB36" s="912"/>
      <c r="AC36" s="912"/>
      <c r="AD36" s="912"/>
      <c r="AE36" s="912"/>
      <c r="AF36" s="912"/>
      <c r="AG36" s="912"/>
      <c r="AH36" s="912"/>
      <c r="AI36" s="912"/>
      <c r="AJ36" s="912"/>
      <c r="AK36" s="912"/>
      <c r="AL36" s="912"/>
      <c r="AM36" s="915"/>
      <c r="AN36" s="915"/>
    </row>
    <row r="37" spans="3:40" ht="14.1">
      <c r="C37" s="57"/>
      <c r="D37" s="832" t="s">
        <v>281</v>
      </c>
      <c r="E37" s="833">
        <f>'BOD-Cold &amp; Amb.'!AN10</f>
        <v>710</v>
      </c>
      <c r="F37" s="832" t="s">
        <v>282</v>
      </c>
      <c r="G37" s="833">
        <f>'BOD-Cold &amp; Amb.'!AM10</f>
        <v>125</v>
      </c>
      <c r="H37" s="832" t="s">
        <v>283</v>
      </c>
      <c r="I37" s="833">
        <f>'BOD-Cold &amp; Amb.'!AO10</f>
        <v>20</v>
      </c>
      <c r="J37" s="902"/>
      <c r="K37" s="902"/>
      <c r="L37" s="902"/>
      <c r="M37" s="902"/>
      <c r="N37" s="902"/>
      <c r="O37" s="902"/>
      <c r="P37" s="902"/>
      <c r="Q37" s="913"/>
      <c r="R37" s="913"/>
      <c r="S37" s="913"/>
      <c r="T37" s="913"/>
      <c r="U37" s="912"/>
      <c r="V37" s="912"/>
      <c r="W37" s="913"/>
      <c r="X37" s="912"/>
      <c r="Y37" s="912"/>
      <c r="Z37" s="912"/>
      <c r="AA37" s="912"/>
      <c r="AB37" s="912"/>
      <c r="AC37" s="912"/>
      <c r="AD37" s="912"/>
      <c r="AE37" s="912"/>
      <c r="AF37" s="912"/>
      <c r="AG37" s="912"/>
      <c r="AH37" s="912"/>
      <c r="AI37" s="912"/>
      <c r="AJ37" s="912"/>
      <c r="AK37" s="912"/>
      <c r="AL37" s="912"/>
      <c r="AM37" s="915"/>
      <c r="AN37" s="915"/>
    </row>
    <row r="38" spans="3:40" ht="21.6" customHeight="1">
      <c r="C38" s="57"/>
      <c r="D38" s="832" t="s">
        <v>284</v>
      </c>
      <c r="E38" s="833">
        <f>'BOD-Cold &amp; Amb.'!AP10</f>
        <v>8</v>
      </c>
      <c r="F38" s="832" t="s">
        <v>285</v>
      </c>
      <c r="G38" s="837" t="str">
        <f>IF(OR(I35=0, E38="Amb"), "Amb",IF('BOD-Cold &amp; Amb.'!AH10="C", "Header",IF('BOD-Cold &amp; Amb.'!AH10="D", "Distributor", "Refer")))</f>
        <v>Distributor</v>
      </c>
      <c r="H38" s="832" t="s">
        <v>286</v>
      </c>
      <c r="I38" s="833" t="str">
        <f>IF(OR(I35=0, E38=0), 0,ROUND(((( I35/E38)*304.8)/(E36-400))*1000,0)&amp;" h "&amp;" x " &amp; (E36-400)&amp;" w ")</f>
        <v xml:space="preserve">1293 h  x 1650 w </v>
      </c>
      <c r="J38" s="902"/>
      <c r="K38" s="902"/>
      <c r="L38" s="902"/>
      <c r="M38" s="902"/>
      <c r="N38" s="902"/>
      <c r="O38" s="902"/>
      <c r="P38" s="902"/>
      <c r="Q38" s="913"/>
      <c r="R38" s="913"/>
      <c r="S38" s="913"/>
      <c r="T38" s="913"/>
      <c r="U38" s="912"/>
      <c r="V38" s="912"/>
      <c r="W38" s="913"/>
      <c r="X38" s="912"/>
      <c r="Y38" s="912"/>
      <c r="Z38" s="912"/>
      <c r="AA38" s="912"/>
      <c r="AB38" s="912"/>
      <c r="AC38" s="912"/>
      <c r="AD38" s="912"/>
      <c r="AE38" s="912"/>
      <c r="AF38" s="912"/>
      <c r="AG38" s="912"/>
      <c r="AH38" s="912"/>
      <c r="AI38" s="912"/>
      <c r="AJ38" s="912"/>
      <c r="AK38" s="912"/>
      <c r="AL38" s="912"/>
      <c r="AM38" s="915"/>
      <c r="AN38" s="915"/>
    </row>
    <row r="39" spans="3:40" ht="21">
      <c r="C39" s="57"/>
      <c r="D39" s="832" t="s">
        <v>287</v>
      </c>
      <c r="E39" s="833">
        <f>'BOD-Cold &amp; Amb.'!AR10</f>
        <v>3</v>
      </c>
      <c r="F39" s="832" t="s">
        <v>288</v>
      </c>
      <c r="G39" s="834" t="str">
        <f>IF(E39=5,"20µ,10µ, 5µ, 1µ &amp; 0.3µ (HEPA Plenum Fitted 95% eff.)",IF(E39=4,"10µ, 5µ, 1µ &amp; 0.3µ (HEPA Plenum Fitted 95% eff.)",IF(E39=3,"10µ, 5µ &amp; 1µ ",IF(E39=2,"10µ  &amp; 5µ",IF(E39=1,"10µ","Filter Ratings")))))</f>
        <v xml:space="preserve">10µ, 5µ &amp; 1µ </v>
      </c>
      <c r="H39" s="835"/>
      <c r="I39" s="834"/>
      <c r="J39" s="902"/>
      <c r="K39" s="902"/>
      <c r="L39" s="902"/>
      <c r="M39" s="902"/>
      <c r="N39" s="902"/>
      <c r="O39" s="902"/>
      <c r="P39" s="902"/>
      <c r="Q39" s="913"/>
      <c r="R39" s="913"/>
      <c r="S39" s="913"/>
      <c r="T39" s="913"/>
      <c r="U39" s="912"/>
      <c r="V39" s="912"/>
      <c r="W39" s="913"/>
      <c r="X39" s="912"/>
      <c r="Y39" s="912"/>
      <c r="Z39" s="912"/>
      <c r="AA39" s="912"/>
      <c r="AB39" s="912"/>
      <c r="AC39" s="912"/>
      <c r="AD39" s="912"/>
      <c r="AE39" s="912"/>
      <c r="AF39" s="912"/>
      <c r="AG39" s="912"/>
      <c r="AH39" s="912"/>
      <c r="AI39" s="912"/>
      <c r="AJ39" s="912"/>
      <c r="AK39" s="912"/>
      <c r="AL39" s="912"/>
      <c r="AM39" s="915"/>
      <c r="AN39" s="915"/>
    </row>
    <row r="40" spans="3:40">
      <c r="C40" s="57"/>
      <c r="D40" s="914" t="s">
        <v>289</v>
      </c>
      <c r="E40" s="914"/>
      <c r="F40" s="914"/>
      <c r="G40" s="914"/>
      <c r="H40" s="914"/>
      <c r="I40" s="914"/>
      <c r="J40" s="902"/>
      <c r="K40" s="902"/>
      <c r="L40" s="902"/>
      <c r="M40" s="902"/>
      <c r="N40" s="902"/>
      <c r="O40" s="902"/>
      <c r="P40" s="902"/>
      <c r="Q40" s="913"/>
      <c r="R40" s="913"/>
      <c r="S40" s="913"/>
      <c r="T40" s="913"/>
      <c r="U40" s="912"/>
      <c r="V40" s="912"/>
      <c r="W40" s="913"/>
      <c r="X40" s="912"/>
      <c r="Y40" s="912"/>
      <c r="Z40" s="912"/>
      <c r="AA40" s="912"/>
      <c r="AB40" s="912"/>
      <c r="AC40" s="912"/>
      <c r="AD40" s="912"/>
      <c r="AE40" s="912"/>
      <c r="AF40" s="912"/>
      <c r="AG40" s="912"/>
      <c r="AH40" s="912"/>
      <c r="AI40" s="912"/>
      <c r="AJ40" s="912"/>
      <c r="AK40" s="912"/>
      <c r="AL40" s="912"/>
      <c r="AM40" s="915"/>
      <c r="AN40" s="915"/>
    </row>
    <row r="41" spans="3:40" ht="24.95">
      <c r="C41" s="57"/>
      <c r="D41" s="58" t="s">
        <v>290</v>
      </c>
      <c r="E41" s="58" t="s">
        <v>291</v>
      </c>
      <c r="F41" s="58" t="s">
        <v>292</v>
      </c>
      <c r="G41" s="58" t="s">
        <v>293</v>
      </c>
      <c r="H41" s="58" t="s">
        <v>294</v>
      </c>
      <c r="I41" s="834"/>
      <c r="J41" s="902"/>
      <c r="K41" s="902"/>
      <c r="L41" s="902"/>
      <c r="M41" s="902"/>
      <c r="N41" s="902"/>
      <c r="O41" s="902"/>
      <c r="P41" s="902"/>
      <c r="Q41" s="913"/>
      <c r="R41" s="913"/>
      <c r="S41" s="913"/>
      <c r="T41" s="913"/>
      <c r="U41" s="912"/>
      <c r="V41" s="912"/>
      <c r="W41" s="913"/>
      <c r="X41" s="912"/>
      <c r="Y41" s="912"/>
      <c r="Z41" s="912"/>
      <c r="AA41" s="912"/>
      <c r="AB41" s="912"/>
      <c r="AC41" s="912"/>
      <c r="AD41" s="912"/>
      <c r="AE41" s="912"/>
      <c r="AF41" s="912"/>
      <c r="AG41" s="912"/>
      <c r="AH41" s="912"/>
      <c r="AI41" s="912"/>
      <c r="AJ41" s="912"/>
      <c r="AK41" s="912"/>
      <c r="AL41" s="912"/>
      <c r="AM41" s="915"/>
      <c r="AN41" s="915"/>
    </row>
    <row r="42" spans="3:40" ht="14.1">
      <c r="C42" s="57"/>
      <c r="D42" s="58"/>
      <c r="E42" s="58">
        <f>IF(E36&lt;=950,2,(IF(E36&lt;=1200,3,(IF(E36&lt;=1550,4,(IF(E36&lt;=1750,5,(IF(E36&lt;=2050,6,(IF(E36&lt;=2900,8,(IF(E36&lt;=3600,10,IF(E36&lt;=4000,12,0))))))))))))))</f>
        <v>6</v>
      </c>
      <c r="F42" s="58">
        <f>IF(G36&lt;=950,2,(IF(G36&lt;=1200,3,(IF(G36&lt;=1550,4,(IF(G36&lt;=1750,5,(IF(G36&lt;=2050,6,(IF(G36&lt;=2900,8,(IF(G36&lt;=3600,10,IF(E36&lt;=4000,12,0))))))))))))))</f>
        <v>6</v>
      </c>
      <c r="G42" s="58"/>
      <c r="H42" s="60"/>
      <c r="I42" s="834"/>
      <c r="J42" s="902"/>
      <c r="K42" s="902"/>
      <c r="L42" s="902"/>
      <c r="M42" s="902"/>
      <c r="N42" s="902"/>
      <c r="O42" s="902"/>
      <c r="P42" s="902"/>
      <c r="Q42" s="913"/>
      <c r="R42" s="913"/>
      <c r="S42" s="913"/>
      <c r="T42" s="913"/>
      <c r="U42" s="912"/>
      <c r="V42" s="912"/>
      <c r="W42" s="913"/>
      <c r="X42" s="912"/>
      <c r="Y42" s="912"/>
      <c r="Z42" s="912"/>
      <c r="AA42" s="912"/>
      <c r="AB42" s="912"/>
      <c r="AC42" s="912"/>
      <c r="AD42" s="912"/>
      <c r="AE42" s="912"/>
      <c r="AF42" s="912"/>
      <c r="AG42" s="912"/>
      <c r="AH42" s="912"/>
      <c r="AI42" s="912"/>
      <c r="AJ42" s="912"/>
      <c r="AK42" s="912"/>
      <c r="AL42" s="912"/>
      <c r="AM42" s="915"/>
      <c r="AN42" s="915"/>
    </row>
    <row r="43" spans="3:40" ht="14.1">
      <c r="C43" s="57"/>
      <c r="D43" s="58">
        <f>IF(AND(I35=0, OR(E39=1, E39=2, E39=3, E39=4, E39=5)), "20µ", 0)</f>
        <v>0</v>
      </c>
      <c r="E43" s="58">
        <f>IF(OR(D43=0),0,IF(MOD($E$42*$F$42,2)=0,"610",IF(MOD($E$42*$F$42,2.5)=0,"760",IF(MOD($E$42*$F$42,3)=0,"915","Refer"))))</f>
        <v>0</v>
      </c>
      <c r="F43" s="58">
        <f>IF(OR(D43=0),0,IF(MOD($E$42*$F$42,4)=0,"610",IF(MOD($E$42*$F$42,5)=0,"760",IF(MOD($E$42*$F$42,6)=0,"915","Refer"))))</f>
        <v>0</v>
      </c>
      <c r="G43" s="58">
        <f>IF(D43=0,0,100)</f>
        <v>0</v>
      </c>
      <c r="H43" s="60">
        <f>ROUND(IF(D43=0,0,($E$42*$F$42*305*305)/(E43*F43)),0)</f>
        <v>0</v>
      </c>
      <c r="I43" s="834"/>
      <c r="J43" s="902"/>
      <c r="K43" s="902"/>
      <c r="L43" s="902"/>
      <c r="M43" s="902"/>
      <c r="N43" s="902"/>
      <c r="O43" s="902"/>
      <c r="P43" s="902"/>
      <c r="Q43" s="55"/>
      <c r="R43" s="55"/>
      <c r="S43" s="55"/>
      <c r="T43" s="55"/>
      <c r="U43" s="45"/>
      <c r="V43" s="45"/>
      <c r="W43" s="55"/>
      <c r="X43" s="45"/>
      <c r="Y43" s="45"/>
      <c r="Z43" s="45"/>
      <c r="AA43" s="45"/>
      <c r="AB43" s="45"/>
      <c r="AC43" s="45"/>
      <c r="AD43" s="45"/>
      <c r="AE43" s="45"/>
      <c r="AF43" s="45"/>
      <c r="AG43" s="45"/>
      <c r="AH43" s="45"/>
      <c r="AI43" s="45"/>
      <c r="AJ43" s="45"/>
      <c r="AK43" s="45"/>
      <c r="AL43" s="45"/>
      <c r="AM43" s="63"/>
      <c r="AN43" s="63"/>
    </row>
    <row r="44" spans="3:40" ht="14.1">
      <c r="C44" s="57"/>
      <c r="D44" s="58" t="str">
        <f>IF(E39=5,"10µ",IF(E39=4,"10µ",IF(E39=3,"10µ",IF(E39=2,"10µ",IF(E39=1,"10µ",0)))))</f>
        <v>10µ</v>
      </c>
      <c r="E44" s="58" t="str">
        <f>IF(OR(D44=0),0,IF(MOD($E$42*$F$42,2)=0,"610",IF(MOD($E$42*$F$42,2.5)=0,"760",IF(MOD($E$42*$F$42,3)=0,"915","Refer"))))</f>
        <v>610</v>
      </c>
      <c r="F44" s="58" t="str">
        <f t="shared" ref="F44:F47" si="9">IF(OR(D44=0),0,IF(MOD($E$42*$F$42,4)=0,"610",IF(MOD($E$42*$F$42,5)=0,"760",IF(MOD($E$42*$F$42,6)=0,"915","Refer"))))</f>
        <v>610</v>
      </c>
      <c r="G44" s="58">
        <f>IF(D44=0,0,150)</f>
        <v>150</v>
      </c>
      <c r="H44" s="60">
        <f t="shared" ref="H44:H47" si="10">ROUND(IF(D44=0,0,($E$42*$F$42*305*305)/(E44*F44)),0)</f>
        <v>9</v>
      </c>
      <c r="I44" s="834"/>
      <c r="J44" s="902"/>
      <c r="K44" s="902"/>
      <c r="L44" s="902"/>
      <c r="M44" s="902"/>
      <c r="N44" s="902"/>
      <c r="O44" s="902"/>
      <c r="P44" s="902"/>
      <c r="Q44" s="913"/>
      <c r="R44" s="913"/>
      <c r="S44" s="913"/>
      <c r="T44" s="913"/>
      <c r="U44" s="912"/>
      <c r="V44" s="912"/>
      <c r="W44" s="913"/>
      <c r="X44" s="912"/>
      <c r="Y44" s="912"/>
      <c r="Z44" s="912"/>
      <c r="AA44" s="912"/>
      <c r="AB44" s="912"/>
      <c r="AC44" s="912"/>
      <c r="AD44" s="912"/>
      <c r="AE44" s="912"/>
      <c r="AF44" s="912"/>
      <c r="AG44" s="912"/>
      <c r="AH44" s="912"/>
      <c r="AI44" s="912"/>
      <c r="AJ44" s="912"/>
      <c r="AK44" s="912"/>
      <c r="AL44" s="912"/>
      <c r="AM44" s="915"/>
      <c r="AN44" s="915"/>
    </row>
    <row r="45" spans="3:40" ht="14.1">
      <c r="C45" s="57"/>
      <c r="D45" s="58" t="str">
        <f>IF(E39=5,"5µ",IF(E39=4,"5µ",IF(E39=3,"5µ",IF(E39=2,"5µ",0))))</f>
        <v>5µ</v>
      </c>
      <c r="E45" s="58" t="str">
        <f t="shared" ref="E45:E47" si="11">IF(OR(D45=0),0,IF(MOD($E$42*$F$42,2)=0,"610",IF(MOD($E$42*$F$42,2.5)=0,"760",IF(MOD($E$42*$F$42,3)=0,"915","Refer"))))</f>
        <v>610</v>
      </c>
      <c r="F45" s="58" t="str">
        <f t="shared" si="9"/>
        <v>610</v>
      </c>
      <c r="G45" s="58">
        <f>IF(D45=0,0,300)</f>
        <v>300</v>
      </c>
      <c r="H45" s="60">
        <f t="shared" si="10"/>
        <v>9</v>
      </c>
      <c r="I45" s="834"/>
      <c r="J45" s="902"/>
      <c r="K45" s="902"/>
      <c r="L45" s="902"/>
      <c r="M45" s="902"/>
      <c r="N45" s="902"/>
      <c r="O45" s="902"/>
      <c r="P45" s="902"/>
      <c r="Q45" s="913"/>
      <c r="R45" s="913"/>
      <c r="S45" s="913"/>
      <c r="T45" s="913"/>
      <c r="U45" s="912"/>
      <c r="V45" s="912"/>
      <c r="W45" s="913"/>
      <c r="X45" s="912"/>
      <c r="Y45" s="912"/>
      <c r="Z45" s="912"/>
      <c r="AA45" s="912"/>
      <c r="AB45" s="912"/>
      <c r="AC45" s="912"/>
      <c r="AD45" s="912"/>
      <c r="AE45" s="912"/>
      <c r="AF45" s="912"/>
      <c r="AG45" s="912"/>
      <c r="AH45" s="912"/>
      <c r="AI45" s="912"/>
      <c r="AJ45" s="912"/>
      <c r="AK45" s="912"/>
      <c r="AL45" s="912"/>
      <c r="AM45" s="915"/>
      <c r="AN45" s="915"/>
    </row>
    <row r="46" spans="3:40" ht="14.1">
      <c r="C46" s="57"/>
      <c r="D46" s="58" t="str">
        <f>IF(E39=5,"1µ",IF(E39=4,"1µ",IF(E39=3,"1µ",0)))</f>
        <v>1µ</v>
      </c>
      <c r="E46" s="58" t="str">
        <f t="shared" si="11"/>
        <v>610</v>
      </c>
      <c r="F46" s="58" t="str">
        <f t="shared" si="9"/>
        <v>610</v>
      </c>
      <c r="G46" s="58">
        <f>IF(D46=0,0,300)</f>
        <v>300</v>
      </c>
      <c r="H46" s="60">
        <f t="shared" si="10"/>
        <v>9</v>
      </c>
      <c r="I46" s="834"/>
      <c r="J46" s="902"/>
      <c r="K46" s="902"/>
      <c r="L46" s="902"/>
      <c r="M46" s="902"/>
      <c r="N46" s="902"/>
      <c r="O46" s="902"/>
      <c r="P46" s="902"/>
      <c r="Q46" s="913"/>
      <c r="R46" s="913"/>
      <c r="S46" s="913"/>
      <c r="T46" s="913"/>
      <c r="U46" s="912"/>
      <c r="V46" s="912"/>
      <c r="W46" s="913"/>
      <c r="X46" s="912"/>
      <c r="Y46" s="912"/>
      <c r="Z46" s="912"/>
      <c r="AA46" s="912"/>
      <c r="AB46" s="912"/>
      <c r="AC46" s="912"/>
      <c r="AD46" s="912"/>
      <c r="AE46" s="912"/>
      <c r="AF46" s="912"/>
      <c r="AG46" s="912"/>
      <c r="AH46" s="912"/>
      <c r="AI46" s="912"/>
      <c r="AJ46" s="912"/>
      <c r="AK46" s="912"/>
      <c r="AL46" s="912"/>
      <c r="AM46" s="915"/>
      <c r="AN46" s="915"/>
    </row>
    <row r="47" spans="3:40" ht="21">
      <c r="C47" s="57"/>
      <c r="D47" s="854">
        <f>IF(E39=5,"0.3µHEPA(95%)",IF(E39=4,"0.3µHEPA(95%)",0))</f>
        <v>0</v>
      </c>
      <c r="E47" s="58">
        <f t="shared" si="11"/>
        <v>0</v>
      </c>
      <c r="F47" s="58">
        <f t="shared" si="9"/>
        <v>0</v>
      </c>
      <c r="G47" s="58">
        <f>IF(D47=0,0,300)</f>
        <v>0</v>
      </c>
      <c r="H47" s="60">
        <f t="shared" si="10"/>
        <v>0</v>
      </c>
      <c r="I47" s="836"/>
      <c r="J47" s="902"/>
      <c r="K47" s="902"/>
      <c r="L47" s="902"/>
      <c r="M47" s="902"/>
      <c r="N47" s="902"/>
      <c r="O47" s="902"/>
      <c r="P47" s="902"/>
      <c r="Q47" s="913"/>
      <c r="R47" s="913"/>
      <c r="S47" s="913"/>
      <c r="T47" s="913"/>
      <c r="U47" s="912"/>
      <c r="V47" s="912"/>
      <c r="W47" s="913"/>
      <c r="X47" s="912"/>
      <c r="Y47" s="912"/>
      <c r="Z47" s="912"/>
      <c r="AA47" s="912"/>
      <c r="AB47" s="912"/>
      <c r="AC47" s="912"/>
      <c r="AD47" s="912"/>
      <c r="AE47" s="912"/>
      <c r="AF47" s="912"/>
      <c r="AG47" s="912"/>
      <c r="AH47" s="912"/>
      <c r="AI47" s="912"/>
      <c r="AJ47" s="912"/>
      <c r="AK47" s="912"/>
      <c r="AL47" s="912"/>
      <c r="AM47" s="915"/>
      <c r="AN47" s="915"/>
    </row>
    <row r="48" spans="3:40" ht="14.1">
      <c r="C48" s="57"/>
      <c r="D48" s="850" t="s">
        <v>295</v>
      </c>
      <c r="E48" s="852" t="str">
        <f>"AHU - " &amp; INT((ROW()-34)/14) &amp; "  " &amp; IF(I35&gt;0,"Air-Conditioning System " &amp; IF(OR(G38="Header", G38="C"), "(Chilled Water)",IF(OR(G38="Distributor", G38="D"), "(DX)", "Ventilation System")),IF(NOT(I35&gt;0), "Ventilation System ( EXHAUST )", "NOT APPLICABLE / Refer"))</f>
        <v>AHU - 1  Air-Conditioning System (DX)</v>
      </c>
      <c r="F48" s="852"/>
      <c r="G48" s="852"/>
      <c r="H48" s="853"/>
      <c r="I48" s="851"/>
      <c r="J48" s="52"/>
      <c r="K48" s="52"/>
      <c r="L48" s="52"/>
      <c r="M48" s="52"/>
      <c r="N48" s="52"/>
      <c r="O48" s="828"/>
      <c r="P48" s="828"/>
      <c r="Q48" s="55"/>
      <c r="R48" s="55"/>
      <c r="S48" s="55"/>
      <c r="T48" s="55"/>
      <c r="U48" s="45"/>
      <c r="V48" s="45"/>
      <c r="W48" s="55"/>
      <c r="X48" s="45"/>
      <c r="Y48" s="45"/>
      <c r="Z48" s="45"/>
      <c r="AA48" s="45"/>
      <c r="AB48" s="45"/>
      <c r="AC48" s="45"/>
      <c r="AD48" s="45"/>
      <c r="AE48" s="45"/>
      <c r="AF48" s="45"/>
      <c r="AG48" s="45"/>
      <c r="AH48" s="45"/>
      <c r="AI48" s="45"/>
      <c r="AJ48" s="45"/>
      <c r="AK48" s="45"/>
      <c r="AL48" s="45"/>
      <c r="AM48" s="63"/>
      <c r="AN48" s="63"/>
    </row>
    <row r="49" spans="3:40" ht="27.95">
      <c r="C49" s="57"/>
      <c r="D49" s="832" t="s">
        <v>287</v>
      </c>
      <c r="E49" s="833">
        <v>1</v>
      </c>
      <c r="F49" s="854" t="s">
        <v>275</v>
      </c>
      <c r="G49" s="833">
        <f>IF(I35=0,CEILING('BOD-Cold &amp; Amb.'!AB26,100),0)</f>
        <v>0</v>
      </c>
      <c r="H49" s="832" t="s">
        <v>288</v>
      </c>
      <c r="I49" s="834" t="str">
        <f>IF(E49=5,"20µ,10µ, 5µ, 1µ &amp; 0.3µ (HEPA Plenum Fitted 95% eff.)",IF(E49=4,"20µ,10µ, 5µ, 1µ ",IF(E49=3,"20µ, 10µ &amp; 5µ ",IF(E49=2,"20µ  &amp; 10µ",IF(E49=1,"20µ","Filter Ratings")))))</f>
        <v>20µ</v>
      </c>
      <c r="J49" s="902" t="s">
        <v>277</v>
      </c>
      <c r="K49" s="902">
        <v>1</v>
      </c>
      <c r="L49" s="917">
        <f>Q52</f>
        <v>406750</v>
      </c>
      <c r="M49" s="902">
        <f>K49*L49</f>
        <v>406750</v>
      </c>
      <c r="N49" s="52"/>
      <c r="O49" s="828"/>
      <c r="P49" s="828"/>
      <c r="Q49" s="55"/>
      <c r="R49" s="55"/>
      <c r="S49" s="55"/>
      <c r="T49" s="55"/>
      <c r="U49" s="45"/>
      <c r="V49" s="45"/>
      <c r="W49" s="55"/>
      <c r="X49" s="45"/>
      <c r="Y49" s="45"/>
      <c r="Z49" s="45"/>
      <c r="AA49" s="45"/>
      <c r="AB49" s="45"/>
      <c r="AC49" s="45"/>
      <c r="AD49" s="45"/>
      <c r="AE49" s="45"/>
      <c r="AF49" s="45"/>
      <c r="AG49" s="45"/>
      <c r="AH49" s="45"/>
      <c r="AI49" s="45"/>
      <c r="AJ49" s="45"/>
      <c r="AK49" s="45"/>
      <c r="AL49" s="45"/>
      <c r="AM49" s="63"/>
      <c r="AN49" s="63"/>
    </row>
    <row r="50" spans="3:40" ht="14.1">
      <c r="C50" s="57"/>
      <c r="D50" s="855" t="s">
        <v>278</v>
      </c>
      <c r="E50" s="833">
        <f>'BOD-Cold &amp; Amb.'!AL11</f>
        <v>2050</v>
      </c>
      <c r="F50" s="855" t="s">
        <v>279</v>
      </c>
      <c r="G50" s="833">
        <f>'BOD-Cold &amp; Amb.'!AL13</f>
        <v>2050</v>
      </c>
      <c r="H50" s="855" t="s">
        <v>280</v>
      </c>
      <c r="I50" s="833">
        <f>IF(E51&lt;=315,1600,(IF(E51=355,1650,(IF(E51=400,1650,(IF(E51=450,1700,(IF(E51=500,1700,(IF(E51=560,1800,(IF(E51=630,2000,(IF(E51=710,2200,2500)))))))))))))))+IF(E49=1,800,(IF(E49=2,1300,(IF(E49=3,2300,(IF(E49=4,3300,(IF(E49=3,4000,0)))))))))</f>
        <v>2400</v>
      </c>
      <c r="J50" s="902"/>
      <c r="K50" s="902"/>
      <c r="L50" s="902"/>
      <c r="M50" s="902"/>
      <c r="N50" s="52"/>
      <c r="O50" s="828"/>
      <c r="P50" s="828"/>
      <c r="Q50" s="55"/>
      <c r="R50" s="55"/>
      <c r="S50" s="55"/>
      <c r="T50" s="55"/>
      <c r="U50" s="45"/>
      <c r="V50" s="45"/>
      <c r="W50" s="55"/>
      <c r="X50" s="45"/>
      <c r="Y50" s="45"/>
      <c r="Z50" s="45"/>
      <c r="AA50" s="45"/>
      <c r="AB50" s="45"/>
      <c r="AC50" s="45"/>
      <c r="AD50" s="45"/>
      <c r="AE50" s="45"/>
      <c r="AF50" s="45"/>
      <c r="AG50" s="45"/>
      <c r="AH50" s="45"/>
      <c r="AI50" s="45"/>
      <c r="AJ50" s="45"/>
      <c r="AK50" s="45"/>
      <c r="AL50" s="45"/>
      <c r="AM50" s="63"/>
      <c r="AN50" s="63"/>
    </row>
    <row r="51" spans="3:40" ht="14.1">
      <c r="C51" s="57"/>
      <c r="D51" s="855" t="s">
        <v>281</v>
      </c>
      <c r="E51" s="833">
        <f>IF(G49&lt;=1300,200,IF(G49&lt;=1600,225,IF(G49&lt;=2100,250,IF(G49&lt;=2700,280,IF(G49&lt;=3450,315,IF(G49&lt;=4250,355,IF(G49&lt;=5250,400,IF(G49&lt;=6750,450,IF(G49&lt;=8500,500,IF(G49&lt;=10750,560,IF(G49&lt;=13500,630,IF(G49&lt;=17000,710,IF(G49&lt;=21500,800,IF(G49&lt;=27000,900,IF(G49&lt;=34000,1000,IF(G49&lt;=43000,1120,IF(G49&lt;=49000,1200,IF(G49&lt;=68000,1450,"Refer"))))))))))))))))))</f>
        <v>200</v>
      </c>
      <c r="F51" s="855" t="s">
        <v>282</v>
      </c>
      <c r="G51" s="833">
        <f>IF(E49=5,135,IF(E49=4,110,IF(E49=3,90,IF(E49=2,65,IF(E49=1,50,"Filter Ratings")))))</f>
        <v>50</v>
      </c>
      <c r="H51" s="855" t="s">
        <v>283</v>
      </c>
      <c r="I51" s="833">
        <f>IF(G49*G51/(6356*0.7*0.9*1.1*25.4)&lt;=1,1,IF(G49*G51/(6356*0.7*0.9*1.1*25.4)&lt;=1.5,1.5,IF(G49*G51/(6356*0.7*0.9*1.1*25.4)&lt;=2,2,IF(G49*G51/(6356*0.7*0.9*1.1*25.4)&lt;=3,3,IF(G49*G51/(6356*0.7*0.9*1.1*25.4)&lt;=5,5,IF(G49*G51/(6356*0.7*0.9*1.1*25.4)&lt;=7.5,7.5,IF(G49*G51/(6356*0.7*0.9*1.1*25.4)&lt;=10,10,IF(G49*G51/(6356*0.7*0.9*1.1*25.4)&lt;=12.5,12.5,IF(G49*G51/(6356*0.7*0.9*1.1*25.4)&lt;=15,15,IF(G49*G51/(6356*0.7*0.9*1.1*25.4)&lt;=20,20,IF(G49*G51/(6356*0.7*0.9*1.1*25.4)&lt;=25,25,IF(G49*G51/(6356*0.7*0.9*1.1*25.4)&lt;=30,30,IF(G49*G51/(6356*0.7*0.9*1.1*25.4)&lt;=40,40,IF(G49*G51/(6356*0.7*0.9*1.1*25.4)&lt;=50,50,IF(G49*G51/(6356*0.7*0.9*1.1*25.4)&lt;=60,60,IF(G49*G51/(6356*0.7*0.9*1.1*25.4)&lt;=75,75,"Refer"))))))))))))))))</f>
        <v>1</v>
      </c>
      <c r="J51" s="902"/>
      <c r="K51" s="902"/>
      <c r="L51" s="902"/>
      <c r="M51" s="902"/>
      <c r="N51" s="52"/>
      <c r="O51" s="828"/>
      <c r="P51" s="828"/>
      <c r="Q51" s="55"/>
      <c r="R51" s="55"/>
      <c r="S51" s="55"/>
      <c r="T51" s="55"/>
      <c r="U51" s="45"/>
      <c r="V51" s="45"/>
      <c r="W51" s="55"/>
      <c r="X51" s="45"/>
      <c r="Y51" s="45"/>
      <c r="Z51" s="45"/>
      <c r="AA51" s="45"/>
      <c r="AB51" s="45"/>
      <c r="AC51" s="45"/>
      <c r="AD51" s="45"/>
      <c r="AE51" s="45"/>
      <c r="AF51" s="45"/>
      <c r="AG51" s="45"/>
      <c r="AH51" s="45"/>
      <c r="AI51" s="45"/>
      <c r="AJ51" s="45"/>
      <c r="AK51" s="45"/>
      <c r="AL51" s="45"/>
      <c r="AM51" s="63"/>
      <c r="AN51" s="63"/>
    </row>
    <row r="52" spans="3:40" ht="24.95">
      <c r="C52" s="57"/>
      <c r="D52" s="58" t="s">
        <v>290</v>
      </c>
      <c r="E52" s="58" t="s">
        <v>291</v>
      </c>
      <c r="F52" s="58" t="s">
        <v>292</v>
      </c>
      <c r="G52" s="58" t="s">
        <v>293</v>
      </c>
      <c r="H52" s="58" t="s">
        <v>294</v>
      </c>
      <c r="I52" s="834"/>
      <c r="J52" s="902"/>
      <c r="K52" s="902"/>
      <c r="L52" s="902"/>
      <c r="M52" s="902"/>
      <c r="N52" s="52"/>
      <c r="O52" s="828"/>
      <c r="P52" s="828"/>
      <c r="Q52" s="913">
        <f t="shared" ref="Q52" si="12">CEILING((S52+T52+U52+V52+W52),250)</f>
        <v>406750</v>
      </c>
      <c r="R52" s="913">
        <f>IF(I52&gt;0,625,375)</f>
        <v>375</v>
      </c>
      <c r="S52" s="913">
        <f>($E$50*$G$50*3*10.76+$E$50*$I$50*2*10.76+$G$50*$I$50*2*10.76)*R52/(1000*1000)</f>
        <v>130280.0625</v>
      </c>
      <c r="T52" s="913">
        <f>$I$35*4*1050</f>
        <v>235200</v>
      </c>
      <c r="U52" s="912">
        <f>_xlfn.IFS(
  $G$49&lt;=2000,5000,
  $G$49&lt;=5000,8000,
  $G$49&lt;=10000,10000,
  $G$49&lt;=18000,15000,
  $G$49&lt;=40000,20000,
  $G$49&gt;40000,25000
)</f>
        <v>5000</v>
      </c>
      <c r="V52" s="912">
        <f t="shared" ref="V52" si="13">IF(X52=200,17150,(IF(X52=225,18150,(IF(X52=250,18900,(IF(X52=280,19150,(IF(X52=315,19650,(IF(X52=355,21900,(IF(X52=400,24400,0)))))))))))))+IF(X52=450,31000,(IF(X52=500,37450,(IF(X52=560,45650,(IF(X52=630,58900,(IF(X52=710,77950,0)))))))))+IF(X52=800,119650,(IF(X52=900,153300,(IF(X52=1000,178900,(IF(X52=1120,286500,(IF(X52=1250,394500,(IF(X52=1450,461500,0)))))))))))</f>
        <v>17150</v>
      </c>
      <c r="W52" s="913">
        <f>_xlfn.IFS(
  $I$51=0.5,16600,
  $I$51=1,19050,
  $I$51=1.5,21750,
  $I$51=2,23600,
  $I$51=3,30000,
  $I$51=5,38000,
  $I$51=7.5,52300,
  $I$51=10,59600,
  $I$51=12.5,100350,
  $I$51=15,106000,
  $I$51=20,129150,
  $I$51=25,146050,
  $I$51=30,173600,
  $I$51=40,233900,
  $I$51=50,304650,
  $I$51=60,350000,
  $I$51=70,400000
)</f>
        <v>19050</v>
      </c>
      <c r="X52" s="912">
        <f>E51</f>
        <v>200</v>
      </c>
      <c r="Y52" s="912">
        <f t="shared" ref="Y52" si="14">IF(G52&lt;=6750,450,(IF(G52&lt;=8500,500,(IF(G52&lt;=10750,560,(IF(G52&lt;=13500,630,(IF(G52&lt;=17000,710,(IF(G52&lt;=21500,800,(IF(G52&lt;=27000,900,(IF(G52&lt;=34000,1000,0)))))))))))))))</f>
        <v>0</v>
      </c>
      <c r="Z52" s="912">
        <f t="shared" ref="Z52" si="15">IF(G52&lt;=1300,200,(IF(G52&lt;=1600,225,(IF(G52&lt;=2100,250,(IF(G52&lt;=2700,280,(IF(G52&lt;=3450,315,(IF(G52&lt;=4250,355,(IF(G52&lt;=5250,400,(IF(G52&lt;=6750,450,0)))))))))))))))</f>
        <v>0</v>
      </c>
      <c r="AA52" s="912">
        <f t="shared" ref="AA52" si="16">IF(G52&lt;=2000,5000,(IF(G52&lt;=5000,8000,(IF(G52&lt;=10000,10000,(IF(G52&lt;=18000,15000,(IF(G52&lt;=40000,20000,10000)))))))))</f>
        <v>10000</v>
      </c>
      <c r="AB52" s="912">
        <f>IF(E53=950,2,(IF(E53=1150,3,(IF(E53=1550,4,(IF(E53=1750,5,(IF(E53=2050,6,(IF(E53=2900,8,(IF(E53=3600,10,12)))))))))))))</f>
        <v>12</v>
      </c>
      <c r="AC52" s="912">
        <f>IF(G53=950,2,(IF(G53=1150,3,(IF(G53=1550,4,(IF(G53=1750,5,(IF(G53=2050,6,(IF(G53=2900,8,(IF(G53=3600,10,12)))))))))))))</f>
        <v>12</v>
      </c>
      <c r="AD52" s="912">
        <f t="shared" ref="AD52" si="17">AC52*AB52</f>
        <v>144</v>
      </c>
      <c r="AE52" s="912">
        <v>150</v>
      </c>
      <c r="AF52" s="912">
        <f>CEILING((SQRT(G49/1000))*4*2*AE52*1.25*K49,100)</f>
        <v>0</v>
      </c>
      <c r="AG52" s="912">
        <f>E60*F60*H60/(305*305)</f>
        <v>0</v>
      </c>
      <c r="AH52" s="912">
        <f>E61*F61*H61/(305*305)</f>
        <v>0</v>
      </c>
      <c r="AI52" s="912" t="b">
        <f>IF(I35=0,0)</f>
        <v>0</v>
      </c>
      <c r="AJ52" s="912">
        <f>H55*E55*F55/(305*305)</f>
        <v>0</v>
      </c>
      <c r="AK52" s="912">
        <f>H55*E55*F55/(305*305)</f>
        <v>0</v>
      </c>
      <c r="AL52" s="912">
        <f>E54*F54*H54/(305*305)</f>
        <v>0</v>
      </c>
      <c r="AM52" s="915">
        <f>(G49*2.2/1100)</f>
        <v>0</v>
      </c>
      <c r="AN52" s="915">
        <f>(G49*1/1100)</f>
        <v>0</v>
      </c>
    </row>
    <row r="53" spans="3:40" ht="14.1">
      <c r="C53" s="57"/>
      <c r="D53" s="58"/>
      <c r="E53" s="58">
        <f>IF(E50&lt;=950,2,(IF(E50&lt;=1200,3,(IF(E50&lt;=1550,4,(IF(E50&lt;=1750,5,(IF(E50&lt;=2050,6,(IF(E50&lt;=2900,8,(IF(E50&lt;=3600,10,IF(E50&lt;=4000,12,0))))))))))))))</f>
        <v>6</v>
      </c>
      <c r="F53" s="58">
        <f>IF(G50&lt;=950,2,(IF(G50&lt;=1200,3,(IF(G50&lt;=1550,4,(IF(G50&lt;=1750,5,(IF(G50&lt;=2050,6,(IF(G50&lt;=2900,8,(IF(G50&lt;=3600,10,IF(E50&lt;=4000,12,0))))))))))))))</f>
        <v>6</v>
      </c>
      <c r="G53" s="58"/>
      <c r="H53" s="60"/>
      <c r="I53" s="834"/>
      <c r="J53" s="902"/>
      <c r="K53" s="902"/>
      <c r="L53" s="902"/>
      <c r="M53" s="902"/>
      <c r="N53" s="52"/>
      <c r="O53" s="828"/>
      <c r="P53" s="828"/>
      <c r="Q53" s="913"/>
      <c r="R53" s="913"/>
      <c r="S53" s="913"/>
      <c r="T53" s="913"/>
      <c r="U53" s="912"/>
      <c r="V53" s="912"/>
      <c r="W53" s="913"/>
      <c r="X53" s="912"/>
      <c r="Y53" s="912"/>
      <c r="Z53" s="912"/>
      <c r="AA53" s="912"/>
      <c r="AB53" s="912"/>
      <c r="AC53" s="912"/>
      <c r="AD53" s="912"/>
      <c r="AE53" s="912"/>
      <c r="AF53" s="912"/>
      <c r="AG53" s="912"/>
      <c r="AH53" s="912"/>
      <c r="AI53" s="912"/>
      <c r="AJ53" s="912"/>
      <c r="AK53" s="912"/>
      <c r="AL53" s="912"/>
      <c r="AM53" s="915"/>
      <c r="AN53" s="915"/>
    </row>
    <row r="54" spans="3:40" ht="14.1">
      <c r="C54" s="57"/>
      <c r="D54" s="58">
        <f>IF(AND(I35=0, OR(E49=1, E49=2, E49=3, E49=4, E49=5)), "20µ", 0)</f>
        <v>0</v>
      </c>
      <c r="E54" s="58">
        <f>IF(OR(D54=0),0,IF(MOD($E$53*$F$53,2)=0,"610",IF(MOD($E$53*$F$53,2.5)=0,"760",IF(MOD($E$53*$F$53,3)=0,"915","Refer"))))</f>
        <v>0</v>
      </c>
      <c r="F54" s="58">
        <f>IF(OR(D54=0),0,IF(MOD($E$53*$F$53,4)=0,"610",IF(MOD($E$53*$F$53,5)=0,"760",IF(MOD($E$53*$F$53,6)=0,"915","Refer"))))</f>
        <v>0</v>
      </c>
      <c r="G54" s="58">
        <f>IF(D54=0,0,100)</f>
        <v>0</v>
      </c>
      <c r="H54" s="60">
        <f>ROUND(IF(D54=0,0,($E$53*$F$53*305*305)/(E54*F54)),0)</f>
        <v>0</v>
      </c>
      <c r="I54" s="834"/>
      <c r="J54" s="902"/>
      <c r="K54" s="902"/>
      <c r="L54" s="902"/>
      <c r="M54" s="902"/>
      <c r="N54" s="52"/>
      <c r="O54" s="828"/>
      <c r="P54" s="828"/>
      <c r="Q54" s="55"/>
      <c r="R54" s="55"/>
      <c r="S54" s="55"/>
      <c r="T54" s="55"/>
      <c r="U54" s="45"/>
      <c r="V54" s="45"/>
      <c r="W54" s="55"/>
      <c r="X54" s="45"/>
      <c r="Y54" s="45"/>
      <c r="Z54" s="45"/>
      <c r="AA54" s="45"/>
      <c r="AB54" s="45"/>
      <c r="AC54" s="45"/>
      <c r="AD54" s="45"/>
      <c r="AE54" s="45"/>
      <c r="AF54" s="45"/>
      <c r="AG54" s="45"/>
      <c r="AH54" s="45"/>
      <c r="AI54" s="45"/>
      <c r="AJ54" s="45"/>
      <c r="AK54" s="45"/>
      <c r="AL54" s="45"/>
      <c r="AM54" s="63"/>
      <c r="AN54" s="63"/>
    </row>
    <row r="55" spans="3:40" ht="14.1">
      <c r="C55" s="57"/>
      <c r="D55" s="58">
        <f>IF(AND(I35=0, OR( E49=2, E49=3, E49=4, E49=5)), "10µ", 0)</f>
        <v>0</v>
      </c>
      <c r="E55" s="58">
        <f t="shared" ref="E55:E58" si="18">IF(OR(D55=0),0,IF(MOD($E$53*$F$53,2)=0,"610",IF(MOD($E$53*$F$53,2.5)=0,"760",IF(MOD($E$53*$F$53,3)=0,"915","Refer"))))</f>
        <v>0</v>
      </c>
      <c r="F55" s="58">
        <f t="shared" ref="F55:F58" si="19">IF(OR(D55=0),0,IF(MOD($E$53*$F$53,4)=0,"610",IF(MOD($E$53*$F$53,5)=0,"760",IF(MOD($E$53*$F$53,6)=0,"915","Refer"))))</f>
        <v>0</v>
      </c>
      <c r="G55" s="58">
        <f>IF(D55=0,0,150)</f>
        <v>0</v>
      </c>
      <c r="H55" s="60">
        <f t="shared" ref="H55:H58" si="20">ROUND(IF(D55=0,0,($E$53*$F$53*305*305)/(E55*F55)),0)</f>
        <v>0</v>
      </c>
      <c r="I55" s="834"/>
      <c r="J55" s="902"/>
      <c r="K55" s="902"/>
      <c r="L55" s="902"/>
      <c r="M55" s="902"/>
      <c r="N55" s="52"/>
      <c r="O55" s="828"/>
      <c r="P55" s="828"/>
      <c r="Q55" s="55"/>
      <c r="R55" s="55"/>
      <c r="S55" s="55"/>
      <c r="T55" s="55"/>
      <c r="U55" s="45"/>
      <c r="V55" s="45"/>
      <c r="W55" s="55"/>
      <c r="X55" s="45"/>
      <c r="Y55" s="45"/>
      <c r="Z55" s="45"/>
      <c r="AA55" s="45"/>
      <c r="AB55" s="45"/>
      <c r="AC55" s="45"/>
      <c r="AD55" s="45"/>
      <c r="AE55" s="45"/>
      <c r="AF55" s="45"/>
      <c r="AG55" s="45"/>
      <c r="AH55" s="45"/>
      <c r="AI55" s="45"/>
      <c r="AJ55" s="45"/>
      <c r="AK55" s="45"/>
      <c r="AL55" s="45"/>
      <c r="AM55" s="63"/>
      <c r="AN55" s="63"/>
    </row>
    <row r="56" spans="3:40" ht="14.1">
      <c r="C56" s="57"/>
      <c r="D56" s="58">
        <f>IF(AND(I35=0, OR(E49=3, E49=4, E49=5)), "5µ", 0)</f>
        <v>0</v>
      </c>
      <c r="E56" s="58">
        <f t="shared" si="18"/>
        <v>0</v>
      </c>
      <c r="F56" s="58">
        <f t="shared" si="19"/>
        <v>0</v>
      </c>
      <c r="G56" s="58">
        <f>IF(D56=0,0,300)</f>
        <v>0</v>
      </c>
      <c r="H56" s="60">
        <f t="shared" si="20"/>
        <v>0</v>
      </c>
      <c r="I56" s="834"/>
      <c r="J56" s="902"/>
      <c r="K56" s="902"/>
      <c r="L56" s="902"/>
      <c r="M56" s="902"/>
      <c r="N56" s="52"/>
      <c r="O56" s="828"/>
      <c r="P56" s="828"/>
      <c r="Q56" s="55"/>
      <c r="R56" s="55"/>
      <c r="S56" s="55"/>
      <c r="T56" s="55"/>
      <c r="U56" s="45"/>
      <c r="V56" s="45"/>
      <c r="W56" s="55"/>
      <c r="X56" s="45"/>
      <c r="Y56" s="45"/>
      <c r="Z56" s="45"/>
      <c r="AA56" s="45"/>
      <c r="AB56" s="45"/>
      <c r="AC56" s="45"/>
      <c r="AD56" s="45"/>
      <c r="AE56" s="45"/>
      <c r="AF56" s="45"/>
      <c r="AG56" s="45"/>
      <c r="AH56" s="45"/>
      <c r="AI56" s="45"/>
      <c r="AJ56" s="45"/>
      <c r="AK56" s="45"/>
      <c r="AL56" s="45"/>
      <c r="AM56" s="63"/>
      <c r="AN56" s="63"/>
    </row>
    <row r="57" spans="3:40" ht="14.1">
      <c r="C57" s="57"/>
      <c r="D57" s="58">
        <f>IF(AND(I35=0, OR(E49=4, E49=5)), "1µ", 0)</f>
        <v>0</v>
      </c>
      <c r="E57" s="58">
        <f t="shared" si="18"/>
        <v>0</v>
      </c>
      <c r="F57" s="58">
        <f t="shared" si="19"/>
        <v>0</v>
      </c>
      <c r="G57" s="58">
        <f>IF(D57=0,0,300)</f>
        <v>0</v>
      </c>
      <c r="H57" s="60">
        <f t="shared" si="20"/>
        <v>0</v>
      </c>
      <c r="I57" s="834"/>
      <c r="J57" s="902"/>
      <c r="K57" s="902"/>
      <c r="L57" s="902"/>
      <c r="M57" s="902"/>
      <c r="N57" s="52"/>
      <c r="O57" s="828"/>
      <c r="P57" s="828"/>
      <c r="Q57" s="55"/>
      <c r="R57" s="55"/>
      <c r="S57" s="55"/>
      <c r="T57" s="55"/>
      <c r="U57" s="45"/>
      <c r="V57" s="45"/>
      <c r="W57" s="55"/>
      <c r="X57" s="45"/>
      <c r="Y57" s="45"/>
      <c r="Z57" s="45"/>
      <c r="AA57" s="45"/>
      <c r="AB57" s="45"/>
      <c r="AC57" s="45"/>
      <c r="AD57" s="45"/>
      <c r="AE57" s="45"/>
      <c r="AF57" s="45"/>
      <c r="AG57" s="45"/>
      <c r="AH57" s="45"/>
      <c r="AI57" s="45"/>
      <c r="AJ57" s="45"/>
      <c r="AK57" s="45"/>
      <c r="AL57" s="45"/>
      <c r="AM57" s="63"/>
      <c r="AN57" s="63"/>
    </row>
    <row r="58" spans="3:40" ht="14.1">
      <c r="C58" s="57"/>
      <c r="D58" s="854">
        <f>IF(AND(I35=0, OR(E49=5)), "0.3µHEPA(95%)", 0)</f>
        <v>0</v>
      </c>
      <c r="E58" s="58">
        <f t="shared" si="18"/>
        <v>0</v>
      </c>
      <c r="F58" s="58">
        <f t="shared" si="19"/>
        <v>0</v>
      </c>
      <c r="G58" s="58">
        <f>IF(D58=0,0,300)</f>
        <v>0</v>
      </c>
      <c r="H58" s="60">
        <f t="shared" si="20"/>
        <v>0</v>
      </c>
      <c r="I58" s="836"/>
      <c r="J58" s="902"/>
      <c r="K58" s="902"/>
      <c r="L58" s="902"/>
      <c r="M58" s="902"/>
      <c r="N58" s="52"/>
      <c r="O58" s="828"/>
      <c r="P58" s="828"/>
      <c r="Q58" s="55"/>
      <c r="R58" s="55"/>
      <c r="S58" s="55"/>
      <c r="T58" s="55"/>
      <c r="U58" s="45"/>
      <c r="V58" s="45"/>
      <c r="W58" s="55"/>
      <c r="X58" s="45"/>
      <c r="Y58" s="45"/>
      <c r="Z58" s="45"/>
      <c r="AA58" s="45"/>
      <c r="AB58" s="45"/>
      <c r="AC58" s="45"/>
      <c r="AD58" s="45"/>
      <c r="AE58" s="45"/>
      <c r="AF58" s="45"/>
      <c r="AG58" s="45"/>
      <c r="AH58" s="45"/>
      <c r="AI58" s="45"/>
      <c r="AJ58" s="45"/>
      <c r="AK58" s="45"/>
      <c r="AL58" s="45"/>
      <c r="AM58" s="63"/>
      <c r="AN58" s="63"/>
    </row>
    <row r="59" spans="3:40" ht="14.1">
      <c r="C59" s="57"/>
      <c r="D59" s="826"/>
      <c r="E59" s="182"/>
      <c r="F59" s="182"/>
      <c r="G59" s="182"/>
      <c r="H59" s="45"/>
      <c r="I59" s="827"/>
      <c r="J59" s="52"/>
      <c r="K59" s="52"/>
      <c r="L59" s="52"/>
      <c r="M59" s="52"/>
      <c r="N59" s="52"/>
      <c r="O59" s="828"/>
      <c r="P59" s="828"/>
      <c r="Q59" s="55"/>
      <c r="R59" s="55"/>
      <c r="S59" s="55"/>
      <c r="T59" s="55"/>
      <c r="U59" s="45"/>
      <c r="V59" s="45"/>
      <c r="W59" s="55"/>
      <c r="X59" s="45"/>
      <c r="Y59" s="45"/>
      <c r="Z59" s="45"/>
      <c r="AA59" s="45"/>
      <c r="AB59" s="45"/>
      <c r="AC59" s="45"/>
      <c r="AD59" s="45"/>
      <c r="AE59" s="45"/>
      <c r="AF59" s="45"/>
      <c r="AG59" s="45"/>
      <c r="AH59" s="45"/>
      <c r="AI59" s="45"/>
      <c r="AJ59" s="45"/>
      <c r="AK59" s="45"/>
      <c r="AL59" s="45"/>
      <c r="AM59" s="63"/>
      <c r="AN59" s="63"/>
    </row>
    <row r="60" spans="3:40" ht="14.1">
      <c r="C60" s="57"/>
      <c r="D60" s="826"/>
      <c r="E60" s="182"/>
      <c r="F60" s="182"/>
      <c r="G60" s="182"/>
      <c r="H60" s="45"/>
      <c r="I60" s="827"/>
      <c r="J60" s="52"/>
      <c r="K60" s="52"/>
      <c r="L60" s="52"/>
      <c r="M60" s="52"/>
      <c r="N60" s="52"/>
      <c r="O60" s="828"/>
      <c r="P60" s="828"/>
      <c r="Q60" s="55"/>
      <c r="R60" s="55"/>
      <c r="S60" s="55"/>
      <c r="T60" s="55"/>
      <c r="U60" s="45"/>
      <c r="V60" s="45"/>
      <c r="W60" s="55"/>
      <c r="X60" s="45"/>
      <c r="Y60" s="45"/>
      <c r="Z60" s="45"/>
      <c r="AA60" s="45"/>
      <c r="AB60" s="45"/>
      <c r="AC60" s="45"/>
      <c r="AD60" s="45"/>
      <c r="AE60" s="45"/>
      <c r="AF60" s="45"/>
      <c r="AG60" s="45"/>
      <c r="AH60" s="45"/>
      <c r="AI60" s="45"/>
      <c r="AJ60" s="45"/>
      <c r="AK60" s="45"/>
      <c r="AL60" s="45"/>
      <c r="AM60" s="63"/>
      <c r="AN60" s="63"/>
    </row>
    <row r="61" spans="3:40" ht="14.1" customHeight="1">
      <c r="C61" s="57"/>
      <c r="D61" s="901" t="str">
        <f>"AHU - " &amp; INT((ROW()-34)/14)+1 &amp; "  " &amp; IF(I62&gt;0,"Air-Conditioning System " &amp; IF(OR(G65="Header", G65="C"), "(Chilled Water)",IF(OR(G65="Distributor", G65="D"), "(DX)", "Ventilation System")),IF(NOT(I62&gt;0), "Ventilation System ( SUPPLY )", "Refer"))</f>
        <v>AHU - 2  Air-Conditioning System (DX)</v>
      </c>
      <c r="E61" s="901"/>
      <c r="F61" s="901"/>
      <c r="G61" s="901"/>
      <c r="H61" s="901"/>
      <c r="I61" s="901"/>
      <c r="J61" s="52"/>
      <c r="K61" s="52"/>
      <c r="L61" s="53"/>
      <c r="M61" s="53"/>
      <c r="N61" s="53"/>
      <c r="O61" s="54"/>
      <c r="P61" s="55"/>
      <c r="AM61" s="56"/>
      <c r="AN61" s="56"/>
    </row>
    <row r="62" spans="3:40" ht="14.1">
      <c r="C62" s="57"/>
      <c r="D62" s="175" t="s">
        <v>274</v>
      </c>
      <c r="E62" s="180" t="str">
        <f>'BOD-Cold &amp; Amb.'!R30</f>
        <v>ISO 6</v>
      </c>
      <c r="F62" s="175" t="s">
        <v>275</v>
      </c>
      <c r="G62" s="180">
        <f>'BOD-Cold &amp; Amb.'!AK30</f>
        <v>48500</v>
      </c>
      <c r="H62" s="175" t="s">
        <v>276</v>
      </c>
      <c r="I62" s="181">
        <f>'BOD-Cold &amp; Amb.'!AQ30</f>
        <v>124.5</v>
      </c>
      <c r="J62" s="902" t="s">
        <v>277</v>
      </c>
      <c r="K62" s="902">
        <v>1</v>
      </c>
      <c r="L62" s="917">
        <f>Q62</f>
        <v>1911500</v>
      </c>
      <c r="M62" s="902">
        <f>K62*L62</f>
        <v>1911500</v>
      </c>
      <c r="N62" s="902"/>
      <c r="O62" s="902"/>
      <c r="P62" s="902"/>
      <c r="Q62" s="918">
        <f t="shared" ref="Q62" si="21">CEILING((S62+T62+U62+V62+W62),250)</f>
        <v>1911500</v>
      </c>
      <c r="R62" s="913">
        <f>IF(I62&gt;0,625,375)</f>
        <v>625</v>
      </c>
      <c r="S62" s="913">
        <f>(E63*G63*3*10.76+E63*I63*2*10.76+G63*I63*2*10.76)*R62/(1000*1000)</f>
        <v>883396</v>
      </c>
      <c r="T62" s="913">
        <f>I62*4*1050</f>
        <v>522900</v>
      </c>
      <c r="U62" s="912">
        <f>IF(G62&lt;=2000,5000,(IF(G62&lt;=5000,8000,(IF(G62&lt;=10000,10000,(IF(G62&lt;=18000,15000,(IF(G62&lt;=40000,20000,25000)))))))))</f>
        <v>25000</v>
      </c>
      <c r="V62" s="912">
        <f t="shared" ref="V62" si="22">IF(X62=200,17150,(IF(X62=225,18150,(IF(X62=250,18900,(IF(X62=280,19150,(IF(X62=315,19650,(IF(X62=355,21900,(IF(X62=400,24400,0)))))))))))))+IF(X62=450,31000,(IF(X62=500,37450,(IF(X62=560,45650,(IF(X62=630,58900,(IF(X62=710,77950,0)))))))))+IF(X62=800,119650,(IF(X62=900,153300,(IF(X62=1000,178900,(IF(X62=1120,286500,(IF(X62=1250,394500,(IF(X62=1450,461500,0)))))))))))</f>
        <v>0</v>
      </c>
      <c r="W62" s="913">
        <f>IF(I64=0.5,16600,(IF(I64=1,19050,(IF(I64=1.5,21750,(IF(I64=2,23600,(IF(I64=3,30000,(IF(I64=5,38000,0)))))))))))*1.2+IF(I64=7.5,52300,(IF(I64=10,59600,0)))*1.2+IF(I64=12.5,100350,(IF(I64=15,106000,(IF(I64=20,129150,(IF(I64=25,146050,(IF(I64=30,173600,(IF(I64=40,233900,(IF(I64=50,304650,IF(I64=60,350000,400000)))))))))))))*1.2)</f>
        <v>480000</v>
      </c>
      <c r="X62" s="912">
        <f>E64</f>
        <v>1200</v>
      </c>
      <c r="Y62" s="912">
        <f t="shared" ref="Y62" si="23">IF(G62&lt;=6750,450,(IF(G62&lt;=8500,500,(IF(G62&lt;=10750,560,(IF(G62&lt;=13500,630,(IF(G62&lt;=17000,710,(IF(G62&lt;=21500,800,(IF(G62&lt;=27000,900,(IF(G62&lt;=34000,1000,0)))))))))))))))</f>
        <v>0</v>
      </c>
      <c r="Z62" s="912">
        <f t="shared" ref="Z62" si="24">IF(G62&lt;=1300,200,(IF(G62&lt;=1600,225,(IF(G62&lt;=2100,250,(IF(G62&lt;=2700,280,(IF(G62&lt;=3450,315,(IF(G62&lt;=4250,355,(IF(G62&lt;=5250,400,(IF(G62&lt;=6750,450,0)))))))))))))))</f>
        <v>0</v>
      </c>
      <c r="AA62" s="912">
        <f t="shared" ref="AA62" si="25">IF(G62&lt;=2000,5000,(IF(G62&lt;=5000,8000,(IF(G62&lt;=10000,10000,(IF(G62&lt;=18000,15000,(IF(G62&lt;=40000,20000,10000)))))))))</f>
        <v>10000</v>
      </c>
      <c r="AB62" s="912">
        <f>IF(E63=950,2,(IF(E63=1150,3,(IF(E63=1550,4,(IF(E63=1750,5,(IF(E63=2050,6,(IF(E63=2900,8,(IF(E63=3600,10,12)))))))))))))</f>
        <v>12</v>
      </c>
      <c r="AC62" s="912">
        <f>IF(G63=950,2,(IF(G63=1150,3,(IF(G63=1550,4,(IF(G63=1750,5,(IF(G63=2050,6,(IF(G63=2900,8,(IF(G63=3600,10,12)))))))))))))</f>
        <v>10</v>
      </c>
      <c r="AD62" s="912">
        <f t="shared" ref="AD62" si="26">AC62*AB62</f>
        <v>120</v>
      </c>
      <c r="AE62" s="912">
        <v>150</v>
      </c>
      <c r="AF62" s="912">
        <f t="shared" ref="AF62" si="27">CEILING((SQRT(G62/1000))*4*2*AE62*1.25*K62,100)</f>
        <v>10500</v>
      </c>
      <c r="AG62" s="912">
        <f>E70*F70*H70/(305*305)</f>
        <v>0</v>
      </c>
      <c r="AH62" s="912">
        <f>E71*F71*H71/(305*305)</f>
        <v>36</v>
      </c>
      <c r="AI62" s="912">
        <f>H72*E72*F72/(305*305)</f>
        <v>36</v>
      </c>
      <c r="AJ62" s="912">
        <f>H73*E73*F73/(305*305)</f>
        <v>36</v>
      </c>
      <c r="AK62" s="912">
        <f>H74*E74*F74/(305*305)</f>
        <v>0</v>
      </c>
      <c r="AL62" s="912"/>
      <c r="AM62" s="915">
        <f t="shared" ref="AM62" si="28">(G62*2.2/1100)</f>
        <v>97.000000000000014</v>
      </c>
      <c r="AN62" s="915">
        <f t="shared" ref="AN62" si="29">(G62*1/1100)</f>
        <v>44.090909090909093</v>
      </c>
    </row>
    <row r="63" spans="3:40" ht="14.1">
      <c r="C63" s="57"/>
      <c r="D63" s="175" t="s">
        <v>278</v>
      </c>
      <c r="E63" s="180">
        <f>'BOD-Cold &amp; Amb.'!AL31</f>
        <v>4000</v>
      </c>
      <c r="F63" s="175" t="s">
        <v>279</v>
      </c>
      <c r="G63" s="180">
        <f>'BOD-Cold &amp; Amb.'!AL33</f>
        <v>3600</v>
      </c>
      <c r="H63" s="175" t="s">
        <v>280</v>
      </c>
      <c r="I63" s="181">
        <f>'BOD-Cold &amp; Amb.'!AL35</f>
        <v>5800</v>
      </c>
      <c r="J63" s="902"/>
      <c r="K63" s="902"/>
      <c r="L63" s="917"/>
      <c r="M63" s="902"/>
      <c r="N63" s="902"/>
      <c r="O63" s="902"/>
      <c r="P63" s="902"/>
      <c r="Q63" s="918"/>
      <c r="R63" s="913"/>
      <c r="S63" s="913"/>
      <c r="T63" s="913"/>
      <c r="U63" s="912"/>
      <c r="V63" s="912"/>
      <c r="W63" s="913"/>
      <c r="X63" s="912"/>
      <c r="Y63" s="912"/>
      <c r="Z63" s="912"/>
      <c r="AA63" s="912"/>
      <c r="AB63" s="912"/>
      <c r="AC63" s="912"/>
      <c r="AD63" s="912"/>
      <c r="AE63" s="912"/>
      <c r="AF63" s="912"/>
      <c r="AG63" s="912"/>
      <c r="AH63" s="912"/>
      <c r="AI63" s="912"/>
      <c r="AJ63" s="912"/>
      <c r="AK63" s="912"/>
      <c r="AL63" s="912"/>
      <c r="AM63" s="915"/>
      <c r="AN63" s="915"/>
    </row>
    <row r="64" spans="3:40" ht="14.1">
      <c r="C64" s="57"/>
      <c r="D64" s="175" t="s">
        <v>281</v>
      </c>
      <c r="E64" s="180">
        <f>'BOD-Cold &amp; Amb.'!AN30</f>
        <v>1200</v>
      </c>
      <c r="F64" s="176" t="s">
        <v>282</v>
      </c>
      <c r="G64" s="180">
        <f>'BOD-Cold &amp; Amb.'!AM30</f>
        <v>150</v>
      </c>
      <c r="H64" s="176" t="s">
        <v>283</v>
      </c>
      <c r="I64" s="181">
        <f>'BOD-Cold &amp; Amb.'!AO30</f>
        <v>75</v>
      </c>
      <c r="J64" s="902"/>
      <c r="K64" s="902"/>
      <c r="L64" s="917"/>
      <c r="M64" s="902"/>
      <c r="N64" s="902"/>
      <c r="O64" s="902"/>
      <c r="P64" s="902"/>
      <c r="Q64" s="918"/>
      <c r="R64" s="913"/>
      <c r="S64" s="913"/>
      <c r="T64" s="913"/>
      <c r="U64" s="912"/>
      <c r="V64" s="912"/>
      <c r="W64" s="913"/>
      <c r="X64" s="912"/>
      <c r="Y64" s="912"/>
      <c r="Z64" s="912"/>
      <c r="AA64" s="912"/>
      <c r="AB64" s="912"/>
      <c r="AC64" s="912"/>
      <c r="AD64" s="912"/>
      <c r="AE64" s="912"/>
      <c r="AF64" s="912"/>
      <c r="AG64" s="912"/>
      <c r="AH64" s="912"/>
      <c r="AI64" s="912"/>
      <c r="AJ64" s="912"/>
      <c r="AK64" s="912"/>
      <c r="AL64" s="912"/>
      <c r="AM64" s="915"/>
      <c r="AN64" s="915"/>
    </row>
    <row r="65" spans="3:40" ht="21.6" customHeight="1">
      <c r="C65" s="57"/>
      <c r="D65" s="832" t="s">
        <v>284</v>
      </c>
      <c r="E65" s="833">
        <f>'BOD-Cold &amp; Amb.'!AP30</f>
        <v>4</v>
      </c>
      <c r="F65" s="832" t="s">
        <v>285</v>
      </c>
      <c r="G65" s="837" t="str">
        <f>IF(OR(I62=0, E65="Amb"), "Amb",IF('BOD-Cold &amp; Amb.'!AH25="C", "Header",IF('BOD-Cold &amp; Amb.'!AH25="D", "Distributor", "Refer")))</f>
        <v>Distributor</v>
      </c>
      <c r="H65" s="832" t="s">
        <v>286</v>
      </c>
      <c r="I65" s="833" t="str">
        <f>IF(OR(I62=0, E65=0), 0,ROUND(((( I62/E65)*304.8)/(E63-400))*1000,0)&amp;" h "&amp;" x " &amp; (E63-400)&amp;" w ")</f>
        <v xml:space="preserve">2635 h  x 3600 w </v>
      </c>
      <c r="J65" s="902"/>
      <c r="K65" s="902"/>
      <c r="L65" s="917"/>
      <c r="M65" s="902"/>
      <c r="N65" s="902"/>
      <c r="O65" s="902"/>
      <c r="P65" s="902"/>
      <c r="Q65" s="918"/>
      <c r="R65" s="913"/>
      <c r="S65" s="913"/>
      <c r="T65" s="913"/>
      <c r="U65" s="912"/>
      <c r="V65" s="912"/>
      <c r="W65" s="913"/>
      <c r="X65" s="912"/>
      <c r="Y65" s="912"/>
      <c r="Z65" s="912"/>
      <c r="AA65" s="912"/>
      <c r="AB65" s="912"/>
      <c r="AC65" s="912"/>
      <c r="AD65" s="912"/>
      <c r="AE65" s="912"/>
      <c r="AF65" s="912"/>
      <c r="AG65" s="912"/>
      <c r="AH65" s="912"/>
      <c r="AI65" s="912"/>
      <c r="AJ65" s="912"/>
      <c r="AK65" s="912"/>
      <c r="AL65" s="912"/>
      <c r="AM65" s="915"/>
      <c r="AN65" s="915"/>
    </row>
    <row r="66" spans="3:40" ht="21" customHeight="1">
      <c r="C66" s="57"/>
      <c r="D66" s="175" t="s">
        <v>287</v>
      </c>
      <c r="E66" s="180">
        <f>'BOD-Cold &amp; Amb.'!AR30</f>
        <v>3</v>
      </c>
      <c r="F66" s="176" t="s">
        <v>288</v>
      </c>
      <c r="G66" s="180" t="str">
        <f>IF(E66=4,"10µ, 5µ, 1µ &amp; 0.3µ (HEPA Plenum Fitted 95% eff.)",IF(E66=3,"10µ, 5µ &amp; 1µ ",IF(E66=2,"10µ  &amp; 5µ",IF(E66=1,"10µ", "Filter Ratings"))))</f>
        <v xml:space="preserve">10µ, 5µ &amp; 1µ </v>
      </c>
      <c r="H66" s="843"/>
      <c r="I66" s="181"/>
      <c r="J66" s="902"/>
      <c r="K66" s="902"/>
      <c r="L66" s="917"/>
      <c r="M66" s="902"/>
      <c r="N66" s="902"/>
      <c r="O66" s="902"/>
      <c r="P66" s="902"/>
      <c r="Q66" s="918"/>
      <c r="R66" s="913"/>
      <c r="S66" s="913"/>
      <c r="T66" s="913"/>
      <c r="U66" s="912"/>
      <c r="V66" s="912"/>
      <c r="W66" s="913"/>
      <c r="X66" s="912"/>
      <c r="Y66" s="912"/>
      <c r="Z66" s="912"/>
      <c r="AA66" s="912"/>
      <c r="AB66" s="912"/>
      <c r="AC66" s="912"/>
      <c r="AD66" s="912"/>
      <c r="AE66" s="912"/>
      <c r="AF66" s="912"/>
      <c r="AG66" s="912"/>
      <c r="AH66" s="912"/>
      <c r="AI66" s="912"/>
      <c r="AJ66" s="912"/>
      <c r="AK66" s="912"/>
      <c r="AL66" s="912"/>
      <c r="AM66" s="915"/>
      <c r="AN66" s="915"/>
    </row>
    <row r="67" spans="3:40" ht="12.6" customHeight="1">
      <c r="C67" s="57"/>
      <c r="D67" s="919" t="s">
        <v>289</v>
      </c>
      <c r="E67" s="920"/>
      <c r="F67" s="920"/>
      <c r="G67" s="920"/>
      <c r="H67" s="920"/>
      <c r="I67" s="921"/>
      <c r="J67" s="902"/>
      <c r="K67" s="902"/>
      <c r="L67" s="917"/>
      <c r="M67" s="902"/>
      <c r="N67" s="902"/>
      <c r="O67" s="902"/>
      <c r="P67" s="902"/>
      <c r="Q67" s="918"/>
      <c r="R67" s="913"/>
      <c r="S67" s="913"/>
      <c r="T67" s="913"/>
      <c r="U67" s="912"/>
      <c r="V67" s="912"/>
      <c r="W67" s="913"/>
      <c r="X67" s="912"/>
      <c r="Y67" s="912"/>
      <c r="Z67" s="912"/>
      <c r="AA67" s="912"/>
      <c r="AB67" s="912"/>
      <c r="AC67" s="912"/>
      <c r="AD67" s="912"/>
      <c r="AE67" s="912"/>
      <c r="AF67" s="912"/>
      <c r="AG67" s="912"/>
      <c r="AH67" s="912"/>
      <c r="AI67" s="912"/>
      <c r="AJ67" s="912"/>
      <c r="AK67" s="912"/>
      <c r="AL67" s="912"/>
      <c r="AM67" s="915"/>
      <c r="AN67" s="915"/>
    </row>
    <row r="68" spans="3:40" ht="24.95">
      <c r="C68" s="57"/>
      <c r="D68" s="58" t="s">
        <v>290</v>
      </c>
      <c r="E68" s="58" t="s">
        <v>291</v>
      </c>
      <c r="F68" s="58" t="s">
        <v>292</v>
      </c>
      <c r="G68" s="58" t="s">
        <v>293</v>
      </c>
      <c r="H68" s="58" t="s">
        <v>294</v>
      </c>
      <c r="I68" s="181"/>
      <c r="J68" s="902"/>
      <c r="K68" s="902"/>
      <c r="L68" s="917"/>
      <c r="M68" s="902"/>
      <c r="N68" s="902"/>
      <c r="O68" s="902"/>
      <c r="P68" s="902"/>
      <c r="Q68" s="918"/>
      <c r="R68" s="913"/>
      <c r="S68" s="913"/>
      <c r="T68" s="913"/>
      <c r="U68" s="912"/>
      <c r="V68" s="912"/>
      <c r="W68" s="913"/>
      <c r="X68" s="912"/>
      <c r="Y68" s="912"/>
      <c r="Z68" s="912"/>
      <c r="AA68" s="912"/>
      <c r="AB68" s="912"/>
      <c r="AC68" s="912"/>
      <c r="AD68" s="912"/>
      <c r="AE68" s="912"/>
      <c r="AF68" s="912"/>
      <c r="AG68" s="912"/>
      <c r="AH68" s="912"/>
      <c r="AI68" s="912"/>
      <c r="AJ68" s="912"/>
      <c r="AK68" s="912"/>
      <c r="AL68" s="912"/>
      <c r="AM68" s="915"/>
      <c r="AN68" s="915"/>
    </row>
    <row r="69" spans="3:40" ht="14.1">
      <c r="C69" s="57"/>
      <c r="D69" s="58"/>
      <c r="E69" s="58">
        <f>IF(E63&lt;=950,2,(IF(E63&lt;=1150,3,(IF(E63&lt;=1550,4,(IF(E63&lt;=1750,5,(IF(E63&lt;=2050,6,(IF(E63&lt;=2900,8,(IF(E63&lt;=3600,10,IF(E63&lt;=4000,12,0))))))))))))))</f>
        <v>12</v>
      </c>
      <c r="F69" s="58">
        <f>IF(G63&lt;=950,2,(IF(G63&lt;=1150,3,(IF(G63&lt;=1550,4,(IF(G63&lt;=1750,5,(IF(G63&lt;=2050,6,(IF(G63&lt;=2900,8,(IF(G63&lt;=3600,10,IF(E63&lt;=4000,12,0))))))))))))))</f>
        <v>10</v>
      </c>
      <c r="G69" s="58"/>
      <c r="H69" s="60"/>
      <c r="I69" s="833"/>
      <c r="J69" s="902"/>
      <c r="K69" s="902"/>
      <c r="L69" s="917"/>
      <c r="M69" s="902"/>
      <c r="N69" s="902"/>
      <c r="O69" s="902"/>
      <c r="P69" s="902"/>
      <c r="Q69" s="918"/>
      <c r="R69" s="913"/>
      <c r="S69" s="913"/>
      <c r="T69" s="913"/>
      <c r="U69" s="912"/>
      <c r="V69" s="912"/>
      <c r="W69" s="913"/>
      <c r="X69" s="912"/>
      <c r="Y69" s="912"/>
      <c r="Z69" s="912"/>
      <c r="AA69" s="912"/>
      <c r="AB69" s="912"/>
      <c r="AC69" s="912"/>
      <c r="AD69" s="912"/>
      <c r="AE69" s="912"/>
      <c r="AF69" s="912"/>
      <c r="AG69" s="912"/>
      <c r="AH69" s="912"/>
      <c r="AI69" s="912"/>
      <c r="AJ69" s="912"/>
      <c r="AK69" s="912"/>
      <c r="AL69" s="912"/>
      <c r="AM69" s="915"/>
      <c r="AN69" s="915"/>
    </row>
    <row r="70" spans="3:40" ht="14.1">
      <c r="C70" s="57"/>
      <c r="D70" s="58">
        <f>IF(AND(I62=0, OR(E66=1, E66=2, E66=3, E66=4, E66=5)), "20µ", 0)</f>
        <v>0</v>
      </c>
      <c r="E70" s="58">
        <f>IF(OR(D70=0),0,IF(MOD($E$42*$F$42,2)=0,"610",IF(MOD($E$42*$F$42,2.5)=0,"760",IF(MOD($E$42*$F$42,3)=0,"915","Refer"))))</f>
        <v>0</v>
      </c>
      <c r="F70" s="58">
        <f>IF(OR(D70=0),0,IF(MOD($E$42*$F$42,6)=0,"915",IF(MOD($E$42*$F$42,5)=0,"760",IF(MOD($E$42*$F$42,4)=0,"610","Refer"))))</f>
        <v>0</v>
      </c>
      <c r="G70" s="58">
        <f>IF(D70=0,0,100)</f>
        <v>0</v>
      </c>
      <c r="H70" s="60">
        <f>IF(D70=0,0,($E$42*$F$42*305*305)/(E70*F70))</f>
        <v>0</v>
      </c>
      <c r="I70" s="833"/>
      <c r="J70" s="902"/>
      <c r="K70" s="902"/>
      <c r="L70" s="917"/>
      <c r="M70" s="902"/>
      <c r="N70" s="902"/>
      <c r="O70" s="902"/>
      <c r="P70" s="902"/>
      <c r="Q70" s="55"/>
      <c r="R70" s="55"/>
      <c r="S70" s="55"/>
      <c r="T70" s="55"/>
      <c r="U70" s="45"/>
      <c r="V70" s="45"/>
      <c r="W70" s="55"/>
      <c r="X70" s="45"/>
      <c r="Y70" s="45"/>
      <c r="Z70" s="45"/>
      <c r="AA70" s="45"/>
      <c r="AB70" s="45"/>
      <c r="AC70" s="45"/>
      <c r="AD70" s="45"/>
      <c r="AE70" s="45"/>
      <c r="AF70" s="45"/>
      <c r="AG70" s="45"/>
      <c r="AH70" s="45"/>
      <c r="AI70" s="45"/>
      <c r="AJ70" s="45"/>
      <c r="AK70" s="45"/>
      <c r="AL70" s="45"/>
      <c r="AM70" s="63"/>
      <c r="AN70" s="63"/>
    </row>
    <row r="71" spans="3:40" ht="14.1">
      <c r="C71" s="57"/>
      <c r="D71" s="58" t="str">
        <f>IF(E66=4,"10µ",IF(E66=3,"10µ",IF(E66=2,"10µ",IF(E66=1,"10µ",0))))</f>
        <v>10µ</v>
      </c>
      <c r="E71" s="58" t="str">
        <f>IF(OR(D71=0),0,IF(MOD($E$42*$F$42,2)=0,"610",IF(MOD($E$42*$F$42,2.5)=0,"760",IF(MOD($E$42*$F$42,3)=0,"915","Refer"))))</f>
        <v>610</v>
      </c>
      <c r="F71" s="58" t="str">
        <f>IF(OR(D71=0),0,IF(MOD($E$42*$F$42,6)=0,"915",IF(MOD($E$42*$F$42,5)=0,"760",IF(MOD($E$42*$F$42,4)=0,"610","Refer"))))</f>
        <v>915</v>
      </c>
      <c r="G71" s="58">
        <f>IF(D71=0,0,150)</f>
        <v>150</v>
      </c>
      <c r="H71" s="60">
        <f>IF(D71=0,0,($E$42*$F$42*305*305)/(E71*F71))</f>
        <v>6</v>
      </c>
      <c r="I71" s="833"/>
      <c r="J71" s="902"/>
      <c r="K71" s="902"/>
      <c r="L71" s="917"/>
      <c r="M71" s="902"/>
      <c r="N71" s="902"/>
      <c r="O71" s="902"/>
      <c r="P71" s="902"/>
      <c r="Q71" s="918"/>
      <c r="R71" s="913"/>
      <c r="S71" s="913"/>
      <c r="T71" s="913"/>
      <c r="U71" s="912"/>
      <c r="V71" s="912"/>
      <c r="W71" s="913"/>
      <c r="X71" s="912"/>
      <c r="Y71" s="912"/>
      <c r="Z71" s="912"/>
      <c r="AA71" s="912"/>
      <c r="AB71" s="912"/>
      <c r="AC71" s="912"/>
      <c r="AD71" s="912"/>
      <c r="AE71" s="912"/>
      <c r="AF71" s="912"/>
      <c r="AG71" s="912"/>
      <c r="AH71" s="912"/>
      <c r="AI71" s="912"/>
      <c r="AJ71" s="912"/>
      <c r="AK71" s="912"/>
      <c r="AL71" s="912"/>
      <c r="AM71" s="915"/>
      <c r="AN71" s="915"/>
    </row>
    <row r="72" spans="3:40" ht="14.1">
      <c r="C72" s="57"/>
      <c r="D72" s="58" t="str">
        <f>IF(E66=4,"5µ",IF(E66=3,"5µ",IF(E66=2,"5µ",0)))</f>
        <v>5µ</v>
      </c>
      <c r="E72" s="58" t="str">
        <f t="shared" ref="E72:E74" si="30">IF(OR(D72=0),0,IF(MOD($E$42*$F$42,2)=0,"610",IF(MOD($E$42*$F$42,2.5)=0,"760",IF(MOD($E$42*$F$42,3)=0,"915","Refer"))))</f>
        <v>610</v>
      </c>
      <c r="F72" s="58" t="str">
        <f>IF(OR(D72=0),0,IF(MOD($E$42*$F$42,6)=0,"915",IF(MOD($E$42*$F$42,5)=0,"760",IF(MOD($E$42*$F$42,4)=0,"610","Refer"))))</f>
        <v>915</v>
      </c>
      <c r="G72" s="58">
        <f>IF(D72=0,0,300)</f>
        <v>300</v>
      </c>
      <c r="H72" s="60">
        <f>IF(D72=0,0,($E$42*$F$42*305*305)/(E72*F72))</f>
        <v>6</v>
      </c>
      <c r="I72" s="833"/>
      <c r="J72" s="902"/>
      <c r="K72" s="902"/>
      <c r="L72" s="917"/>
      <c r="M72" s="902"/>
      <c r="N72" s="902"/>
      <c r="O72" s="902"/>
      <c r="P72" s="902"/>
      <c r="Q72" s="918"/>
      <c r="R72" s="913"/>
      <c r="S72" s="913"/>
      <c r="T72" s="913"/>
      <c r="U72" s="912"/>
      <c r="V72" s="912"/>
      <c r="W72" s="913"/>
      <c r="X72" s="912"/>
      <c r="Y72" s="912"/>
      <c r="Z72" s="912"/>
      <c r="AA72" s="912"/>
      <c r="AB72" s="912"/>
      <c r="AC72" s="912"/>
      <c r="AD72" s="912"/>
      <c r="AE72" s="912"/>
      <c r="AF72" s="912"/>
      <c r="AG72" s="912"/>
      <c r="AH72" s="912"/>
      <c r="AI72" s="912"/>
      <c r="AJ72" s="912"/>
      <c r="AK72" s="912"/>
      <c r="AL72" s="912"/>
      <c r="AM72" s="915"/>
      <c r="AN72" s="915"/>
    </row>
    <row r="73" spans="3:40" ht="14.1">
      <c r="C73" s="57"/>
      <c r="D73" s="58" t="str">
        <f>IF(E66=4,"1µ",IF(E66=3,"1µ",0))</f>
        <v>1µ</v>
      </c>
      <c r="E73" s="58" t="str">
        <f t="shared" si="30"/>
        <v>610</v>
      </c>
      <c r="F73" s="58" t="str">
        <f>IF(OR(D73=0),0,IF(MOD($E$42*$F$42,6)=0,"915",IF(MOD($E$42*$F$42,5)=0,"760",IF(MOD($E$42*$F$42,4)=0,"610","Refer"))))</f>
        <v>915</v>
      </c>
      <c r="G73" s="58">
        <f>IF(D73=0,0,300)</f>
        <v>300</v>
      </c>
      <c r="H73" s="60">
        <f>IF(D73=0,0,($E$42*$F$42*305*305)/(E73*F73))</f>
        <v>6</v>
      </c>
      <c r="I73" s="833"/>
      <c r="J73" s="902"/>
      <c r="K73" s="902"/>
      <c r="L73" s="917"/>
      <c r="M73" s="902"/>
      <c r="N73" s="902"/>
      <c r="O73" s="902"/>
      <c r="P73" s="902"/>
      <c r="Q73" s="918"/>
      <c r="R73" s="913"/>
      <c r="S73" s="913"/>
      <c r="T73" s="913"/>
      <c r="U73" s="912"/>
      <c r="V73" s="912"/>
      <c r="W73" s="913"/>
      <c r="X73" s="912"/>
      <c r="Y73" s="912"/>
      <c r="Z73" s="912"/>
      <c r="AA73" s="912"/>
      <c r="AB73" s="912"/>
      <c r="AC73" s="912"/>
      <c r="AD73" s="912"/>
      <c r="AE73" s="912"/>
      <c r="AF73" s="912"/>
      <c r="AG73" s="912"/>
      <c r="AH73" s="912"/>
      <c r="AI73" s="912"/>
      <c r="AJ73" s="912"/>
      <c r="AK73" s="912"/>
      <c r="AL73" s="912"/>
      <c r="AM73" s="915"/>
      <c r="AN73" s="915"/>
    </row>
    <row r="74" spans="3:40" ht="14.1">
      <c r="C74" s="57"/>
      <c r="D74" s="58">
        <f>IF(E66=4,"0.3µ 95% Eff. HEPA Filetr",0)</f>
        <v>0</v>
      </c>
      <c r="E74" s="58">
        <f t="shared" si="30"/>
        <v>0</v>
      </c>
      <c r="F74" s="58">
        <f>IF(OR(D74=0),0,IF(MOD($E$42*$F$42,6)=0,"915",IF(MOD($E$42*$F$42,5)=0,"760",IF(MOD($E$42*$F$42,4)=0,"610","Refer"))))</f>
        <v>0</v>
      </c>
      <c r="G74" s="58">
        <f>IF(D74=0,0,300)</f>
        <v>0</v>
      </c>
      <c r="H74" s="60">
        <f>IF(D74=0,0,($E$42*$F$42*305*305)/(E74*F74))</f>
        <v>0</v>
      </c>
      <c r="I74" s="836"/>
      <c r="J74" s="902"/>
      <c r="K74" s="902"/>
      <c r="L74" s="917"/>
      <c r="M74" s="902"/>
      <c r="N74" s="902"/>
      <c r="O74" s="902"/>
      <c r="P74" s="902"/>
      <c r="Q74" s="918"/>
      <c r="R74" s="913"/>
      <c r="S74" s="913"/>
      <c r="T74" s="913"/>
      <c r="U74" s="912"/>
      <c r="V74" s="912"/>
      <c r="W74" s="913"/>
      <c r="X74" s="912"/>
      <c r="Y74" s="912"/>
      <c r="Z74" s="912"/>
      <c r="AA74" s="912"/>
      <c r="AB74" s="912"/>
      <c r="AC74" s="912"/>
      <c r="AD74" s="912"/>
      <c r="AE74" s="912"/>
      <c r="AF74" s="912"/>
      <c r="AG74" s="912"/>
      <c r="AH74" s="912"/>
      <c r="AI74" s="912"/>
      <c r="AJ74" s="912"/>
      <c r="AK74" s="912"/>
      <c r="AL74" s="912"/>
      <c r="AM74" s="915"/>
      <c r="AN74" s="915"/>
    </row>
    <row r="75" spans="3:40" ht="14.1">
      <c r="C75" s="57"/>
      <c r="D75" s="826"/>
      <c r="E75" s="182"/>
      <c r="F75" s="182"/>
      <c r="G75" s="182"/>
      <c r="H75" s="182"/>
      <c r="I75" s="827"/>
      <c r="J75" s="52"/>
      <c r="K75" s="52"/>
      <c r="L75" s="52"/>
      <c r="M75" s="52"/>
      <c r="N75" s="52"/>
      <c r="O75" s="828"/>
      <c r="P75" s="828"/>
      <c r="Q75" s="55"/>
      <c r="R75" s="55"/>
      <c r="S75" s="55"/>
      <c r="T75" s="55"/>
      <c r="U75" s="45"/>
      <c r="V75" s="45"/>
      <c r="W75" s="55"/>
      <c r="X75" s="45"/>
      <c r="Y75" s="45"/>
      <c r="Z75" s="45"/>
      <c r="AA75" s="45"/>
      <c r="AB75" s="45"/>
      <c r="AC75" s="45"/>
      <c r="AD75" s="45"/>
      <c r="AE75" s="45"/>
      <c r="AF75" s="45"/>
      <c r="AG75" s="45"/>
      <c r="AH75" s="45"/>
      <c r="AI75" s="45"/>
      <c r="AJ75" s="45"/>
      <c r="AK75" s="45"/>
      <c r="AL75" s="45"/>
      <c r="AM75" s="63"/>
      <c r="AN75" s="63"/>
    </row>
    <row r="76" spans="3:40" ht="14.1" customHeight="1">
      <c r="C76" s="57"/>
      <c r="D76" s="901" t="str">
        <f>"AHU - " &amp; INT((ROW()-34)/14)+1 &amp; "  " &amp; IF(I77&gt;0,"Air-Conditioning System " &amp; IF(OR(G80="Header", G80="C"), "(Chilled Water)",IF(OR(G80="Distributor", G80="D"), "(DX)", "Ventilation System")),IF(NOT(I77&gt;0), "Ventilation System ( SUPPLY )", "Refer"))</f>
        <v>AHU - 4  Air-Conditioning System (Chilled Water)</v>
      </c>
      <c r="E76" s="901"/>
      <c r="F76" s="901"/>
      <c r="G76" s="901"/>
      <c r="H76" s="901"/>
      <c r="I76" s="901"/>
      <c r="J76" s="52"/>
      <c r="K76" s="52"/>
      <c r="L76" s="53"/>
      <c r="M76" s="53"/>
      <c r="N76" s="53"/>
      <c r="O76" s="54"/>
      <c r="P76" s="55"/>
      <c r="AM76" s="56"/>
      <c r="AN76" s="56"/>
    </row>
    <row r="77" spans="3:40" ht="14.1">
      <c r="C77" s="57"/>
      <c r="D77" s="175" t="s">
        <v>274</v>
      </c>
      <c r="E77" s="843" t="str">
        <f>'BOD-Cold &amp; Amb.'!R50</f>
        <v>GRADE A</v>
      </c>
      <c r="F77" s="175" t="s">
        <v>275</v>
      </c>
      <c r="G77" s="180">
        <f>'BOD-Cold &amp; Amb.'!AK50</f>
        <v>47000</v>
      </c>
      <c r="H77" s="175" t="s">
        <v>276</v>
      </c>
      <c r="I77" s="181">
        <f>'BOD-Cold &amp; Amb.'!AQ50</f>
        <v>159</v>
      </c>
      <c r="J77" s="902" t="s">
        <v>277</v>
      </c>
      <c r="K77" s="902">
        <v>1</v>
      </c>
      <c r="L77" s="917">
        <f>Q77</f>
        <v>2179000</v>
      </c>
      <c r="M77" s="902">
        <f>K77*L77</f>
        <v>2179000</v>
      </c>
      <c r="N77" s="902"/>
      <c r="O77" s="902"/>
      <c r="P77" s="902"/>
      <c r="Q77" s="913">
        <f t="shared" ref="Q77" si="31">CEILING((S77+T77+U77+V77+W77),250)</f>
        <v>2179000</v>
      </c>
      <c r="R77" s="913">
        <f>IF(I77&gt;0,625,375)</f>
        <v>625</v>
      </c>
      <c r="S77" s="913">
        <f>(E78*G78*3*10.76+E78*I78*2*10.76+G78*I78*2*10.76)*R77/(1000*1000)</f>
        <v>1006060</v>
      </c>
      <c r="T77" s="913">
        <f>I77*4*1050</f>
        <v>667800</v>
      </c>
      <c r="U77" s="912">
        <f>IF(G77&lt;=2000,5000,(IF(G77&lt;=5000,8000,(IF(G77&lt;=10000,10000,(IF(G77&lt;=18000,15000,(IF(G77&lt;=40000,20000,25000)))))))))</f>
        <v>25000</v>
      </c>
      <c r="V77" s="912">
        <f t="shared" ref="V77" si="32">IF(X77=200,17150,(IF(X77=225,18150,(IF(X77=250,18900,(IF(X77=280,19150,(IF(X77=315,19650,(IF(X77=355,21900,(IF(X77=400,24400,0)))))))))))))+IF(X77=450,31000,(IF(X77=500,37450,(IF(X77=560,45650,(IF(X77=630,58900,(IF(X77=710,77950,0)))))))))+IF(X77=800,119650,(IF(X77=900,153300,(IF(X77=1000,178900,(IF(X77=1120,286500,(IF(X77=1250,394500,(IF(X77=1450,461500,0)))))))))))</f>
        <v>0</v>
      </c>
      <c r="W77" s="913">
        <f>IF(I79=0.5,16600,(IF(I79=1,19050,(IF(I79=1.5,21750,(IF(I79=2,23600,(IF(I79=3,30000,(IF(I79=5,38000,0)))))))))))*1.2+IF(I79=7.5,52300,(IF(I79=10,59600,0)))*1.2+IF(I79=12.5,100350,(IF(I79=15,106000,(IF(I79=20,129150,(IF(I79=25,146050,(IF(I79=30,173600,(IF(I79=40,233900,(IF(I79=50,304650,IF(I79=60,350000,400000)))))))))))))*1.2)</f>
        <v>480000</v>
      </c>
      <c r="X77" s="912">
        <f>E79</f>
        <v>1200</v>
      </c>
      <c r="Y77" s="912">
        <f t="shared" ref="Y77" si="33">IF(G77&lt;=6750,450,(IF(G77&lt;=8500,500,(IF(G77&lt;=10750,560,(IF(G77&lt;=13500,630,(IF(G77&lt;=17000,710,(IF(G77&lt;=21500,800,(IF(G77&lt;=27000,900,(IF(G77&lt;=34000,1000,0)))))))))))))))</f>
        <v>0</v>
      </c>
      <c r="Z77" s="912">
        <f t="shared" ref="Z77" si="34">IF(G77&lt;=1300,200,(IF(G77&lt;=1600,225,(IF(G77&lt;=2100,250,(IF(G77&lt;=2700,280,(IF(G77&lt;=3450,315,(IF(G77&lt;=4250,355,(IF(G77&lt;=5250,400,(IF(G77&lt;=6750,450,0)))))))))))))))</f>
        <v>0</v>
      </c>
      <c r="AA77" s="912">
        <f t="shared" ref="AA77" si="35">IF(G77&lt;=2000,5000,(IF(G77&lt;=5000,8000,(IF(G77&lt;=10000,10000,(IF(G77&lt;=18000,15000,(IF(G77&lt;=40000,20000,10000)))))))))</f>
        <v>10000</v>
      </c>
      <c r="AB77" s="912">
        <f>IF(E78=950,2,(IF(E78=1150,3,(IF(E78=1550,4,(IF(E78=1750,5,(IF(E78=2050,6,(IF(E78=2900,8,(IF(E78=3600,10,12)))))))))))))</f>
        <v>12</v>
      </c>
      <c r="AC77" s="912">
        <f>IF(G78=950,2,(IF(G78=1150,3,(IF(G78=1550,4,(IF(G78=1750,5,(IF(G78=2050,6,(IF(G78=2900,8,(IF(G78=3600,10,12)))))))))))))</f>
        <v>10</v>
      </c>
      <c r="AD77" s="912">
        <f t="shared" ref="AD77" si="36">AC77*AB77</f>
        <v>120</v>
      </c>
      <c r="AE77" s="912">
        <v>150</v>
      </c>
      <c r="AF77" s="912">
        <f t="shared" ref="AF77" si="37">CEILING((SQRT(G77/1000))*4*2*AE77*1.25*K77,100)</f>
        <v>10300</v>
      </c>
      <c r="AG77" s="912">
        <f>E85*F85*H85/(305*305)</f>
        <v>0</v>
      </c>
      <c r="AH77" s="912">
        <f>E86*F86*H86/(305*305)</f>
        <v>36</v>
      </c>
      <c r="AI77" s="912">
        <f>H87*E87*F87/(305*305)</f>
        <v>36</v>
      </c>
      <c r="AJ77" s="912">
        <f>H88*E88*F88/(305*305)</f>
        <v>36</v>
      </c>
      <c r="AK77" s="912">
        <f>H89*E89*F89/(305*305)</f>
        <v>36</v>
      </c>
      <c r="AL77" s="912"/>
      <c r="AM77" s="915">
        <f t="shared" ref="AM77" si="38">(G77*2.2/1100)</f>
        <v>94.000000000000014</v>
      </c>
      <c r="AN77" s="915">
        <f t="shared" ref="AN77" si="39">(G77*1/1100)</f>
        <v>42.727272727272727</v>
      </c>
    </row>
    <row r="78" spans="3:40" ht="14.1">
      <c r="C78" s="57"/>
      <c r="D78" s="175" t="s">
        <v>278</v>
      </c>
      <c r="E78" s="180">
        <f>'BOD-Cold &amp; Amb.'!AL51</f>
        <v>4000</v>
      </c>
      <c r="F78" s="175" t="s">
        <v>279</v>
      </c>
      <c r="G78" s="180">
        <f>'BOD-Cold &amp; Amb.'!AL53</f>
        <v>3600</v>
      </c>
      <c r="H78" s="175" t="s">
        <v>280</v>
      </c>
      <c r="I78" s="181">
        <f>'BOD-Cold &amp; Amb.'!AL55</f>
        <v>7000</v>
      </c>
      <c r="J78" s="902"/>
      <c r="K78" s="902"/>
      <c r="L78" s="902"/>
      <c r="M78" s="902"/>
      <c r="N78" s="902"/>
      <c r="O78" s="902"/>
      <c r="P78" s="902"/>
      <c r="Q78" s="913"/>
      <c r="R78" s="913"/>
      <c r="S78" s="913"/>
      <c r="T78" s="913"/>
      <c r="U78" s="912"/>
      <c r="V78" s="912"/>
      <c r="W78" s="913"/>
      <c r="X78" s="912"/>
      <c r="Y78" s="912"/>
      <c r="Z78" s="912"/>
      <c r="AA78" s="912"/>
      <c r="AB78" s="912"/>
      <c r="AC78" s="912"/>
      <c r="AD78" s="912"/>
      <c r="AE78" s="912"/>
      <c r="AF78" s="912"/>
      <c r="AG78" s="912"/>
      <c r="AH78" s="912"/>
      <c r="AI78" s="912"/>
      <c r="AJ78" s="912"/>
      <c r="AK78" s="912"/>
      <c r="AL78" s="912"/>
      <c r="AM78" s="915"/>
      <c r="AN78" s="915"/>
    </row>
    <row r="79" spans="3:40" ht="14.1">
      <c r="C79" s="57"/>
      <c r="D79" s="175" t="s">
        <v>281</v>
      </c>
      <c r="E79" s="180">
        <f>'BOD-Cold &amp; Amb.'!AN50</f>
        <v>1200</v>
      </c>
      <c r="F79" s="176" t="s">
        <v>282</v>
      </c>
      <c r="G79" s="180">
        <f>'BOD-Cold &amp; Amb.'!AM50</f>
        <v>150</v>
      </c>
      <c r="H79" s="176" t="s">
        <v>283</v>
      </c>
      <c r="I79" s="181">
        <f>'BOD-Cold &amp; Amb.'!AO50</f>
        <v>75</v>
      </c>
      <c r="J79" s="902"/>
      <c r="K79" s="902"/>
      <c r="L79" s="902"/>
      <c r="M79" s="902"/>
      <c r="N79" s="902"/>
      <c r="O79" s="902"/>
      <c r="P79" s="902"/>
      <c r="Q79" s="913"/>
      <c r="R79" s="913"/>
      <c r="S79" s="913"/>
      <c r="T79" s="913"/>
      <c r="U79" s="912"/>
      <c r="V79" s="912"/>
      <c r="W79" s="913"/>
      <c r="X79" s="912"/>
      <c r="Y79" s="912"/>
      <c r="Z79" s="912"/>
      <c r="AA79" s="912"/>
      <c r="AB79" s="912"/>
      <c r="AC79" s="912"/>
      <c r="AD79" s="912"/>
      <c r="AE79" s="912"/>
      <c r="AF79" s="912"/>
      <c r="AG79" s="912"/>
      <c r="AH79" s="912"/>
      <c r="AI79" s="912"/>
      <c r="AJ79" s="912"/>
      <c r="AK79" s="912"/>
      <c r="AL79" s="912"/>
      <c r="AM79" s="915"/>
      <c r="AN79" s="915"/>
    </row>
    <row r="80" spans="3:40" ht="21.6" customHeight="1">
      <c r="C80" s="57"/>
      <c r="D80" s="175" t="s">
        <v>284</v>
      </c>
      <c r="E80" s="180">
        <f>'BOD-Cold &amp; Amb.'!AP50</f>
        <v>6</v>
      </c>
      <c r="F80" s="832" t="s">
        <v>285</v>
      </c>
      <c r="G80" s="837" t="str">
        <f>IF(OR(I77=0, E80="Amb"), "Amb",IF('BOD-Cold &amp; Amb.'!AH40="C", "Header",IF('BOD-Cold &amp; Amb.'!AH40="D", "Distributor", "Refer")))</f>
        <v>Header</v>
      </c>
      <c r="H80" s="832" t="s">
        <v>286</v>
      </c>
      <c r="I80" s="833" t="str">
        <f>IF(OR(I77=0, E80=0), 0,ROUND(((( I77/E80)*304.8)/(E78-400))*1000,0)&amp;" h "&amp;" x " &amp; (E78-400)&amp;" w ")</f>
        <v xml:space="preserve">2244 h  x 3600 w </v>
      </c>
      <c r="J80" s="902"/>
      <c r="K80" s="902"/>
      <c r="L80" s="902"/>
      <c r="M80" s="902"/>
      <c r="N80" s="902"/>
      <c r="O80" s="902"/>
      <c r="P80" s="902"/>
      <c r="Q80" s="913"/>
      <c r="R80" s="913"/>
      <c r="S80" s="913"/>
      <c r="T80" s="913"/>
      <c r="U80" s="912"/>
      <c r="V80" s="912"/>
      <c r="W80" s="913"/>
      <c r="X80" s="912"/>
      <c r="Y80" s="912"/>
      <c r="Z80" s="912"/>
      <c r="AA80" s="912"/>
      <c r="AB80" s="912"/>
      <c r="AC80" s="912"/>
      <c r="AD80" s="912"/>
      <c r="AE80" s="912"/>
      <c r="AF80" s="912"/>
      <c r="AG80" s="912"/>
      <c r="AH80" s="912"/>
      <c r="AI80" s="912"/>
      <c r="AJ80" s="912"/>
      <c r="AK80" s="912"/>
      <c r="AL80" s="912"/>
      <c r="AM80" s="915"/>
      <c r="AN80" s="915"/>
    </row>
    <row r="81" spans="3:40" ht="27.95">
      <c r="C81" s="57"/>
      <c r="D81" s="175" t="s">
        <v>287</v>
      </c>
      <c r="E81" s="180">
        <f>'BOD-Cold &amp; Amb.'!AR50</f>
        <v>4</v>
      </c>
      <c r="F81" s="176" t="s">
        <v>288</v>
      </c>
      <c r="G81" s="177" t="str">
        <f>IF(E81=4,"10µ, 5µ, 1µ &amp; 0.3µ (HEPA Plenum Fitted 95% eff.)",IF(E81=3,"10µ, 5µ &amp; 1µ ",IF(E81=2,"10µ  &amp; 5µ",IF(E81=1,"10µ", "Filter Ratings"))))</f>
        <v>10µ, 5µ, 1µ &amp; 0.3µ (HEPA Plenum Fitted 95% eff.)</v>
      </c>
      <c r="H81" s="178"/>
      <c r="I81" s="179"/>
      <c r="J81" s="902"/>
      <c r="K81" s="902"/>
      <c r="L81" s="902"/>
      <c r="M81" s="902"/>
      <c r="N81" s="902"/>
      <c r="O81" s="902"/>
      <c r="P81" s="902"/>
      <c r="Q81" s="913"/>
      <c r="R81" s="913"/>
      <c r="S81" s="913"/>
      <c r="T81" s="913"/>
      <c r="U81" s="912"/>
      <c r="V81" s="912"/>
      <c r="W81" s="913"/>
      <c r="X81" s="912"/>
      <c r="Y81" s="912"/>
      <c r="Z81" s="912"/>
      <c r="AA81" s="912"/>
      <c r="AB81" s="912"/>
      <c r="AC81" s="912"/>
      <c r="AD81" s="912"/>
      <c r="AE81" s="912"/>
      <c r="AF81" s="912"/>
      <c r="AG81" s="912"/>
      <c r="AH81" s="912"/>
      <c r="AI81" s="912"/>
      <c r="AJ81" s="912"/>
      <c r="AK81" s="912"/>
      <c r="AL81" s="912"/>
      <c r="AM81" s="915"/>
      <c r="AN81" s="915"/>
    </row>
    <row r="82" spans="3:40">
      <c r="C82" s="57"/>
      <c r="D82" s="922" t="s">
        <v>289</v>
      </c>
      <c r="E82" s="923"/>
      <c r="F82" s="923"/>
      <c r="G82" s="923"/>
      <c r="H82" s="923"/>
      <c r="I82" s="924"/>
      <c r="J82" s="902"/>
      <c r="K82" s="902"/>
      <c r="L82" s="902"/>
      <c r="M82" s="902"/>
      <c r="N82" s="902"/>
      <c r="O82" s="902"/>
      <c r="P82" s="902"/>
      <c r="Q82" s="913"/>
      <c r="R82" s="913"/>
      <c r="S82" s="913"/>
      <c r="T82" s="913"/>
      <c r="U82" s="912"/>
      <c r="V82" s="912"/>
      <c r="W82" s="913"/>
      <c r="X82" s="912"/>
      <c r="Y82" s="912"/>
      <c r="Z82" s="912"/>
      <c r="AA82" s="912"/>
      <c r="AB82" s="912"/>
      <c r="AC82" s="912"/>
      <c r="AD82" s="912"/>
      <c r="AE82" s="912"/>
      <c r="AF82" s="912"/>
      <c r="AG82" s="912"/>
      <c r="AH82" s="912"/>
      <c r="AI82" s="912"/>
      <c r="AJ82" s="912"/>
      <c r="AK82" s="912"/>
      <c r="AL82" s="912"/>
      <c r="AM82" s="915"/>
      <c r="AN82" s="915"/>
    </row>
    <row r="83" spans="3:40" ht="24.95">
      <c r="C83" s="57"/>
      <c r="D83" s="58" t="s">
        <v>290</v>
      </c>
      <c r="E83" s="58" t="s">
        <v>291</v>
      </c>
      <c r="F83" s="58" t="s">
        <v>292</v>
      </c>
      <c r="G83" s="58" t="s">
        <v>293</v>
      </c>
      <c r="H83" s="58" t="s">
        <v>294</v>
      </c>
      <c r="I83" s="179"/>
      <c r="J83" s="902"/>
      <c r="K83" s="902"/>
      <c r="L83" s="902"/>
      <c r="M83" s="902"/>
      <c r="N83" s="902"/>
      <c r="O83" s="902"/>
      <c r="P83" s="902"/>
      <c r="Q83" s="913"/>
      <c r="R83" s="913"/>
      <c r="S83" s="913"/>
      <c r="T83" s="913"/>
      <c r="U83" s="912"/>
      <c r="V83" s="912"/>
      <c r="W83" s="913"/>
      <c r="X83" s="912"/>
      <c r="Y83" s="912"/>
      <c r="Z83" s="912"/>
      <c r="AA83" s="912"/>
      <c r="AB83" s="912"/>
      <c r="AC83" s="912"/>
      <c r="AD83" s="912"/>
      <c r="AE83" s="912"/>
      <c r="AF83" s="912"/>
      <c r="AG83" s="912"/>
      <c r="AH83" s="912"/>
      <c r="AI83" s="912"/>
      <c r="AJ83" s="912"/>
      <c r="AK83" s="912"/>
      <c r="AL83" s="912"/>
      <c r="AM83" s="915"/>
      <c r="AN83" s="915"/>
    </row>
    <row r="84" spans="3:40" ht="14.1">
      <c r="C84" s="57"/>
      <c r="D84" s="58"/>
      <c r="E84" s="58">
        <f>IF(E78&lt;=950,2,(IF(E78&lt;=1150,3,(IF(E78&lt;=1550,4,(IF(E78&lt;=1750,5,(IF(E78&lt;=2050,6,(IF(E78&lt;=2900,8,(IF(E78&lt;=3600,10,IF(E78&lt;=4000,12,0))))))))))))))</f>
        <v>12</v>
      </c>
      <c r="F84" s="58">
        <f>IF(G78&lt;=950,2,(IF(G78&lt;=1150,3,(IF(G78&lt;=1550,4,(IF(G78&lt;=1750,5,(IF(G78&lt;=2050,6,(IF(G78&lt;=2900,8,(IF(G78&lt;=3600,10,IF(E78&lt;=4000,12,0))))))))))))))</f>
        <v>10</v>
      </c>
      <c r="G84" s="58"/>
      <c r="H84" s="60"/>
      <c r="I84" s="834"/>
      <c r="J84" s="902"/>
      <c r="K84" s="902"/>
      <c r="L84" s="902"/>
      <c r="M84" s="902"/>
      <c r="N84" s="902"/>
      <c r="O84" s="902"/>
      <c r="P84" s="902"/>
      <c r="Q84" s="913"/>
      <c r="R84" s="913"/>
      <c r="S84" s="913"/>
      <c r="T84" s="913"/>
      <c r="U84" s="912"/>
      <c r="V84" s="912"/>
      <c r="W84" s="913"/>
      <c r="X84" s="912"/>
      <c r="Y84" s="912"/>
      <c r="Z84" s="912"/>
      <c r="AA84" s="912"/>
      <c r="AB84" s="912"/>
      <c r="AC84" s="912"/>
      <c r="AD84" s="912"/>
      <c r="AE84" s="912"/>
      <c r="AF84" s="912"/>
      <c r="AG84" s="912"/>
      <c r="AH84" s="912"/>
      <c r="AI84" s="912"/>
      <c r="AJ84" s="912"/>
      <c r="AK84" s="912"/>
      <c r="AL84" s="912"/>
      <c r="AM84" s="915"/>
      <c r="AN84" s="915"/>
    </row>
    <row r="85" spans="3:40" ht="14.1">
      <c r="C85" s="57"/>
      <c r="D85" s="58">
        <f>IF(AND(I77=0, OR(E81=1, E81=2, E81=3, E81=4, E81=5)), "20µ", 0)</f>
        <v>0</v>
      </c>
      <c r="E85" s="58">
        <f>IF(OR(D85=0),0,IF(MOD($E$42*$F$42,2)=0,"610",IF(MOD($E$42*$F$42,2.5)=0,"760",IF(MOD($E$42*$F$42,3)=0,"915","Refer"))))</f>
        <v>0</v>
      </c>
      <c r="F85" s="58">
        <f>IF(OR(D85=0),0,IF(MOD($E$42*$F$42,6)=0,"915",IF(MOD($E$42*$F$42,5)=0,"760",IF(MOD($E$42*$F$42,4)=0,"610","Refer"))))</f>
        <v>0</v>
      </c>
      <c r="G85" s="58">
        <f>IF(D85=0,0,100)</f>
        <v>0</v>
      </c>
      <c r="H85" s="60">
        <f>IF(D85=0,0,($E$42*$F$42*305*305)/(E85*F85))</f>
        <v>0</v>
      </c>
      <c r="I85" s="834"/>
      <c r="J85" s="902"/>
      <c r="K85" s="902"/>
      <c r="L85" s="902"/>
      <c r="M85" s="902"/>
      <c r="N85" s="902"/>
      <c r="O85" s="902"/>
      <c r="P85" s="902"/>
      <c r="Q85" s="55"/>
      <c r="R85" s="55"/>
      <c r="S85" s="55"/>
      <c r="T85" s="55"/>
      <c r="U85" s="45"/>
      <c r="V85" s="45"/>
      <c r="W85" s="55"/>
      <c r="X85" s="45"/>
      <c r="Y85" s="45"/>
      <c r="Z85" s="45"/>
      <c r="AA85" s="45"/>
      <c r="AB85" s="45"/>
      <c r="AC85" s="45"/>
      <c r="AD85" s="45"/>
      <c r="AE85" s="45"/>
      <c r="AF85" s="45"/>
      <c r="AG85" s="45"/>
      <c r="AH85" s="45"/>
      <c r="AI85" s="45"/>
      <c r="AJ85" s="45"/>
      <c r="AK85" s="45"/>
      <c r="AL85" s="45"/>
      <c r="AM85" s="63"/>
      <c r="AN85" s="63"/>
    </row>
    <row r="86" spans="3:40" ht="14.1">
      <c r="C86" s="57"/>
      <c r="D86" s="58" t="str">
        <f>IF(E81=4,"10µ",IF(E81=3,"10µ",IF(E81=2,"10µ",IF(E81=1,"10µ",0))))</f>
        <v>10µ</v>
      </c>
      <c r="E86" s="58" t="str">
        <f>IF(OR(D86=0),0,IF(MOD($E$42*$F$42,2)=0,"610",IF(MOD($E$42*$F$42,2.5)=0,"760",IF(MOD($E$42*$F$42,3)=0,"915","Refer"))))</f>
        <v>610</v>
      </c>
      <c r="F86" s="58" t="str">
        <f>IF(OR(D86=0),0,IF(MOD($E$42*$F$42,6)=0,"915",IF(MOD($E$42*$F$42,5)=0,"760",IF(MOD($E$42*$F$42,4)=0,"610","Refer"))))</f>
        <v>915</v>
      </c>
      <c r="G86" s="58">
        <f>IF(D86=0,0,150)</f>
        <v>150</v>
      </c>
      <c r="H86" s="60">
        <f>IF(D86=0,0,($E$42*$F$42*305*305)/(E86*F86))</f>
        <v>6</v>
      </c>
      <c r="I86" s="834"/>
      <c r="J86" s="902"/>
      <c r="K86" s="902"/>
      <c r="L86" s="902"/>
      <c r="M86" s="902"/>
      <c r="N86" s="902"/>
      <c r="O86" s="902"/>
      <c r="P86" s="902"/>
      <c r="Q86" s="913"/>
      <c r="R86" s="913"/>
      <c r="S86" s="913"/>
      <c r="T86" s="913"/>
      <c r="U86" s="912"/>
      <c r="V86" s="912"/>
      <c r="W86" s="913"/>
      <c r="X86" s="912"/>
      <c r="Y86" s="912"/>
      <c r="Z86" s="912"/>
      <c r="AA86" s="912"/>
      <c r="AB86" s="912"/>
      <c r="AC86" s="912"/>
      <c r="AD86" s="912"/>
      <c r="AE86" s="912"/>
      <c r="AF86" s="912"/>
      <c r="AG86" s="912"/>
      <c r="AH86" s="912"/>
      <c r="AI86" s="912"/>
      <c r="AJ86" s="912"/>
      <c r="AK86" s="912"/>
      <c r="AL86" s="912"/>
      <c r="AM86" s="915"/>
      <c r="AN86" s="915"/>
    </row>
    <row r="87" spans="3:40" ht="14.1">
      <c r="C87" s="57"/>
      <c r="D87" s="58" t="str">
        <f>IF(E81=4,"5µ",IF(E81=3,"5µ",IF(E81=2,"5µ",0)))</f>
        <v>5µ</v>
      </c>
      <c r="E87" s="58" t="str">
        <f t="shared" ref="E87:E89" si="40">IF(OR(D87=0),0,IF(MOD($E$42*$F$42,2)=0,"610",IF(MOD($E$42*$F$42,2.5)=0,"760",IF(MOD($E$42*$F$42,3)=0,"915","Refer"))))</f>
        <v>610</v>
      </c>
      <c r="F87" s="58" t="str">
        <f>IF(OR(D87=0),0,IF(MOD($E$42*$F$42,6)=0,"915",IF(MOD($E$42*$F$42,5)=0,"760",IF(MOD($E$42*$F$42,4)=0,"610","Refer"))))</f>
        <v>915</v>
      </c>
      <c r="G87" s="58">
        <f>IF(D87=0,0,300)</f>
        <v>300</v>
      </c>
      <c r="H87" s="60">
        <f>IF(D87=0,0,($E$42*$F$42*305*305)/(E87*F87))</f>
        <v>6</v>
      </c>
      <c r="I87" s="834"/>
      <c r="J87" s="902"/>
      <c r="K87" s="902"/>
      <c r="L87" s="902"/>
      <c r="M87" s="902"/>
      <c r="N87" s="902"/>
      <c r="O87" s="902"/>
      <c r="P87" s="902"/>
      <c r="Q87" s="913"/>
      <c r="R87" s="913"/>
      <c r="S87" s="913"/>
      <c r="T87" s="913"/>
      <c r="U87" s="912"/>
      <c r="V87" s="912"/>
      <c r="W87" s="913"/>
      <c r="X87" s="912"/>
      <c r="Y87" s="912"/>
      <c r="Z87" s="912"/>
      <c r="AA87" s="912"/>
      <c r="AB87" s="912"/>
      <c r="AC87" s="912"/>
      <c r="AD87" s="912"/>
      <c r="AE87" s="912"/>
      <c r="AF87" s="912"/>
      <c r="AG87" s="912"/>
      <c r="AH87" s="912"/>
      <c r="AI87" s="912"/>
      <c r="AJ87" s="912"/>
      <c r="AK87" s="912"/>
      <c r="AL87" s="912"/>
      <c r="AM87" s="915"/>
      <c r="AN87" s="915"/>
    </row>
    <row r="88" spans="3:40" ht="14.1">
      <c r="C88" s="57"/>
      <c r="D88" s="58" t="str">
        <f>IF(E81=4,"1µ",IF(E81=3,"1µ",0))</f>
        <v>1µ</v>
      </c>
      <c r="E88" s="58" t="str">
        <f t="shared" si="40"/>
        <v>610</v>
      </c>
      <c r="F88" s="58" t="str">
        <f>IF(OR(D88=0),0,IF(MOD($E$42*$F$42,6)=0,"915",IF(MOD($E$42*$F$42,5)=0,"760",IF(MOD($E$42*$F$42,4)=0,"610","Refer"))))</f>
        <v>915</v>
      </c>
      <c r="G88" s="58">
        <f>IF(D88=0,0,300)</f>
        <v>300</v>
      </c>
      <c r="H88" s="60">
        <f>IF(D88=0,0,($E$42*$F$42*305*305)/(E88*F88))</f>
        <v>6</v>
      </c>
      <c r="I88" s="834"/>
      <c r="J88" s="902"/>
      <c r="K88" s="902"/>
      <c r="L88" s="902"/>
      <c r="M88" s="902"/>
      <c r="N88" s="902"/>
      <c r="O88" s="902"/>
      <c r="P88" s="902"/>
      <c r="Q88" s="913"/>
      <c r="R88" s="913"/>
      <c r="S88" s="913"/>
      <c r="T88" s="913"/>
      <c r="U88" s="912"/>
      <c r="V88" s="912"/>
      <c r="W88" s="913"/>
      <c r="X88" s="912"/>
      <c r="Y88" s="912"/>
      <c r="Z88" s="912"/>
      <c r="AA88" s="912"/>
      <c r="AB88" s="912"/>
      <c r="AC88" s="912"/>
      <c r="AD88" s="912"/>
      <c r="AE88" s="912"/>
      <c r="AF88" s="912"/>
      <c r="AG88" s="912"/>
      <c r="AH88" s="912"/>
      <c r="AI88" s="912"/>
      <c r="AJ88" s="912"/>
      <c r="AK88" s="912"/>
      <c r="AL88" s="912"/>
      <c r="AM88" s="915"/>
      <c r="AN88" s="915"/>
    </row>
    <row r="89" spans="3:40" ht="37.5">
      <c r="C89" s="57"/>
      <c r="D89" s="58" t="str">
        <f>IF(E81=4,"0.3µ 95% Eff. HEPA Filetr",0)</f>
        <v>0.3µ 95% Eff. HEPA Filetr</v>
      </c>
      <c r="E89" s="58" t="str">
        <f t="shared" si="40"/>
        <v>610</v>
      </c>
      <c r="F89" s="58" t="str">
        <f>IF(OR(D89=0),0,IF(MOD($E$42*$F$42,6)=0,"915",IF(MOD($E$42*$F$42,5)=0,"760",IF(MOD($E$42*$F$42,4)=0,"610","Refer"))))</f>
        <v>915</v>
      </c>
      <c r="G89" s="58">
        <f>IF(D89=0,0,300)</f>
        <v>300</v>
      </c>
      <c r="H89" s="60">
        <f>IF(D89=0,0,($E$42*$F$42*305*305)/(E89*F89))</f>
        <v>6</v>
      </c>
      <c r="I89" s="836"/>
      <c r="J89" s="902"/>
      <c r="K89" s="902"/>
      <c r="L89" s="902"/>
      <c r="M89" s="902"/>
      <c r="N89" s="902"/>
      <c r="O89" s="902"/>
      <c r="P89" s="902"/>
      <c r="Q89" s="913"/>
      <c r="R89" s="913"/>
      <c r="S89" s="913"/>
      <c r="T89" s="913"/>
      <c r="U89" s="912"/>
      <c r="V89" s="912"/>
      <c r="W89" s="913"/>
      <c r="X89" s="912"/>
      <c r="Y89" s="912"/>
      <c r="Z89" s="912"/>
      <c r="AA89" s="912"/>
      <c r="AB89" s="912"/>
      <c r="AC89" s="912"/>
      <c r="AD89" s="912"/>
      <c r="AE89" s="912"/>
      <c r="AF89" s="912"/>
      <c r="AG89" s="912"/>
      <c r="AH89" s="912"/>
      <c r="AI89" s="912"/>
      <c r="AJ89" s="912"/>
      <c r="AK89" s="912"/>
      <c r="AL89" s="912"/>
      <c r="AM89" s="915"/>
      <c r="AN89" s="915"/>
    </row>
    <row r="90" spans="3:40" ht="14.1">
      <c r="C90" s="57"/>
      <c r="D90" s="826"/>
      <c r="E90" s="182"/>
      <c r="F90" s="182"/>
      <c r="G90" s="182"/>
      <c r="H90" s="182"/>
      <c r="I90" s="827"/>
      <c r="J90" s="52"/>
      <c r="K90" s="52"/>
      <c r="L90" s="52"/>
      <c r="M90" s="52"/>
      <c r="N90" s="52"/>
      <c r="O90" s="828"/>
      <c r="P90" s="828"/>
      <c r="Q90" s="55"/>
      <c r="R90" s="55"/>
      <c r="S90" s="55"/>
      <c r="T90" s="55"/>
      <c r="U90" s="45"/>
      <c r="V90" s="45"/>
      <c r="W90" s="55"/>
      <c r="X90" s="45"/>
      <c r="Y90" s="45"/>
      <c r="Z90" s="45"/>
      <c r="AA90" s="45"/>
      <c r="AB90" s="45"/>
      <c r="AC90" s="45"/>
      <c r="AD90" s="45"/>
      <c r="AE90" s="45"/>
      <c r="AF90" s="45"/>
      <c r="AG90" s="45"/>
      <c r="AH90" s="45"/>
      <c r="AI90" s="45"/>
      <c r="AJ90" s="45"/>
      <c r="AK90" s="45"/>
      <c r="AL90" s="45"/>
      <c r="AM90" s="63"/>
      <c r="AN90" s="63"/>
    </row>
    <row r="91" spans="3:40" ht="14.1" customHeight="1">
      <c r="C91" s="57"/>
      <c r="D91" s="901" t="str">
        <f>"AHU - " &amp; INT((ROW()-34)/14)+1 &amp; "  " &amp; IF(I92&gt;0,"Air-Conditioning System " &amp; IF(OR(G95="Header", G95="C"), "(Chilled Water)",IF(OR(G95="Distributor", G95="D"), "(DX)", "Ventilation System")),IF(NOT(I92&gt;0), "Ventilation System ( SUPPLY )", "Refer"))</f>
        <v>AHU - 5  Air-Conditioning System (DX)</v>
      </c>
      <c r="E91" s="901"/>
      <c r="F91" s="901"/>
      <c r="G91" s="901"/>
      <c r="H91" s="901"/>
      <c r="I91" s="901"/>
      <c r="J91" s="52"/>
      <c r="K91" s="52"/>
      <c r="L91" s="53"/>
      <c r="M91" s="53"/>
      <c r="N91" s="53"/>
      <c r="O91" s="54"/>
      <c r="P91" s="55"/>
      <c r="AM91" s="56"/>
      <c r="AN91" s="56"/>
    </row>
    <row r="92" spans="3:40" ht="14.1">
      <c r="C92" s="57"/>
      <c r="D92" s="175" t="s">
        <v>274</v>
      </c>
      <c r="E92" s="180" t="str">
        <f>'BOD-Cold &amp; Amb.'!R70</f>
        <v>10K</v>
      </c>
      <c r="F92" s="175" t="s">
        <v>275</v>
      </c>
      <c r="G92" s="180">
        <f>'BOD-Cold &amp; Amb.'!AK70</f>
        <v>36500</v>
      </c>
      <c r="H92" s="175" t="s">
        <v>276</v>
      </c>
      <c r="I92" s="181">
        <f>'BOD-Cold &amp; Amb.'!AQ70</f>
        <v>94</v>
      </c>
      <c r="J92" s="902" t="s">
        <v>277</v>
      </c>
      <c r="K92" s="902">
        <v>1</v>
      </c>
      <c r="L92" s="917">
        <f>Q92</f>
        <v>1784750</v>
      </c>
      <c r="M92" s="902">
        <f>K92*L92</f>
        <v>1784750</v>
      </c>
      <c r="N92" s="902"/>
      <c r="O92" s="902"/>
      <c r="P92" s="902"/>
      <c r="Q92" s="913">
        <f t="shared" ref="Q92" si="41">CEILING((S92+T92+U92+V92+W92),250)</f>
        <v>1784750</v>
      </c>
      <c r="R92" s="913">
        <f>IF(I92&gt;0,625,375)</f>
        <v>625</v>
      </c>
      <c r="S92" s="913">
        <f>(E93*G93*3*10.76+E93*I93*2*10.76+G93*I93*2*10.76)*R92/(1000*1000)</f>
        <v>717692</v>
      </c>
      <c r="T92" s="913">
        <f>I92*4*1050</f>
        <v>394800</v>
      </c>
      <c r="U92" s="912">
        <f>IF(G92&lt;=2000,5000,(IF(G92&lt;=5000,8000,(IF(G92&lt;=10000,10000,(IF(G92&lt;=18000,15000,(IF(G92&lt;=40000,20000,25000)))))))))</f>
        <v>20000</v>
      </c>
      <c r="V92" s="912">
        <f t="shared" ref="V92" si="42">IF(X92=200,17150,(IF(X92=225,18150,(IF(X92=250,18900,(IF(X92=280,19150,(IF(X92=315,19650,(IF(X92=355,21900,(IF(X92=400,24400,0)))))))))))))+IF(X92=450,31000,(IF(X92=500,37450,(IF(X92=560,45650,(IF(X92=630,58900,(IF(X92=710,77950,0)))))))))+IF(X92=800,119650,(IF(X92=900,153300,(IF(X92=1000,178900,(IF(X92=1120,286500,(IF(X92=1250,394500,(IF(X92=1450,461500,0)))))))))))</f>
        <v>286500</v>
      </c>
      <c r="W92" s="913">
        <f>IF(I94=0.5,16600,(IF(I94=1,19050,(IF(I94=1.5,21750,(IF(I94=2,23600,(IF(I94=3,30000,(IF(I94=5,38000,0)))))))))))*1.2+IF(I94=7.5,52300,(IF(I94=10,59600,0)))*1.2+IF(I94=12.5,100350,(IF(I94=15,106000,(IF(I94=20,129150,(IF(I94=25,146050,(IF(I94=30,173600,(IF(I94=40,233900,(IF(I94=50,304650,IF(I94=60,350000,400000)))))))))))))*1.2)</f>
        <v>365580</v>
      </c>
      <c r="X92" s="912">
        <f>E94</f>
        <v>1120</v>
      </c>
      <c r="Y92" s="912">
        <f t="shared" ref="Y92" si="43">IF(G92&lt;=6750,450,(IF(G92&lt;=8500,500,(IF(G92&lt;=10750,560,(IF(G92&lt;=13500,630,(IF(G92&lt;=17000,710,(IF(G92&lt;=21500,800,(IF(G92&lt;=27000,900,(IF(G92&lt;=34000,1000,0)))))))))))))))</f>
        <v>0</v>
      </c>
      <c r="Z92" s="912">
        <f t="shared" ref="Z92" si="44">IF(G92&lt;=1300,200,(IF(G92&lt;=1600,225,(IF(G92&lt;=2100,250,(IF(G92&lt;=2700,280,(IF(G92&lt;=3450,315,(IF(G92&lt;=4250,355,(IF(G92&lt;=5250,400,(IF(G92&lt;=6750,450,0)))))))))))))))</f>
        <v>0</v>
      </c>
      <c r="AA92" s="912">
        <f t="shared" ref="AA92" si="45">IF(G92&lt;=2000,5000,(IF(G92&lt;=5000,8000,(IF(G92&lt;=10000,10000,(IF(G92&lt;=18000,15000,(IF(G92&lt;=40000,20000,10000)))))))))</f>
        <v>20000</v>
      </c>
      <c r="AB92" s="912">
        <f>IF(E93=950,2,(IF(E93=1150,3,(IF(E93=1550,4,(IF(E93=1750,5,(IF(E93=2050,6,(IF(E93=2900,8,(IF(E93=3600,10,12)))))))))))))</f>
        <v>10</v>
      </c>
      <c r="AC92" s="912">
        <f>IF(G93=950,2,(IF(G93=1150,3,(IF(G93=1550,4,(IF(G93=1750,5,(IF(G93=2050,6,(IF(G93=2900,8,(IF(G93=3600,10,12)))))))))))))</f>
        <v>8</v>
      </c>
      <c r="AD92" s="912">
        <f t="shared" ref="AD92" si="46">AC92*AB92</f>
        <v>80</v>
      </c>
      <c r="AE92" s="912">
        <v>150</v>
      </c>
      <c r="AF92" s="912">
        <f t="shared" ref="AF92" si="47">CEILING((SQRT(G92/1000))*4*2*AE92*1.25*K92,100)</f>
        <v>9100</v>
      </c>
      <c r="AG92" s="912">
        <f>E100*F100*H100/(305*305)</f>
        <v>0</v>
      </c>
      <c r="AH92" s="912">
        <f>E101*F101*H101/(305*305)</f>
        <v>36</v>
      </c>
      <c r="AI92" s="912">
        <f>H102*E102*F102/(305*305)</f>
        <v>36</v>
      </c>
      <c r="AJ92" s="912">
        <f>H103*E103*F103/(305*305)</f>
        <v>36</v>
      </c>
      <c r="AK92" s="912">
        <f>H104*E104*F104/(305*305)</f>
        <v>0</v>
      </c>
      <c r="AL92" s="912"/>
      <c r="AM92" s="915">
        <f t="shared" ref="AM92" si="48">(G92*2.2/1100)</f>
        <v>73</v>
      </c>
      <c r="AN92" s="915">
        <f t="shared" ref="AN92" si="49">(G92*1/1100)</f>
        <v>33.18181818181818</v>
      </c>
    </row>
    <row r="93" spans="3:40" ht="14.1">
      <c r="C93" s="57"/>
      <c r="D93" s="175" t="s">
        <v>278</v>
      </c>
      <c r="E93" s="180">
        <f>'BOD-Cold &amp; Amb.'!AL71</f>
        <v>3600</v>
      </c>
      <c r="F93" s="175" t="s">
        <v>279</v>
      </c>
      <c r="G93" s="180">
        <f>'BOD-Cold &amp; Amb.'!AL73</f>
        <v>2900</v>
      </c>
      <c r="H93" s="175" t="s">
        <v>280</v>
      </c>
      <c r="I93" s="181">
        <f>'BOD-Cold &amp; Amb.'!AL75</f>
        <v>5800</v>
      </c>
      <c r="J93" s="902"/>
      <c r="K93" s="902"/>
      <c r="L93" s="902"/>
      <c r="M93" s="902"/>
      <c r="N93" s="902"/>
      <c r="O93" s="902"/>
      <c r="P93" s="902"/>
      <c r="Q93" s="913"/>
      <c r="R93" s="913"/>
      <c r="S93" s="913"/>
      <c r="T93" s="913"/>
      <c r="U93" s="912"/>
      <c r="V93" s="912"/>
      <c r="W93" s="913"/>
      <c r="X93" s="912"/>
      <c r="Y93" s="912"/>
      <c r="Z93" s="912"/>
      <c r="AA93" s="912"/>
      <c r="AB93" s="912"/>
      <c r="AC93" s="912"/>
      <c r="AD93" s="912"/>
      <c r="AE93" s="912"/>
      <c r="AF93" s="912"/>
      <c r="AG93" s="912"/>
      <c r="AH93" s="912"/>
      <c r="AI93" s="912"/>
      <c r="AJ93" s="912"/>
      <c r="AK93" s="912"/>
      <c r="AL93" s="912"/>
      <c r="AM93" s="915"/>
      <c r="AN93" s="915"/>
    </row>
    <row r="94" spans="3:40" ht="14.1">
      <c r="C94" s="57"/>
      <c r="D94" s="175" t="s">
        <v>281</v>
      </c>
      <c r="E94" s="180">
        <f>'BOD-Cold &amp; Amb.'!AN70</f>
        <v>1120</v>
      </c>
      <c r="F94" s="176" t="s">
        <v>282</v>
      </c>
      <c r="G94" s="180">
        <f>'BOD-Cold &amp; Amb.'!AM70</f>
        <v>150</v>
      </c>
      <c r="H94" s="176" t="s">
        <v>283</v>
      </c>
      <c r="I94" s="181">
        <f>'BOD-Cold &amp; Amb.'!AO70</f>
        <v>50</v>
      </c>
      <c r="J94" s="902"/>
      <c r="K94" s="902"/>
      <c r="L94" s="902"/>
      <c r="M94" s="902"/>
      <c r="N94" s="902"/>
      <c r="O94" s="902"/>
      <c r="P94" s="902"/>
      <c r="Q94" s="913"/>
      <c r="R94" s="913"/>
      <c r="S94" s="913"/>
      <c r="T94" s="913"/>
      <c r="U94" s="912"/>
      <c r="V94" s="912"/>
      <c r="W94" s="913"/>
      <c r="X94" s="912"/>
      <c r="Y94" s="912"/>
      <c r="Z94" s="912"/>
      <c r="AA94" s="912"/>
      <c r="AB94" s="912"/>
      <c r="AC94" s="912"/>
      <c r="AD94" s="912"/>
      <c r="AE94" s="912"/>
      <c r="AF94" s="912"/>
      <c r="AG94" s="912"/>
      <c r="AH94" s="912"/>
      <c r="AI94" s="912"/>
      <c r="AJ94" s="912"/>
      <c r="AK94" s="912"/>
      <c r="AL94" s="912"/>
      <c r="AM94" s="915"/>
      <c r="AN94" s="915"/>
    </row>
    <row r="95" spans="3:40" ht="21.6" customHeight="1">
      <c r="C95" s="57"/>
      <c r="D95" s="175" t="s">
        <v>284</v>
      </c>
      <c r="E95" s="180">
        <f>'BOD-Cold &amp; Amb.'!AP70</f>
        <v>4</v>
      </c>
      <c r="F95" s="832" t="s">
        <v>285</v>
      </c>
      <c r="G95" s="837" t="str">
        <f>IF(OR(I92=0, E95="Amb"), "Amb",IF('BOD-Cold &amp; Amb.'!AH55="C", "Header",IF('BOD-Cold &amp; Amb.'!AH55="D", "Distributor", "Refer")))</f>
        <v>Distributor</v>
      </c>
      <c r="H95" s="832" t="s">
        <v>286</v>
      </c>
      <c r="I95" s="833" t="str">
        <f>IF(OR(I92=0, E95=0), 0,ROUND(((( I92/E95)*304.8)/(E93-400))*1000,0)&amp;" h "&amp;" x " &amp; (E93-400)&amp;" w ")</f>
        <v xml:space="preserve">2238 h  x 3200 w </v>
      </c>
      <c r="J95" s="902"/>
      <c r="K95" s="902"/>
      <c r="L95" s="902"/>
      <c r="M95" s="902"/>
      <c r="N95" s="902"/>
      <c r="O95" s="902"/>
      <c r="P95" s="902"/>
      <c r="Q95" s="913"/>
      <c r="R95" s="913"/>
      <c r="S95" s="913"/>
      <c r="T95" s="913"/>
      <c r="U95" s="912"/>
      <c r="V95" s="912"/>
      <c r="W95" s="913"/>
      <c r="X95" s="912"/>
      <c r="Y95" s="912"/>
      <c r="Z95" s="912"/>
      <c r="AA95" s="912"/>
      <c r="AB95" s="912"/>
      <c r="AC95" s="912"/>
      <c r="AD95" s="912"/>
      <c r="AE95" s="912"/>
      <c r="AF95" s="912"/>
      <c r="AG95" s="912"/>
      <c r="AH95" s="912"/>
      <c r="AI95" s="912"/>
      <c r="AJ95" s="912"/>
      <c r="AK95" s="912"/>
      <c r="AL95" s="912"/>
      <c r="AM95" s="915"/>
      <c r="AN95" s="915"/>
    </row>
    <row r="96" spans="3:40" ht="21">
      <c r="C96" s="57"/>
      <c r="D96" s="175" t="s">
        <v>287</v>
      </c>
      <c r="E96" s="180">
        <f>'BOD-Cold &amp; Amb.'!AR70</f>
        <v>3</v>
      </c>
      <c r="F96" s="176" t="s">
        <v>288</v>
      </c>
      <c r="G96" s="177" t="str">
        <f>IF(E96=4,"10µ, 5µ, 1µ &amp; 0.3µ (HEPA Plenum Fitted 95% eff.)",IF(E96=3,"10µ, 5µ &amp; 1µ ",IF(E96=2,"10µ  &amp; 5µ",IF(E96=1,"10µ", "Filter Ratings"))))</f>
        <v xml:space="preserve">10µ, 5µ &amp; 1µ </v>
      </c>
      <c r="H96" s="178"/>
      <c r="I96" s="179"/>
      <c r="J96" s="902"/>
      <c r="K96" s="902"/>
      <c r="L96" s="902"/>
      <c r="M96" s="902"/>
      <c r="N96" s="902"/>
      <c r="O96" s="902"/>
      <c r="P96" s="902"/>
      <c r="Q96" s="913"/>
      <c r="R96" s="913"/>
      <c r="S96" s="913"/>
      <c r="T96" s="913"/>
      <c r="U96" s="912"/>
      <c r="V96" s="912"/>
      <c r="W96" s="913"/>
      <c r="X96" s="912"/>
      <c r="Y96" s="912"/>
      <c r="Z96" s="912"/>
      <c r="AA96" s="912"/>
      <c r="AB96" s="912"/>
      <c r="AC96" s="912"/>
      <c r="AD96" s="912"/>
      <c r="AE96" s="912"/>
      <c r="AF96" s="912"/>
      <c r="AG96" s="912"/>
      <c r="AH96" s="912"/>
      <c r="AI96" s="912"/>
      <c r="AJ96" s="912"/>
      <c r="AK96" s="912"/>
      <c r="AL96" s="912"/>
      <c r="AM96" s="915"/>
      <c r="AN96" s="915"/>
    </row>
    <row r="97" spans="3:40">
      <c r="C97" s="57"/>
      <c r="D97" s="922" t="s">
        <v>289</v>
      </c>
      <c r="E97" s="923"/>
      <c r="F97" s="923"/>
      <c r="G97" s="923"/>
      <c r="H97" s="923"/>
      <c r="I97" s="924"/>
      <c r="J97" s="902"/>
      <c r="K97" s="902"/>
      <c r="L97" s="902"/>
      <c r="M97" s="902"/>
      <c r="N97" s="902"/>
      <c r="O97" s="902"/>
      <c r="P97" s="902"/>
      <c r="Q97" s="913"/>
      <c r="R97" s="913"/>
      <c r="S97" s="913"/>
      <c r="T97" s="913"/>
      <c r="U97" s="912"/>
      <c r="V97" s="912"/>
      <c r="W97" s="913"/>
      <c r="X97" s="912"/>
      <c r="Y97" s="912"/>
      <c r="Z97" s="912"/>
      <c r="AA97" s="912"/>
      <c r="AB97" s="912"/>
      <c r="AC97" s="912"/>
      <c r="AD97" s="912"/>
      <c r="AE97" s="912"/>
      <c r="AF97" s="912"/>
      <c r="AG97" s="912"/>
      <c r="AH97" s="912"/>
      <c r="AI97" s="912"/>
      <c r="AJ97" s="912"/>
      <c r="AK97" s="912"/>
      <c r="AL97" s="912"/>
      <c r="AM97" s="915"/>
      <c r="AN97" s="915"/>
    </row>
    <row r="98" spans="3:40" ht="24.95">
      <c r="C98" s="57"/>
      <c r="D98" s="58" t="s">
        <v>290</v>
      </c>
      <c r="E98" s="58" t="s">
        <v>291</v>
      </c>
      <c r="F98" s="58" t="s">
        <v>292</v>
      </c>
      <c r="G98" s="58" t="s">
        <v>293</v>
      </c>
      <c r="H98" s="58" t="s">
        <v>294</v>
      </c>
      <c r="I98" s="179"/>
      <c r="J98" s="902"/>
      <c r="K98" s="902"/>
      <c r="L98" s="902"/>
      <c r="M98" s="902"/>
      <c r="N98" s="902"/>
      <c r="O98" s="902"/>
      <c r="P98" s="902"/>
      <c r="Q98" s="913"/>
      <c r="R98" s="913"/>
      <c r="S98" s="913"/>
      <c r="T98" s="913"/>
      <c r="U98" s="912"/>
      <c r="V98" s="912"/>
      <c r="W98" s="913"/>
      <c r="X98" s="912"/>
      <c r="Y98" s="912"/>
      <c r="Z98" s="912"/>
      <c r="AA98" s="912"/>
      <c r="AB98" s="912"/>
      <c r="AC98" s="912"/>
      <c r="AD98" s="912"/>
      <c r="AE98" s="912"/>
      <c r="AF98" s="912"/>
      <c r="AG98" s="912"/>
      <c r="AH98" s="912"/>
      <c r="AI98" s="912"/>
      <c r="AJ98" s="912"/>
      <c r="AK98" s="912"/>
      <c r="AL98" s="912"/>
      <c r="AM98" s="915"/>
      <c r="AN98" s="915"/>
    </row>
    <row r="99" spans="3:40" ht="14.1">
      <c r="C99" s="57"/>
      <c r="D99" s="58"/>
      <c r="E99" s="58">
        <f>IF(E93&lt;=950,2,(IF(E93&lt;=1150,3,(IF(E93&lt;=1550,4,(IF(E93&lt;=1750,5,(IF(E93&lt;=2050,6,(IF(E93&lt;=2900,8,(IF(E93&lt;=3600,10,IF(E93&lt;=4000,12,0))))))))))))))</f>
        <v>10</v>
      </c>
      <c r="F99" s="58">
        <f>IF(G93&lt;=950,2,(IF(G93&lt;=1150,3,(IF(G93&lt;=1550,4,(IF(G93&lt;=1750,5,(IF(G93&lt;=2050,6,(IF(G93&lt;=2900,8,(IF(G93&lt;=3600,10,IF(E93&lt;=4000,12,0))))))))))))))</f>
        <v>8</v>
      </c>
      <c r="G99" s="58"/>
      <c r="H99" s="60"/>
      <c r="I99" s="834"/>
      <c r="J99" s="902"/>
      <c r="K99" s="902"/>
      <c r="L99" s="902"/>
      <c r="M99" s="902"/>
      <c r="N99" s="902"/>
      <c r="O99" s="902"/>
      <c r="P99" s="902"/>
      <c r="Q99" s="913"/>
      <c r="R99" s="913"/>
      <c r="S99" s="913"/>
      <c r="T99" s="913"/>
      <c r="U99" s="912"/>
      <c r="V99" s="912"/>
      <c r="W99" s="913"/>
      <c r="X99" s="912"/>
      <c r="Y99" s="912"/>
      <c r="Z99" s="912"/>
      <c r="AA99" s="912"/>
      <c r="AB99" s="912"/>
      <c r="AC99" s="912"/>
      <c r="AD99" s="912"/>
      <c r="AE99" s="912"/>
      <c r="AF99" s="912"/>
      <c r="AG99" s="912"/>
      <c r="AH99" s="912"/>
      <c r="AI99" s="912"/>
      <c r="AJ99" s="912"/>
      <c r="AK99" s="912"/>
      <c r="AL99" s="912"/>
      <c r="AM99" s="915"/>
      <c r="AN99" s="915"/>
    </row>
    <row r="100" spans="3:40" ht="14.1">
      <c r="C100" s="57"/>
      <c r="D100" s="58">
        <f>IF(AND(I92=0, OR(E96=1, E96=2, E96=3, E96=4, E96=5)), "20µ", 0)</f>
        <v>0</v>
      </c>
      <c r="E100" s="58">
        <f>IF(OR(D100=0),0,IF(MOD($E$42*$F$42,2)=0,"610",IF(MOD($E$42*$F$42,2.5)=0,"760",IF(MOD($E$42*$F$42,3)=0,"915","Refer"))))</f>
        <v>0</v>
      </c>
      <c r="F100" s="58">
        <f>IF(OR(D100=0),0,IF(MOD($E$42*$F$42,6)=0,"915",IF(MOD($E$42*$F$42,5)=0,"760",IF(MOD($E$42*$F$42,4)=0,"610","Refer"))))</f>
        <v>0</v>
      </c>
      <c r="G100" s="58">
        <f>IF(D100=0,0,100)</f>
        <v>0</v>
      </c>
      <c r="H100" s="60">
        <f>IF(D100=0,0,($E$42*$F$42*305*305)/(E100*F100))</f>
        <v>0</v>
      </c>
      <c r="I100" s="834"/>
      <c r="J100" s="902"/>
      <c r="K100" s="902"/>
      <c r="L100" s="902"/>
      <c r="M100" s="902"/>
      <c r="N100" s="902"/>
      <c r="O100" s="902"/>
      <c r="P100" s="902"/>
      <c r="Q100" s="55"/>
      <c r="R100" s="55"/>
      <c r="S100" s="55"/>
      <c r="T100" s="55"/>
      <c r="U100" s="45"/>
      <c r="V100" s="45"/>
      <c r="W100" s="55"/>
      <c r="X100" s="45"/>
      <c r="Y100" s="45"/>
      <c r="Z100" s="45"/>
      <c r="AA100" s="45"/>
      <c r="AB100" s="45"/>
      <c r="AC100" s="45"/>
      <c r="AD100" s="45"/>
      <c r="AE100" s="45"/>
      <c r="AF100" s="45"/>
      <c r="AG100" s="45"/>
      <c r="AH100" s="45"/>
      <c r="AI100" s="45"/>
      <c r="AJ100" s="45"/>
      <c r="AK100" s="45"/>
      <c r="AL100" s="45"/>
      <c r="AM100" s="63"/>
      <c r="AN100" s="63"/>
    </row>
    <row r="101" spans="3:40" ht="14.1">
      <c r="C101" s="57"/>
      <c r="D101" s="58" t="str">
        <f>IF(E96=4,"10µ",IF(E96=3,"10µ",IF(E96=2,"10µ",IF(E96=1,"10µ",0))))</f>
        <v>10µ</v>
      </c>
      <c r="E101" s="58" t="str">
        <f>IF(OR(D101=0),0,IF(MOD($E$42*$F$42,2)=0,"610",IF(MOD($E$42*$F$42,2.5)=0,"760",IF(MOD($E$42*$F$42,3)=0,"915","Refer"))))</f>
        <v>610</v>
      </c>
      <c r="F101" s="58" t="str">
        <f>IF(OR(D101=0),0,IF(MOD($E$42*$F$42,6)=0,"915",IF(MOD($E$42*$F$42,5)=0,"760",IF(MOD($E$42*$F$42,4)=0,"610","Refer"))))</f>
        <v>915</v>
      </c>
      <c r="G101" s="58">
        <f>IF(D101=0,0,150)</f>
        <v>150</v>
      </c>
      <c r="H101" s="60">
        <f>IF(D101=0,0,($E$42*$F$42*305*305)/(E101*F101))</f>
        <v>6</v>
      </c>
      <c r="I101" s="834"/>
      <c r="J101" s="902"/>
      <c r="K101" s="902"/>
      <c r="L101" s="902"/>
      <c r="M101" s="902"/>
      <c r="N101" s="902"/>
      <c r="O101" s="902"/>
      <c r="P101" s="902"/>
      <c r="Q101" s="913"/>
      <c r="R101" s="913"/>
      <c r="S101" s="913"/>
      <c r="T101" s="913"/>
      <c r="U101" s="912"/>
      <c r="V101" s="912"/>
      <c r="W101" s="913"/>
      <c r="X101" s="912"/>
      <c r="Y101" s="912"/>
      <c r="Z101" s="912"/>
      <c r="AA101" s="912"/>
      <c r="AB101" s="912"/>
      <c r="AC101" s="912"/>
      <c r="AD101" s="912"/>
      <c r="AE101" s="912"/>
      <c r="AF101" s="912"/>
      <c r="AG101" s="912"/>
      <c r="AH101" s="912"/>
      <c r="AI101" s="912"/>
      <c r="AJ101" s="912"/>
      <c r="AK101" s="912"/>
      <c r="AL101" s="912"/>
      <c r="AM101" s="915"/>
      <c r="AN101" s="915"/>
    </row>
    <row r="102" spans="3:40" ht="14.1">
      <c r="C102" s="57"/>
      <c r="D102" s="58" t="str">
        <f>IF(E96=4,"5µ",IF(E96=3,"5µ",IF(E96=2,"5µ",0)))</f>
        <v>5µ</v>
      </c>
      <c r="E102" s="58" t="str">
        <f t="shared" ref="E102:E104" si="50">IF(OR(D102=0),0,IF(MOD($E$42*$F$42,2)=0,"610",IF(MOD($E$42*$F$42,2.5)=0,"760",IF(MOD($E$42*$F$42,3)=0,"915","Refer"))))</f>
        <v>610</v>
      </c>
      <c r="F102" s="58" t="str">
        <f>IF(OR(D102=0),0,IF(MOD($E$42*$F$42,6)=0,"915",IF(MOD($E$42*$F$42,5)=0,"760",IF(MOD($E$42*$F$42,4)=0,"610","Refer"))))</f>
        <v>915</v>
      </c>
      <c r="G102" s="58">
        <f>IF(D102=0,0,300)</f>
        <v>300</v>
      </c>
      <c r="H102" s="60">
        <f>IF(D102=0,0,($E$42*$F$42*305*305)/(E102*F102))</f>
        <v>6</v>
      </c>
      <c r="I102" s="834"/>
      <c r="J102" s="902"/>
      <c r="K102" s="902"/>
      <c r="L102" s="902"/>
      <c r="M102" s="902"/>
      <c r="N102" s="902"/>
      <c r="O102" s="902"/>
      <c r="P102" s="902"/>
      <c r="Q102" s="913"/>
      <c r="R102" s="913"/>
      <c r="S102" s="913"/>
      <c r="T102" s="913"/>
      <c r="U102" s="912"/>
      <c r="V102" s="912"/>
      <c r="W102" s="913"/>
      <c r="X102" s="912"/>
      <c r="Y102" s="912"/>
      <c r="Z102" s="912"/>
      <c r="AA102" s="912"/>
      <c r="AB102" s="912"/>
      <c r="AC102" s="912"/>
      <c r="AD102" s="912"/>
      <c r="AE102" s="912"/>
      <c r="AF102" s="912"/>
      <c r="AG102" s="912"/>
      <c r="AH102" s="912"/>
      <c r="AI102" s="912"/>
      <c r="AJ102" s="912"/>
      <c r="AK102" s="912"/>
      <c r="AL102" s="912"/>
      <c r="AM102" s="915"/>
      <c r="AN102" s="915"/>
    </row>
    <row r="103" spans="3:40" ht="14.1">
      <c r="C103" s="57"/>
      <c r="D103" s="58" t="str">
        <f>IF(E96=4,"1µ",IF(E96=3,"1µ",0))</f>
        <v>1µ</v>
      </c>
      <c r="E103" s="58" t="str">
        <f t="shared" si="50"/>
        <v>610</v>
      </c>
      <c r="F103" s="58" t="str">
        <f>IF(OR(D103=0),0,IF(MOD($E$42*$F$42,6)=0,"915",IF(MOD($E$42*$F$42,5)=0,"760",IF(MOD($E$42*$F$42,4)=0,"610","Refer"))))</f>
        <v>915</v>
      </c>
      <c r="G103" s="58">
        <f>IF(D103=0,0,300)</f>
        <v>300</v>
      </c>
      <c r="H103" s="60">
        <f>IF(D103=0,0,($E$42*$F$42*305*305)/(E103*F103))</f>
        <v>6</v>
      </c>
      <c r="I103" s="834"/>
      <c r="J103" s="902"/>
      <c r="K103" s="902"/>
      <c r="L103" s="902"/>
      <c r="M103" s="902"/>
      <c r="N103" s="902"/>
      <c r="O103" s="902"/>
      <c r="P103" s="902"/>
      <c r="Q103" s="913"/>
      <c r="R103" s="913"/>
      <c r="S103" s="913"/>
      <c r="T103" s="913"/>
      <c r="U103" s="912"/>
      <c r="V103" s="912"/>
      <c r="W103" s="913"/>
      <c r="X103" s="912"/>
      <c r="Y103" s="912"/>
      <c r="Z103" s="912"/>
      <c r="AA103" s="912"/>
      <c r="AB103" s="912"/>
      <c r="AC103" s="912"/>
      <c r="AD103" s="912"/>
      <c r="AE103" s="912"/>
      <c r="AF103" s="912"/>
      <c r="AG103" s="912"/>
      <c r="AH103" s="912"/>
      <c r="AI103" s="912"/>
      <c r="AJ103" s="912"/>
      <c r="AK103" s="912"/>
      <c r="AL103" s="912"/>
      <c r="AM103" s="915"/>
      <c r="AN103" s="915"/>
    </row>
    <row r="104" spans="3:40" ht="14.1">
      <c r="C104" s="57"/>
      <c r="D104" s="58">
        <f>IF(E96=4,"0.3µ 95% Eff. HEPA Filetr",0)</f>
        <v>0</v>
      </c>
      <c r="E104" s="58">
        <f t="shared" si="50"/>
        <v>0</v>
      </c>
      <c r="F104" s="58">
        <f>IF(OR(D104=0),0,IF(MOD($E$42*$F$42,6)=0,"915",IF(MOD($E$42*$F$42,5)=0,"760",IF(MOD($E$42*$F$42,4)=0,"610","Refer"))))</f>
        <v>0</v>
      </c>
      <c r="G104" s="58">
        <f>IF(D104=0,0,300)</f>
        <v>0</v>
      </c>
      <c r="H104" s="60">
        <f>IF(D104=0,0,($E$42*$F$42*305*305)/(E104*F104))</f>
        <v>0</v>
      </c>
      <c r="I104" s="836"/>
      <c r="J104" s="902"/>
      <c r="K104" s="902"/>
      <c r="L104" s="902"/>
      <c r="M104" s="902"/>
      <c r="N104" s="902"/>
      <c r="O104" s="902"/>
      <c r="P104" s="902"/>
      <c r="Q104" s="913"/>
      <c r="R104" s="913"/>
      <c r="S104" s="913"/>
      <c r="T104" s="913"/>
      <c r="U104" s="912"/>
      <c r="V104" s="912"/>
      <c r="W104" s="913"/>
      <c r="X104" s="912"/>
      <c r="Y104" s="912"/>
      <c r="Z104" s="912"/>
      <c r="AA104" s="912"/>
      <c r="AB104" s="912"/>
      <c r="AC104" s="912"/>
      <c r="AD104" s="912"/>
      <c r="AE104" s="912"/>
      <c r="AF104" s="912"/>
      <c r="AG104" s="912"/>
      <c r="AH104" s="912"/>
      <c r="AI104" s="912"/>
      <c r="AJ104" s="912"/>
      <c r="AK104" s="912"/>
      <c r="AL104" s="912"/>
      <c r="AM104" s="915"/>
      <c r="AN104" s="915"/>
    </row>
    <row r="105" spans="3:40" ht="14.1">
      <c r="C105" s="57"/>
      <c r="D105" s="826"/>
      <c r="E105" s="182"/>
      <c r="F105" s="182"/>
      <c r="G105" s="182"/>
      <c r="H105" s="182"/>
      <c r="I105" s="827"/>
      <c r="J105" s="52"/>
      <c r="K105" s="52"/>
      <c r="L105" s="52"/>
      <c r="M105" s="52"/>
      <c r="N105" s="52"/>
      <c r="O105" s="828"/>
      <c r="P105" s="828"/>
      <c r="Q105" s="55"/>
      <c r="R105" s="55"/>
      <c r="S105" s="55"/>
      <c r="T105" s="55"/>
      <c r="U105" s="45"/>
      <c r="V105" s="45"/>
      <c r="W105" s="55"/>
      <c r="X105" s="45"/>
      <c r="Y105" s="45"/>
      <c r="Z105" s="45"/>
      <c r="AA105" s="45"/>
      <c r="AB105" s="45"/>
      <c r="AC105" s="45"/>
      <c r="AD105" s="45"/>
      <c r="AE105" s="45"/>
      <c r="AF105" s="45"/>
      <c r="AG105" s="45"/>
      <c r="AH105" s="45"/>
      <c r="AI105" s="45"/>
      <c r="AJ105" s="45"/>
      <c r="AK105" s="45"/>
      <c r="AL105" s="45"/>
      <c r="AM105" s="63"/>
      <c r="AN105" s="63"/>
    </row>
    <row r="106" spans="3:40" ht="14.1" customHeight="1">
      <c r="C106" s="57"/>
      <c r="D106" s="901" t="str">
        <f>"AHU - " &amp; INT((ROW()-34)/14)+1 &amp; "  " &amp; IF(I107&gt;0,"Air-Conditioning System " &amp; IF(OR(G110="Header", G110="C"), "(Chilled Water)",IF(OR(G110="Distributor", G110="D"), "(DX)", "Ventilation System")),IF(NOT(I107&gt;0), "Ventilation System ( SUPPLY )", "Refer"))</f>
        <v>AHU - 6  Air-Conditioning System (Chilled Water)</v>
      </c>
      <c r="E106" s="901"/>
      <c r="F106" s="901"/>
      <c r="G106" s="901"/>
      <c r="H106" s="901"/>
      <c r="I106" s="901"/>
      <c r="J106" s="52"/>
      <c r="K106" s="52"/>
      <c r="L106" s="53"/>
      <c r="M106" s="53"/>
      <c r="N106" s="53"/>
      <c r="O106" s="54"/>
      <c r="P106" s="55"/>
      <c r="AM106" s="56"/>
      <c r="AN106" s="56"/>
    </row>
    <row r="107" spans="3:40" ht="14.1">
      <c r="C107" s="57"/>
      <c r="D107" s="175" t="s">
        <v>274</v>
      </c>
      <c r="E107" s="180" t="str">
        <f>'BOD-Cold &amp; Amb.'!R90</f>
        <v>NC</v>
      </c>
      <c r="F107" s="175" t="s">
        <v>275</v>
      </c>
      <c r="G107" s="180">
        <f>'BOD-Cold &amp; Amb.'!AK90</f>
        <v>27500</v>
      </c>
      <c r="H107" s="175" t="s">
        <v>276</v>
      </c>
      <c r="I107" s="181">
        <f>'BOD-Cold &amp; Amb.'!AQ90</f>
        <v>74.5</v>
      </c>
      <c r="J107" s="902" t="s">
        <v>277</v>
      </c>
      <c r="K107" s="902">
        <v>1</v>
      </c>
      <c r="L107" s="917">
        <f>Q107</f>
        <v>1414750</v>
      </c>
      <c r="M107" s="902">
        <f>K107*L107</f>
        <v>1414750</v>
      </c>
      <c r="N107" s="902"/>
      <c r="O107" s="902"/>
      <c r="P107" s="902"/>
      <c r="Q107" s="913">
        <f t="shared" ref="Q107" si="51">CEILING((S107+T107+U107+V107+W107),250)</f>
        <v>1414750</v>
      </c>
      <c r="R107" s="913">
        <f>IF(I107&gt;0,625,375)</f>
        <v>625</v>
      </c>
      <c r="S107" s="913">
        <f>(E108*G108*3*10.76+E108*I108*2*10.76+G108*I108*2*10.76)*R107/(1000*1000)</f>
        <v>622129.75</v>
      </c>
      <c r="T107" s="913">
        <f>I107*4*1050</f>
        <v>312900</v>
      </c>
      <c r="U107" s="912">
        <f>IF(G107&lt;=2000,5000,(IF(G107&lt;=5000,8000,(IF(G107&lt;=10000,10000,(IF(G107&lt;=18000,15000,(IF(G107&lt;=40000,20000,25000)))))))))</f>
        <v>20000</v>
      </c>
      <c r="V107" s="912">
        <f t="shared" ref="V107" si="52">IF(X107=200,17150,(IF(X107=225,18150,(IF(X107=250,18900,(IF(X107=280,19150,(IF(X107=315,19650,(IF(X107=355,21900,(IF(X107=400,24400,0)))))))))))))+IF(X107=450,31000,(IF(X107=500,37450,(IF(X107=560,45650,(IF(X107=630,58900,(IF(X107=710,77950,0)))))))))+IF(X107=800,119650,(IF(X107=900,153300,(IF(X107=1000,178900,(IF(X107=1120,286500,(IF(X107=1250,394500,(IF(X107=1450,461500,0)))))))))))</f>
        <v>178900</v>
      </c>
      <c r="W107" s="913">
        <f>IF(I109=0.5,16600,(IF(I109=1,19050,(IF(I109=1.5,21750,(IF(I109=2,23600,(IF(I109=3,30000,(IF(I109=5,38000,0)))))))))))*1.2+IF(I109=7.5,52300,(IF(I109=10,59600,0)))*1.2+IF(I109=12.5,100350,(IF(I109=15,106000,(IF(I109=20,129150,(IF(I109=25,146050,(IF(I109=30,173600,(IF(I109=40,233900,(IF(I109=50,304650,IF(I109=60,350000,400000)))))))))))))*1.2)</f>
        <v>280680</v>
      </c>
      <c r="X107" s="912">
        <f>E109</f>
        <v>1000</v>
      </c>
      <c r="Y107" s="912">
        <f t="shared" ref="Y107" si="53">IF(G107&lt;=6750,450,(IF(G107&lt;=8500,500,(IF(G107&lt;=10750,560,(IF(G107&lt;=13500,630,(IF(G107&lt;=17000,710,(IF(G107&lt;=21500,800,(IF(G107&lt;=27000,900,(IF(G107&lt;=34000,1000,0)))))))))))))))</f>
        <v>1000</v>
      </c>
      <c r="Z107" s="912">
        <f t="shared" ref="Z107" si="54">IF(G107&lt;=1300,200,(IF(G107&lt;=1600,225,(IF(G107&lt;=2100,250,(IF(G107&lt;=2700,280,(IF(G107&lt;=3450,315,(IF(G107&lt;=4250,355,(IF(G107&lt;=5250,400,(IF(G107&lt;=6750,450,0)))))))))))))))</f>
        <v>0</v>
      </c>
      <c r="AA107" s="912">
        <f t="shared" ref="AA107" si="55">IF(G107&lt;=2000,5000,(IF(G107&lt;=5000,8000,(IF(G107&lt;=10000,10000,(IF(G107&lt;=18000,15000,(IF(G107&lt;=40000,20000,10000)))))))))</f>
        <v>20000</v>
      </c>
      <c r="AB107" s="912">
        <f>IF(E108=950,2,(IF(E108=1150,3,(IF(E108=1550,4,(IF(E108=1750,5,(IF(E108=2050,6,(IF(E108=2900,8,(IF(E108=3600,10,12)))))))))))))</f>
        <v>8</v>
      </c>
      <c r="AC107" s="912">
        <f>IF(G108=950,2,(IF(G108=1150,3,(IF(G108=1550,4,(IF(G108=1750,5,(IF(G108=2050,6,(IF(G108=2900,8,(IF(G108=3600,10,12)))))))))))))</f>
        <v>8</v>
      </c>
      <c r="AD107" s="912">
        <f t="shared" ref="AD107" si="56">AC107*AB107</f>
        <v>64</v>
      </c>
      <c r="AE107" s="912">
        <v>150</v>
      </c>
      <c r="AF107" s="912">
        <f t="shared" ref="AF107" si="57">CEILING((SQRT(G107/1000))*4*2*AE107*1.25*K107,100)</f>
        <v>7900</v>
      </c>
      <c r="AG107" s="912">
        <f>E115*F115*H115/(305*305)</f>
        <v>0</v>
      </c>
      <c r="AH107" s="912">
        <f>E116*F116*H116/(305*305)</f>
        <v>36</v>
      </c>
      <c r="AI107" s="912">
        <f>H117*E117*F117/(305*305)</f>
        <v>36</v>
      </c>
      <c r="AJ107" s="912">
        <f>H118*E118*F118/(305*305)</f>
        <v>36</v>
      </c>
      <c r="AK107" s="912">
        <f>H119*E119*F119/(305*305)</f>
        <v>0</v>
      </c>
      <c r="AL107" s="912"/>
      <c r="AM107" s="915">
        <f t="shared" ref="AM107" si="58">(G107*2.2/1100)</f>
        <v>55.000000000000007</v>
      </c>
      <c r="AN107" s="915">
        <f t="shared" ref="AN107" si="59">(G107*1/1100)</f>
        <v>25</v>
      </c>
    </row>
    <row r="108" spans="3:40" ht="14.1">
      <c r="C108" s="57"/>
      <c r="D108" s="175" t="s">
        <v>278</v>
      </c>
      <c r="E108" s="180">
        <f>'BOD-Cold &amp; Amb.'!AL91</f>
        <v>2900</v>
      </c>
      <c r="F108" s="175" t="s">
        <v>279</v>
      </c>
      <c r="G108" s="180">
        <f>'BOD-Cold &amp; Amb.'!AL93</f>
        <v>2900</v>
      </c>
      <c r="H108" s="175" t="s">
        <v>280</v>
      </c>
      <c r="I108" s="181">
        <f>'BOD-Cold &amp; Amb.'!AL95</f>
        <v>5800</v>
      </c>
      <c r="J108" s="902"/>
      <c r="K108" s="902"/>
      <c r="L108" s="902"/>
      <c r="M108" s="902"/>
      <c r="N108" s="902"/>
      <c r="O108" s="902"/>
      <c r="P108" s="902"/>
      <c r="Q108" s="913"/>
      <c r="R108" s="913"/>
      <c r="S108" s="913"/>
      <c r="T108" s="913"/>
      <c r="U108" s="912"/>
      <c r="V108" s="912"/>
      <c r="W108" s="913"/>
      <c r="X108" s="912"/>
      <c r="Y108" s="912"/>
      <c r="Z108" s="912"/>
      <c r="AA108" s="912"/>
      <c r="AB108" s="912"/>
      <c r="AC108" s="912"/>
      <c r="AD108" s="912"/>
      <c r="AE108" s="912"/>
      <c r="AF108" s="912"/>
      <c r="AG108" s="912"/>
      <c r="AH108" s="912"/>
      <c r="AI108" s="912"/>
      <c r="AJ108" s="912"/>
      <c r="AK108" s="912"/>
      <c r="AL108" s="912"/>
      <c r="AM108" s="915"/>
      <c r="AN108" s="915"/>
    </row>
    <row r="109" spans="3:40" ht="14.1">
      <c r="C109" s="57"/>
      <c r="D109" s="175" t="s">
        <v>281</v>
      </c>
      <c r="E109" s="180">
        <f>'BOD-Cold &amp; Amb.'!AN90</f>
        <v>1000</v>
      </c>
      <c r="F109" s="176" t="s">
        <v>282</v>
      </c>
      <c r="G109" s="180">
        <f>'BOD-Cold &amp; Amb.'!AM90</f>
        <v>150</v>
      </c>
      <c r="H109" s="176" t="s">
        <v>283</v>
      </c>
      <c r="I109" s="181">
        <f>'BOD-Cold &amp; Amb.'!AO90</f>
        <v>40</v>
      </c>
      <c r="J109" s="902"/>
      <c r="K109" s="902"/>
      <c r="L109" s="902"/>
      <c r="M109" s="902"/>
      <c r="N109" s="902"/>
      <c r="O109" s="902"/>
      <c r="P109" s="902"/>
      <c r="Q109" s="913"/>
      <c r="R109" s="913"/>
      <c r="S109" s="913"/>
      <c r="T109" s="913"/>
      <c r="U109" s="912"/>
      <c r="V109" s="912"/>
      <c r="W109" s="913"/>
      <c r="X109" s="912"/>
      <c r="Y109" s="912"/>
      <c r="Z109" s="912"/>
      <c r="AA109" s="912"/>
      <c r="AB109" s="912"/>
      <c r="AC109" s="912"/>
      <c r="AD109" s="912"/>
      <c r="AE109" s="912"/>
      <c r="AF109" s="912"/>
      <c r="AG109" s="912"/>
      <c r="AH109" s="912"/>
      <c r="AI109" s="912"/>
      <c r="AJ109" s="912"/>
      <c r="AK109" s="912"/>
      <c r="AL109" s="912"/>
      <c r="AM109" s="915"/>
      <c r="AN109" s="915"/>
    </row>
    <row r="110" spans="3:40" ht="21.6" customHeight="1">
      <c r="C110" s="57"/>
      <c r="D110" s="175" t="s">
        <v>284</v>
      </c>
      <c r="E110" s="180">
        <f>'BOD-Cold &amp; Amb.'!AP90</f>
        <v>4</v>
      </c>
      <c r="F110" s="832" t="s">
        <v>285</v>
      </c>
      <c r="G110" s="837" t="str">
        <f>IF(OR(I107=0, E110="Amb"), "Amb",IF('BOD-Cold &amp; Amb.'!AH70="C", "Header",IF('BOD-Cold &amp; Amb.'!AH70="D", "Distributor", "Refer")))</f>
        <v>Header</v>
      </c>
      <c r="H110" s="832" t="s">
        <v>286</v>
      </c>
      <c r="I110" s="833" t="str">
        <f>IF(OR(I107=0, E110=0), 0,ROUND(((( I107/E110)*304.8)/(E108-400))*1000,0)&amp;" h "&amp;" x " &amp; (E108-400)&amp;" w ")</f>
        <v xml:space="preserve">2271 h  x 2500 w </v>
      </c>
      <c r="J110" s="902"/>
      <c r="K110" s="902"/>
      <c r="L110" s="902"/>
      <c r="M110" s="902"/>
      <c r="N110" s="902"/>
      <c r="O110" s="902"/>
      <c r="P110" s="902"/>
      <c r="Q110" s="913"/>
      <c r="R110" s="913"/>
      <c r="S110" s="913"/>
      <c r="T110" s="913"/>
      <c r="U110" s="912"/>
      <c r="V110" s="912"/>
      <c r="W110" s="913"/>
      <c r="X110" s="912"/>
      <c r="Y110" s="912"/>
      <c r="Z110" s="912"/>
      <c r="AA110" s="912"/>
      <c r="AB110" s="912"/>
      <c r="AC110" s="912"/>
      <c r="AD110" s="912"/>
      <c r="AE110" s="912"/>
      <c r="AF110" s="912"/>
      <c r="AG110" s="912"/>
      <c r="AH110" s="912"/>
      <c r="AI110" s="912"/>
      <c r="AJ110" s="912"/>
      <c r="AK110" s="912"/>
      <c r="AL110" s="912"/>
      <c r="AM110" s="915"/>
      <c r="AN110" s="915"/>
    </row>
    <row r="111" spans="3:40" ht="21">
      <c r="C111" s="57"/>
      <c r="D111" s="175" t="s">
        <v>287</v>
      </c>
      <c r="E111" s="180">
        <f>'BOD-Cold &amp; Amb.'!AR90</f>
        <v>3</v>
      </c>
      <c r="F111" s="176" t="s">
        <v>288</v>
      </c>
      <c r="G111" s="177" t="str">
        <f>IF(E111=4,"10µ, 5µ, 1µ &amp; 0.3µ (HEPA Plenum Fitted 95% eff.)",IF(E111=3,"10µ, 5µ &amp; 1µ ",IF(E111=2,"10µ  &amp; 5µ",IF(E111=1,"10µ", "Filter Ratings"))))</f>
        <v xml:space="preserve">10µ, 5µ &amp; 1µ </v>
      </c>
      <c r="H111" s="178"/>
      <c r="I111" s="179"/>
      <c r="J111" s="902"/>
      <c r="K111" s="902"/>
      <c r="L111" s="902"/>
      <c r="M111" s="902"/>
      <c r="N111" s="902"/>
      <c r="O111" s="902"/>
      <c r="P111" s="902"/>
      <c r="Q111" s="913"/>
      <c r="R111" s="913"/>
      <c r="S111" s="913"/>
      <c r="T111" s="913"/>
      <c r="U111" s="912"/>
      <c r="V111" s="912"/>
      <c r="W111" s="913"/>
      <c r="X111" s="912"/>
      <c r="Y111" s="912"/>
      <c r="Z111" s="912"/>
      <c r="AA111" s="912"/>
      <c r="AB111" s="912"/>
      <c r="AC111" s="912"/>
      <c r="AD111" s="912"/>
      <c r="AE111" s="912"/>
      <c r="AF111" s="912"/>
      <c r="AG111" s="912"/>
      <c r="AH111" s="912"/>
      <c r="AI111" s="912"/>
      <c r="AJ111" s="912"/>
      <c r="AK111" s="912"/>
      <c r="AL111" s="912"/>
      <c r="AM111" s="915"/>
      <c r="AN111" s="915"/>
    </row>
    <row r="112" spans="3:40">
      <c r="C112" s="57"/>
      <c r="D112" s="922" t="s">
        <v>289</v>
      </c>
      <c r="E112" s="923"/>
      <c r="F112" s="923"/>
      <c r="G112" s="923"/>
      <c r="H112" s="923"/>
      <c r="I112" s="924"/>
      <c r="J112" s="902"/>
      <c r="K112" s="902"/>
      <c r="L112" s="902"/>
      <c r="M112" s="902"/>
      <c r="N112" s="902"/>
      <c r="O112" s="902"/>
      <c r="P112" s="902"/>
      <c r="Q112" s="913"/>
      <c r="R112" s="913"/>
      <c r="S112" s="913"/>
      <c r="T112" s="913"/>
      <c r="U112" s="912"/>
      <c r="V112" s="912"/>
      <c r="W112" s="913"/>
      <c r="X112" s="912"/>
      <c r="Y112" s="912"/>
      <c r="Z112" s="912"/>
      <c r="AA112" s="912"/>
      <c r="AB112" s="912"/>
      <c r="AC112" s="912"/>
      <c r="AD112" s="912"/>
      <c r="AE112" s="912"/>
      <c r="AF112" s="912"/>
      <c r="AG112" s="912"/>
      <c r="AH112" s="912"/>
      <c r="AI112" s="912"/>
      <c r="AJ112" s="912"/>
      <c r="AK112" s="912"/>
      <c r="AL112" s="912"/>
      <c r="AM112" s="915"/>
      <c r="AN112" s="915"/>
    </row>
    <row r="113" spans="3:40" ht="24.95">
      <c r="C113" s="57"/>
      <c r="D113" s="58" t="s">
        <v>290</v>
      </c>
      <c r="E113" s="58" t="s">
        <v>291</v>
      </c>
      <c r="F113" s="58" t="s">
        <v>292</v>
      </c>
      <c r="G113" s="58" t="s">
        <v>293</v>
      </c>
      <c r="H113" s="58" t="s">
        <v>294</v>
      </c>
      <c r="I113" s="179"/>
      <c r="J113" s="902"/>
      <c r="K113" s="902"/>
      <c r="L113" s="902"/>
      <c r="M113" s="902"/>
      <c r="N113" s="902"/>
      <c r="O113" s="902"/>
      <c r="P113" s="902"/>
      <c r="Q113" s="913"/>
      <c r="R113" s="913"/>
      <c r="S113" s="913"/>
      <c r="T113" s="913"/>
      <c r="U113" s="912"/>
      <c r="V113" s="912"/>
      <c r="W113" s="913"/>
      <c r="X113" s="912"/>
      <c r="Y113" s="912"/>
      <c r="Z113" s="912"/>
      <c r="AA113" s="912"/>
      <c r="AB113" s="912"/>
      <c r="AC113" s="912"/>
      <c r="AD113" s="912"/>
      <c r="AE113" s="912"/>
      <c r="AF113" s="912"/>
      <c r="AG113" s="912"/>
      <c r="AH113" s="912"/>
      <c r="AI113" s="912"/>
      <c r="AJ113" s="912"/>
      <c r="AK113" s="912"/>
      <c r="AL113" s="912"/>
      <c r="AM113" s="915"/>
      <c r="AN113" s="915"/>
    </row>
    <row r="114" spans="3:40" ht="14.1">
      <c r="C114" s="57"/>
      <c r="D114" s="58"/>
      <c r="E114" s="58">
        <f>IF(E108&lt;=950,2,(IF(E108&lt;=1150,3,(IF(E108&lt;=1550,4,(IF(E108&lt;=1750,5,(IF(E108&lt;=2050,6,(IF(E108&lt;=2900,8,(IF(E108&lt;=3600,10,IF(E108&lt;=4000,12,0))))))))))))))</f>
        <v>8</v>
      </c>
      <c r="F114" s="58">
        <f>IF(G108&lt;=950,2,(IF(G108&lt;=1150,3,(IF(G108&lt;=1550,4,(IF(G108&lt;=1750,5,(IF(G108&lt;=2050,6,(IF(G108&lt;=2900,8,(IF(G108&lt;=3600,10,IF(E108&lt;=4000,12,0))))))))))))))</f>
        <v>8</v>
      </c>
      <c r="G114" s="58"/>
      <c r="H114" s="60"/>
      <c r="I114" s="834"/>
      <c r="J114" s="902"/>
      <c r="K114" s="902"/>
      <c r="L114" s="902"/>
      <c r="M114" s="902"/>
      <c r="N114" s="902"/>
      <c r="O114" s="902"/>
      <c r="P114" s="902"/>
      <c r="Q114" s="913"/>
      <c r="R114" s="913"/>
      <c r="S114" s="913"/>
      <c r="T114" s="913"/>
      <c r="U114" s="912"/>
      <c r="V114" s="912"/>
      <c r="W114" s="913"/>
      <c r="X114" s="912"/>
      <c r="Y114" s="912"/>
      <c r="Z114" s="912"/>
      <c r="AA114" s="912"/>
      <c r="AB114" s="912"/>
      <c r="AC114" s="912"/>
      <c r="AD114" s="912"/>
      <c r="AE114" s="912"/>
      <c r="AF114" s="912"/>
      <c r="AG114" s="912"/>
      <c r="AH114" s="912"/>
      <c r="AI114" s="912"/>
      <c r="AJ114" s="912"/>
      <c r="AK114" s="912"/>
      <c r="AL114" s="912"/>
      <c r="AM114" s="915"/>
      <c r="AN114" s="915"/>
    </row>
    <row r="115" spans="3:40" ht="14.1">
      <c r="C115" s="57"/>
      <c r="D115" s="58">
        <f>IF(AND(I107=0, OR(E111=1, E111=2, E111=3, E111=4, E111=5)), "20µ", 0)</f>
        <v>0</v>
      </c>
      <c r="E115" s="58">
        <f>IF(OR(D115=0),0,IF(MOD($E$42*$F$42,2)=0,"610",IF(MOD($E$42*$F$42,2.5)=0,"760",IF(MOD($E$42*$F$42,3)=0,"915","Refer"))))</f>
        <v>0</v>
      </c>
      <c r="F115" s="58">
        <f>IF(OR(D115=0),0,IF(MOD($E$42*$F$42,6)=0,"915",IF(MOD($E$42*$F$42,5)=0,"760",IF(MOD($E$42*$F$42,4)=0,"610","Refer"))))</f>
        <v>0</v>
      </c>
      <c r="G115" s="58">
        <f>IF(D115=0,0,100)</f>
        <v>0</v>
      </c>
      <c r="H115" s="60">
        <f>IF(D115=0,0,($E$42*$F$42*305*305)/(E115*F115))</f>
        <v>0</v>
      </c>
      <c r="I115" s="834"/>
      <c r="J115" s="902"/>
      <c r="K115" s="902"/>
      <c r="L115" s="902"/>
      <c r="M115" s="902"/>
      <c r="N115" s="902"/>
      <c r="O115" s="902"/>
      <c r="P115" s="902"/>
      <c r="Q115" s="55"/>
      <c r="R115" s="55"/>
      <c r="S115" s="55"/>
      <c r="T115" s="55"/>
      <c r="U115" s="45"/>
      <c r="V115" s="45"/>
      <c r="W115" s="55"/>
      <c r="X115" s="45"/>
      <c r="Y115" s="45"/>
      <c r="Z115" s="45"/>
      <c r="AA115" s="45"/>
      <c r="AB115" s="45"/>
      <c r="AC115" s="45"/>
      <c r="AD115" s="45"/>
      <c r="AE115" s="45"/>
      <c r="AF115" s="45"/>
      <c r="AG115" s="45"/>
      <c r="AH115" s="45"/>
      <c r="AI115" s="45"/>
      <c r="AJ115" s="45"/>
      <c r="AK115" s="45"/>
      <c r="AL115" s="45"/>
      <c r="AM115" s="63"/>
      <c r="AN115" s="63"/>
    </row>
    <row r="116" spans="3:40" ht="14.1">
      <c r="C116" s="57"/>
      <c r="D116" s="58" t="str">
        <f>IF(E111=4,"10µ",IF(E111=3,"10µ",IF(E111=2,"10µ",IF(E111=1,"10µ",0))))</f>
        <v>10µ</v>
      </c>
      <c r="E116" s="58" t="str">
        <f>IF(OR(D116=0),0,IF(MOD($E$42*$F$42,2)=0,"610",IF(MOD($E$42*$F$42,2.5)=0,"760",IF(MOD($E$42*$F$42,3)=0,"915","Refer"))))</f>
        <v>610</v>
      </c>
      <c r="F116" s="58" t="str">
        <f>IF(OR(D116=0),0,IF(MOD($E$42*$F$42,6)=0,"915",IF(MOD($E$42*$F$42,5)=0,"760",IF(MOD($E$42*$F$42,4)=0,"610","Refer"))))</f>
        <v>915</v>
      </c>
      <c r="G116" s="58">
        <f>IF(D116=0,0,150)</f>
        <v>150</v>
      </c>
      <c r="H116" s="60">
        <f>IF(D116=0,0,($E$42*$F$42*305*305)/(E116*F116))</f>
        <v>6</v>
      </c>
      <c r="I116" s="834"/>
      <c r="J116" s="902"/>
      <c r="K116" s="902"/>
      <c r="L116" s="902"/>
      <c r="M116" s="902"/>
      <c r="N116" s="902"/>
      <c r="O116" s="902"/>
      <c r="P116" s="902"/>
      <c r="Q116" s="913"/>
      <c r="R116" s="913"/>
      <c r="S116" s="913"/>
      <c r="T116" s="913"/>
      <c r="U116" s="912"/>
      <c r="V116" s="912"/>
      <c r="W116" s="913"/>
      <c r="X116" s="912"/>
      <c r="Y116" s="912"/>
      <c r="Z116" s="912"/>
      <c r="AA116" s="912"/>
      <c r="AB116" s="912"/>
      <c r="AC116" s="912"/>
      <c r="AD116" s="912"/>
      <c r="AE116" s="912"/>
      <c r="AF116" s="912"/>
      <c r="AG116" s="912"/>
      <c r="AH116" s="912"/>
      <c r="AI116" s="912"/>
      <c r="AJ116" s="912"/>
      <c r="AK116" s="912"/>
      <c r="AL116" s="912"/>
      <c r="AM116" s="915"/>
      <c r="AN116" s="915"/>
    </row>
    <row r="117" spans="3:40" ht="14.1">
      <c r="C117" s="57"/>
      <c r="D117" s="58" t="str">
        <f>IF(E111=4,"5µ",IF(E111=3,"5µ",IF(E111=2,"5µ",0)))</f>
        <v>5µ</v>
      </c>
      <c r="E117" s="58" t="str">
        <f t="shared" ref="E117:E119" si="60">IF(OR(D117=0),0,IF(MOD($E$42*$F$42,2)=0,"610",IF(MOD($E$42*$F$42,2.5)=0,"760",IF(MOD($E$42*$F$42,3)=0,"915","Refer"))))</f>
        <v>610</v>
      </c>
      <c r="F117" s="58" t="str">
        <f>IF(OR(D117=0),0,IF(MOD($E$42*$F$42,6)=0,"915",IF(MOD($E$42*$F$42,5)=0,"760",IF(MOD($E$42*$F$42,4)=0,"610","Refer"))))</f>
        <v>915</v>
      </c>
      <c r="G117" s="58">
        <f>IF(D117=0,0,300)</f>
        <v>300</v>
      </c>
      <c r="H117" s="60">
        <f>IF(D117=0,0,($E$42*$F$42*305*305)/(E117*F117))</f>
        <v>6</v>
      </c>
      <c r="I117" s="834"/>
      <c r="J117" s="902"/>
      <c r="K117" s="902"/>
      <c r="L117" s="902"/>
      <c r="M117" s="902"/>
      <c r="N117" s="902"/>
      <c r="O117" s="902"/>
      <c r="P117" s="902"/>
      <c r="Q117" s="913"/>
      <c r="R117" s="913"/>
      <c r="S117" s="913"/>
      <c r="T117" s="913"/>
      <c r="U117" s="912"/>
      <c r="V117" s="912"/>
      <c r="W117" s="913"/>
      <c r="X117" s="912"/>
      <c r="Y117" s="912"/>
      <c r="Z117" s="912"/>
      <c r="AA117" s="912"/>
      <c r="AB117" s="912"/>
      <c r="AC117" s="912"/>
      <c r="AD117" s="912"/>
      <c r="AE117" s="912"/>
      <c r="AF117" s="912"/>
      <c r="AG117" s="912"/>
      <c r="AH117" s="912"/>
      <c r="AI117" s="912"/>
      <c r="AJ117" s="912"/>
      <c r="AK117" s="912"/>
      <c r="AL117" s="912"/>
      <c r="AM117" s="915"/>
      <c r="AN117" s="915"/>
    </row>
    <row r="118" spans="3:40" ht="14.1">
      <c r="C118" s="57"/>
      <c r="D118" s="58" t="str">
        <f>IF(E111=4,"1µ",IF(E111=3,"1µ",0))</f>
        <v>1µ</v>
      </c>
      <c r="E118" s="58" t="str">
        <f t="shared" si="60"/>
        <v>610</v>
      </c>
      <c r="F118" s="58" t="str">
        <f>IF(OR(D118=0),0,IF(MOD($E$42*$F$42,6)=0,"915",IF(MOD($E$42*$F$42,5)=0,"760",IF(MOD($E$42*$F$42,4)=0,"610","Refer"))))</f>
        <v>915</v>
      </c>
      <c r="G118" s="58">
        <f>IF(D118=0,0,300)</f>
        <v>300</v>
      </c>
      <c r="H118" s="60">
        <f>IF(D118=0,0,($E$42*$F$42*305*305)/(E118*F118))</f>
        <v>6</v>
      </c>
      <c r="I118" s="834"/>
      <c r="J118" s="902"/>
      <c r="K118" s="902"/>
      <c r="L118" s="902"/>
      <c r="M118" s="902"/>
      <c r="N118" s="902"/>
      <c r="O118" s="902"/>
      <c r="P118" s="902"/>
      <c r="Q118" s="913"/>
      <c r="R118" s="913"/>
      <c r="S118" s="913"/>
      <c r="T118" s="913"/>
      <c r="U118" s="912"/>
      <c r="V118" s="912"/>
      <c r="W118" s="913"/>
      <c r="X118" s="912"/>
      <c r="Y118" s="912"/>
      <c r="Z118" s="912"/>
      <c r="AA118" s="912"/>
      <c r="AB118" s="912"/>
      <c r="AC118" s="912"/>
      <c r="AD118" s="912"/>
      <c r="AE118" s="912"/>
      <c r="AF118" s="912"/>
      <c r="AG118" s="912"/>
      <c r="AH118" s="912"/>
      <c r="AI118" s="912"/>
      <c r="AJ118" s="912"/>
      <c r="AK118" s="912"/>
      <c r="AL118" s="912"/>
      <c r="AM118" s="915"/>
      <c r="AN118" s="915"/>
    </row>
    <row r="119" spans="3:40" ht="14.1">
      <c r="C119" s="57"/>
      <c r="D119" s="58">
        <f>IF(E111=4,"0.3µ 95% Eff. HEPA Filetr",0)</f>
        <v>0</v>
      </c>
      <c r="E119" s="58">
        <f t="shared" si="60"/>
        <v>0</v>
      </c>
      <c r="F119" s="58">
        <f>IF(OR(D119=0),0,IF(MOD($E$42*$F$42,6)=0,"915",IF(MOD($E$42*$F$42,5)=0,"760",IF(MOD($E$42*$F$42,4)=0,"610","Refer"))))</f>
        <v>0</v>
      </c>
      <c r="G119" s="58">
        <f>IF(D119=0,0,300)</f>
        <v>0</v>
      </c>
      <c r="H119" s="60">
        <f>IF(D119=0,0,($E$42*$F$42*305*305)/(E119*F119))</f>
        <v>0</v>
      </c>
      <c r="I119" s="836"/>
      <c r="J119" s="902"/>
      <c r="K119" s="902"/>
      <c r="L119" s="902"/>
      <c r="M119" s="902"/>
      <c r="N119" s="902"/>
      <c r="O119" s="902"/>
      <c r="P119" s="902"/>
      <c r="Q119" s="913"/>
      <c r="R119" s="913"/>
      <c r="S119" s="913"/>
      <c r="T119" s="913"/>
      <c r="U119" s="912"/>
      <c r="V119" s="912"/>
      <c r="W119" s="913"/>
      <c r="X119" s="912"/>
      <c r="Y119" s="912"/>
      <c r="Z119" s="912"/>
      <c r="AA119" s="912"/>
      <c r="AB119" s="912"/>
      <c r="AC119" s="912"/>
      <c r="AD119" s="912"/>
      <c r="AE119" s="912"/>
      <c r="AF119" s="912"/>
      <c r="AG119" s="912"/>
      <c r="AH119" s="912"/>
      <c r="AI119" s="912"/>
      <c r="AJ119" s="912"/>
      <c r="AK119" s="912"/>
      <c r="AL119" s="912"/>
      <c r="AM119" s="915"/>
      <c r="AN119" s="915"/>
    </row>
    <row r="120" spans="3:40" ht="14.1">
      <c r="C120" s="57"/>
      <c r="D120" s="826"/>
      <c r="E120" s="182"/>
      <c r="F120" s="182"/>
      <c r="G120" s="182"/>
      <c r="H120" s="182"/>
      <c r="I120" s="827"/>
      <c r="J120" s="52"/>
      <c r="K120" s="52"/>
      <c r="L120" s="52"/>
      <c r="M120" s="52"/>
      <c r="N120" s="52"/>
      <c r="O120" s="828"/>
      <c r="P120" s="828"/>
      <c r="Q120" s="55"/>
      <c r="R120" s="55"/>
      <c r="S120" s="55"/>
      <c r="T120" s="55"/>
      <c r="U120" s="45"/>
      <c r="V120" s="45"/>
      <c r="W120" s="55"/>
      <c r="X120" s="45"/>
      <c r="Y120" s="45"/>
      <c r="Z120" s="45"/>
      <c r="AA120" s="45"/>
      <c r="AB120" s="45"/>
      <c r="AC120" s="45"/>
      <c r="AD120" s="45"/>
      <c r="AE120" s="45"/>
      <c r="AF120" s="45"/>
      <c r="AG120" s="45"/>
      <c r="AH120" s="45"/>
      <c r="AI120" s="45"/>
      <c r="AJ120" s="45"/>
      <c r="AK120" s="45"/>
      <c r="AL120" s="45"/>
      <c r="AM120" s="63"/>
      <c r="AN120" s="63"/>
    </row>
    <row r="121" spans="3:40" ht="14.1" customHeight="1">
      <c r="C121" s="57"/>
      <c r="D121" s="901" t="str">
        <f>"AHU - " &amp; INT((ROW()-34)/14)+1 &amp; "  " &amp; IF(I122&gt;0,"Air-Conditioning System " &amp; IF(OR(G125="Header", G125="C"), "(Chilled Water)",IF(OR(G125="Distributor", G125="D"), "(DX)", "Ventilation System")),IF(NOT(I122&gt;0), "Ventilation System ( SUPPLY )", "Refer"))</f>
        <v>AHU - 7  Air-Conditioning System (Chilled Water)</v>
      </c>
      <c r="E121" s="901"/>
      <c r="F121" s="901"/>
      <c r="G121" s="901"/>
      <c r="H121" s="901"/>
      <c r="I121" s="901"/>
      <c r="J121" s="52"/>
      <c r="K121" s="52"/>
      <c r="L121" s="53"/>
      <c r="M121" s="53"/>
      <c r="N121" s="53"/>
      <c r="O121" s="54"/>
      <c r="P121" s="55"/>
      <c r="AM121" s="56"/>
      <c r="AN121" s="56"/>
    </row>
    <row r="122" spans="3:40" ht="14.1" customHeight="1">
      <c r="C122" s="57"/>
      <c r="D122" s="175" t="s">
        <v>274</v>
      </c>
      <c r="E122" s="180" t="str">
        <f>'BOD-Cold &amp; Amb.'!R110</f>
        <v>5 Micron</v>
      </c>
      <c r="F122" s="175" t="s">
        <v>275</v>
      </c>
      <c r="G122" s="180">
        <f>'BOD-Cold &amp; Amb.'!AK110</f>
        <v>28250</v>
      </c>
      <c r="H122" s="175" t="s">
        <v>276</v>
      </c>
      <c r="I122" s="181">
        <f>'BOD-Cold &amp; Amb.'!AQ110</f>
        <v>98</v>
      </c>
      <c r="J122" s="902" t="s">
        <v>277</v>
      </c>
      <c r="K122" s="902">
        <v>1</v>
      </c>
      <c r="L122" s="917">
        <f>Q122</f>
        <v>1529000</v>
      </c>
      <c r="M122" s="902">
        <f>K122*L122</f>
        <v>1529000</v>
      </c>
      <c r="N122" s="902"/>
      <c r="O122" s="902"/>
      <c r="P122" s="902"/>
      <c r="Q122" s="913">
        <f t="shared" ref="Q122" si="61">CEILING((S122+T122+U122+V122+W122),250)</f>
        <v>1529000</v>
      </c>
      <c r="R122" s="913">
        <f>IF(I122&gt;0,625,375)</f>
        <v>625</v>
      </c>
      <c r="S122" s="913">
        <f>(E123*G123*3*10.76+E123*I123*2*10.76+G123*I123*2*10.76)*R122/(1000*1000)</f>
        <v>637731.75</v>
      </c>
      <c r="T122" s="913">
        <f>I122*4*1050</f>
        <v>411600</v>
      </c>
      <c r="U122" s="912">
        <f>IF(G122&lt;=2000,5000,(IF(G122&lt;=5000,8000,(IF(G122&lt;=10000,10000,(IF(G122&lt;=18000,15000,(IF(G122&lt;=40000,20000,25000)))))))))</f>
        <v>20000</v>
      </c>
      <c r="V122" s="912">
        <f t="shared" ref="V122" si="62">IF(X122=200,17150,(IF(X122=225,18150,(IF(X122=250,18900,(IF(X122=280,19150,(IF(X122=315,19650,(IF(X122=355,21900,(IF(X122=400,24400,0)))))))))))))+IF(X122=450,31000,(IF(X122=500,37450,(IF(X122=560,45650,(IF(X122=630,58900,(IF(X122=710,77950,0)))))))))+IF(X122=800,119650,(IF(X122=900,153300,(IF(X122=1000,178900,(IF(X122=1120,286500,(IF(X122=1250,394500,(IF(X122=1450,461500,0)))))))))))</f>
        <v>178900</v>
      </c>
      <c r="W122" s="913">
        <f>IF(I124=0.5,16600,(IF(I124=1,19050,(IF(I124=1.5,21750,(IF(I124=2,23600,(IF(I124=3,30000,(IF(I124=5,38000,0)))))))))))*1.2+IF(I124=7.5,52300,(IF(I124=10,59600,0)))*1.2+IF(I124=12.5,100350,(IF(I124=15,106000,(IF(I124=20,129150,(IF(I124=25,146050,(IF(I124=30,173600,(IF(I124=40,233900,(IF(I124=50,304650,IF(I124=60,350000,400000)))))))))))))*1.2)</f>
        <v>280680</v>
      </c>
      <c r="X122" s="912">
        <f>E124</f>
        <v>1000</v>
      </c>
      <c r="Y122" s="912">
        <f t="shared" ref="Y122" si="63">IF(G122&lt;=6750,450,(IF(G122&lt;=8500,500,(IF(G122&lt;=10750,560,(IF(G122&lt;=13500,630,(IF(G122&lt;=17000,710,(IF(G122&lt;=21500,800,(IF(G122&lt;=27000,900,(IF(G122&lt;=34000,1000,0)))))))))))))))</f>
        <v>1000</v>
      </c>
      <c r="Z122" s="912">
        <f t="shared" ref="Z122" si="64">IF(G122&lt;=1300,200,(IF(G122&lt;=1600,225,(IF(G122&lt;=2100,250,(IF(G122&lt;=2700,280,(IF(G122&lt;=3450,315,(IF(G122&lt;=4250,355,(IF(G122&lt;=5250,400,(IF(G122&lt;=6750,450,0)))))))))))))))</f>
        <v>0</v>
      </c>
      <c r="AA122" s="912">
        <f t="shared" ref="AA122" si="65">IF(G122&lt;=2000,5000,(IF(G122&lt;=5000,8000,(IF(G122&lt;=10000,10000,(IF(G122&lt;=18000,15000,(IF(G122&lt;=40000,20000,10000)))))))))</f>
        <v>20000</v>
      </c>
      <c r="AB122" s="912">
        <f>IF(E123=950,2,(IF(E123=1150,3,(IF(E123=1550,4,(IF(E123=1750,5,(IF(E123=2050,6,(IF(E123=2900,8,(IF(E123=3600,10,12)))))))))))))</f>
        <v>8</v>
      </c>
      <c r="AC122" s="912">
        <f>IF(G123=950,2,(IF(G123=1150,3,(IF(G123=1550,4,(IF(G123=1750,5,(IF(G123=2050,6,(IF(G123=2900,8,(IF(G123=3600,10,12)))))))))))))</f>
        <v>8</v>
      </c>
      <c r="AD122" s="912">
        <f t="shared" ref="AD122" si="66">AC122*AB122</f>
        <v>64</v>
      </c>
      <c r="AE122" s="912">
        <v>150</v>
      </c>
      <c r="AF122" s="912">
        <f t="shared" ref="AF122" si="67">CEILING((SQRT(G122/1000))*4*2*AE122*1.25*K122,100)</f>
        <v>8000</v>
      </c>
      <c r="AG122" s="912">
        <f>E130*F130*H130/(305*305)</f>
        <v>0</v>
      </c>
      <c r="AH122" s="912">
        <f>E131*F131*H131/(305*305)</f>
        <v>36</v>
      </c>
      <c r="AI122" s="912">
        <f>H132*E132*F132/(305*305)</f>
        <v>36</v>
      </c>
      <c r="AJ122" s="912">
        <f>H133*E133*F133/(305*305)</f>
        <v>36</v>
      </c>
      <c r="AK122" s="912">
        <f>H134*E134*F134/(305*305)</f>
        <v>0</v>
      </c>
      <c r="AL122" s="912"/>
      <c r="AM122" s="915">
        <f t="shared" ref="AM122" si="68">(G122*2.2/1100)</f>
        <v>56.500000000000007</v>
      </c>
      <c r="AN122" s="915">
        <f t="shared" ref="AN122" si="69">(G122*1/1100)</f>
        <v>25.681818181818183</v>
      </c>
    </row>
    <row r="123" spans="3:40" ht="14.1">
      <c r="C123" s="57"/>
      <c r="D123" s="175" t="s">
        <v>278</v>
      </c>
      <c r="E123" s="180">
        <f>'BOD-Cold &amp; Amb.'!AL111</f>
        <v>2900</v>
      </c>
      <c r="F123" s="175" t="s">
        <v>279</v>
      </c>
      <c r="G123" s="180">
        <f>'BOD-Cold &amp; Amb.'!AL113</f>
        <v>2900</v>
      </c>
      <c r="H123" s="175" t="s">
        <v>280</v>
      </c>
      <c r="I123" s="181">
        <f>'BOD-Cold &amp; Amb.'!AL115</f>
        <v>6000</v>
      </c>
      <c r="J123" s="902"/>
      <c r="K123" s="902"/>
      <c r="L123" s="902"/>
      <c r="M123" s="902"/>
      <c r="N123" s="902"/>
      <c r="O123" s="902"/>
      <c r="P123" s="902"/>
      <c r="Q123" s="913"/>
      <c r="R123" s="913"/>
      <c r="S123" s="913"/>
      <c r="T123" s="913"/>
      <c r="U123" s="912"/>
      <c r="V123" s="912"/>
      <c r="W123" s="913"/>
      <c r="X123" s="912"/>
      <c r="Y123" s="912"/>
      <c r="Z123" s="912"/>
      <c r="AA123" s="912"/>
      <c r="AB123" s="912"/>
      <c r="AC123" s="912"/>
      <c r="AD123" s="912"/>
      <c r="AE123" s="912"/>
      <c r="AF123" s="912"/>
      <c r="AG123" s="912"/>
      <c r="AH123" s="912"/>
      <c r="AI123" s="912"/>
      <c r="AJ123" s="912"/>
      <c r="AK123" s="912"/>
      <c r="AL123" s="912"/>
      <c r="AM123" s="915"/>
      <c r="AN123" s="915"/>
    </row>
    <row r="124" spans="3:40" ht="14.1">
      <c r="C124" s="57"/>
      <c r="D124" s="175" t="s">
        <v>281</v>
      </c>
      <c r="E124" s="180">
        <f>'BOD-Cold &amp; Amb.'!AN110</f>
        <v>1000</v>
      </c>
      <c r="F124" s="176" t="s">
        <v>282</v>
      </c>
      <c r="G124" s="180">
        <f>'BOD-Cold &amp; Amb.'!AM110</f>
        <v>150</v>
      </c>
      <c r="H124" s="176" t="s">
        <v>283</v>
      </c>
      <c r="I124" s="181">
        <f>'BOD-Cold &amp; Amb.'!AO110</f>
        <v>40</v>
      </c>
      <c r="J124" s="902"/>
      <c r="K124" s="902"/>
      <c r="L124" s="902"/>
      <c r="M124" s="902"/>
      <c r="N124" s="902"/>
      <c r="O124" s="902"/>
      <c r="P124" s="902"/>
      <c r="Q124" s="913"/>
      <c r="R124" s="913"/>
      <c r="S124" s="913"/>
      <c r="T124" s="913"/>
      <c r="U124" s="912"/>
      <c r="V124" s="912"/>
      <c r="W124" s="913"/>
      <c r="X124" s="912"/>
      <c r="Y124" s="912"/>
      <c r="Z124" s="912"/>
      <c r="AA124" s="912"/>
      <c r="AB124" s="912"/>
      <c r="AC124" s="912"/>
      <c r="AD124" s="912"/>
      <c r="AE124" s="912"/>
      <c r="AF124" s="912"/>
      <c r="AG124" s="912"/>
      <c r="AH124" s="912"/>
      <c r="AI124" s="912"/>
      <c r="AJ124" s="912"/>
      <c r="AK124" s="912"/>
      <c r="AL124" s="912"/>
      <c r="AM124" s="915"/>
      <c r="AN124" s="915"/>
    </row>
    <row r="125" spans="3:40" ht="21.6" customHeight="1">
      <c r="C125" s="57"/>
      <c r="D125" s="175" t="s">
        <v>284</v>
      </c>
      <c r="E125" s="180">
        <f>'BOD-Cold &amp; Amb.'!AP110</f>
        <v>6</v>
      </c>
      <c r="F125" s="832" t="s">
        <v>285</v>
      </c>
      <c r="G125" s="837" t="str">
        <f>IF(OR(I122=0, E125="Amb"), "Amb",IF('BOD-Cold &amp; Amb.'!AH85="C", "Header",IF('BOD-Cold &amp; Amb.'!AH85="D", "Distributor", "Refer")))</f>
        <v>Header</v>
      </c>
      <c r="H125" s="832" t="s">
        <v>286</v>
      </c>
      <c r="I125" s="833" t="str">
        <f>IF(OR(I122=0, E125=0), 0,ROUND(((( I122/E125)*304.8)/(E123-400))*1000,0)&amp;" h "&amp;" x " &amp; (E123-400)&amp;" w ")</f>
        <v xml:space="preserve">1991 h  x 2500 w </v>
      </c>
      <c r="J125" s="902"/>
      <c r="K125" s="902"/>
      <c r="L125" s="902"/>
      <c r="M125" s="902"/>
      <c r="N125" s="902"/>
      <c r="O125" s="902"/>
      <c r="P125" s="902"/>
      <c r="Q125" s="913"/>
      <c r="R125" s="913"/>
      <c r="S125" s="913"/>
      <c r="T125" s="913"/>
      <c r="U125" s="912"/>
      <c r="V125" s="912"/>
      <c r="W125" s="913"/>
      <c r="X125" s="912"/>
      <c r="Y125" s="912"/>
      <c r="Z125" s="912"/>
      <c r="AA125" s="912"/>
      <c r="AB125" s="912"/>
      <c r="AC125" s="912"/>
      <c r="AD125" s="912"/>
      <c r="AE125" s="912"/>
      <c r="AF125" s="912"/>
      <c r="AG125" s="912"/>
      <c r="AH125" s="912"/>
      <c r="AI125" s="912"/>
      <c r="AJ125" s="912"/>
      <c r="AK125" s="912"/>
      <c r="AL125" s="912"/>
      <c r="AM125" s="915"/>
      <c r="AN125" s="915"/>
    </row>
    <row r="126" spans="3:40" ht="21">
      <c r="C126" s="57"/>
      <c r="D126" s="175" t="s">
        <v>287</v>
      </c>
      <c r="E126" s="180">
        <f>'BOD-Cold &amp; Amb.'!AR110</f>
        <v>3</v>
      </c>
      <c r="F126" s="176" t="s">
        <v>288</v>
      </c>
      <c r="G126" s="177" t="str">
        <f>IF(E126=4,"10µ, 5µ, 1µ &amp; 0.3µ (HEPA Plenum Fitted 95% eff.)",IF(E126=3,"10µ, 5µ &amp; 1µ ",IF(E126=2,"10µ  &amp; 5µ",IF(E126=1,"10µ", "Filter Ratings"))))</f>
        <v xml:space="preserve">10µ, 5µ &amp; 1µ </v>
      </c>
      <c r="H126" s="178"/>
      <c r="I126" s="179"/>
      <c r="J126" s="902"/>
      <c r="K126" s="902"/>
      <c r="L126" s="902"/>
      <c r="M126" s="902"/>
      <c r="N126" s="902"/>
      <c r="O126" s="902"/>
      <c r="P126" s="902"/>
      <c r="Q126" s="913"/>
      <c r="R126" s="913"/>
      <c r="S126" s="913"/>
      <c r="T126" s="913"/>
      <c r="U126" s="912"/>
      <c r="V126" s="912"/>
      <c r="W126" s="913"/>
      <c r="X126" s="912"/>
      <c r="Y126" s="912"/>
      <c r="Z126" s="912"/>
      <c r="AA126" s="912"/>
      <c r="AB126" s="912"/>
      <c r="AC126" s="912"/>
      <c r="AD126" s="912"/>
      <c r="AE126" s="912"/>
      <c r="AF126" s="912"/>
      <c r="AG126" s="912"/>
      <c r="AH126" s="912"/>
      <c r="AI126" s="912"/>
      <c r="AJ126" s="912"/>
      <c r="AK126" s="912"/>
      <c r="AL126" s="912"/>
      <c r="AM126" s="915"/>
      <c r="AN126" s="915"/>
    </row>
    <row r="127" spans="3:40">
      <c r="C127" s="57"/>
      <c r="D127" s="922" t="s">
        <v>289</v>
      </c>
      <c r="E127" s="923"/>
      <c r="F127" s="923"/>
      <c r="G127" s="923"/>
      <c r="H127" s="923"/>
      <c r="I127" s="924"/>
      <c r="J127" s="902"/>
      <c r="K127" s="902"/>
      <c r="L127" s="902"/>
      <c r="M127" s="902"/>
      <c r="N127" s="902"/>
      <c r="O127" s="902"/>
      <c r="P127" s="902"/>
      <c r="Q127" s="913"/>
      <c r="R127" s="913"/>
      <c r="S127" s="913"/>
      <c r="T127" s="913"/>
      <c r="U127" s="912"/>
      <c r="V127" s="912"/>
      <c r="W127" s="913"/>
      <c r="X127" s="912"/>
      <c r="Y127" s="912"/>
      <c r="Z127" s="912"/>
      <c r="AA127" s="912"/>
      <c r="AB127" s="912"/>
      <c r="AC127" s="912"/>
      <c r="AD127" s="912"/>
      <c r="AE127" s="912"/>
      <c r="AF127" s="912"/>
      <c r="AG127" s="912"/>
      <c r="AH127" s="912"/>
      <c r="AI127" s="912"/>
      <c r="AJ127" s="912"/>
      <c r="AK127" s="912"/>
      <c r="AL127" s="912"/>
      <c r="AM127" s="915"/>
      <c r="AN127" s="915"/>
    </row>
    <row r="128" spans="3:40" ht="24.95">
      <c r="C128" s="57"/>
      <c r="D128" s="58" t="s">
        <v>290</v>
      </c>
      <c r="E128" s="58" t="s">
        <v>291</v>
      </c>
      <c r="F128" s="58" t="s">
        <v>292</v>
      </c>
      <c r="G128" s="58" t="s">
        <v>293</v>
      </c>
      <c r="H128" s="58" t="s">
        <v>294</v>
      </c>
      <c r="I128" s="179"/>
      <c r="J128" s="902"/>
      <c r="K128" s="902"/>
      <c r="L128" s="902"/>
      <c r="M128" s="902"/>
      <c r="N128" s="902"/>
      <c r="O128" s="902"/>
      <c r="P128" s="902"/>
      <c r="Q128" s="913"/>
      <c r="R128" s="913"/>
      <c r="S128" s="913"/>
      <c r="T128" s="913"/>
      <c r="U128" s="912"/>
      <c r="V128" s="912"/>
      <c r="W128" s="913"/>
      <c r="X128" s="912"/>
      <c r="Y128" s="912"/>
      <c r="Z128" s="912"/>
      <c r="AA128" s="912"/>
      <c r="AB128" s="912"/>
      <c r="AC128" s="912"/>
      <c r="AD128" s="912"/>
      <c r="AE128" s="912"/>
      <c r="AF128" s="912"/>
      <c r="AG128" s="912"/>
      <c r="AH128" s="912"/>
      <c r="AI128" s="912"/>
      <c r="AJ128" s="912"/>
      <c r="AK128" s="912"/>
      <c r="AL128" s="912"/>
      <c r="AM128" s="915"/>
      <c r="AN128" s="915"/>
    </row>
    <row r="129" spans="3:40" ht="14.1">
      <c r="C129" s="57"/>
      <c r="D129" s="58"/>
      <c r="E129" s="58">
        <f>IF(E123&lt;=950,2,(IF(E123&lt;=1150,3,(IF(E123&lt;=1550,4,(IF(E123&lt;=1750,5,(IF(E123&lt;=2050,6,(IF(E123&lt;=2900,8,(IF(E123&lt;=3600,10,IF(E123&lt;=4000,12,0))))))))))))))</f>
        <v>8</v>
      </c>
      <c r="F129" s="58">
        <f>IF(G123&lt;=950,2,(IF(G123&lt;=1150,3,(IF(G123&lt;=1550,4,(IF(G123&lt;=1750,5,(IF(G123&lt;=2050,6,(IF(G123&lt;=2900,8,(IF(G123&lt;=3600,10,IF(E123&lt;=4000,12,0))))))))))))))</f>
        <v>8</v>
      </c>
      <c r="G129" s="58"/>
      <c r="H129" s="60"/>
      <c r="I129" s="834"/>
      <c r="J129" s="902"/>
      <c r="K129" s="902"/>
      <c r="L129" s="902"/>
      <c r="M129" s="902"/>
      <c r="N129" s="902"/>
      <c r="O129" s="902"/>
      <c r="P129" s="902"/>
      <c r="Q129" s="913"/>
      <c r="R129" s="913"/>
      <c r="S129" s="913"/>
      <c r="T129" s="913"/>
      <c r="U129" s="912"/>
      <c r="V129" s="912"/>
      <c r="W129" s="913"/>
      <c r="X129" s="912"/>
      <c r="Y129" s="912"/>
      <c r="Z129" s="912"/>
      <c r="AA129" s="912"/>
      <c r="AB129" s="912"/>
      <c r="AC129" s="912"/>
      <c r="AD129" s="912"/>
      <c r="AE129" s="912"/>
      <c r="AF129" s="912"/>
      <c r="AG129" s="912"/>
      <c r="AH129" s="912"/>
      <c r="AI129" s="912"/>
      <c r="AJ129" s="912"/>
      <c r="AK129" s="912"/>
      <c r="AL129" s="912"/>
      <c r="AM129" s="915"/>
      <c r="AN129" s="915"/>
    </row>
    <row r="130" spans="3:40" ht="14.1">
      <c r="C130" s="57"/>
      <c r="D130" s="58">
        <f>IF(AND(I122=0, OR(E126=1, E126=2, E126=3, E126=4, E126=5)), "20µ", 0)</f>
        <v>0</v>
      </c>
      <c r="E130" s="58">
        <f>IF(OR(D130=0),0,IF(MOD($E$42*$F$42,2)=0,"610",IF(MOD($E$42*$F$42,2.5)=0,"760",IF(MOD($E$42*$F$42,3)=0,"915","Refer"))))</f>
        <v>0</v>
      </c>
      <c r="F130" s="58">
        <f>IF(OR(D130=0),0,IF(MOD($E$42*$F$42,6)=0,"915",IF(MOD($E$42*$F$42,5)=0,"760",IF(MOD($E$42*$F$42,4)=0,"610","Refer"))))</f>
        <v>0</v>
      </c>
      <c r="G130" s="58">
        <f>IF(D130=0,0,100)</f>
        <v>0</v>
      </c>
      <c r="H130" s="60">
        <f>IF(D130=0,0,($E$42*$F$42*305*305)/(E130*F130))</f>
        <v>0</v>
      </c>
      <c r="I130" s="834"/>
      <c r="J130" s="902"/>
      <c r="K130" s="902"/>
      <c r="L130" s="902"/>
      <c r="M130" s="902"/>
      <c r="N130" s="902"/>
      <c r="O130" s="902"/>
      <c r="P130" s="902"/>
      <c r="Q130" s="55"/>
      <c r="R130" s="55"/>
      <c r="S130" s="55"/>
      <c r="T130" s="55"/>
      <c r="U130" s="45"/>
      <c r="V130" s="45"/>
      <c r="W130" s="55"/>
      <c r="X130" s="45"/>
      <c r="Y130" s="45"/>
      <c r="Z130" s="45"/>
      <c r="AA130" s="45"/>
      <c r="AB130" s="45"/>
      <c r="AC130" s="45"/>
      <c r="AD130" s="45"/>
      <c r="AE130" s="45"/>
      <c r="AF130" s="45"/>
      <c r="AG130" s="45"/>
      <c r="AH130" s="45"/>
      <c r="AI130" s="45"/>
      <c r="AJ130" s="45"/>
      <c r="AK130" s="45"/>
      <c r="AL130" s="45"/>
      <c r="AM130" s="63"/>
      <c r="AN130" s="63"/>
    </row>
    <row r="131" spans="3:40" ht="14.1">
      <c r="C131" s="57"/>
      <c r="D131" s="58" t="str">
        <f>IF(E126=4,"10µ",IF(E126=3,"10µ",IF(E126=2,"10µ",IF(E126=1,"10µ",0))))</f>
        <v>10µ</v>
      </c>
      <c r="E131" s="58" t="str">
        <f>IF(OR(D131=0),0,IF(MOD($E$42*$F$42,2)=0,"610",IF(MOD($E$42*$F$42,2.5)=0,"760",IF(MOD($E$42*$F$42,3)=0,"915","Refer"))))</f>
        <v>610</v>
      </c>
      <c r="F131" s="58" t="str">
        <f>IF(OR(D131=0),0,IF(MOD($E$42*$F$42,6)=0,"915",IF(MOD($E$42*$F$42,5)=0,"760",IF(MOD($E$42*$F$42,4)=0,"610","Refer"))))</f>
        <v>915</v>
      </c>
      <c r="G131" s="58">
        <f>IF(D131=0,0,150)</f>
        <v>150</v>
      </c>
      <c r="H131" s="60">
        <f>IF(D131=0,0,($E$42*$F$42*305*305)/(E131*F131))</f>
        <v>6</v>
      </c>
      <c r="I131" s="834"/>
      <c r="J131" s="902"/>
      <c r="K131" s="902"/>
      <c r="L131" s="902"/>
      <c r="M131" s="902"/>
      <c r="N131" s="902"/>
      <c r="O131" s="902"/>
      <c r="P131" s="902"/>
      <c r="Q131" s="913"/>
      <c r="R131" s="913"/>
      <c r="S131" s="913"/>
      <c r="T131" s="913"/>
      <c r="U131" s="912"/>
      <c r="V131" s="912"/>
      <c r="W131" s="913"/>
      <c r="X131" s="912"/>
      <c r="Y131" s="912"/>
      <c r="Z131" s="912"/>
      <c r="AA131" s="912"/>
      <c r="AB131" s="912"/>
      <c r="AC131" s="912"/>
      <c r="AD131" s="912"/>
      <c r="AE131" s="912"/>
      <c r="AF131" s="912"/>
      <c r="AG131" s="912"/>
      <c r="AH131" s="912"/>
      <c r="AI131" s="912"/>
      <c r="AJ131" s="912"/>
      <c r="AK131" s="912"/>
      <c r="AL131" s="912"/>
      <c r="AM131" s="915"/>
      <c r="AN131" s="915"/>
    </row>
    <row r="132" spans="3:40" ht="14.1">
      <c r="C132" s="57"/>
      <c r="D132" s="58" t="str">
        <f>IF(E126=4,"5µ",IF(E126=3,"5µ",IF(E126=2,"5µ",0)))</f>
        <v>5µ</v>
      </c>
      <c r="E132" s="58" t="str">
        <f t="shared" ref="E132:E134" si="70">IF(OR(D132=0),0,IF(MOD($E$42*$F$42,2)=0,"610",IF(MOD($E$42*$F$42,2.5)=0,"760",IF(MOD($E$42*$F$42,3)=0,"915","Refer"))))</f>
        <v>610</v>
      </c>
      <c r="F132" s="58" t="str">
        <f>IF(OR(D132=0),0,IF(MOD($E$42*$F$42,6)=0,"915",IF(MOD($E$42*$F$42,5)=0,"760",IF(MOD($E$42*$F$42,4)=0,"610","Refer"))))</f>
        <v>915</v>
      </c>
      <c r="G132" s="58">
        <f>IF(D132=0,0,300)</f>
        <v>300</v>
      </c>
      <c r="H132" s="60">
        <f>IF(D132=0,0,($E$42*$F$42*305*305)/(E132*F132))</f>
        <v>6</v>
      </c>
      <c r="I132" s="834"/>
      <c r="J132" s="902"/>
      <c r="K132" s="902"/>
      <c r="L132" s="902"/>
      <c r="M132" s="902"/>
      <c r="N132" s="902"/>
      <c r="O132" s="902"/>
      <c r="P132" s="902"/>
      <c r="Q132" s="913"/>
      <c r="R132" s="913"/>
      <c r="S132" s="913"/>
      <c r="T132" s="913"/>
      <c r="U132" s="912"/>
      <c r="V132" s="912"/>
      <c r="W132" s="913"/>
      <c r="X132" s="912"/>
      <c r="Y132" s="912"/>
      <c r="Z132" s="912"/>
      <c r="AA132" s="912"/>
      <c r="AB132" s="912"/>
      <c r="AC132" s="912"/>
      <c r="AD132" s="912"/>
      <c r="AE132" s="912"/>
      <c r="AF132" s="912"/>
      <c r="AG132" s="912"/>
      <c r="AH132" s="912"/>
      <c r="AI132" s="912"/>
      <c r="AJ132" s="912"/>
      <c r="AK132" s="912"/>
      <c r="AL132" s="912"/>
      <c r="AM132" s="915"/>
      <c r="AN132" s="915"/>
    </row>
    <row r="133" spans="3:40" ht="14.1">
      <c r="C133" s="57"/>
      <c r="D133" s="58" t="str">
        <f>IF(E126=4,"1µ",IF(E126=3,"1µ",0))</f>
        <v>1µ</v>
      </c>
      <c r="E133" s="58" t="str">
        <f t="shared" si="70"/>
        <v>610</v>
      </c>
      <c r="F133" s="58" t="str">
        <f>IF(OR(D133=0),0,IF(MOD($E$42*$F$42,6)=0,"915",IF(MOD($E$42*$F$42,5)=0,"760",IF(MOD($E$42*$F$42,4)=0,"610","Refer"))))</f>
        <v>915</v>
      </c>
      <c r="G133" s="58">
        <f>IF(D133=0,0,300)</f>
        <v>300</v>
      </c>
      <c r="H133" s="60">
        <f>IF(D133=0,0,($E$42*$F$42*305*305)/(E133*F133))</f>
        <v>6</v>
      </c>
      <c r="I133" s="834"/>
      <c r="J133" s="902"/>
      <c r="K133" s="902"/>
      <c r="L133" s="902"/>
      <c r="M133" s="902"/>
      <c r="N133" s="902"/>
      <c r="O133" s="902"/>
      <c r="P133" s="902"/>
      <c r="Q133" s="913"/>
      <c r="R133" s="913"/>
      <c r="S133" s="913"/>
      <c r="T133" s="913"/>
      <c r="U133" s="912"/>
      <c r="V133" s="912"/>
      <c r="W133" s="913"/>
      <c r="X133" s="912"/>
      <c r="Y133" s="912"/>
      <c r="Z133" s="912"/>
      <c r="AA133" s="912"/>
      <c r="AB133" s="912"/>
      <c r="AC133" s="912"/>
      <c r="AD133" s="912"/>
      <c r="AE133" s="912"/>
      <c r="AF133" s="912"/>
      <c r="AG133" s="912"/>
      <c r="AH133" s="912"/>
      <c r="AI133" s="912"/>
      <c r="AJ133" s="912"/>
      <c r="AK133" s="912"/>
      <c r="AL133" s="912"/>
      <c r="AM133" s="915"/>
      <c r="AN133" s="915"/>
    </row>
    <row r="134" spans="3:40" ht="14.1">
      <c r="C134" s="57"/>
      <c r="D134" s="58">
        <f>IF(E126=4,"0.3µ 95% Eff. HEPA Filetr",0)</f>
        <v>0</v>
      </c>
      <c r="E134" s="58">
        <f t="shared" si="70"/>
        <v>0</v>
      </c>
      <c r="F134" s="58">
        <f>IF(OR(D134=0),0,IF(MOD($E$42*$F$42,6)=0,"915",IF(MOD($E$42*$F$42,5)=0,"760",IF(MOD($E$42*$F$42,4)=0,"610","Refer"))))</f>
        <v>0</v>
      </c>
      <c r="G134" s="58">
        <f>IF(D134=0,0,300)</f>
        <v>0</v>
      </c>
      <c r="H134" s="60">
        <f>IF(D134=0,0,($E$42*$F$42*305*305)/(E134*F134))</f>
        <v>0</v>
      </c>
      <c r="I134" s="836"/>
      <c r="J134" s="902"/>
      <c r="K134" s="902"/>
      <c r="L134" s="902"/>
      <c r="M134" s="902"/>
      <c r="N134" s="902"/>
      <c r="O134" s="902"/>
      <c r="P134" s="902"/>
      <c r="Q134" s="913"/>
      <c r="R134" s="913"/>
      <c r="S134" s="913"/>
      <c r="T134" s="913"/>
      <c r="U134" s="912"/>
      <c r="V134" s="912"/>
      <c r="W134" s="913"/>
      <c r="X134" s="912"/>
      <c r="Y134" s="912"/>
      <c r="Z134" s="912"/>
      <c r="AA134" s="912"/>
      <c r="AB134" s="912"/>
      <c r="AC134" s="912"/>
      <c r="AD134" s="912"/>
      <c r="AE134" s="912"/>
      <c r="AF134" s="912"/>
      <c r="AG134" s="912"/>
      <c r="AH134" s="912"/>
      <c r="AI134" s="912"/>
      <c r="AJ134" s="912"/>
      <c r="AK134" s="912"/>
      <c r="AL134" s="912"/>
      <c r="AM134" s="915"/>
      <c r="AN134" s="915"/>
    </row>
    <row r="135" spans="3:40" ht="14.1">
      <c r="C135" s="57"/>
      <c r="D135" s="826"/>
      <c r="E135" s="182"/>
      <c r="F135" s="182"/>
      <c r="G135" s="182"/>
      <c r="H135" s="182"/>
      <c r="I135" s="827"/>
      <c r="J135" s="52"/>
      <c r="K135" s="52"/>
      <c r="L135" s="52"/>
      <c r="M135" s="52"/>
      <c r="N135" s="52"/>
      <c r="O135" s="828"/>
      <c r="P135" s="828"/>
      <c r="Q135" s="55"/>
      <c r="R135" s="55"/>
      <c r="S135" s="55"/>
      <c r="T135" s="55"/>
      <c r="U135" s="45"/>
      <c r="V135" s="45"/>
      <c r="W135" s="55"/>
      <c r="X135" s="45"/>
      <c r="Y135" s="45"/>
      <c r="Z135" s="45"/>
      <c r="AA135" s="45"/>
      <c r="AB135" s="45"/>
      <c r="AC135" s="45"/>
      <c r="AD135" s="45"/>
      <c r="AE135" s="45"/>
      <c r="AF135" s="45"/>
      <c r="AG135" s="45"/>
      <c r="AH135" s="45"/>
      <c r="AI135" s="45"/>
      <c r="AJ135" s="45"/>
      <c r="AK135" s="45"/>
      <c r="AL135" s="45"/>
      <c r="AM135" s="63"/>
      <c r="AN135" s="63"/>
    </row>
    <row r="136" spans="3:40" ht="14.1" customHeight="1">
      <c r="C136" s="57"/>
      <c r="D136" s="901" t="str">
        <f>"AHU - " &amp; INT((ROW()-34)/14)+1 &amp; "  " &amp; IF(I137&gt;0,"Air-Conditioning System " &amp; IF(OR(G140="Header", G140="C"), "(Chilled Water)",IF(OR(G140="Distributor", G140="D"), "(DX)", "Ventilation System")),IF(NOT(I137&gt;0), "Ventilation System ( SUPPLY )", "Refer"))</f>
        <v>AHU - 8  Air-Conditioning System (Chilled Water)</v>
      </c>
      <c r="E136" s="901"/>
      <c r="F136" s="901"/>
      <c r="G136" s="901"/>
      <c r="H136" s="901"/>
      <c r="I136" s="901"/>
      <c r="J136" s="52"/>
      <c r="K136" s="52"/>
      <c r="L136" s="53"/>
      <c r="M136" s="53"/>
      <c r="N136" s="53"/>
      <c r="O136" s="54"/>
      <c r="P136" s="55"/>
      <c r="AM136" s="56"/>
      <c r="AN136" s="56"/>
    </row>
    <row r="137" spans="3:40" ht="14.1">
      <c r="C137" s="57"/>
      <c r="D137" s="175" t="s">
        <v>274</v>
      </c>
      <c r="E137" s="180" t="str">
        <f>'BOD-Cold &amp; Amb.'!R130</f>
        <v>ISO 6</v>
      </c>
      <c r="F137" s="175" t="s">
        <v>275</v>
      </c>
      <c r="G137" s="180">
        <f>'BOD-Cold &amp; Amb.'!AK130</f>
        <v>42500</v>
      </c>
      <c r="H137" s="175" t="s">
        <v>276</v>
      </c>
      <c r="I137" s="181">
        <f>'BOD-Cold &amp; Amb.'!AQ130</f>
        <v>108.5</v>
      </c>
      <c r="J137" s="902" t="s">
        <v>277</v>
      </c>
      <c r="K137" s="902">
        <v>1</v>
      </c>
      <c r="L137" s="917">
        <f>Q137</f>
        <v>2070750</v>
      </c>
      <c r="M137" s="902">
        <f>K137*L137</f>
        <v>2070750</v>
      </c>
      <c r="N137" s="902"/>
      <c r="O137" s="902"/>
      <c r="P137" s="902"/>
      <c r="Q137" s="913">
        <f t="shared" ref="Q137" si="71">CEILING((S137+T137+U137+V137+W137),250)</f>
        <v>2070750</v>
      </c>
      <c r="R137" s="913">
        <f>IF(I137&gt;0,625,375)</f>
        <v>625</v>
      </c>
      <c r="S137" s="913">
        <f>(E138*G138*3*10.76+E138*I138*2*10.76+G138*I138*2*10.76)*R137/(1000*1000)</f>
        <v>883396</v>
      </c>
      <c r="T137" s="913">
        <f>I137*4*1050</f>
        <v>455700</v>
      </c>
      <c r="U137" s="912">
        <f>IF(G137&lt;=2000,5000,(IF(G137&lt;=5000,8000,(IF(G137&lt;=10000,10000,(IF(G137&lt;=18000,15000,(IF(G137&lt;=40000,20000,25000)))))))))</f>
        <v>25000</v>
      </c>
      <c r="V137" s="912">
        <f t="shared" ref="V137" si="72">IF(X137=200,17150,(IF(X137=225,18150,(IF(X137=250,18900,(IF(X137=280,19150,(IF(X137=315,19650,(IF(X137=355,21900,(IF(X137=400,24400,0)))))))))))))+IF(X137=450,31000,(IF(X137=500,37450,(IF(X137=560,45650,(IF(X137=630,58900,(IF(X137=710,77950,0)))))))))+IF(X137=800,119650,(IF(X137=900,153300,(IF(X137=1000,178900,(IF(X137=1120,286500,(IF(X137=1250,394500,(IF(X137=1450,461500,0)))))))))))</f>
        <v>286500</v>
      </c>
      <c r="W137" s="913">
        <f>IF(I139=0.5,16600,(IF(I139=1,19050,(IF(I139=1.5,21750,(IF(I139=2,23600,(IF(I139=3,30000,(IF(I139=5,38000,0)))))))))))*1.2+IF(I139=7.5,52300,(IF(I139=10,59600,0)))*1.2+IF(I139=12.5,100350,(IF(I139=15,106000,(IF(I139=20,129150,(IF(I139=25,146050,(IF(I139=30,173600,(IF(I139=40,233900,(IF(I139=50,304650,IF(I139=60,350000,400000)))))))))))))*1.2)</f>
        <v>420000</v>
      </c>
      <c r="X137" s="912">
        <f>E139</f>
        <v>1120</v>
      </c>
      <c r="Y137" s="912">
        <f t="shared" ref="Y137" si="73">IF(G137&lt;=6750,450,(IF(G137&lt;=8500,500,(IF(G137&lt;=10750,560,(IF(G137&lt;=13500,630,(IF(G137&lt;=17000,710,(IF(G137&lt;=21500,800,(IF(G137&lt;=27000,900,(IF(G137&lt;=34000,1000,0)))))))))))))))</f>
        <v>0</v>
      </c>
      <c r="Z137" s="912">
        <f t="shared" ref="Z137" si="74">IF(G137&lt;=1300,200,(IF(G137&lt;=1600,225,(IF(G137&lt;=2100,250,(IF(G137&lt;=2700,280,(IF(G137&lt;=3450,315,(IF(G137&lt;=4250,355,(IF(G137&lt;=5250,400,(IF(G137&lt;=6750,450,0)))))))))))))))</f>
        <v>0</v>
      </c>
      <c r="AA137" s="912">
        <f t="shared" ref="AA137" si="75">IF(G137&lt;=2000,5000,(IF(G137&lt;=5000,8000,(IF(G137&lt;=10000,10000,(IF(G137&lt;=18000,15000,(IF(G137&lt;=40000,20000,10000)))))))))</f>
        <v>10000</v>
      </c>
      <c r="AB137" s="912">
        <f>IF(E138=950,2,(IF(E138=1150,3,(IF(E138=1550,4,(IF(E138=1750,5,(IF(E138=2050,6,(IF(E138=2900,8,(IF(E138=3600,10,12)))))))))))))</f>
        <v>12</v>
      </c>
      <c r="AC137" s="912">
        <f>IF(G138=950,2,(IF(G138=1150,3,(IF(G138=1550,4,(IF(G138=1750,5,(IF(G138=2050,6,(IF(G138=2900,8,(IF(G138=3600,10,12)))))))))))))</f>
        <v>10</v>
      </c>
      <c r="AD137" s="912">
        <f t="shared" ref="AD137" si="76">AC137*AB137</f>
        <v>120</v>
      </c>
      <c r="AE137" s="912">
        <v>150</v>
      </c>
      <c r="AF137" s="912">
        <f t="shared" ref="AF137" si="77">CEILING((SQRT(G137/1000))*4*2*AE137*1.25*K137,100)</f>
        <v>9800</v>
      </c>
      <c r="AG137" s="912">
        <f>E145*F145*H145/(305*305)</f>
        <v>0</v>
      </c>
      <c r="AH137" s="912">
        <f>E146*F146*H146/(305*305)</f>
        <v>36</v>
      </c>
      <c r="AI137" s="912">
        <f>H147*E147*F147/(305*305)</f>
        <v>36</v>
      </c>
      <c r="AJ137" s="912">
        <f>H148*E148*F148/(305*305)</f>
        <v>36</v>
      </c>
      <c r="AK137" s="912">
        <f>H149*E149*F149/(305*305)</f>
        <v>0</v>
      </c>
      <c r="AL137" s="912"/>
      <c r="AM137" s="915">
        <f t="shared" ref="AM137" si="78">(G137*2.2/1100)</f>
        <v>85.000000000000014</v>
      </c>
      <c r="AN137" s="915">
        <f t="shared" ref="AN137" si="79">(G137*1/1100)</f>
        <v>38.636363636363633</v>
      </c>
    </row>
    <row r="138" spans="3:40" ht="14.1">
      <c r="C138" s="57"/>
      <c r="D138" s="175" t="s">
        <v>278</v>
      </c>
      <c r="E138" s="180">
        <f>'BOD-Cold &amp; Amb.'!AL131</f>
        <v>4000</v>
      </c>
      <c r="F138" s="175" t="s">
        <v>279</v>
      </c>
      <c r="G138" s="180">
        <f>'BOD-Cold &amp; Amb.'!AL133</f>
        <v>3600</v>
      </c>
      <c r="H138" s="175" t="s">
        <v>280</v>
      </c>
      <c r="I138" s="181">
        <f>'BOD-Cold &amp; Amb.'!AL135</f>
        <v>5800</v>
      </c>
      <c r="J138" s="902"/>
      <c r="K138" s="902"/>
      <c r="L138" s="902"/>
      <c r="M138" s="902"/>
      <c r="N138" s="902"/>
      <c r="O138" s="902"/>
      <c r="P138" s="902"/>
      <c r="Q138" s="913"/>
      <c r="R138" s="913"/>
      <c r="S138" s="913"/>
      <c r="T138" s="913"/>
      <c r="U138" s="912"/>
      <c r="V138" s="912"/>
      <c r="W138" s="913"/>
      <c r="X138" s="912"/>
      <c r="Y138" s="912"/>
      <c r="Z138" s="912"/>
      <c r="AA138" s="912"/>
      <c r="AB138" s="912"/>
      <c r="AC138" s="912"/>
      <c r="AD138" s="912"/>
      <c r="AE138" s="912"/>
      <c r="AF138" s="912"/>
      <c r="AG138" s="912"/>
      <c r="AH138" s="912"/>
      <c r="AI138" s="912"/>
      <c r="AJ138" s="912"/>
      <c r="AK138" s="912"/>
      <c r="AL138" s="912"/>
      <c r="AM138" s="915"/>
      <c r="AN138" s="915"/>
    </row>
    <row r="139" spans="3:40" ht="14.1">
      <c r="C139" s="57"/>
      <c r="D139" s="175" t="s">
        <v>281</v>
      </c>
      <c r="E139" s="180">
        <f>'BOD-Cold &amp; Amb.'!AN130</f>
        <v>1120</v>
      </c>
      <c r="F139" s="176" t="s">
        <v>282</v>
      </c>
      <c r="G139" s="180">
        <f>'BOD-Cold &amp; Amb.'!AM130</f>
        <v>150</v>
      </c>
      <c r="H139" s="176" t="s">
        <v>283</v>
      </c>
      <c r="I139" s="181">
        <f>'BOD-Cold &amp; Amb.'!AO130</f>
        <v>60</v>
      </c>
      <c r="J139" s="902"/>
      <c r="K139" s="902"/>
      <c r="L139" s="902"/>
      <c r="M139" s="902"/>
      <c r="N139" s="902"/>
      <c r="O139" s="902"/>
      <c r="P139" s="902"/>
      <c r="Q139" s="913"/>
      <c r="R139" s="913"/>
      <c r="S139" s="913"/>
      <c r="T139" s="913"/>
      <c r="U139" s="912"/>
      <c r="V139" s="912"/>
      <c r="W139" s="913"/>
      <c r="X139" s="912"/>
      <c r="Y139" s="912"/>
      <c r="Z139" s="912"/>
      <c r="AA139" s="912"/>
      <c r="AB139" s="912"/>
      <c r="AC139" s="912"/>
      <c r="AD139" s="912"/>
      <c r="AE139" s="912"/>
      <c r="AF139" s="912"/>
      <c r="AG139" s="912"/>
      <c r="AH139" s="912"/>
      <c r="AI139" s="912"/>
      <c r="AJ139" s="912"/>
      <c r="AK139" s="912"/>
      <c r="AL139" s="912"/>
      <c r="AM139" s="915"/>
      <c r="AN139" s="915"/>
    </row>
    <row r="140" spans="3:40" ht="21.6" customHeight="1">
      <c r="C140" s="57"/>
      <c r="D140" s="175" t="s">
        <v>284</v>
      </c>
      <c r="E140" s="180">
        <f>'BOD-Cold &amp; Amb.'!AP130</f>
        <v>4</v>
      </c>
      <c r="F140" s="832" t="s">
        <v>285</v>
      </c>
      <c r="G140" s="837" t="str">
        <f>IF(OR(I137=0, E140="Amb"), "Amb",IF('BOD-Cold &amp; Amb.'!AH100="C", "Header",IF('BOD-Cold &amp; Amb.'!AH100="D", "Distributor", "Refer")))</f>
        <v>Header</v>
      </c>
      <c r="H140" s="832" t="s">
        <v>286</v>
      </c>
      <c r="I140" s="833" t="str">
        <f>IF(OR(I137=0, E140=0), 0,ROUND(((( I137/E140)*304.8)/(E138-400))*1000,0)&amp;" h "&amp;" x " &amp; (E138-400)&amp;" w ")</f>
        <v xml:space="preserve">2297 h  x 3600 w </v>
      </c>
      <c r="J140" s="902"/>
      <c r="K140" s="902"/>
      <c r="L140" s="902"/>
      <c r="M140" s="902"/>
      <c r="N140" s="902"/>
      <c r="O140" s="902"/>
      <c r="P140" s="902"/>
      <c r="Q140" s="913"/>
      <c r="R140" s="913"/>
      <c r="S140" s="913"/>
      <c r="T140" s="913"/>
      <c r="U140" s="912"/>
      <c r="V140" s="912"/>
      <c r="W140" s="913"/>
      <c r="X140" s="912"/>
      <c r="Y140" s="912"/>
      <c r="Z140" s="912"/>
      <c r="AA140" s="912"/>
      <c r="AB140" s="912"/>
      <c r="AC140" s="912"/>
      <c r="AD140" s="912"/>
      <c r="AE140" s="912"/>
      <c r="AF140" s="912"/>
      <c r="AG140" s="912"/>
      <c r="AH140" s="912"/>
      <c r="AI140" s="912"/>
      <c r="AJ140" s="912"/>
      <c r="AK140" s="912"/>
      <c r="AL140" s="912"/>
      <c r="AM140" s="915"/>
      <c r="AN140" s="915"/>
    </row>
    <row r="141" spans="3:40" ht="21">
      <c r="C141" s="57"/>
      <c r="D141" s="175" t="s">
        <v>287</v>
      </c>
      <c r="E141" s="180">
        <f>'BOD-Cold &amp; Amb.'!AR130</f>
        <v>3</v>
      </c>
      <c r="F141" s="176" t="s">
        <v>288</v>
      </c>
      <c r="G141" s="177" t="str">
        <f>IF(E141=4,"10µ, 5µ, 1µ &amp; 0.3µ (HEPA Plenum Fitted 95% eff.)",IF(E141=3,"10µ, 5µ &amp; 1µ ",IF(E141=2,"10µ  &amp; 5µ",IF(E141=1,"10µ", "Filter Ratings"))))</f>
        <v xml:space="preserve">10µ, 5µ &amp; 1µ </v>
      </c>
      <c r="H141" s="178"/>
      <c r="I141" s="179"/>
      <c r="J141" s="902"/>
      <c r="K141" s="902"/>
      <c r="L141" s="902"/>
      <c r="M141" s="902"/>
      <c r="N141" s="902"/>
      <c r="O141" s="902"/>
      <c r="P141" s="902"/>
      <c r="Q141" s="913"/>
      <c r="R141" s="913"/>
      <c r="S141" s="913"/>
      <c r="T141" s="913"/>
      <c r="U141" s="912"/>
      <c r="V141" s="912"/>
      <c r="W141" s="913"/>
      <c r="X141" s="912"/>
      <c r="Y141" s="912"/>
      <c r="Z141" s="912"/>
      <c r="AA141" s="912"/>
      <c r="AB141" s="912"/>
      <c r="AC141" s="912"/>
      <c r="AD141" s="912"/>
      <c r="AE141" s="912"/>
      <c r="AF141" s="912"/>
      <c r="AG141" s="912"/>
      <c r="AH141" s="912"/>
      <c r="AI141" s="912"/>
      <c r="AJ141" s="912"/>
      <c r="AK141" s="912"/>
      <c r="AL141" s="912"/>
      <c r="AM141" s="915"/>
      <c r="AN141" s="915"/>
    </row>
    <row r="142" spans="3:40">
      <c r="C142" s="57"/>
      <c r="D142" s="922" t="s">
        <v>289</v>
      </c>
      <c r="E142" s="923"/>
      <c r="F142" s="923"/>
      <c r="G142" s="923"/>
      <c r="H142" s="923"/>
      <c r="I142" s="924"/>
      <c r="J142" s="902"/>
      <c r="K142" s="902"/>
      <c r="L142" s="902"/>
      <c r="M142" s="902"/>
      <c r="N142" s="902"/>
      <c r="O142" s="902"/>
      <c r="P142" s="902"/>
      <c r="Q142" s="913"/>
      <c r="R142" s="913"/>
      <c r="S142" s="913"/>
      <c r="T142" s="913"/>
      <c r="U142" s="912"/>
      <c r="V142" s="912"/>
      <c r="W142" s="913"/>
      <c r="X142" s="912"/>
      <c r="Y142" s="912"/>
      <c r="Z142" s="912"/>
      <c r="AA142" s="912"/>
      <c r="AB142" s="912"/>
      <c r="AC142" s="912"/>
      <c r="AD142" s="912"/>
      <c r="AE142" s="912"/>
      <c r="AF142" s="912"/>
      <c r="AG142" s="912"/>
      <c r="AH142" s="912"/>
      <c r="AI142" s="912"/>
      <c r="AJ142" s="912"/>
      <c r="AK142" s="912"/>
      <c r="AL142" s="912"/>
      <c r="AM142" s="915"/>
      <c r="AN142" s="915"/>
    </row>
    <row r="143" spans="3:40" ht="24.95">
      <c r="C143" s="57"/>
      <c r="D143" s="58" t="s">
        <v>290</v>
      </c>
      <c r="E143" s="58" t="s">
        <v>291</v>
      </c>
      <c r="F143" s="58" t="s">
        <v>292</v>
      </c>
      <c r="G143" s="58" t="s">
        <v>293</v>
      </c>
      <c r="H143" s="58" t="s">
        <v>294</v>
      </c>
      <c r="I143" s="179"/>
      <c r="J143" s="902"/>
      <c r="K143" s="902"/>
      <c r="L143" s="902"/>
      <c r="M143" s="902"/>
      <c r="N143" s="902"/>
      <c r="O143" s="902"/>
      <c r="P143" s="902"/>
      <c r="Q143" s="913"/>
      <c r="R143" s="913"/>
      <c r="S143" s="913"/>
      <c r="T143" s="913"/>
      <c r="U143" s="912"/>
      <c r="V143" s="912"/>
      <c r="W143" s="913"/>
      <c r="X143" s="912"/>
      <c r="Y143" s="912"/>
      <c r="Z143" s="912"/>
      <c r="AA143" s="912"/>
      <c r="AB143" s="912"/>
      <c r="AC143" s="912"/>
      <c r="AD143" s="912"/>
      <c r="AE143" s="912"/>
      <c r="AF143" s="912"/>
      <c r="AG143" s="912"/>
      <c r="AH143" s="912"/>
      <c r="AI143" s="912"/>
      <c r="AJ143" s="912"/>
      <c r="AK143" s="912"/>
      <c r="AL143" s="912"/>
      <c r="AM143" s="915"/>
      <c r="AN143" s="915"/>
    </row>
    <row r="144" spans="3:40" ht="14.1">
      <c r="C144" s="57"/>
      <c r="D144" s="58"/>
      <c r="E144" s="58">
        <f>IF(E138&lt;=950,2,(IF(E138&lt;=1150,3,(IF(E138&lt;=1550,4,(IF(E138&lt;=1750,5,(IF(E138&lt;=2050,6,(IF(E138&lt;=2900,8,(IF(E138&lt;=3600,10,IF(E138&lt;=4000,12,0))))))))))))))</f>
        <v>12</v>
      </c>
      <c r="F144" s="58">
        <f>IF(G138&lt;=950,2,(IF(G138&lt;=1150,3,(IF(G138&lt;=1550,4,(IF(G138&lt;=1750,5,(IF(G138&lt;=2050,6,(IF(G138&lt;=2900,8,(IF(G138&lt;=3600,10,IF(E138&lt;=4000,12,0))))))))))))))</f>
        <v>10</v>
      </c>
      <c r="G144" s="58"/>
      <c r="H144" s="60"/>
      <c r="I144" s="834"/>
      <c r="J144" s="902"/>
      <c r="K144" s="902"/>
      <c r="L144" s="902"/>
      <c r="M144" s="902"/>
      <c r="N144" s="902"/>
      <c r="O144" s="902"/>
      <c r="P144" s="902"/>
      <c r="Q144" s="913"/>
      <c r="R144" s="913"/>
      <c r="S144" s="913"/>
      <c r="T144" s="913"/>
      <c r="U144" s="912"/>
      <c r="V144" s="912"/>
      <c r="W144" s="913"/>
      <c r="X144" s="912"/>
      <c r="Y144" s="912"/>
      <c r="Z144" s="912"/>
      <c r="AA144" s="912"/>
      <c r="AB144" s="912"/>
      <c r="AC144" s="912"/>
      <c r="AD144" s="912"/>
      <c r="AE144" s="912"/>
      <c r="AF144" s="912"/>
      <c r="AG144" s="912"/>
      <c r="AH144" s="912"/>
      <c r="AI144" s="912"/>
      <c r="AJ144" s="912"/>
      <c r="AK144" s="912"/>
      <c r="AL144" s="912"/>
      <c r="AM144" s="915"/>
      <c r="AN144" s="915"/>
    </row>
    <row r="145" spans="3:40" ht="14.1">
      <c r="C145" s="57"/>
      <c r="D145" s="58">
        <f>IF(AND(I137=0, OR(E141=1, E141=2, E141=3, E141=4, E141=5)), "20µ", 0)</f>
        <v>0</v>
      </c>
      <c r="E145" s="58">
        <f>IF(OR(D145=0),0,IF(MOD($E$42*$F$42,2)=0,"610",IF(MOD($E$42*$F$42,2.5)=0,"760",IF(MOD($E$42*$F$42,3)=0,"915","Refer"))))</f>
        <v>0</v>
      </c>
      <c r="F145" s="58">
        <f>IF(OR(D145=0),0,IF(MOD($E$42*$F$42,6)=0,"915",IF(MOD($E$42*$F$42,5)=0,"760",IF(MOD($E$42*$F$42,4)=0,"610","Refer"))))</f>
        <v>0</v>
      </c>
      <c r="G145" s="58">
        <f>IF(D145=0,0,100)</f>
        <v>0</v>
      </c>
      <c r="H145" s="60">
        <f>IF(D145=0,0,($E$42*$F$42*305*305)/(E145*F145))</f>
        <v>0</v>
      </c>
      <c r="I145" s="834"/>
      <c r="J145" s="902"/>
      <c r="K145" s="902"/>
      <c r="L145" s="902"/>
      <c r="M145" s="902"/>
      <c r="N145" s="902"/>
      <c r="O145" s="902"/>
      <c r="P145" s="902"/>
      <c r="Q145" s="55"/>
      <c r="R145" s="55"/>
      <c r="S145" s="55"/>
      <c r="T145" s="55"/>
      <c r="U145" s="45"/>
      <c r="V145" s="45"/>
      <c r="W145" s="55"/>
      <c r="X145" s="45"/>
      <c r="Y145" s="45"/>
      <c r="Z145" s="45"/>
      <c r="AA145" s="45"/>
      <c r="AB145" s="45"/>
      <c r="AC145" s="45"/>
      <c r="AD145" s="45"/>
      <c r="AE145" s="45"/>
      <c r="AF145" s="45"/>
      <c r="AG145" s="45"/>
      <c r="AH145" s="45"/>
      <c r="AI145" s="45"/>
      <c r="AJ145" s="45"/>
      <c r="AK145" s="45"/>
      <c r="AL145" s="45"/>
      <c r="AM145" s="63"/>
      <c r="AN145" s="63"/>
    </row>
    <row r="146" spans="3:40" ht="14.1">
      <c r="C146" s="57"/>
      <c r="D146" s="58" t="str">
        <f>IF(E141=4,"10µ",IF(E141=3,"10µ",IF(E141=2,"10µ",IF(E141=1,"10µ",0))))</f>
        <v>10µ</v>
      </c>
      <c r="E146" s="58" t="str">
        <f>IF(OR(D146=0),0,IF(MOD($E$42*$F$42,2)=0,"610",IF(MOD($E$42*$F$42,2.5)=0,"760",IF(MOD($E$42*$F$42,3)=0,"915","Refer"))))</f>
        <v>610</v>
      </c>
      <c r="F146" s="58" t="str">
        <f>IF(OR(D146=0),0,IF(MOD($E$42*$F$42,6)=0,"915",IF(MOD($E$42*$F$42,5)=0,"760",IF(MOD($E$42*$F$42,4)=0,"610","Refer"))))</f>
        <v>915</v>
      </c>
      <c r="G146" s="58">
        <f>IF(D146=0,0,150)</f>
        <v>150</v>
      </c>
      <c r="H146" s="60">
        <f>IF(D146=0,0,($E$42*$F$42*305*305)/(E146*F146))</f>
        <v>6</v>
      </c>
      <c r="I146" s="834"/>
      <c r="J146" s="902"/>
      <c r="K146" s="902"/>
      <c r="L146" s="902"/>
      <c r="M146" s="902"/>
      <c r="N146" s="902"/>
      <c r="O146" s="902"/>
      <c r="P146" s="902"/>
      <c r="Q146" s="913"/>
      <c r="R146" s="913"/>
      <c r="S146" s="913"/>
      <c r="T146" s="913"/>
      <c r="U146" s="912"/>
      <c r="V146" s="912"/>
      <c r="W146" s="913"/>
      <c r="X146" s="912"/>
      <c r="Y146" s="912"/>
      <c r="Z146" s="912"/>
      <c r="AA146" s="912"/>
      <c r="AB146" s="912"/>
      <c r="AC146" s="912"/>
      <c r="AD146" s="912"/>
      <c r="AE146" s="912"/>
      <c r="AF146" s="912"/>
      <c r="AG146" s="912"/>
      <c r="AH146" s="912"/>
      <c r="AI146" s="912"/>
      <c r="AJ146" s="912"/>
      <c r="AK146" s="912"/>
      <c r="AL146" s="912"/>
      <c r="AM146" s="915"/>
      <c r="AN146" s="915"/>
    </row>
    <row r="147" spans="3:40" ht="14.1">
      <c r="C147" s="57"/>
      <c r="D147" s="58" t="str">
        <f>IF(E141=4,"5µ",IF(E141=3,"5µ",IF(E141=2,"5µ",0)))</f>
        <v>5µ</v>
      </c>
      <c r="E147" s="58" t="str">
        <f t="shared" ref="E147:E149" si="80">IF(OR(D147=0),0,IF(MOD($E$42*$F$42,2)=0,"610",IF(MOD($E$42*$F$42,2.5)=0,"760",IF(MOD($E$42*$F$42,3)=0,"915","Refer"))))</f>
        <v>610</v>
      </c>
      <c r="F147" s="58" t="str">
        <f>IF(OR(D147=0),0,IF(MOD($E$42*$F$42,6)=0,"915",IF(MOD($E$42*$F$42,5)=0,"760",IF(MOD($E$42*$F$42,4)=0,"610","Refer"))))</f>
        <v>915</v>
      </c>
      <c r="G147" s="58">
        <f>IF(D147=0,0,300)</f>
        <v>300</v>
      </c>
      <c r="H147" s="60">
        <f>IF(D147=0,0,($E$42*$F$42*305*305)/(E147*F147))</f>
        <v>6</v>
      </c>
      <c r="I147" s="834"/>
      <c r="J147" s="902"/>
      <c r="K147" s="902"/>
      <c r="L147" s="902"/>
      <c r="M147" s="902"/>
      <c r="N147" s="902"/>
      <c r="O147" s="902"/>
      <c r="P147" s="902"/>
      <c r="Q147" s="913"/>
      <c r="R147" s="913"/>
      <c r="S147" s="913"/>
      <c r="T147" s="913"/>
      <c r="U147" s="912"/>
      <c r="V147" s="912"/>
      <c r="W147" s="913"/>
      <c r="X147" s="912"/>
      <c r="Y147" s="912"/>
      <c r="Z147" s="912"/>
      <c r="AA147" s="912"/>
      <c r="AB147" s="912"/>
      <c r="AC147" s="912"/>
      <c r="AD147" s="912"/>
      <c r="AE147" s="912"/>
      <c r="AF147" s="912"/>
      <c r="AG147" s="912"/>
      <c r="AH147" s="912"/>
      <c r="AI147" s="912"/>
      <c r="AJ147" s="912"/>
      <c r="AK147" s="912"/>
      <c r="AL147" s="912"/>
      <c r="AM147" s="915"/>
      <c r="AN147" s="915"/>
    </row>
    <row r="148" spans="3:40" ht="14.1">
      <c r="C148" s="57"/>
      <c r="D148" s="58" t="str">
        <f>IF(E141=4,"1µ",IF(E141=3,"1µ",0))</f>
        <v>1µ</v>
      </c>
      <c r="E148" s="58" t="str">
        <f t="shared" si="80"/>
        <v>610</v>
      </c>
      <c r="F148" s="58" t="str">
        <f>IF(OR(D148=0),0,IF(MOD($E$42*$F$42,6)=0,"915",IF(MOD($E$42*$F$42,5)=0,"760",IF(MOD($E$42*$F$42,4)=0,"610","Refer"))))</f>
        <v>915</v>
      </c>
      <c r="G148" s="58">
        <f>IF(D148=0,0,300)</f>
        <v>300</v>
      </c>
      <c r="H148" s="60">
        <f>IF(D148=0,0,($E$42*$F$42*305*305)/(E148*F148))</f>
        <v>6</v>
      </c>
      <c r="I148" s="834"/>
      <c r="J148" s="902"/>
      <c r="K148" s="902"/>
      <c r="L148" s="902"/>
      <c r="M148" s="902"/>
      <c r="N148" s="902"/>
      <c r="O148" s="902"/>
      <c r="P148" s="902"/>
      <c r="Q148" s="913"/>
      <c r="R148" s="913"/>
      <c r="S148" s="913"/>
      <c r="T148" s="913"/>
      <c r="U148" s="912"/>
      <c r="V148" s="912"/>
      <c r="W148" s="913"/>
      <c r="X148" s="912"/>
      <c r="Y148" s="912"/>
      <c r="Z148" s="912"/>
      <c r="AA148" s="912"/>
      <c r="AB148" s="912"/>
      <c r="AC148" s="912"/>
      <c r="AD148" s="912"/>
      <c r="AE148" s="912"/>
      <c r="AF148" s="912"/>
      <c r="AG148" s="912"/>
      <c r="AH148" s="912"/>
      <c r="AI148" s="912"/>
      <c r="AJ148" s="912"/>
      <c r="AK148" s="912"/>
      <c r="AL148" s="912"/>
      <c r="AM148" s="915"/>
      <c r="AN148" s="915"/>
    </row>
    <row r="149" spans="3:40" ht="14.1">
      <c r="C149" s="57"/>
      <c r="D149" s="58">
        <f>IF(E141=4,"0.3µ 95% Eff. HEPA Filetr",0)</f>
        <v>0</v>
      </c>
      <c r="E149" s="58">
        <f t="shared" si="80"/>
        <v>0</v>
      </c>
      <c r="F149" s="58">
        <f>IF(OR(D149=0),0,IF(MOD($E$42*$F$42,6)=0,"915",IF(MOD($E$42*$F$42,5)=0,"760",IF(MOD($E$42*$F$42,4)=0,"610","Refer"))))</f>
        <v>0</v>
      </c>
      <c r="G149" s="58">
        <f>IF(D149=0,0,300)</f>
        <v>0</v>
      </c>
      <c r="H149" s="60">
        <f>IF(D149=0,0,($E$42*$F$42*305*305)/(E149*F149))</f>
        <v>0</v>
      </c>
      <c r="I149" s="836"/>
      <c r="J149" s="902"/>
      <c r="K149" s="902"/>
      <c r="L149" s="902"/>
      <c r="M149" s="902"/>
      <c r="N149" s="902"/>
      <c r="O149" s="902"/>
      <c r="P149" s="902"/>
      <c r="Q149" s="913"/>
      <c r="R149" s="913"/>
      <c r="S149" s="913"/>
      <c r="T149" s="913"/>
      <c r="U149" s="912"/>
      <c r="V149" s="912"/>
      <c r="W149" s="913"/>
      <c r="X149" s="912"/>
      <c r="Y149" s="912"/>
      <c r="Z149" s="912"/>
      <c r="AA149" s="912"/>
      <c r="AB149" s="912"/>
      <c r="AC149" s="912"/>
      <c r="AD149" s="912"/>
      <c r="AE149" s="912"/>
      <c r="AF149" s="912"/>
      <c r="AG149" s="912"/>
      <c r="AH149" s="912"/>
      <c r="AI149" s="912"/>
      <c r="AJ149" s="912"/>
      <c r="AK149" s="912"/>
      <c r="AL149" s="912"/>
      <c r="AM149" s="915"/>
      <c r="AN149" s="915"/>
    </row>
    <row r="150" spans="3:40" ht="14.1">
      <c r="C150" s="57"/>
      <c r="D150" s="826"/>
      <c r="E150" s="182"/>
      <c r="F150" s="182"/>
      <c r="G150" s="182"/>
      <c r="H150" s="182"/>
      <c r="I150" s="827"/>
      <c r="J150" s="52"/>
      <c r="K150" s="52"/>
      <c r="L150" s="52"/>
      <c r="M150" s="52"/>
      <c r="N150" s="52"/>
      <c r="O150" s="828"/>
      <c r="P150" s="828"/>
      <c r="Q150" s="55"/>
      <c r="R150" s="55"/>
      <c r="S150" s="55"/>
      <c r="T150" s="55"/>
      <c r="U150" s="45"/>
      <c r="V150" s="45"/>
      <c r="W150" s="55"/>
      <c r="X150" s="45"/>
      <c r="Y150" s="45"/>
      <c r="Z150" s="45"/>
      <c r="AA150" s="45"/>
      <c r="AB150" s="45"/>
      <c r="AC150" s="45"/>
      <c r="AD150" s="45"/>
      <c r="AE150" s="45"/>
      <c r="AF150" s="45"/>
      <c r="AG150" s="45"/>
      <c r="AH150" s="45"/>
      <c r="AI150" s="45"/>
      <c r="AJ150" s="45"/>
      <c r="AK150" s="45"/>
      <c r="AL150" s="45"/>
      <c r="AM150" s="63"/>
      <c r="AN150" s="63"/>
    </row>
    <row r="151" spans="3:40" ht="14.1" customHeight="1">
      <c r="C151" s="57"/>
      <c r="D151" s="901" t="str">
        <f>"AHU - " &amp; INT((ROW()-34)/14)+1 &amp; "  " &amp; IF(I152&gt;0,"Air-Conditioning System " &amp; IF(OR(G155="Header", G155="C"), "(Chilled Water)",IF(OR(G155="Distributor", G155="D"), "(DX)", "Ventilation System")),IF(NOT(I152&gt;0), "Ventilation System ( SUPPLY )", "Refer"))</f>
        <v>AHU - 9  Air-Conditioning System (DX)</v>
      </c>
      <c r="E151" s="901"/>
      <c r="F151" s="901"/>
      <c r="G151" s="901"/>
      <c r="H151" s="901"/>
      <c r="I151" s="901"/>
      <c r="J151" s="52"/>
      <c r="K151" s="52"/>
      <c r="L151" s="53"/>
      <c r="M151" s="53"/>
      <c r="N151" s="53"/>
      <c r="O151" s="54"/>
      <c r="P151" s="55"/>
      <c r="AM151" s="56"/>
      <c r="AN151" s="56"/>
    </row>
    <row r="152" spans="3:40" ht="14.1">
      <c r="C152" s="57"/>
      <c r="D152" s="175" t="s">
        <v>274</v>
      </c>
      <c r="E152" s="180" t="str">
        <f>'BOD-Cold &amp; Amb.'!R150</f>
        <v>ISO 6</v>
      </c>
      <c r="F152" s="175" t="s">
        <v>275</v>
      </c>
      <c r="G152" s="180">
        <f>'BOD-Cold &amp; Amb.'!AK150</f>
        <v>42500</v>
      </c>
      <c r="H152" s="175" t="s">
        <v>276</v>
      </c>
      <c r="I152" s="181">
        <f>'BOD-Cold &amp; Amb.'!AQ50</f>
        <v>159</v>
      </c>
      <c r="J152" s="902" t="s">
        <v>277</v>
      </c>
      <c r="K152" s="902">
        <v>1</v>
      </c>
      <c r="L152" s="917">
        <f>Q152</f>
        <v>2282750</v>
      </c>
      <c r="M152" s="902">
        <f>K152*L152</f>
        <v>2282750</v>
      </c>
      <c r="N152" s="902"/>
      <c r="O152" s="902"/>
      <c r="P152" s="902"/>
      <c r="Q152" s="913">
        <f t="shared" ref="Q152" si="81">CEILING((S152+T152+U152+V152+W152),250)</f>
        <v>2282750</v>
      </c>
      <c r="R152" s="913">
        <f>IF(I152&gt;0,625,375)</f>
        <v>625</v>
      </c>
      <c r="S152" s="913">
        <f>(E153*G153*3*10.76+E153*I153*2*10.76+G153*I153*2*10.76)*R152/(1000*1000)</f>
        <v>883396</v>
      </c>
      <c r="T152" s="913">
        <f>I152*4*1050</f>
        <v>667800</v>
      </c>
      <c r="U152" s="912">
        <f>IF(G152&lt;=2000,5000,(IF(G152&lt;=5000,8000,(IF(G152&lt;=10000,10000,(IF(G152&lt;=18000,15000,(IF(G152&lt;=40000,20000,25000)))))))))</f>
        <v>25000</v>
      </c>
      <c r="V152" s="912">
        <f t="shared" ref="V152" si="82">IF(X152=200,17150,(IF(X152=225,18150,(IF(X152=250,18900,(IF(X152=280,19150,(IF(X152=315,19650,(IF(X152=355,21900,(IF(X152=400,24400,0)))))))))))))+IF(X152=450,31000,(IF(X152=500,37450,(IF(X152=560,45650,(IF(X152=630,58900,(IF(X152=710,77950,0)))))))))+IF(X152=800,119650,(IF(X152=900,153300,(IF(X152=1000,178900,(IF(X152=1120,286500,(IF(X152=1250,394500,(IF(X152=1450,461500,0)))))))))))</f>
        <v>286500</v>
      </c>
      <c r="W152" s="913">
        <f>IF(I154=0.5,16600,(IF(I154=1,19050,(IF(I154=1.5,21750,(IF(I154=2,23600,(IF(I154=3,30000,(IF(I154=5,38000,0)))))))))))*1.2+IF(I154=7.5,52300,(IF(I154=10,59600,0)))*1.2+IF(I154=12.5,100350,(IF(I154=15,106000,(IF(I154=20,129150,(IF(I154=25,146050,(IF(I154=30,173600,(IF(I154=40,233900,(IF(I154=50,304650,IF(I154=60,350000,400000)))))))))))))*1.2)</f>
        <v>420000</v>
      </c>
      <c r="X152" s="912">
        <f>E154</f>
        <v>1120</v>
      </c>
      <c r="Y152" s="912">
        <f t="shared" ref="Y152" si="83">IF(G152&lt;=6750,450,(IF(G152&lt;=8500,500,(IF(G152&lt;=10750,560,(IF(G152&lt;=13500,630,(IF(G152&lt;=17000,710,(IF(G152&lt;=21500,800,(IF(G152&lt;=27000,900,(IF(G152&lt;=34000,1000,0)))))))))))))))</f>
        <v>0</v>
      </c>
      <c r="Z152" s="912">
        <f t="shared" ref="Z152" si="84">IF(G152&lt;=1300,200,(IF(G152&lt;=1600,225,(IF(G152&lt;=2100,250,(IF(G152&lt;=2700,280,(IF(G152&lt;=3450,315,(IF(G152&lt;=4250,355,(IF(G152&lt;=5250,400,(IF(G152&lt;=6750,450,0)))))))))))))))</f>
        <v>0</v>
      </c>
      <c r="AA152" s="912">
        <f t="shared" ref="AA152" si="85">IF(G152&lt;=2000,5000,(IF(G152&lt;=5000,8000,(IF(G152&lt;=10000,10000,(IF(G152&lt;=18000,15000,(IF(G152&lt;=40000,20000,10000)))))))))</f>
        <v>10000</v>
      </c>
      <c r="AB152" s="912">
        <f>IF(E153=950,2,(IF(E153=1150,3,(IF(E153=1550,4,(IF(E153=1750,5,(IF(E153=2050,6,(IF(E153=2900,8,(IF(E153=3600,10,12)))))))))))))</f>
        <v>12</v>
      </c>
      <c r="AC152" s="912">
        <f>IF(G153=950,2,(IF(G153=1150,3,(IF(G153=1550,4,(IF(G153=1750,5,(IF(G153=2050,6,(IF(G153=2900,8,(IF(G153=3600,10,12)))))))))))))</f>
        <v>10</v>
      </c>
      <c r="AD152" s="912">
        <f t="shared" ref="AD152" si="86">AC152*AB152</f>
        <v>120</v>
      </c>
      <c r="AE152" s="912">
        <v>150</v>
      </c>
      <c r="AF152" s="912">
        <f t="shared" ref="AF152" si="87">CEILING((SQRT(G152/1000))*4*2*AE152*1.25*K152,100)</f>
        <v>9800</v>
      </c>
      <c r="AG152" s="912">
        <f>E160*F160*H160/(305*305)</f>
        <v>0</v>
      </c>
      <c r="AH152" s="912">
        <f>E161*F161*H161/(305*305)</f>
        <v>36</v>
      </c>
      <c r="AI152" s="912">
        <f>H162*E162*F162/(305*305)</f>
        <v>36</v>
      </c>
      <c r="AJ152" s="912">
        <f>H163*E163*F163/(305*305)</f>
        <v>36</v>
      </c>
      <c r="AK152" s="912">
        <f>H164*E164*F164/(305*305)</f>
        <v>0</v>
      </c>
      <c r="AL152" s="912"/>
      <c r="AM152" s="915">
        <f t="shared" ref="AM152" si="88">(G152*2.2/1100)</f>
        <v>85.000000000000014</v>
      </c>
      <c r="AN152" s="915">
        <f t="shared" ref="AN152" si="89">(G152*1/1100)</f>
        <v>38.636363636363633</v>
      </c>
    </row>
    <row r="153" spans="3:40" ht="14.1">
      <c r="C153" s="57"/>
      <c r="D153" s="175" t="s">
        <v>278</v>
      </c>
      <c r="E153" s="180">
        <f>'BOD-Cold &amp; Amb.'!AL151</f>
        <v>4000</v>
      </c>
      <c r="F153" s="175" t="s">
        <v>279</v>
      </c>
      <c r="G153" s="180">
        <f>'BOD-Cold &amp; Amb.'!AL153</f>
        <v>3600</v>
      </c>
      <c r="H153" s="175" t="s">
        <v>280</v>
      </c>
      <c r="I153" s="181">
        <f>'BOD-Cold &amp; Amb.'!AL155</f>
        <v>5800</v>
      </c>
      <c r="J153" s="902"/>
      <c r="K153" s="902"/>
      <c r="L153" s="902"/>
      <c r="M153" s="902"/>
      <c r="N153" s="902"/>
      <c r="O153" s="902"/>
      <c r="P153" s="902"/>
      <c r="Q153" s="913"/>
      <c r="R153" s="913"/>
      <c r="S153" s="913"/>
      <c r="T153" s="913"/>
      <c r="U153" s="912"/>
      <c r="V153" s="912"/>
      <c r="W153" s="913"/>
      <c r="X153" s="912"/>
      <c r="Y153" s="912"/>
      <c r="Z153" s="912"/>
      <c r="AA153" s="912"/>
      <c r="AB153" s="912"/>
      <c r="AC153" s="912"/>
      <c r="AD153" s="912"/>
      <c r="AE153" s="912"/>
      <c r="AF153" s="912"/>
      <c r="AG153" s="912"/>
      <c r="AH153" s="912"/>
      <c r="AI153" s="912"/>
      <c r="AJ153" s="912"/>
      <c r="AK153" s="912"/>
      <c r="AL153" s="912"/>
      <c r="AM153" s="915"/>
      <c r="AN153" s="915"/>
    </row>
    <row r="154" spans="3:40" ht="14.1">
      <c r="C154" s="57"/>
      <c r="D154" s="175" t="s">
        <v>281</v>
      </c>
      <c r="E154" s="180">
        <f>'BOD-Cold &amp; Amb.'!AN150</f>
        <v>1120</v>
      </c>
      <c r="F154" s="176" t="s">
        <v>282</v>
      </c>
      <c r="G154" s="180">
        <f>'BOD-Cold &amp; Amb.'!AM150</f>
        <v>150</v>
      </c>
      <c r="H154" s="176" t="s">
        <v>283</v>
      </c>
      <c r="I154" s="181">
        <f>'BOD-Cold &amp; Amb.'!AO150</f>
        <v>60</v>
      </c>
      <c r="J154" s="902"/>
      <c r="K154" s="902"/>
      <c r="L154" s="902"/>
      <c r="M154" s="902"/>
      <c r="N154" s="902"/>
      <c r="O154" s="902"/>
      <c r="P154" s="902"/>
      <c r="Q154" s="913"/>
      <c r="R154" s="913"/>
      <c r="S154" s="913"/>
      <c r="T154" s="913"/>
      <c r="U154" s="912"/>
      <c r="V154" s="912"/>
      <c r="W154" s="913"/>
      <c r="X154" s="912"/>
      <c r="Y154" s="912"/>
      <c r="Z154" s="912"/>
      <c r="AA154" s="912"/>
      <c r="AB154" s="912"/>
      <c r="AC154" s="912"/>
      <c r="AD154" s="912"/>
      <c r="AE154" s="912"/>
      <c r="AF154" s="912"/>
      <c r="AG154" s="912"/>
      <c r="AH154" s="912"/>
      <c r="AI154" s="912"/>
      <c r="AJ154" s="912"/>
      <c r="AK154" s="912"/>
      <c r="AL154" s="912"/>
      <c r="AM154" s="915"/>
      <c r="AN154" s="915"/>
    </row>
    <row r="155" spans="3:40" ht="21.6" customHeight="1">
      <c r="C155" s="57"/>
      <c r="D155" s="175" t="s">
        <v>284</v>
      </c>
      <c r="E155" s="180">
        <f>'BOD-Cold &amp; Amb.'!AP150</f>
        <v>4</v>
      </c>
      <c r="F155" s="832" t="s">
        <v>285</v>
      </c>
      <c r="G155" s="837" t="str">
        <f>IF(OR(I152=0, E155="Amb"), "Amb",IF('BOD-Cold &amp; Amb.'!AH115="C", "Header",IF('BOD-Cold &amp; Amb.'!AH115="D", "Distributor", "Refer")))</f>
        <v>Distributor</v>
      </c>
      <c r="H155" s="832" t="s">
        <v>286</v>
      </c>
      <c r="I155" s="833" t="str">
        <f>IF(OR(I152=0, E155=0), 0,ROUND(((( I152/E155)*304.8)/(E153-400))*1000,0)&amp;" h "&amp;" x " &amp; (E153-400)&amp;" w ")</f>
        <v xml:space="preserve">3366 h  x 3600 w </v>
      </c>
      <c r="J155" s="902"/>
      <c r="K155" s="902"/>
      <c r="L155" s="902"/>
      <c r="M155" s="902"/>
      <c r="N155" s="902"/>
      <c r="O155" s="902"/>
      <c r="P155" s="902"/>
      <c r="Q155" s="913"/>
      <c r="R155" s="913"/>
      <c r="S155" s="913"/>
      <c r="T155" s="913"/>
      <c r="U155" s="912"/>
      <c r="V155" s="912"/>
      <c r="W155" s="913"/>
      <c r="X155" s="912"/>
      <c r="Y155" s="912"/>
      <c r="Z155" s="912"/>
      <c r="AA155" s="912"/>
      <c r="AB155" s="912"/>
      <c r="AC155" s="912"/>
      <c r="AD155" s="912"/>
      <c r="AE155" s="912"/>
      <c r="AF155" s="912"/>
      <c r="AG155" s="912"/>
      <c r="AH155" s="912"/>
      <c r="AI155" s="912"/>
      <c r="AJ155" s="912"/>
      <c r="AK155" s="912"/>
      <c r="AL155" s="912"/>
      <c r="AM155" s="915"/>
      <c r="AN155" s="915"/>
    </row>
    <row r="156" spans="3:40" ht="21">
      <c r="C156" s="57"/>
      <c r="D156" s="175" t="s">
        <v>287</v>
      </c>
      <c r="E156" s="180">
        <f>'BOD-Cold &amp; Amb.'!AR150</f>
        <v>3</v>
      </c>
      <c r="F156" s="176" t="s">
        <v>288</v>
      </c>
      <c r="G156" s="177" t="str">
        <f>IF(E156=4,"10µ, 5µ, 1µ &amp; 0.3µ (HEPA Plenum Fitted 95% eff.)",IF(E156=3,"10µ, 5µ &amp; 1µ ",IF(E156=2,"10µ  &amp; 5µ",IF(E156=1,"10µ", "Filter Ratings"))))</f>
        <v xml:space="preserve">10µ, 5µ &amp; 1µ </v>
      </c>
      <c r="H156" s="178"/>
      <c r="I156" s="179"/>
      <c r="J156" s="902"/>
      <c r="K156" s="902"/>
      <c r="L156" s="902"/>
      <c r="M156" s="902"/>
      <c r="N156" s="902"/>
      <c r="O156" s="902"/>
      <c r="P156" s="902"/>
      <c r="Q156" s="913"/>
      <c r="R156" s="913"/>
      <c r="S156" s="913"/>
      <c r="T156" s="913"/>
      <c r="U156" s="912"/>
      <c r="V156" s="912"/>
      <c r="W156" s="913"/>
      <c r="X156" s="912"/>
      <c r="Y156" s="912"/>
      <c r="Z156" s="912"/>
      <c r="AA156" s="912"/>
      <c r="AB156" s="912"/>
      <c r="AC156" s="912"/>
      <c r="AD156" s="912"/>
      <c r="AE156" s="912"/>
      <c r="AF156" s="912"/>
      <c r="AG156" s="912"/>
      <c r="AH156" s="912"/>
      <c r="AI156" s="912"/>
      <c r="AJ156" s="912"/>
      <c r="AK156" s="912"/>
      <c r="AL156" s="912"/>
      <c r="AM156" s="915"/>
      <c r="AN156" s="915"/>
    </row>
    <row r="157" spans="3:40">
      <c r="C157" s="57"/>
      <c r="D157" s="922" t="s">
        <v>289</v>
      </c>
      <c r="E157" s="923"/>
      <c r="F157" s="923"/>
      <c r="G157" s="923"/>
      <c r="H157" s="923"/>
      <c r="I157" s="924"/>
      <c r="J157" s="902"/>
      <c r="K157" s="902"/>
      <c r="L157" s="902"/>
      <c r="M157" s="902"/>
      <c r="N157" s="902"/>
      <c r="O157" s="902"/>
      <c r="P157" s="902"/>
      <c r="Q157" s="913"/>
      <c r="R157" s="913"/>
      <c r="S157" s="913"/>
      <c r="T157" s="913"/>
      <c r="U157" s="912"/>
      <c r="V157" s="912"/>
      <c r="W157" s="913"/>
      <c r="X157" s="912"/>
      <c r="Y157" s="912"/>
      <c r="Z157" s="912"/>
      <c r="AA157" s="912"/>
      <c r="AB157" s="912"/>
      <c r="AC157" s="912"/>
      <c r="AD157" s="912"/>
      <c r="AE157" s="912"/>
      <c r="AF157" s="912"/>
      <c r="AG157" s="912"/>
      <c r="AH157" s="912"/>
      <c r="AI157" s="912"/>
      <c r="AJ157" s="912"/>
      <c r="AK157" s="912"/>
      <c r="AL157" s="912"/>
      <c r="AM157" s="915"/>
      <c r="AN157" s="915"/>
    </row>
    <row r="158" spans="3:40" ht="24.95">
      <c r="C158" s="57"/>
      <c r="D158" s="58" t="s">
        <v>290</v>
      </c>
      <c r="E158" s="58" t="s">
        <v>291</v>
      </c>
      <c r="F158" s="58" t="s">
        <v>292</v>
      </c>
      <c r="G158" s="58" t="s">
        <v>293</v>
      </c>
      <c r="H158" s="58" t="s">
        <v>294</v>
      </c>
      <c r="I158" s="179"/>
      <c r="J158" s="902"/>
      <c r="K158" s="902"/>
      <c r="L158" s="902"/>
      <c r="M158" s="902"/>
      <c r="N158" s="902"/>
      <c r="O158" s="902"/>
      <c r="P158" s="902"/>
      <c r="Q158" s="913"/>
      <c r="R158" s="913"/>
      <c r="S158" s="913"/>
      <c r="T158" s="913"/>
      <c r="U158" s="912"/>
      <c r="V158" s="912"/>
      <c r="W158" s="913"/>
      <c r="X158" s="912"/>
      <c r="Y158" s="912"/>
      <c r="Z158" s="912"/>
      <c r="AA158" s="912"/>
      <c r="AB158" s="912"/>
      <c r="AC158" s="912"/>
      <c r="AD158" s="912"/>
      <c r="AE158" s="912"/>
      <c r="AF158" s="912"/>
      <c r="AG158" s="912"/>
      <c r="AH158" s="912"/>
      <c r="AI158" s="912"/>
      <c r="AJ158" s="912"/>
      <c r="AK158" s="912"/>
      <c r="AL158" s="912"/>
      <c r="AM158" s="915"/>
      <c r="AN158" s="915"/>
    </row>
    <row r="159" spans="3:40" ht="14.1">
      <c r="C159" s="57"/>
      <c r="D159" s="58"/>
      <c r="E159" s="58">
        <f>IF(E153&lt;=950,2,(IF(E153&lt;=1150,3,(IF(E153&lt;=1550,4,(IF(E153&lt;=1750,5,(IF(E153&lt;=2050,6,(IF(E153&lt;=2900,8,(IF(E153&lt;=3600,10,IF(E153&lt;=4000,12,0))))))))))))))</f>
        <v>12</v>
      </c>
      <c r="F159" s="58">
        <f>IF(G153&lt;=950,2,(IF(G153&lt;=1150,3,(IF(G153&lt;=1550,4,(IF(G153&lt;=1750,5,(IF(G153&lt;=2050,6,(IF(G153&lt;=2900,8,(IF(G153&lt;=3600,10,IF(E153&lt;=4000,12,0))))))))))))))</f>
        <v>10</v>
      </c>
      <c r="G159" s="58"/>
      <c r="H159" s="60"/>
      <c r="I159" s="834"/>
      <c r="J159" s="902"/>
      <c r="K159" s="902"/>
      <c r="L159" s="902"/>
      <c r="M159" s="902"/>
      <c r="N159" s="902"/>
      <c r="O159" s="902"/>
      <c r="P159" s="902"/>
      <c r="Q159" s="913"/>
      <c r="R159" s="913"/>
      <c r="S159" s="913"/>
      <c r="T159" s="913"/>
      <c r="U159" s="912"/>
      <c r="V159" s="912"/>
      <c r="W159" s="913"/>
      <c r="X159" s="912"/>
      <c r="Y159" s="912"/>
      <c r="Z159" s="912"/>
      <c r="AA159" s="912"/>
      <c r="AB159" s="912"/>
      <c r="AC159" s="912"/>
      <c r="AD159" s="912"/>
      <c r="AE159" s="912"/>
      <c r="AF159" s="912"/>
      <c r="AG159" s="912"/>
      <c r="AH159" s="912"/>
      <c r="AI159" s="912"/>
      <c r="AJ159" s="912"/>
      <c r="AK159" s="912"/>
      <c r="AL159" s="912"/>
      <c r="AM159" s="915"/>
      <c r="AN159" s="915"/>
    </row>
    <row r="160" spans="3:40" ht="14.1">
      <c r="C160" s="57"/>
      <c r="D160" s="58">
        <f>IF(AND(I152=0, OR(E156=1, E156=2, E156=3, E156=4, E156=5)), "20µ", 0)</f>
        <v>0</v>
      </c>
      <c r="E160" s="58">
        <f>IF(OR(D160=0),0,IF(MOD($E$42*$F$42,2)=0,"610",IF(MOD($E$42*$F$42,2.5)=0,"760",IF(MOD($E$42*$F$42,3)=0,"915","Refer"))))</f>
        <v>0</v>
      </c>
      <c r="F160" s="58">
        <f>IF(OR(D160=0),0,IF(MOD($E$42*$F$42,6)=0,"915",IF(MOD($E$42*$F$42,5)=0,"760",IF(MOD($E$42*$F$42,4)=0,"610","Refer"))))</f>
        <v>0</v>
      </c>
      <c r="G160" s="58">
        <f>IF(D160=0,0,100)</f>
        <v>0</v>
      </c>
      <c r="H160" s="60">
        <f>IF(D160=0,0,($E$42*$F$42*305*305)/(E160*F160))</f>
        <v>0</v>
      </c>
      <c r="I160" s="834"/>
      <c r="J160" s="902"/>
      <c r="K160" s="902"/>
      <c r="L160" s="902"/>
      <c r="M160" s="902"/>
      <c r="N160" s="902"/>
      <c r="O160" s="902"/>
      <c r="P160" s="902"/>
      <c r="Q160" s="55"/>
      <c r="R160" s="55"/>
      <c r="S160" s="55"/>
      <c r="T160" s="55"/>
      <c r="U160" s="45"/>
      <c r="V160" s="45"/>
      <c r="W160" s="55"/>
      <c r="X160" s="45"/>
      <c r="Y160" s="45"/>
      <c r="Z160" s="45"/>
      <c r="AA160" s="45"/>
      <c r="AB160" s="45"/>
      <c r="AC160" s="45"/>
      <c r="AD160" s="45"/>
      <c r="AE160" s="45"/>
      <c r="AF160" s="45"/>
      <c r="AG160" s="45"/>
      <c r="AH160" s="45"/>
      <c r="AI160" s="45"/>
      <c r="AJ160" s="45"/>
      <c r="AK160" s="45"/>
      <c r="AL160" s="45"/>
      <c r="AM160" s="63"/>
      <c r="AN160" s="63"/>
    </row>
    <row r="161" spans="3:40" ht="14.1">
      <c r="C161" s="57"/>
      <c r="D161" s="58" t="str">
        <f>IF(E156=4,"10µ",IF(E156=3,"10µ",IF(E156=2,"10µ",IF(E156=1,"10µ",0))))</f>
        <v>10µ</v>
      </c>
      <c r="E161" s="58" t="str">
        <f>IF(OR(D161=0),0,IF(MOD($E$42*$F$42,2)=0,"610",IF(MOD($E$42*$F$42,2.5)=0,"760",IF(MOD($E$42*$F$42,3)=0,"915","Refer"))))</f>
        <v>610</v>
      </c>
      <c r="F161" s="58" t="str">
        <f>IF(OR(D161=0),0,IF(MOD($E$42*$F$42,6)=0,"915",IF(MOD($E$42*$F$42,5)=0,"760",IF(MOD($E$42*$F$42,4)=0,"610","Refer"))))</f>
        <v>915</v>
      </c>
      <c r="G161" s="58">
        <f>IF(D161=0,0,150)</f>
        <v>150</v>
      </c>
      <c r="H161" s="60">
        <f>IF(D161=0,0,($E$42*$F$42*305*305)/(E161*F161))</f>
        <v>6</v>
      </c>
      <c r="I161" s="834"/>
      <c r="J161" s="902"/>
      <c r="K161" s="902"/>
      <c r="L161" s="902"/>
      <c r="M161" s="902"/>
      <c r="N161" s="902"/>
      <c r="O161" s="902"/>
      <c r="P161" s="902"/>
      <c r="Q161" s="913"/>
      <c r="R161" s="913"/>
      <c r="S161" s="913"/>
      <c r="T161" s="913"/>
      <c r="U161" s="912"/>
      <c r="V161" s="912"/>
      <c r="W161" s="913"/>
      <c r="X161" s="912"/>
      <c r="Y161" s="912"/>
      <c r="Z161" s="912"/>
      <c r="AA161" s="912"/>
      <c r="AB161" s="912"/>
      <c r="AC161" s="912"/>
      <c r="AD161" s="912"/>
      <c r="AE161" s="912"/>
      <c r="AF161" s="912"/>
      <c r="AG161" s="912"/>
      <c r="AH161" s="912"/>
      <c r="AI161" s="912"/>
      <c r="AJ161" s="912"/>
      <c r="AK161" s="912"/>
      <c r="AL161" s="912"/>
      <c r="AM161" s="915"/>
      <c r="AN161" s="915"/>
    </row>
    <row r="162" spans="3:40" ht="14.1">
      <c r="C162" s="57"/>
      <c r="D162" s="58" t="str">
        <f>IF(E156=4,"5µ",IF(E156=3,"5µ",IF(E156=2,"5µ",0)))</f>
        <v>5µ</v>
      </c>
      <c r="E162" s="58" t="str">
        <f t="shared" ref="E162:E164" si="90">IF(OR(D162=0),0,IF(MOD($E$42*$F$42,2)=0,"610",IF(MOD($E$42*$F$42,2.5)=0,"760",IF(MOD($E$42*$F$42,3)=0,"915","Refer"))))</f>
        <v>610</v>
      </c>
      <c r="F162" s="58" t="str">
        <f>IF(OR(D162=0),0,IF(MOD($E$42*$F$42,6)=0,"915",IF(MOD($E$42*$F$42,5)=0,"760",IF(MOD($E$42*$F$42,4)=0,"610","Refer"))))</f>
        <v>915</v>
      </c>
      <c r="G162" s="58">
        <f>IF(D162=0,0,300)</f>
        <v>300</v>
      </c>
      <c r="H162" s="60">
        <f>IF(D162=0,0,($E$42*$F$42*305*305)/(E162*F162))</f>
        <v>6</v>
      </c>
      <c r="I162" s="834"/>
      <c r="J162" s="902"/>
      <c r="K162" s="902"/>
      <c r="L162" s="902"/>
      <c r="M162" s="902"/>
      <c r="N162" s="902"/>
      <c r="O162" s="902"/>
      <c r="P162" s="902"/>
      <c r="Q162" s="913"/>
      <c r="R162" s="913"/>
      <c r="S162" s="913"/>
      <c r="T162" s="913"/>
      <c r="U162" s="912"/>
      <c r="V162" s="912"/>
      <c r="W162" s="913"/>
      <c r="X162" s="912"/>
      <c r="Y162" s="912"/>
      <c r="Z162" s="912"/>
      <c r="AA162" s="912"/>
      <c r="AB162" s="912"/>
      <c r="AC162" s="912"/>
      <c r="AD162" s="912"/>
      <c r="AE162" s="912"/>
      <c r="AF162" s="912"/>
      <c r="AG162" s="912"/>
      <c r="AH162" s="912"/>
      <c r="AI162" s="912"/>
      <c r="AJ162" s="912"/>
      <c r="AK162" s="912"/>
      <c r="AL162" s="912"/>
      <c r="AM162" s="915"/>
      <c r="AN162" s="915"/>
    </row>
    <row r="163" spans="3:40" ht="14.1">
      <c r="C163" s="57"/>
      <c r="D163" s="58" t="str">
        <f>IF(E156=4,"1µ",IF(E156=3,"1µ",0))</f>
        <v>1µ</v>
      </c>
      <c r="E163" s="58" t="str">
        <f t="shared" si="90"/>
        <v>610</v>
      </c>
      <c r="F163" s="58" t="str">
        <f>IF(OR(D163=0),0,IF(MOD($E$42*$F$42,6)=0,"915",IF(MOD($E$42*$F$42,5)=0,"760",IF(MOD($E$42*$F$42,4)=0,"610","Refer"))))</f>
        <v>915</v>
      </c>
      <c r="G163" s="58">
        <f>IF(D163=0,0,300)</f>
        <v>300</v>
      </c>
      <c r="H163" s="60">
        <f>IF(D163=0,0,($E$42*$F$42*305*305)/(E163*F163))</f>
        <v>6</v>
      </c>
      <c r="I163" s="834"/>
      <c r="J163" s="902"/>
      <c r="K163" s="902"/>
      <c r="L163" s="902"/>
      <c r="M163" s="902"/>
      <c r="N163" s="902"/>
      <c r="O163" s="902"/>
      <c r="P163" s="902"/>
      <c r="Q163" s="913"/>
      <c r="R163" s="913"/>
      <c r="S163" s="913"/>
      <c r="T163" s="913"/>
      <c r="U163" s="912"/>
      <c r="V163" s="912"/>
      <c r="W163" s="913"/>
      <c r="X163" s="912"/>
      <c r="Y163" s="912"/>
      <c r="Z163" s="912"/>
      <c r="AA163" s="912"/>
      <c r="AB163" s="912"/>
      <c r="AC163" s="912"/>
      <c r="AD163" s="912"/>
      <c r="AE163" s="912"/>
      <c r="AF163" s="912"/>
      <c r="AG163" s="912"/>
      <c r="AH163" s="912"/>
      <c r="AI163" s="912"/>
      <c r="AJ163" s="912"/>
      <c r="AK163" s="912"/>
      <c r="AL163" s="912"/>
      <c r="AM163" s="915"/>
      <c r="AN163" s="915"/>
    </row>
    <row r="164" spans="3:40" ht="14.1">
      <c r="C164" s="57"/>
      <c r="D164" s="58">
        <f>IF(E156=4,"0.3µ 95% Eff. HEPA Filetr",0)</f>
        <v>0</v>
      </c>
      <c r="E164" s="58">
        <f t="shared" si="90"/>
        <v>0</v>
      </c>
      <c r="F164" s="58">
        <f>IF(OR(D164=0),0,IF(MOD($E$42*$F$42,6)=0,"915",IF(MOD($E$42*$F$42,5)=0,"760",IF(MOD($E$42*$F$42,4)=0,"610","Refer"))))</f>
        <v>0</v>
      </c>
      <c r="G164" s="58">
        <f>IF(D164=0,0,300)</f>
        <v>0</v>
      </c>
      <c r="H164" s="60">
        <f>IF(D164=0,0,($E$42*$F$42*305*305)/(E164*F164))</f>
        <v>0</v>
      </c>
      <c r="I164" s="836"/>
      <c r="J164" s="902"/>
      <c r="K164" s="902"/>
      <c r="L164" s="902"/>
      <c r="M164" s="902"/>
      <c r="N164" s="902"/>
      <c r="O164" s="902"/>
      <c r="P164" s="902"/>
      <c r="Q164" s="913"/>
      <c r="R164" s="913"/>
      <c r="S164" s="913"/>
      <c r="T164" s="913"/>
      <c r="U164" s="912"/>
      <c r="V164" s="912"/>
      <c r="W164" s="913"/>
      <c r="X164" s="912"/>
      <c r="Y164" s="912"/>
      <c r="Z164" s="912"/>
      <c r="AA164" s="912"/>
      <c r="AB164" s="912"/>
      <c r="AC164" s="912"/>
      <c r="AD164" s="912"/>
      <c r="AE164" s="912"/>
      <c r="AF164" s="912"/>
      <c r="AG164" s="912"/>
      <c r="AH164" s="912"/>
      <c r="AI164" s="912"/>
      <c r="AJ164" s="912"/>
      <c r="AK164" s="912"/>
      <c r="AL164" s="912"/>
      <c r="AM164" s="915"/>
      <c r="AN164" s="915"/>
    </row>
    <row r="165" spans="3:40" ht="14.1">
      <c r="C165" s="57"/>
      <c r="D165" s="826"/>
      <c r="E165" s="182"/>
      <c r="F165" s="182"/>
      <c r="G165" s="182"/>
      <c r="H165" s="182"/>
      <c r="I165" s="827"/>
      <c r="J165" s="52"/>
      <c r="K165" s="52"/>
      <c r="L165" s="52"/>
      <c r="M165" s="52"/>
      <c r="N165" s="52"/>
      <c r="O165" s="828"/>
      <c r="P165" s="828"/>
      <c r="Q165" s="55"/>
      <c r="R165" s="55"/>
      <c r="S165" s="55"/>
      <c r="T165" s="55"/>
      <c r="U165" s="45"/>
      <c r="V165" s="45"/>
      <c r="W165" s="55"/>
      <c r="X165" s="45"/>
      <c r="Y165" s="45"/>
      <c r="Z165" s="45"/>
      <c r="AA165" s="45"/>
      <c r="AB165" s="45"/>
      <c r="AC165" s="45"/>
      <c r="AD165" s="45"/>
      <c r="AE165" s="45"/>
      <c r="AF165" s="45"/>
      <c r="AG165" s="45"/>
      <c r="AH165" s="45"/>
      <c r="AI165" s="45"/>
      <c r="AJ165" s="45"/>
      <c r="AK165" s="45"/>
      <c r="AL165" s="45"/>
      <c r="AM165" s="63"/>
      <c r="AN165" s="63"/>
    </row>
    <row r="166" spans="3:40" ht="14.1" customHeight="1">
      <c r="C166" s="57"/>
      <c r="D166" s="901" t="str">
        <f>"AHU - " &amp; INT((ROW()-34)/14)+1 &amp; "  " &amp; IF(I167&gt;0,"Air-Conditioning System " &amp; IF(OR(G170="Header", G170="C"), "(Chilled Water)",IF(OR(G170="Distributor", G170="D"), "(DX)", "Ventilation System")),IF(NOT(I167&gt;0), "Ventilation System ( SUPPLY )", "Refer"))</f>
        <v>AHU - 10  Air-Conditioning System (Chilled Water)</v>
      </c>
      <c r="E166" s="901"/>
      <c r="F166" s="901"/>
      <c r="G166" s="901"/>
      <c r="H166" s="901"/>
      <c r="I166" s="901"/>
      <c r="J166" s="52"/>
      <c r="K166" s="52"/>
      <c r="L166" s="53"/>
      <c r="M166" s="53"/>
      <c r="N166" s="53"/>
      <c r="O166" s="54"/>
      <c r="P166" s="55"/>
      <c r="AM166" s="56"/>
      <c r="AN166" s="56"/>
    </row>
    <row r="167" spans="3:40" ht="14.1">
      <c r="C167" s="57"/>
      <c r="D167" s="175" t="s">
        <v>274</v>
      </c>
      <c r="E167" s="180" t="str">
        <f>'BOD-Cold &amp; Amb.'!R170</f>
        <v>ISO 6</v>
      </c>
      <c r="F167" s="175" t="s">
        <v>275</v>
      </c>
      <c r="G167" s="180">
        <f>'BOD-Cold &amp; Amb.'!AK170</f>
        <v>42500</v>
      </c>
      <c r="H167" s="175" t="s">
        <v>276</v>
      </c>
      <c r="I167" s="181">
        <f>'BOD-Cold &amp; Amb.'!AQ170</f>
        <v>108.5</v>
      </c>
      <c r="J167" s="902" t="s">
        <v>277</v>
      </c>
      <c r="K167" s="902">
        <v>1</v>
      </c>
      <c r="L167" s="917">
        <f>Q167</f>
        <v>2070750</v>
      </c>
      <c r="M167" s="902">
        <f>K167*L167</f>
        <v>2070750</v>
      </c>
      <c r="N167" s="902"/>
      <c r="O167" s="902"/>
      <c r="P167" s="902"/>
      <c r="Q167" s="913">
        <f t="shared" ref="Q167" si="91">CEILING((S167+T167+U167+V167+W167),250)</f>
        <v>2070750</v>
      </c>
      <c r="R167" s="913">
        <f>IF(I167&gt;0,625,375)</f>
        <v>625</v>
      </c>
      <c r="S167" s="913">
        <f>(E168*G168*3*10.76+E168*I168*2*10.76+G168*I168*2*10.76)*R167/(1000*1000)</f>
        <v>883396</v>
      </c>
      <c r="T167" s="913">
        <f>I167*4*1050</f>
        <v>455700</v>
      </c>
      <c r="U167" s="912">
        <f>IF(G167&lt;=2000,5000,(IF(G167&lt;=5000,8000,(IF(G167&lt;=10000,10000,(IF(G167&lt;=18000,15000,(IF(G167&lt;=40000,20000,25000)))))))))</f>
        <v>25000</v>
      </c>
      <c r="V167" s="912">
        <f t="shared" ref="V167" si="92">IF(X167=200,17150,(IF(X167=225,18150,(IF(X167=250,18900,(IF(X167=280,19150,(IF(X167=315,19650,(IF(X167=355,21900,(IF(X167=400,24400,0)))))))))))))+IF(X167=450,31000,(IF(X167=500,37450,(IF(X167=560,45650,(IF(X167=630,58900,(IF(X167=710,77950,0)))))))))+IF(X167=800,119650,(IF(X167=900,153300,(IF(X167=1000,178900,(IF(X167=1120,286500,(IF(X167=1250,394500,(IF(X167=1450,461500,0)))))))))))</f>
        <v>286500</v>
      </c>
      <c r="W167" s="913">
        <f>IF(I169=0.5,16600,(IF(I169=1,19050,(IF(I169=1.5,21750,(IF(I169=2,23600,(IF(I169=3,30000,(IF(I169=5,38000,0)))))))))))*1.2+IF(I169=7.5,52300,(IF(I169=10,59600,0)))*1.2+IF(I169=12.5,100350,(IF(I169=15,106000,(IF(I169=20,129150,(IF(I169=25,146050,(IF(I169=30,173600,(IF(I169=40,233900,(IF(I169=50,304650,IF(I169=60,350000,400000)))))))))))))*1.2)</f>
        <v>420000</v>
      </c>
      <c r="X167" s="912">
        <f>E169</f>
        <v>1120</v>
      </c>
      <c r="Y167" s="912">
        <f t="shared" ref="Y167" si="93">IF(G167&lt;=6750,450,(IF(G167&lt;=8500,500,(IF(G167&lt;=10750,560,(IF(G167&lt;=13500,630,(IF(G167&lt;=17000,710,(IF(G167&lt;=21500,800,(IF(G167&lt;=27000,900,(IF(G167&lt;=34000,1000,0)))))))))))))))</f>
        <v>0</v>
      </c>
      <c r="Z167" s="912">
        <f t="shared" ref="Z167" si="94">IF(G167&lt;=1300,200,(IF(G167&lt;=1600,225,(IF(G167&lt;=2100,250,(IF(G167&lt;=2700,280,(IF(G167&lt;=3450,315,(IF(G167&lt;=4250,355,(IF(G167&lt;=5250,400,(IF(G167&lt;=6750,450,0)))))))))))))))</f>
        <v>0</v>
      </c>
      <c r="AA167" s="912">
        <f t="shared" ref="AA167" si="95">IF(G167&lt;=2000,5000,(IF(G167&lt;=5000,8000,(IF(G167&lt;=10000,10000,(IF(G167&lt;=18000,15000,(IF(G167&lt;=40000,20000,10000)))))))))</f>
        <v>10000</v>
      </c>
      <c r="AB167" s="912">
        <f>IF(E168=950,2,(IF(E168=1150,3,(IF(E168=1550,4,(IF(E168=1750,5,(IF(E168=2050,6,(IF(E168=2900,8,(IF(E168=3600,10,12)))))))))))))</f>
        <v>12</v>
      </c>
      <c r="AC167" s="912">
        <f>IF(G168=950,2,(IF(G168=1150,3,(IF(G168=1550,4,(IF(G168=1750,5,(IF(G168=2050,6,(IF(G168=2900,8,(IF(G168=3600,10,12)))))))))))))</f>
        <v>10</v>
      </c>
      <c r="AD167" s="912">
        <f t="shared" ref="AD167" si="96">AC167*AB167</f>
        <v>120</v>
      </c>
      <c r="AE167" s="912">
        <v>150</v>
      </c>
      <c r="AF167" s="912">
        <f t="shared" ref="AF167" si="97">CEILING((SQRT(G167/1000))*4*2*AE167*1.25*K167,100)</f>
        <v>9800</v>
      </c>
      <c r="AG167" s="912">
        <f>E175*F175*H175/(305*305)</f>
        <v>0</v>
      </c>
      <c r="AH167" s="912">
        <f>E176*F176*H176/(305*305)</f>
        <v>36</v>
      </c>
      <c r="AI167" s="912">
        <f>H177*E177*F177/(305*305)</f>
        <v>36</v>
      </c>
      <c r="AJ167" s="912">
        <f>H178*E178*F178/(305*305)</f>
        <v>36</v>
      </c>
      <c r="AK167" s="912">
        <f>H179*E179*F179/(305*305)</f>
        <v>0</v>
      </c>
      <c r="AL167" s="912"/>
      <c r="AM167" s="915">
        <f t="shared" ref="AM167" si="98">(G167*2.2/1100)</f>
        <v>85.000000000000014</v>
      </c>
      <c r="AN167" s="915">
        <f t="shared" ref="AN167" si="99">(G167*1/1100)</f>
        <v>38.636363636363633</v>
      </c>
    </row>
    <row r="168" spans="3:40" ht="14.1">
      <c r="C168" s="57"/>
      <c r="D168" s="175" t="s">
        <v>278</v>
      </c>
      <c r="E168" s="180">
        <f>'BOD-Cold &amp; Amb.'!AL171</f>
        <v>4000</v>
      </c>
      <c r="F168" s="175" t="s">
        <v>279</v>
      </c>
      <c r="G168" s="180">
        <f>'BOD-Cold &amp; Amb.'!AL173</f>
        <v>3600</v>
      </c>
      <c r="H168" s="175" t="s">
        <v>280</v>
      </c>
      <c r="I168" s="181">
        <f>'BOD-Cold &amp; Amb.'!AL175</f>
        <v>5800</v>
      </c>
      <c r="J168" s="902"/>
      <c r="K168" s="902"/>
      <c r="L168" s="902"/>
      <c r="M168" s="902"/>
      <c r="N168" s="902"/>
      <c r="O168" s="902"/>
      <c r="P168" s="902"/>
      <c r="Q168" s="913"/>
      <c r="R168" s="913"/>
      <c r="S168" s="913"/>
      <c r="T168" s="913"/>
      <c r="U168" s="912"/>
      <c r="V168" s="912"/>
      <c r="W168" s="913"/>
      <c r="X168" s="912"/>
      <c r="Y168" s="912"/>
      <c r="Z168" s="912"/>
      <c r="AA168" s="912"/>
      <c r="AB168" s="912"/>
      <c r="AC168" s="912"/>
      <c r="AD168" s="912"/>
      <c r="AE168" s="912"/>
      <c r="AF168" s="912"/>
      <c r="AG168" s="912"/>
      <c r="AH168" s="912"/>
      <c r="AI168" s="912"/>
      <c r="AJ168" s="912"/>
      <c r="AK168" s="912"/>
      <c r="AL168" s="912"/>
      <c r="AM168" s="915"/>
      <c r="AN168" s="915"/>
    </row>
    <row r="169" spans="3:40" ht="14.1">
      <c r="C169" s="57"/>
      <c r="D169" s="175" t="s">
        <v>281</v>
      </c>
      <c r="E169" s="180">
        <f>'BOD-Cold &amp; Amb.'!AN170</f>
        <v>1120</v>
      </c>
      <c r="F169" s="176" t="s">
        <v>282</v>
      </c>
      <c r="G169" s="180">
        <f>'BOD-Cold &amp; Amb.'!AM170</f>
        <v>150</v>
      </c>
      <c r="H169" s="176" t="s">
        <v>283</v>
      </c>
      <c r="I169" s="181">
        <f>'BOD-Cold &amp; Amb.'!AO170</f>
        <v>60</v>
      </c>
      <c r="J169" s="902"/>
      <c r="K169" s="902"/>
      <c r="L169" s="902"/>
      <c r="M169" s="902"/>
      <c r="N169" s="902"/>
      <c r="O169" s="902"/>
      <c r="P169" s="902"/>
      <c r="Q169" s="913"/>
      <c r="R169" s="913"/>
      <c r="S169" s="913"/>
      <c r="T169" s="913"/>
      <c r="U169" s="912"/>
      <c r="V169" s="912"/>
      <c r="W169" s="913"/>
      <c r="X169" s="912"/>
      <c r="Y169" s="912"/>
      <c r="Z169" s="912"/>
      <c r="AA169" s="912"/>
      <c r="AB169" s="912"/>
      <c r="AC169" s="912"/>
      <c r="AD169" s="912"/>
      <c r="AE169" s="912"/>
      <c r="AF169" s="912"/>
      <c r="AG169" s="912"/>
      <c r="AH169" s="912"/>
      <c r="AI169" s="912"/>
      <c r="AJ169" s="912"/>
      <c r="AK169" s="912"/>
      <c r="AL169" s="912"/>
      <c r="AM169" s="915"/>
      <c r="AN169" s="915"/>
    </row>
    <row r="170" spans="3:40" ht="21.6" customHeight="1">
      <c r="C170" s="57"/>
      <c r="D170" s="175" t="s">
        <v>284</v>
      </c>
      <c r="E170" s="180">
        <f>'BOD-Cold &amp; Amb.'!AP170</f>
        <v>4</v>
      </c>
      <c r="F170" s="832" t="s">
        <v>285</v>
      </c>
      <c r="G170" s="837" t="str">
        <f>IF(OR(I167=0, E170="Amb"), "Amb",IF('BOD-Cold &amp; Amb.'!AH130="C", "Header",IF('BOD-Cold &amp; Amb.'!AH130="D", "Distributor", "Refer")))</f>
        <v>Header</v>
      </c>
      <c r="H170" s="832" t="s">
        <v>286</v>
      </c>
      <c r="I170" s="833" t="str">
        <f>IF(OR(I167=0, E170=0), 0,ROUND(((( I167/E170)*304.8)/(E168-400))*1000,0)&amp;" h "&amp;" x " &amp; (E168-400)&amp;" w ")</f>
        <v xml:space="preserve">2297 h  x 3600 w </v>
      </c>
      <c r="J170" s="902"/>
      <c r="K170" s="902"/>
      <c r="L170" s="902"/>
      <c r="M170" s="902"/>
      <c r="N170" s="902"/>
      <c r="O170" s="902"/>
      <c r="P170" s="902"/>
      <c r="Q170" s="913"/>
      <c r="R170" s="913"/>
      <c r="S170" s="913"/>
      <c r="T170" s="913"/>
      <c r="U170" s="912"/>
      <c r="V170" s="912"/>
      <c r="W170" s="913"/>
      <c r="X170" s="912"/>
      <c r="Y170" s="912"/>
      <c r="Z170" s="912"/>
      <c r="AA170" s="912"/>
      <c r="AB170" s="912"/>
      <c r="AC170" s="912"/>
      <c r="AD170" s="912"/>
      <c r="AE170" s="912"/>
      <c r="AF170" s="912"/>
      <c r="AG170" s="912"/>
      <c r="AH170" s="912"/>
      <c r="AI170" s="912"/>
      <c r="AJ170" s="912"/>
      <c r="AK170" s="912"/>
      <c r="AL170" s="912"/>
      <c r="AM170" s="915"/>
      <c r="AN170" s="915"/>
    </row>
    <row r="171" spans="3:40" ht="21">
      <c r="C171" s="57"/>
      <c r="D171" s="175" t="s">
        <v>287</v>
      </c>
      <c r="E171" s="180">
        <f>'BOD-Cold &amp; Amb.'!AR170</f>
        <v>3</v>
      </c>
      <c r="F171" s="176" t="s">
        <v>288</v>
      </c>
      <c r="G171" s="177" t="str">
        <f>IF(E171=4,"10µ, 5µ, 1µ &amp; 0.3µ (HEPA Plenum Fitted 95% eff.)",IF(E171=3,"10µ, 5µ &amp; 1µ ",IF(E171=2,"10µ  &amp; 5µ",IF(E171=1,"10µ", "Filter Ratings"))))</f>
        <v xml:space="preserve">10µ, 5µ &amp; 1µ </v>
      </c>
      <c r="H171" s="178"/>
      <c r="I171" s="179"/>
      <c r="J171" s="902"/>
      <c r="K171" s="902"/>
      <c r="L171" s="902"/>
      <c r="M171" s="902"/>
      <c r="N171" s="902"/>
      <c r="O171" s="902"/>
      <c r="P171" s="902"/>
      <c r="Q171" s="913"/>
      <c r="R171" s="913"/>
      <c r="S171" s="913"/>
      <c r="T171" s="913"/>
      <c r="U171" s="912"/>
      <c r="V171" s="912"/>
      <c r="W171" s="913"/>
      <c r="X171" s="912"/>
      <c r="Y171" s="912"/>
      <c r="Z171" s="912"/>
      <c r="AA171" s="912"/>
      <c r="AB171" s="912"/>
      <c r="AC171" s="912"/>
      <c r="AD171" s="912"/>
      <c r="AE171" s="912"/>
      <c r="AF171" s="912"/>
      <c r="AG171" s="912"/>
      <c r="AH171" s="912"/>
      <c r="AI171" s="912"/>
      <c r="AJ171" s="912"/>
      <c r="AK171" s="912"/>
      <c r="AL171" s="912"/>
      <c r="AM171" s="915"/>
      <c r="AN171" s="915"/>
    </row>
    <row r="172" spans="3:40">
      <c r="C172" s="57"/>
      <c r="D172" s="922" t="s">
        <v>289</v>
      </c>
      <c r="E172" s="923"/>
      <c r="F172" s="923"/>
      <c r="G172" s="923"/>
      <c r="H172" s="923"/>
      <c r="I172" s="924"/>
      <c r="J172" s="902"/>
      <c r="K172" s="902"/>
      <c r="L172" s="902"/>
      <c r="M172" s="902"/>
      <c r="N172" s="902"/>
      <c r="O172" s="902"/>
      <c r="P172" s="902"/>
      <c r="Q172" s="913"/>
      <c r="R172" s="913"/>
      <c r="S172" s="913"/>
      <c r="T172" s="913"/>
      <c r="U172" s="912"/>
      <c r="V172" s="912"/>
      <c r="W172" s="913"/>
      <c r="X172" s="912"/>
      <c r="Y172" s="912"/>
      <c r="Z172" s="912"/>
      <c r="AA172" s="912"/>
      <c r="AB172" s="912"/>
      <c r="AC172" s="912"/>
      <c r="AD172" s="912"/>
      <c r="AE172" s="912"/>
      <c r="AF172" s="912"/>
      <c r="AG172" s="912"/>
      <c r="AH172" s="912"/>
      <c r="AI172" s="912"/>
      <c r="AJ172" s="912"/>
      <c r="AK172" s="912"/>
      <c r="AL172" s="912"/>
      <c r="AM172" s="915"/>
      <c r="AN172" s="915"/>
    </row>
    <row r="173" spans="3:40" ht="24.95">
      <c r="C173" s="57"/>
      <c r="D173" s="58" t="s">
        <v>290</v>
      </c>
      <c r="E173" s="58" t="s">
        <v>291</v>
      </c>
      <c r="F173" s="58" t="s">
        <v>292</v>
      </c>
      <c r="G173" s="58" t="s">
        <v>293</v>
      </c>
      <c r="H173" s="58" t="s">
        <v>294</v>
      </c>
      <c r="I173" s="179"/>
      <c r="J173" s="902"/>
      <c r="K173" s="902"/>
      <c r="L173" s="902"/>
      <c r="M173" s="902"/>
      <c r="N173" s="902"/>
      <c r="O173" s="902"/>
      <c r="P173" s="902"/>
      <c r="Q173" s="913"/>
      <c r="R173" s="913"/>
      <c r="S173" s="913"/>
      <c r="T173" s="913"/>
      <c r="U173" s="912"/>
      <c r="V173" s="912"/>
      <c r="W173" s="913"/>
      <c r="X173" s="912"/>
      <c r="Y173" s="912"/>
      <c r="Z173" s="912"/>
      <c r="AA173" s="912"/>
      <c r="AB173" s="912"/>
      <c r="AC173" s="912"/>
      <c r="AD173" s="912"/>
      <c r="AE173" s="912"/>
      <c r="AF173" s="912"/>
      <c r="AG173" s="912"/>
      <c r="AH173" s="912"/>
      <c r="AI173" s="912"/>
      <c r="AJ173" s="912"/>
      <c r="AK173" s="912"/>
      <c r="AL173" s="912"/>
      <c r="AM173" s="915"/>
      <c r="AN173" s="915"/>
    </row>
    <row r="174" spans="3:40" ht="14.1">
      <c r="C174" s="57"/>
      <c r="D174" s="58"/>
      <c r="E174" s="58">
        <f>IF(E168=950,2,(IF(E168=1150,3,(IF(E168=1550,4,(IF(E168=1750,5,(IF(E168=2050,6,(IF(E168=2900,8,(IF(E168=3600,10,IF(E168=4000,12,0))))))))))))))</f>
        <v>12</v>
      </c>
      <c r="F174" s="58">
        <f>IF(G168=950,2,(IF(G168=1150,3,(IF(G168=1550,4,(IF(G168=1750,5,(IF(G168=2050,6,(IF(G168=2900,8,(IF(G168=3600,10,IF(E168=4000,12,0))))))))))))))</f>
        <v>10</v>
      </c>
      <c r="G174" s="58"/>
      <c r="H174" s="60"/>
      <c r="I174" s="834"/>
      <c r="J174" s="902"/>
      <c r="K174" s="902"/>
      <c r="L174" s="902"/>
      <c r="M174" s="902"/>
      <c r="N174" s="902"/>
      <c r="O174" s="902"/>
      <c r="P174" s="902"/>
      <c r="Q174" s="913"/>
      <c r="R174" s="913"/>
      <c r="S174" s="913"/>
      <c r="T174" s="913"/>
      <c r="U174" s="912"/>
      <c r="V174" s="912"/>
      <c r="W174" s="913"/>
      <c r="X174" s="912"/>
      <c r="Y174" s="912"/>
      <c r="Z174" s="912"/>
      <c r="AA174" s="912"/>
      <c r="AB174" s="912"/>
      <c r="AC174" s="912"/>
      <c r="AD174" s="912"/>
      <c r="AE174" s="912"/>
      <c r="AF174" s="912"/>
      <c r="AG174" s="912"/>
      <c r="AH174" s="912"/>
      <c r="AI174" s="912"/>
      <c r="AJ174" s="912"/>
      <c r="AK174" s="912"/>
      <c r="AL174" s="912"/>
      <c r="AM174" s="915"/>
      <c r="AN174" s="915"/>
    </row>
    <row r="175" spans="3:40" ht="14.1">
      <c r="C175" s="57"/>
      <c r="D175" s="58">
        <f>IF(AND(I167=0, OR(E171=1, E171=2, E171=3, E171=4, E171=5)), "20µ", 0)</f>
        <v>0</v>
      </c>
      <c r="E175" s="58">
        <f>IF(OR(D175=0),0,IF(MOD($E$42*$F$42,2)=0,"610",IF(MOD($E$42*$F$42,2.5)=0,"760",IF(MOD($E$42*$F$42,3)=0,"915","Refer"))))</f>
        <v>0</v>
      </c>
      <c r="F175" s="58">
        <f>IF(OR(D175=0),0,IF(MOD($E$42*$F$42,6)=0,"915",IF(MOD($E$42*$F$42,5)=0,"760",IF(MOD($E$42*$F$42,4)=0,"610","Refer"))))</f>
        <v>0</v>
      </c>
      <c r="G175" s="58">
        <f>IF(D175=0,0,100)</f>
        <v>0</v>
      </c>
      <c r="H175" s="60">
        <f>IF(D175=0,0,($E$42*$F$42*305*305)/(E175*F175))</f>
        <v>0</v>
      </c>
      <c r="I175" s="834"/>
      <c r="J175" s="902"/>
      <c r="K175" s="902"/>
      <c r="L175" s="902"/>
      <c r="M175" s="902"/>
      <c r="N175" s="902"/>
      <c r="O175" s="902"/>
      <c r="P175" s="902"/>
      <c r="Q175" s="55"/>
      <c r="R175" s="55"/>
      <c r="S175" s="55"/>
      <c r="T175" s="55"/>
      <c r="U175" s="45"/>
      <c r="V175" s="45"/>
      <c r="W175" s="55"/>
      <c r="X175" s="45"/>
      <c r="Y175" s="45"/>
      <c r="Z175" s="45"/>
      <c r="AA175" s="45"/>
      <c r="AB175" s="45"/>
      <c r="AC175" s="45"/>
      <c r="AD175" s="45"/>
      <c r="AE175" s="45"/>
      <c r="AF175" s="45"/>
      <c r="AG175" s="45"/>
      <c r="AH175" s="45"/>
      <c r="AI175" s="45"/>
      <c r="AJ175" s="45"/>
      <c r="AK175" s="45"/>
      <c r="AL175" s="45"/>
      <c r="AM175" s="63"/>
      <c r="AN175" s="63"/>
    </row>
    <row r="176" spans="3:40" ht="14.1">
      <c r="C176" s="57"/>
      <c r="D176" s="58" t="str">
        <f>IF(E171=4,"10µ",IF(E171=3,"10µ",IF(E171=2,"10µ",IF(E171=1,"10µ",0))))</f>
        <v>10µ</v>
      </c>
      <c r="E176" s="58" t="str">
        <f>IF(OR(D176=0),0,IF(MOD($E$42*$F$42,2)=0,"610",IF(MOD($E$42*$F$42,2.5)=0,"760",IF(MOD($E$42*$F$42,3)=0,"915","Refer"))))</f>
        <v>610</v>
      </c>
      <c r="F176" s="58" t="str">
        <f>IF(OR(D176=0),0,IF(MOD($E$42*$F$42,6)=0,"915",IF(MOD($E$42*$F$42,5)=0,"760",IF(MOD($E$42*$F$42,4)=0,"610","Refer"))))</f>
        <v>915</v>
      </c>
      <c r="G176" s="58">
        <f>IF(D176=0,0,150)</f>
        <v>150</v>
      </c>
      <c r="H176" s="60">
        <f>IF(D176=0,0,($E$42*$F$42*305*305)/(E176*F176))</f>
        <v>6</v>
      </c>
      <c r="I176" s="834"/>
      <c r="J176" s="902"/>
      <c r="K176" s="902"/>
      <c r="L176" s="902"/>
      <c r="M176" s="902"/>
      <c r="N176" s="902"/>
      <c r="O176" s="902"/>
      <c r="P176" s="902"/>
      <c r="Q176" s="913"/>
      <c r="R176" s="913"/>
      <c r="S176" s="913"/>
      <c r="T176" s="913"/>
      <c r="U176" s="912"/>
      <c r="V176" s="912"/>
      <c r="W176" s="913"/>
      <c r="X176" s="912"/>
      <c r="Y176" s="912"/>
      <c r="Z176" s="912"/>
      <c r="AA176" s="912"/>
      <c r="AB176" s="912"/>
      <c r="AC176" s="912"/>
      <c r="AD176" s="912"/>
      <c r="AE176" s="912"/>
      <c r="AF176" s="912"/>
      <c r="AG176" s="912"/>
      <c r="AH176" s="912"/>
      <c r="AI176" s="912"/>
      <c r="AJ176" s="912"/>
      <c r="AK176" s="912"/>
      <c r="AL176" s="912"/>
      <c r="AM176" s="915"/>
      <c r="AN176" s="915"/>
    </row>
    <row r="177" spans="3:40" ht="14.1">
      <c r="C177" s="57"/>
      <c r="D177" s="58" t="str">
        <f>IF(E171=4,"5µ",IF(E171=3,"5µ",IF(E171=2,"5µ",0)))</f>
        <v>5µ</v>
      </c>
      <c r="E177" s="58" t="str">
        <f t="shared" ref="E177:E179" si="100">IF(OR(D177=0),0,IF(MOD($E$42*$F$42,2)=0,"610",IF(MOD($E$42*$F$42,2.5)=0,"760",IF(MOD($E$42*$F$42,3)=0,"915","Refer"))))</f>
        <v>610</v>
      </c>
      <c r="F177" s="58" t="str">
        <f>IF(OR(D177=0),0,IF(MOD($E$42*$F$42,6)=0,"915",IF(MOD($E$42*$F$42,5)=0,"760",IF(MOD($E$42*$F$42,4)=0,"610","Refer"))))</f>
        <v>915</v>
      </c>
      <c r="G177" s="58">
        <f>IF(D177=0,0,300)</f>
        <v>300</v>
      </c>
      <c r="H177" s="60">
        <f>IF(D177=0,0,($E$42*$F$42*305*305)/(E177*F177))</f>
        <v>6</v>
      </c>
      <c r="I177" s="834"/>
      <c r="J177" s="902"/>
      <c r="K177" s="902"/>
      <c r="L177" s="902"/>
      <c r="M177" s="902"/>
      <c r="N177" s="902"/>
      <c r="O177" s="902"/>
      <c r="P177" s="902"/>
      <c r="Q177" s="913"/>
      <c r="R177" s="913"/>
      <c r="S177" s="913"/>
      <c r="T177" s="913"/>
      <c r="U177" s="912"/>
      <c r="V177" s="912"/>
      <c r="W177" s="913"/>
      <c r="X177" s="912"/>
      <c r="Y177" s="912"/>
      <c r="Z177" s="912"/>
      <c r="AA177" s="912"/>
      <c r="AB177" s="912"/>
      <c r="AC177" s="912"/>
      <c r="AD177" s="912"/>
      <c r="AE177" s="912"/>
      <c r="AF177" s="912"/>
      <c r="AG177" s="912"/>
      <c r="AH177" s="912"/>
      <c r="AI177" s="912"/>
      <c r="AJ177" s="912"/>
      <c r="AK177" s="912"/>
      <c r="AL177" s="912"/>
      <c r="AM177" s="915"/>
      <c r="AN177" s="915"/>
    </row>
    <row r="178" spans="3:40" ht="14.1">
      <c r="C178" s="57"/>
      <c r="D178" s="58" t="str">
        <f>IF(E171=4,"1µ",IF(E171=3,"1µ",0))</f>
        <v>1µ</v>
      </c>
      <c r="E178" s="58" t="str">
        <f t="shared" si="100"/>
        <v>610</v>
      </c>
      <c r="F178" s="58" t="str">
        <f>IF(OR(D178=0),0,IF(MOD($E$42*$F$42,6)=0,"915",IF(MOD($E$42*$F$42,5)=0,"760",IF(MOD($E$42*$F$42,4)=0,"610","Refer"))))</f>
        <v>915</v>
      </c>
      <c r="G178" s="58">
        <f>IF(D178=0,0,300)</f>
        <v>300</v>
      </c>
      <c r="H178" s="60">
        <f>IF(D178=0,0,($E$42*$F$42*305*305)/(E178*F178))</f>
        <v>6</v>
      </c>
      <c r="I178" s="834"/>
      <c r="J178" s="902"/>
      <c r="K178" s="902"/>
      <c r="L178" s="902"/>
      <c r="M178" s="902"/>
      <c r="N178" s="902"/>
      <c r="O178" s="902"/>
      <c r="P178" s="902"/>
      <c r="Q178" s="913"/>
      <c r="R178" s="913"/>
      <c r="S178" s="913"/>
      <c r="T178" s="913"/>
      <c r="U178" s="912"/>
      <c r="V178" s="912"/>
      <c r="W178" s="913"/>
      <c r="X178" s="912"/>
      <c r="Y178" s="912"/>
      <c r="Z178" s="912"/>
      <c r="AA178" s="912"/>
      <c r="AB178" s="912"/>
      <c r="AC178" s="912"/>
      <c r="AD178" s="912"/>
      <c r="AE178" s="912"/>
      <c r="AF178" s="912"/>
      <c r="AG178" s="912"/>
      <c r="AH178" s="912"/>
      <c r="AI178" s="912"/>
      <c r="AJ178" s="912"/>
      <c r="AK178" s="912"/>
      <c r="AL178" s="912"/>
      <c r="AM178" s="915"/>
      <c r="AN178" s="915"/>
    </row>
    <row r="179" spans="3:40" ht="14.1">
      <c r="C179" s="57"/>
      <c r="D179" s="58">
        <f>IF(E171=4,"0.3µ 95% Eff. HEPA Filetr",0)</f>
        <v>0</v>
      </c>
      <c r="E179" s="58">
        <f t="shared" si="100"/>
        <v>0</v>
      </c>
      <c r="F179" s="58">
        <f>IF(OR(D179=0),0,IF(MOD($E$42*$F$42,6)=0,"915",IF(MOD($E$42*$F$42,5)=0,"760",IF(MOD($E$42*$F$42,4)=0,"610","Refer"))))</f>
        <v>0</v>
      </c>
      <c r="G179" s="58">
        <f>IF(D179=0,0,300)</f>
        <v>0</v>
      </c>
      <c r="H179" s="60">
        <f>IF(D179=0,0,($E$42*$F$42*305*305)/(E179*F179))</f>
        <v>0</v>
      </c>
      <c r="I179" s="836"/>
      <c r="J179" s="902"/>
      <c r="K179" s="902"/>
      <c r="L179" s="902"/>
      <c r="M179" s="902"/>
      <c r="N179" s="902"/>
      <c r="O179" s="902"/>
      <c r="P179" s="902"/>
      <c r="Q179" s="913"/>
      <c r="R179" s="913"/>
      <c r="S179" s="913"/>
      <c r="T179" s="913"/>
      <c r="U179" s="912"/>
      <c r="V179" s="912"/>
      <c r="W179" s="913"/>
      <c r="X179" s="912"/>
      <c r="Y179" s="912"/>
      <c r="Z179" s="912"/>
      <c r="AA179" s="912"/>
      <c r="AB179" s="912"/>
      <c r="AC179" s="912"/>
      <c r="AD179" s="912"/>
      <c r="AE179" s="912"/>
      <c r="AF179" s="912"/>
      <c r="AG179" s="912"/>
      <c r="AH179" s="912"/>
      <c r="AI179" s="912"/>
      <c r="AJ179" s="912"/>
      <c r="AK179" s="912"/>
      <c r="AL179" s="912"/>
      <c r="AM179" s="915"/>
      <c r="AN179" s="915"/>
    </row>
    <row r="180" spans="3:40" ht="14.1">
      <c r="C180" s="57"/>
      <c r="D180" s="826"/>
      <c r="E180" s="182"/>
      <c r="F180" s="182"/>
      <c r="G180" s="182"/>
      <c r="H180" s="182"/>
      <c r="I180" s="827"/>
      <c r="J180" s="52"/>
      <c r="K180" s="52"/>
      <c r="L180" s="52"/>
      <c r="M180" s="52"/>
      <c r="N180" s="52"/>
      <c r="O180" s="828"/>
      <c r="P180" s="828"/>
      <c r="Q180" s="55"/>
      <c r="R180" s="55"/>
      <c r="S180" s="55"/>
      <c r="T180" s="55"/>
      <c r="U180" s="45"/>
      <c r="V180" s="45"/>
      <c r="W180" s="55"/>
      <c r="X180" s="45"/>
      <c r="Y180" s="45"/>
      <c r="Z180" s="45"/>
      <c r="AA180" s="45"/>
      <c r="AB180" s="45"/>
      <c r="AC180" s="45"/>
      <c r="AD180" s="45"/>
      <c r="AE180" s="45"/>
      <c r="AF180" s="45"/>
      <c r="AG180" s="45"/>
      <c r="AH180" s="45"/>
      <c r="AI180" s="45"/>
      <c r="AJ180" s="45"/>
      <c r="AK180" s="45"/>
      <c r="AL180" s="45"/>
      <c r="AM180" s="63"/>
      <c r="AN180" s="63"/>
    </row>
    <row r="181" spans="3:40" ht="14.1" customHeight="1">
      <c r="C181" s="57"/>
      <c r="D181" s="901" t="str">
        <f>"AHU - " &amp; INT((ROW()-34)/14)+1 &amp; "  " &amp; IF(I182&gt;0,"Air-Conditioning System " &amp; IF(OR(G185="Header", G185="C"), "(Chilled Water)",IF(OR(G185="Distributor", G185="D"), "(DX)", "Ventilation System")),IF(NOT(I182&gt;0), "Ventilation System ( SUPPLY )", "Refer"))</f>
        <v>AHU - 11  Air-Conditioning System (Chilled Water)</v>
      </c>
      <c r="E181" s="901"/>
      <c r="F181" s="901"/>
      <c r="G181" s="901"/>
      <c r="H181" s="901"/>
      <c r="I181" s="901"/>
      <c r="J181" s="52"/>
      <c r="K181" s="52"/>
      <c r="L181" s="53"/>
      <c r="M181" s="53"/>
      <c r="N181" s="53"/>
      <c r="O181" s="54"/>
      <c r="P181" s="55"/>
      <c r="AM181" s="56"/>
      <c r="AN181" s="56"/>
    </row>
    <row r="182" spans="3:40" ht="14.1">
      <c r="C182" s="57"/>
      <c r="D182" s="175" t="s">
        <v>274</v>
      </c>
      <c r="E182" s="180" t="str">
        <f>'BOD-Cold &amp; Amb.'!R190</f>
        <v>ISO 6</v>
      </c>
      <c r="F182" s="175" t="s">
        <v>275</v>
      </c>
      <c r="G182" s="180">
        <f>'BOD-Cold &amp; Amb.'!AK190</f>
        <v>42500</v>
      </c>
      <c r="H182" s="175" t="s">
        <v>276</v>
      </c>
      <c r="I182" s="181">
        <f>'BOD-Cold &amp; Amb.'!AQ190</f>
        <v>108.5</v>
      </c>
      <c r="J182" s="902" t="s">
        <v>277</v>
      </c>
      <c r="K182" s="902">
        <v>1</v>
      </c>
      <c r="L182" s="917">
        <f>Q182</f>
        <v>2070750</v>
      </c>
      <c r="M182" s="902">
        <f>K182*L182</f>
        <v>2070750</v>
      </c>
      <c r="N182" s="902"/>
      <c r="O182" s="902"/>
      <c r="P182" s="902"/>
      <c r="Q182" s="913">
        <f t="shared" ref="Q182" si="101">CEILING((S182+T182+U182+V182+W182),250)</f>
        <v>2070750</v>
      </c>
      <c r="R182" s="913">
        <f>IF(I182&gt;0,625,375)</f>
        <v>625</v>
      </c>
      <c r="S182" s="913">
        <f>(E183*G183*3*10.76+E183*I183*2*10.76+G183*I183*2*10.76)*R182/(1000*1000)</f>
        <v>883396</v>
      </c>
      <c r="T182" s="913">
        <f>I182*4*1050</f>
        <v>455700</v>
      </c>
      <c r="U182" s="912">
        <f>IF(G182&lt;=2000,5000,(IF(G182&lt;=5000,8000,(IF(G182&lt;=10000,10000,(IF(G182&lt;=18000,15000,(IF(G182&lt;=40000,20000,25000)))))))))</f>
        <v>25000</v>
      </c>
      <c r="V182" s="912">
        <f t="shared" ref="V182" si="102">IF(X182=200,17150,(IF(X182=225,18150,(IF(X182=250,18900,(IF(X182=280,19150,(IF(X182=315,19650,(IF(X182=355,21900,(IF(X182=400,24400,0)))))))))))))+IF(X182=450,31000,(IF(X182=500,37450,(IF(X182=560,45650,(IF(X182=630,58900,(IF(X182=710,77950,0)))))))))+IF(X182=800,119650,(IF(X182=900,153300,(IF(X182=1000,178900,(IF(X182=1120,286500,(IF(X182=1250,394500,(IF(X182=1450,461500,0)))))))))))</f>
        <v>286500</v>
      </c>
      <c r="W182" s="913">
        <f>IF(I184=0.5,16600,(IF(I184=1,19050,(IF(I184=1.5,21750,(IF(I184=2,23600,(IF(I184=3,30000,(IF(I184=5,38000,0)))))))))))*1.2+IF(I184=7.5,52300,(IF(I184=10,59600,0)))*1.2+IF(I184=12.5,100350,(IF(I184=15,106000,(IF(I184=20,129150,(IF(I184=25,146050,(IF(I184=30,173600,(IF(I184=40,233900,(IF(I184=50,304650,IF(I184=60,350000,400000)))))))))))))*1.2)</f>
        <v>420000</v>
      </c>
      <c r="X182" s="912">
        <f>E184</f>
        <v>1120</v>
      </c>
      <c r="Y182" s="912">
        <f t="shared" ref="Y182" si="103">IF(G182&lt;=6750,450,(IF(G182&lt;=8500,500,(IF(G182&lt;=10750,560,(IF(G182&lt;=13500,630,(IF(G182&lt;=17000,710,(IF(G182&lt;=21500,800,(IF(G182&lt;=27000,900,(IF(G182&lt;=34000,1000,0)))))))))))))))</f>
        <v>0</v>
      </c>
      <c r="Z182" s="912">
        <f t="shared" ref="Z182" si="104">IF(G182&lt;=1300,200,(IF(G182&lt;=1600,225,(IF(G182&lt;=2100,250,(IF(G182&lt;=2700,280,(IF(G182&lt;=3450,315,(IF(G182&lt;=4250,355,(IF(G182&lt;=5250,400,(IF(G182&lt;=6750,450,0)))))))))))))))</f>
        <v>0</v>
      </c>
      <c r="AA182" s="912">
        <f t="shared" ref="AA182" si="105">IF(G182&lt;=2000,5000,(IF(G182&lt;=5000,8000,(IF(G182&lt;=10000,10000,(IF(G182&lt;=18000,15000,(IF(G182&lt;=40000,20000,10000)))))))))</f>
        <v>10000</v>
      </c>
      <c r="AB182" s="912">
        <f>IF(E183=950,2,(IF(E183=1150,3,(IF(E183=1550,4,(IF(E183=1750,5,(IF(E183=2050,6,(IF(E183=2900,8,(IF(E183=3600,10,12)))))))))))))</f>
        <v>12</v>
      </c>
      <c r="AC182" s="912">
        <f>IF(G183=950,2,(IF(G183=1150,3,(IF(G183=1550,4,(IF(G183=1750,5,(IF(G183=2050,6,(IF(G183=2900,8,(IF(G183=3600,10,12)))))))))))))</f>
        <v>10</v>
      </c>
      <c r="AD182" s="912">
        <f t="shared" ref="AD182" si="106">AC182*AB182</f>
        <v>120</v>
      </c>
      <c r="AE182" s="912">
        <v>150</v>
      </c>
      <c r="AF182" s="912">
        <f t="shared" ref="AF182" si="107">CEILING((SQRT(G182/1000))*4*2*AE182*1.25*K182,100)</f>
        <v>9800</v>
      </c>
      <c r="AG182" s="912">
        <f>E190*F190*H190/(305*305)</f>
        <v>0</v>
      </c>
      <c r="AH182" s="912">
        <f>E191*F191*H191/(305*305)</f>
        <v>36</v>
      </c>
      <c r="AI182" s="912">
        <f>H192*E192*F192/(305*305)</f>
        <v>36</v>
      </c>
      <c r="AJ182" s="912">
        <f>H193*E193*F193/(305*305)</f>
        <v>36</v>
      </c>
      <c r="AK182" s="912">
        <f>H194*E194*F194/(305*305)</f>
        <v>0</v>
      </c>
      <c r="AL182" s="912"/>
      <c r="AM182" s="915">
        <f t="shared" ref="AM182" si="108">(G182*2.2/1100)</f>
        <v>85.000000000000014</v>
      </c>
      <c r="AN182" s="915">
        <f t="shared" ref="AN182" si="109">(G182*1/1100)</f>
        <v>38.636363636363633</v>
      </c>
    </row>
    <row r="183" spans="3:40" ht="14.1">
      <c r="C183" s="57"/>
      <c r="D183" s="175" t="s">
        <v>278</v>
      </c>
      <c r="E183" s="180">
        <f>'BOD-Cold &amp; Amb.'!AL191</f>
        <v>4000</v>
      </c>
      <c r="F183" s="175" t="s">
        <v>279</v>
      </c>
      <c r="G183" s="180">
        <f>'BOD-Cold &amp; Amb.'!AL193</f>
        <v>3600</v>
      </c>
      <c r="H183" s="175" t="s">
        <v>280</v>
      </c>
      <c r="I183" s="181">
        <f>'BOD-Cold &amp; Amb.'!AL195</f>
        <v>5800</v>
      </c>
      <c r="J183" s="902"/>
      <c r="K183" s="902"/>
      <c r="L183" s="902"/>
      <c r="M183" s="902"/>
      <c r="N183" s="902"/>
      <c r="O183" s="902"/>
      <c r="P183" s="902"/>
      <c r="Q183" s="913"/>
      <c r="R183" s="913"/>
      <c r="S183" s="913"/>
      <c r="T183" s="913"/>
      <c r="U183" s="912"/>
      <c r="V183" s="912"/>
      <c r="W183" s="913"/>
      <c r="X183" s="912"/>
      <c r="Y183" s="912"/>
      <c r="Z183" s="912"/>
      <c r="AA183" s="912"/>
      <c r="AB183" s="912"/>
      <c r="AC183" s="912"/>
      <c r="AD183" s="912"/>
      <c r="AE183" s="912"/>
      <c r="AF183" s="912"/>
      <c r="AG183" s="912"/>
      <c r="AH183" s="912"/>
      <c r="AI183" s="912"/>
      <c r="AJ183" s="912"/>
      <c r="AK183" s="912"/>
      <c r="AL183" s="912"/>
      <c r="AM183" s="915"/>
      <c r="AN183" s="915"/>
    </row>
    <row r="184" spans="3:40" ht="14.1">
      <c r="C184" s="57"/>
      <c r="D184" s="175" t="s">
        <v>281</v>
      </c>
      <c r="E184" s="180">
        <f>'BOD-Cold &amp; Amb.'!AN190</f>
        <v>1120</v>
      </c>
      <c r="F184" s="176" t="s">
        <v>282</v>
      </c>
      <c r="G184" s="180">
        <f>'BOD-Cold &amp; Amb.'!AM190</f>
        <v>150</v>
      </c>
      <c r="H184" s="176" t="s">
        <v>283</v>
      </c>
      <c r="I184" s="181">
        <f>'BOD-Cold &amp; Amb.'!AO190</f>
        <v>60</v>
      </c>
      <c r="J184" s="902"/>
      <c r="K184" s="902"/>
      <c r="L184" s="902"/>
      <c r="M184" s="902"/>
      <c r="N184" s="902"/>
      <c r="O184" s="902"/>
      <c r="P184" s="902"/>
      <c r="Q184" s="913"/>
      <c r="R184" s="913"/>
      <c r="S184" s="913"/>
      <c r="T184" s="913"/>
      <c r="U184" s="912"/>
      <c r="V184" s="912"/>
      <c r="W184" s="913"/>
      <c r="X184" s="912"/>
      <c r="Y184" s="912"/>
      <c r="Z184" s="912"/>
      <c r="AA184" s="912"/>
      <c r="AB184" s="912"/>
      <c r="AC184" s="912"/>
      <c r="AD184" s="912"/>
      <c r="AE184" s="912"/>
      <c r="AF184" s="912"/>
      <c r="AG184" s="912"/>
      <c r="AH184" s="912"/>
      <c r="AI184" s="912"/>
      <c r="AJ184" s="912"/>
      <c r="AK184" s="912"/>
      <c r="AL184" s="912"/>
      <c r="AM184" s="915"/>
      <c r="AN184" s="915"/>
    </row>
    <row r="185" spans="3:40" ht="21.6" customHeight="1">
      <c r="C185" s="57"/>
      <c r="D185" s="175" t="s">
        <v>284</v>
      </c>
      <c r="E185" s="180">
        <f>'BOD-Cold &amp; Amb.'!AP190</f>
        <v>4</v>
      </c>
      <c r="F185" s="832" t="s">
        <v>285</v>
      </c>
      <c r="G185" s="837" t="str">
        <f>IF(OR(I182=0, E185="Amb"), "Amb",IF('BOD-Cold &amp; Amb.'!AH145="C", "Header",IF('BOD-Cold &amp; Amb.'!AH145="D", "Distributor", "Refer")))</f>
        <v>Header</v>
      </c>
      <c r="H185" s="832" t="s">
        <v>286</v>
      </c>
      <c r="I185" s="833" t="str">
        <f>IF(OR(I182=0, E185=0), 0,ROUND(((( I182/E185)*304.8)/(E183-400))*1000,0)&amp;" h "&amp;" x " &amp; (E183-400)&amp;" w ")</f>
        <v xml:space="preserve">2297 h  x 3600 w </v>
      </c>
      <c r="J185" s="902"/>
      <c r="K185" s="902"/>
      <c r="L185" s="902"/>
      <c r="M185" s="902"/>
      <c r="N185" s="902"/>
      <c r="O185" s="902"/>
      <c r="P185" s="902"/>
      <c r="Q185" s="913"/>
      <c r="R185" s="913"/>
      <c r="S185" s="913"/>
      <c r="T185" s="913"/>
      <c r="U185" s="912"/>
      <c r="V185" s="912"/>
      <c r="W185" s="913"/>
      <c r="X185" s="912"/>
      <c r="Y185" s="912"/>
      <c r="Z185" s="912"/>
      <c r="AA185" s="912"/>
      <c r="AB185" s="912"/>
      <c r="AC185" s="912"/>
      <c r="AD185" s="912"/>
      <c r="AE185" s="912"/>
      <c r="AF185" s="912"/>
      <c r="AG185" s="912"/>
      <c r="AH185" s="912"/>
      <c r="AI185" s="912"/>
      <c r="AJ185" s="912"/>
      <c r="AK185" s="912"/>
      <c r="AL185" s="912"/>
      <c r="AM185" s="915"/>
      <c r="AN185" s="915"/>
    </row>
    <row r="186" spans="3:40" ht="21">
      <c r="C186" s="57"/>
      <c r="D186" s="175" t="s">
        <v>287</v>
      </c>
      <c r="E186" s="180">
        <f>'BOD-Cold &amp; Amb.'!AR190</f>
        <v>3</v>
      </c>
      <c r="F186" s="176" t="s">
        <v>288</v>
      </c>
      <c r="G186" s="177" t="str">
        <f>IF(E186=4,"10µ, 5µ, 1µ &amp; 0.3µ (HEPA Plenum Fitted 95% eff.)",IF(E186=3,"10µ, 5µ &amp; 1µ ",IF(E186=2,"10µ  &amp; 5µ",IF(E186=1,"10µ", "Filter Ratings"))))</f>
        <v xml:space="preserve">10µ, 5µ &amp; 1µ </v>
      </c>
      <c r="H186" s="178"/>
      <c r="I186" s="179"/>
      <c r="J186" s="902"/>
      <c r="K186" s="902"/>
      <c r="L186" s="902"/>
      <c r="M186" s="902"/>
      <c r="N186" s="902"/>
      <c r="O186" s="902"/>
      <c r="P186" s="902"/>
      <c r="Q186" s="913"/>
      <c r="R186" s="913"/>
      <c r="S186" s="913"/>
      <c r="T186" s="913"/>
      <c r="U186" s="912"/>
      <c r="V186" s="912"/>
      <c r="W186" s="913"/>
      <c r="X186" s="912"/>
      <c r="Y186" s="912"/>
      <c r="Z186" s="912"/>
      <c r="AA186" s="912"/>
      <c r="AB186" s="912"/>
      <c r="AC186" s="912"/>
      <c r="AD186" s="912"/>
      <c r="AE186" s="912"/>
      <c r="AF186" s="912"/>
      <c r="AG186" s="912"/>
      <c r="AH186" s="912"/>
      <c r="AI186" s="912"/>
      <c r="AJ186" s="912"/>
      <c r="AK186" s="912"/>
      <c r="AL186" s="912"/>
      <c r="AM186" s="915"/>
      <c r="AN186" s="915"/>
    </row>
    <row r="187" spans="3:40">
      <c r="C187" s="57"/>
      <c r="D187" s="922" t="s">
        <v>289</v>
      </c>
      <c r="E187" s="923"/>
      <c r="F187" s="923"/>
      <c r="G187" s="923"/>
      <c r="H187" s="923"/>
      <c r="I187" s="924"/>
      <c r="J187" s="902"/>
      <c r="K187" s="902"/>
      <c r="L187" s="902"/>
      <c r="M187" s="902"/>
      <c r="N187" s="902"/>
      <c r="O187" s="902"/>
      <c r="P187" s="902"/>
      <c r="Q187" s="913"/>
      <c r="R187" s="913"/>
      <c r="S187" s="913"/>
      <c r="T187" s="913"/>
      <c r="U187" s="912"/>
      <c r="V187" s="912"/>
      <c r="W187" s="913"/>
      <c r="X187" s="912"/>
      <c r="Y187" s="912"/>
      <c r="Z187" s="912"/>
      <c r="AA187" s="912"/>
      <c r="AB187" s="912"/>
      <c r="AC187" s="912"/>
      <c r="AD187" s="912"/>
      <c r="AE187" s="912"/>
      <c r="AF187" s="912"/>
      <c r="AG187" s="912"/>
      <c r="AH187" s="912"/>
      <c r="AI187" s="912"/>
      <c r="AJ187" s="912"/>
      <c r="AK187" s="912"/>
      <c r="AL187" s="912"/>
      <c r="AM187" s="915"/>
      <c r="AN187" s="915"/>
    </row>
    <row r="188" spans="3:40" ht="24.95">
      <c r="C188" s="57"/>
      <c r="D188" s="58" t="s">
        <v>290</v>
      </c>
      <c r="E188" s="58" t="s">
        <v>291</v>
      </c>
      <c r="F188" s="58" t="s">
        <v>292</v>
      </c>
      <c r="G188" s="58" t="s">
        <v>293</v>
      </c>
      <c r="H188" s="58" t="s">
        <v>294</v>
      </c>
      <c r="I188" s="179"/>
      <c r="J188" s="902"/>
      <c r="K188" s="902"/>
      <c r="L188" s="902"/>
      <c r="M188" s="902"/>
      <c r="N188" s="902"/>
      <c r="O188" s="902"/>
      <c r="P188" s="902"/>
      <c r="Q188" s="913"/>
      <c r="R188" s="913"/>
      <c r="S188" s="913"/>
      <c r="T188" s="913"/>
      <c r="U188" s="912"/>
      <c r="V188" s="912"/>
      <c r="W188" s="913"/>
      <c r="X188" s="912"/>
      <c r="Y188" s="912"/>
      <c r="Z188" s="912"/>
      <c r="AA188" s="912"/>
      <c r="AB188" s="912"/>
      <c r="AC188" s="912"/>
      <c r="AD188" s="912"/>
      <c r="AE188" s="912"/>
      <c r="AF188" s="912"/>
      <c r="AG188" s="912"/>
      <c r="AH188" s="912"/>
      <c r="AI188" s="912"/>
      <c r="AJ188" s="912"/>
      <c r="AK188" s="912"/>
      <c r="AL188" s="912"/>
      <c r="AM188" s="915"/>
      <c r="AN188" s="915"/>
    </row>
    <row r="189" spans="3:40" ht="14.1">
      <c r="C189" s="57"/>
      <c r="D189" s="58"/>
      <c r="E189" s="58">
        <f>IF(E183=950,2,(IF(E183=1150,3,(IF(E183=1550,4,(IF(E183=1750,5,(IF(E183=2050,6,(IF(E183=2900,8,(IF(E183=3600,10,IF(E183=4000,12,0))))))))))))))</f>
        <v>12</v>
      </c>
      <c r="F189" s="58">
        <f>IF(G183=950,2,(IF(G183=1150,3,(IF(G183=1550,4,(IF(G183=1750,5,(IF(G183=2050,6,(IF(G183=2900,8,(IF(G183=3600,10,IF(E183=4000,12,0))))))))))))))</f>
        <v>10</v>
      </c>
      <c r="G189" s="58"/>
      <c r="H189" s="60"/>
      <c r="I189" s="834"/>
      <c r="J189" s="902"/>
      <c r="K189" s="902"/>
      <c r="L189" s="902"/>
      <c r="M189" s="902"/>
      <c r="N189" s="902"/>
      <c r="O189" s="902"/>
      <c r="P189" s="902"/>
      <c r="Q189" s="913"/>
      <c r="R189" s="913"/>
      <c r="S189" s="913"/>
      <c r="T189" s="913"/>
      <c r="U189" s="912"/>
      <c r="V189" s="912"/>
      <c r="W189" s="913"/>
      <c r="X189" s="912"/>
      <c r="Y189" s="912"/>
      <c r="Z189" s="912"/>
      <c r="AA189" s="912"/>
      <c r="AB189" s="912"/>
      <c r="AC189" s="912"/>
      <c r="AD189" s="912"/>
      <c r="AE189" s="912"/>
      <c r="AF189" s="912"/>
      <c r="AG189" s="912"/>
      <c r="AH189" s="912"/>
      <c r="AI189" s="912"/>
      <c r="AJ189" s="912"/>
      <c r="AK189" s="912"/>
      <c r="AL189" s="912"/>
      <c r="AM189" s="915"/>
      <c r="AN189" s="915"/>
    </row>
    <row r="190" spans="3:40" ht="14.1">
      <c r="C190" s="57"/>
      <c r="D190" s="58">
        <f>IF(AND(I182=0, OR(E186=1, E186=2, E186=3, E186=4, E186=5)), "20µ", 0)</f>
        <v>0</v>
      </c>
      <c r="E190" s="58">
        <f>IF(OR(D190=0),0,IF(MOD($E$42*$F$42,2)=0,"610",IF(MOD($E$42*$F$42,2.5)=0,"760",IF(MOD($E$42*$F$42,3)=0,"915","Refer"))))</f>
        <v>0</v>
      </c>
      <c r="F190" s="58">
        <f>IF(OR(D190=0),0,IF(MOD($E$42*$F$42,6)=0,"915",IF(MOD($E$42*$F$42,5)=0,"760",IF(MOD($E$42*$F$42,4)=0,"610","Refer"))))</f>
        <v>0</v>
      </c>
      <c r="G190" s="58">
        <f>IF(D190=0,0,100)</f>
        <v>0</v>
      </c>
      <c r="H190" s="60">
        <f>IF(D190=0,0,($E$42*$F$42*305*305)/(E190*F190))</f>
        <v>0</v>
      </c>
      <c r="I190" s="834"/>
      <c r="J190" s="902"/>
      <c r="K190" s="902"/>
      <c r="L190" s="902"/>
      <c r="M190" s="902"/>
      <c r="N190" s="902"/>
      <c r="O190" s="902"/>
      <c r="P190" s="902"/>
      <c r="Q190" s="55"/>
      <c r="R190" s="55"/>
      <c r="S190" s="55"/>
      <c r="T190" s="55"/>
      <c r="U190" s="45"/>
      <c r="V190" s="45"/>
      <c r="W190" s="55"/>
      <c r="X190" s="45"/>
      <c r="Y190" s="45"/>
      <c r="Z190" s="45"/>
      <c r="AA190" s="45"/>
      <c r="AB190" s="45"/>
      <c r="AC190" s="45"/>
      <c r="AD190" s="45"/>
      <c r="AE190" s="45"/>
      <c r="AF190" s="45"/>
      <c r="AG190" s="45"/>
      <c r="AH190" s="45"/>
      <c r="AI190" s="45"/>
      <c r="AJ190" s="45"/>
      <c r="AK190" s="45"/>
      <c r="AL190" s="45"/>
      <c r="AM190" s="63"/>
      <c r="AN190" s="63"/>
    </row>
    <row r="191" spans="3:40" ht="14.1">
      <c r="C191" s="57"/>
      <c r="D191" s="58" t="str">
        <f>IF(E186=4,"10µ",IF(E186=3,"10µ",IF(E186=2,"10µ",IF(E186=1,"10µ",0))))</f>
        <v>10µ</v>
      </c>
      <c r="E191" s="58" t="str">
        <f>IF(OR(D191=0),0,IF(MOD($E$42*$F$42,2)=0,"610",IF(MOD($E$42*$F$42,2.5)=0,"760",IF(MOD($E$42*$F$42,3)=0,"915","Refer"))))</f>
        <v>610</v>
      </c>
      <c r="F191" s="58" t="str">
        <f>IF(OR(D191=0),0,IF(MOD($E$42*$F$42,6)=0,"915",IF(MOD($E$42*$F$42,5)=0,"760",IF(MOD($E$42*$F$42,4)=0,"610","Refer"))))</f>
        <v>915</v>
      </c>
      <c r="G191" s="58">
        <f>IF(D191=0,0,150)</f>
        <v>150</v>
      </c>
      <c r="H191" s="60">
        <f>IF(D191=0,0,($E$42*$F$42*305*305)/(E191*F191))</f>
        <v>6</v>
      </c>
      <c r="I191" s="834"/>
      <c r="J191" s="902"/>
      <c r="K191" s="902"/>
      <c r="L191" s="902"/>
      <c r="M191" s="902"/>
      <c r="N191" s="902"/>
      <c r="O191" s="902"/>
      <c r="P191" s="902"/>
      <c r="Q191" s="913"/>
      <c r="R191" s="913"/>
      <c r="S191" s="913"/>
      <c r="T191" s="913"/>
      <c r="U191" s="912"/>
      <c r="V191" s="912"/>
      <c r="W191" s="913"/>
      <c r="X191" s="912"/>
      <c r="Y191" s="912"/>
      <c r="Z191" s="912"/>
      <c r="AA191" s="912"/>
      <c r="AB191" s="912"/>
      <c r="AC191" s="912"/>
      <c r="AD191" s="912"/>
      <c r="AE191" s="912"/>
      <c r="AF191" s="912"/>
      <c r="AG191" s="912"/>
      <c r="AH191" s="912"/>
      <c r="AI191" s="912"/>
      <c r="AJ191" s="912"/>
      <c r="AK191" s="912"/>
      <c r="AL191" s="912"/>
      <c r="AM191" s="915"/>
      <c r="AN191" s="915"/>
    </row>
    <row r="192" spans="3:40" ht="14.1">
      <c r="C192" s="57"/>
      <c r="D192" s="58" t="str">
        <f>IF(E186=4,"5µ",IF(E186=3,"5µ",IF(E186=2,"5µ",0)))</f>
        <v>5µ</v>
      </c>
      <c r="E192" s="58" t="str">
        <f t="shared" ref="E192:E194" si="110">IF(OR(D192=0),0,IF(MOD($E$42*$F$42,2)=0,"610",IF(MOD($E$42*$F$42,2.5)=0,"760",IF(MOD($E$42*$F$42,3)=0,"915","Refer"))))</f>
        <v>610</v>
      </c>
      <c r="F192" s="58" t="str">
        <f>IF(OR(D192=0),0,IF(MOD($E$42*$F$42,6)=0,"915",IF(MOD($E$42*$F$42,5)=0,"760",IF(MOD($E$42*$F$42,4)=0,"610","Refer"))))</f>
        <v>915</v>
      </c>
      <c r="G192" s="58">
        <f>IF(D192=0,0,300)</f>
        <v>300</v>
      </c>
      <c r="H192" s="60">
        <f>IF(D192=0,0,($E$42*$F$42*305*305)/(E192*F192))</f>
        <v>6</v>
      </c>
      <c r="I192" s="834"/>
      <c r="J192" s="902"/>
      <c r="K192" s="902"/>
      <c r="L192" s="902"/>
      <c r="M192" s="902"/>
      <c r="N192" s="902"/>
      <c r="O192" s="902"/>
      <c r="P192" s="902"/>
      <c r="Q192" s="913"/>
      <c r="R192" s="913"/>
      <c r="S192" s="913"/>
      <c r="T192" s="913"/>
      <c r="U192" s="912"/>
      <c r="V192" s="912"/>
      <c r="W192" s="913"/>
      <c r="X192" s="912"/>
      <c r="Y192" s="912"/>
      <c r="Z192" s="912"/>
      <c r="AA192" s="912"/>
      <c r="AB192" s="912"/>
      <c r="AC192" s="912"/>
      <c r="AD192" s="912"/>
      <c r="AE192" s="912"/>
      <c r="AF192" s="912"/>
      <c r="AG192" s="912"/>
      <c r="AH192" s="912"/>
      <c r="AI192" s="912"/>
      <c r="AJ192" s="912"/>
      <c r="AK192" s="912"/>
      <c r="AL192" s="912"/>
      <c r="AM192" s="915"/>
      <c r="AN192" s="915"/>
    </row>
    <row r="193" spans="3:40" ht="14.1">
      <c r="C193" s="57"/>
      <c r="D193" s="58" t="str">
        <f>IF(E186=4,"1µ",IF(E186=3,"1µ",0))</f>
        <v>1µ</v>
      </c>
      <c r="E193" s="58" t="str">
        <f t="shared" si="110"/>
        <v>610</v>
      </c>
      <c r="F193" s="58" t="str">
        <f>IF(OR(D193=0),0,IF(MOD($E$42*$F$42,6)=0,"915",IF(MOD($E$42*$F$42,5)=0,"760",IF(MOD($E$42*$F$42,4)=0,"610","Refer"))))</f>
        <v>915</v>
      </c>
      <c r="G193" s="58">
        <f>IF(D193=0,0,300)</f>
        <v>300</v>
      </c>
      <c r="H193" s="60">
        <f>IF(D193=0,0,($E$42*$F$42*305*305)/(E193*F193))</f>
        <v>6</v>
      </c>
      <c r="I193" s="834"/>
      <c r="J193" s="902"/>
      <c r="K193" s="902"/>
      <c r="L193" s="902"/>
      <c r="M193" s="902"/>
      <c r="N193" s="902"/>
      <c r="O193" s="902"/>
      <c r="P193" s="902"/>
      <c r="Q193" s="913"/>
      <c r="R193" s="913"/>
      <c r="S193" s="913"/>
      <c r="T193" s="913"/>
      <c r="U193" s="912"/>
      <c r="V193" s="912"/>
      <c r="W193" s="913"/>
      <c r="X193" s="912"/>
      <c r="Y193" s="912"/>
      <c r="Z193" s="912"/>
      <c r="AA193" s="912"/>
      <c r="AB193" s="912"/>
      <c r="AC193" s="912"/>
      <c r="AD193" s="912"/>
      <c r="AE193" s="912"/>
      <c r="AF193" s="912"/>
      <c r="AG193" s="912"/>
      <c r="AH193" s="912"/>
      <c r="AI193" s="912"/>
      <c r="AJ193" s="912"/>
      <c r="AK193" s="912"/>
      <c r="AL193" s="912"/>
      <c r="AM193" s="915"/>
      <c r="AN193" s="915"/>
    </row>
    <row r="194" spans="3:40" ht="14.1">
      <c r="C194" s="57"/>
      <c r="D194" s="58">
        <f>IF(E186=4,"0.3µ 95% Eff. HEPA Filetr",0)</f>
        <v>0</v>
      </c>
      <c r="E194" s="58">
        <f t="shared" si="110"/>
        <v>0</v>
      </c>
      <c r="F194" s="58">
        <f>IF(OR(D194=0),0,IF(MOD($E$42*$F$42,6)=0,"915",IF(MOD($E$42*$F$42,5)=0,"760",IF(MOD($E$42*$F$42,4)=0,"610","Refer"))))</f>
        <v>0</v>
      </c>
      <c r="G194" s="58">
        <f>IF(D194=0,0,300)</f>
        <v>0</v>
      </c>
      <c r="H194" s="60">
        <f>IF(D194=0,0,($E$42*$F$42*305*305)/(E194*F194))</f>
        <v>0</v>
      </c>
      <c r="I194" s="836"/>
      <c r="J194" s="902"/>
      <c r="K194" s="902"/>
      <c r="L194" s="902"/>
      <c r="M194" s="902"/>
      <c r="N194" s="902"/>
      <c r="O194" s="902"/>
      <c r="P194" s="902"/>
      <c r="Q194" s="913"/>
      <c r="R194" s="913"/>
      <c r="S194" s="913"/>
      <c r="T194" s="913"/>
      <c r="U194" s="912"/>
      <c r="V194" s="912"/>
      <c r="W194" s="913"/>
      <c r="X194" s="912"/>
      <c r="Y194" s="912"/>
      <c r="Z194" s="912"/>
      <c r="AA194" s="912"/>
      <c r="AB194" s="912"/>
      <c r="AC194" s="912"/>
      <c r="AD194" s="912"/>
      <c r="AE194" s="912"/>
      <c r="AF194" s="912"/>
      <c r="AG194" s="912"/>
      <c r="AH194" s="912"/>
      <c r="AI194" s="912"/>
      <c r="AJ194" s="912"/>
      <c r="AK194" s="912"/>
      <c r="AL194" s="912"/>
      <c r="AM194" s="915"/>
      <c r="AN194" s="915"/>
    </row>
    <row r="195" spans="3:40" ht="14.1">
      <c r="C195" s="57"/>
      <c r="D195" s="826"/>
      <c r="E195" s="182"/>
      <c r="F195" s="182"/>
      <c r="G195" s="182"/>
      <c r="H195" s="182"/>
      <c r="I195" s="827"/>
      <c r="J195" s="52"/>
      <c r="K195" s="52"/>
      <c r="L195" s="52"/>
      <c r="M195" s="52"/>
      <c r="N195" s="52"/>
      <c r="O195" s="828"/>
      <c r="P195" s="828"/>
      <c r="Q195" s="55"/>
      <c r="R195" s="55"/>
      <c r="S195" s="55"/>
      <c r="T195" s="55"/>
      <c r="U195" s="45"/>
      <c r="V195" s="45"/>
      <c r="W195" s="55"/>
      <c r="X195" s="45"/>
      <c r="Y195" s="45"/>
      <c r="Z195" s="45"/>
      <c r="AA195" s="45"/>
      <c r="AB195" s="45"/>
      <c r="AC195" s="45"/>
      <c r="AD195" s="45"/>
      <c r="AE195" s="45"/>
      <c r="AF195" s="45"/>
      <c r="AG195" s="45"/>
      <c r="AH195" s="45"/>
      <c r="AI195" s="45"/>
      <c r="AJ195" s="45"/>
      <c r="AK195" s="45"/>
      <c r="AL195" s="45"/>
      <c r="AM195" s="63"/>
      <c r="AN195" s="63"/>
    </row>
    <row r="196" spans="3:40" ht="14.1" customHeight="1">
      <c r="C196" s="57"/>
      <c r="D196" s="901" t="str">
        <f>"AHU - " &amp; INT((ROW()-34)/14)+1 &amp; "  " &amp; IF(I197&gt;0,"Air-Conditioning System " &amp; IF(OR(G200="Header", G200="C"), "(Chilled Water)",IF(OR(G200="Distributor", G200="D"), "(DX)", "Ventilation System")),IF(NOT(I197&gt;0), "Ventilation System ( SUPPLY )", "Refer"))</f>
        <v>AHU - 12  Air-Conditioning System (Chilled Water)</v>
      </c>
      <c r="E196" s="901"/>
      <c r="F196" s="901"/>
      <c r="G196" s="901"/>
      <c r="H196" s="901"/>
      <c r="I196" s="901"/>
      <c r="J196" s="52"/>
      <c r="K196" s="52"/>
      <c r="L196" s="53"/>
      <c r="M196" s="53"/>
      <c r="N196" s="53"/>
      <c r="O196" s="54"/>
      <c r="P196" s="55"/>
      <c r="AM196" s="56"/>
      <c r="AN196" s="56"/>
    </row>
    <row r="197" spans="3:40" ht="14.1">
      <c r="C197" s="57"/>
      <c r="D197" s="175" t="s">
        <v>274</v>
      </c>
      <c r="E197" s="180" t="str">
        <f>'BOD-Cold &amp; Amb.'!R210</f>
        <v>ISO 6</v>
      </c>
      <c r="F197" s="175" t="s">
        <v>275</v>
      </c>
      <c r="G197" s="180">
        <f>'BOD-Cold &amp; Amb.'!AK210</f>
        <v>42500</v>
      </c>
      <c r="H197" s="175" t="s">
        <v>276</v>
      </c>
      <c r="I197" s="181">
        <f>'BOD-Cold &amp; Amb.'!AQ210</f>
        <v>108.5</v>
      </c>
      <c r="J197" s="902" t="s">
        <v>277</v>
      </c>
      <c r="K197" s="902">
        <v>1</v>
      </c>
      <c r="L197" s="917">
        <f>Q197</f>
        <v>2070750</v>
      </c>
      <c r="M197" s="902">
        <f>K197*L197</f>
        <v>2070750</v>
      </c>
      <c r="N197" s="902"/>
      <c r="O197" s="902"/>
      <c r="P197" s="902"/>
      <c r="Q197" s="913">
        <f t="shared" ref="Q197" si="111">CEILING((S197+T197+U197+V197+W197),250)</f>
        <v>2070750</v>
      </c>
      <c r="R197" s="913">
        <f>IF(I197&gt;0,625,375)</f>
        <v>625</v>
      </c>
      <c r="S197" s="913">
        <f>(E198*G198*3*10.76+E198*I198*2*10.76+G198*I198*2*10.76)*R197/(1000*1000)</f>
        <v>883396</v>
      </c>
      <c r="T197" s="913">
        <f>I197*4*1050</f>
        <v>455700</v>
      </c>
      <c r="U197" s="912">
        <f>IF(G197&lt;=2000,5000,(IF(G197&lt;=5000,8000,(IF(G197&lt;=10000,10000,(IF(G197&lt;=18000,15000,(IF(G197&lt;=40000,20000,25000)))))))))</f>
        <v>25000</v>
      </c>
      <c r="V197" s="912">
        <f t="shared" ref="V197" si="112">IF(X197=200,17150,(IF(X197=225,18150,(IF(X197=250,18900,(IF(X197=280,19150,(IF(X197=315,19650,(IF(X197=355,21900,(IF(X197=400,24400,0)))))))))))))+IF(X197=450,31000,(IF(X197=500,37450,(IF(X197=560,45650,(IF(X197=630,58900,(IF(X197=710,77950,0)))))))))+IF(X197=800,119650,(IF(X197=900,153300,(IF(X197=1000,178900,(IF(X197=1120,286500,(IF(X197=1250,394500,(IF(X197=1450,461500,0)))))))))))</f>
        <v>286500</v>
      </c>
      <c r="W197" s="913">
        <f>IF(I199=0.5,16600,(IF(I199=1,19050,(IF(I199=1.5,21750,(IF(I199=2,23600,(IF(I199=3,30000,(IF(I199=5,38000,0)))))))))))*1.2+IF(I199=7.5,52300,(IF(I199=10,59600,0)))*1.2+IF(I199=12.5,100350,(IF(I199=15,106000,(IF(I199=20,129150,(IF(I199=25,146050,(IF(I199=30,173600,(IF(I199=40,233900,(IF(I199=50,304650,IF(I199=60,350000,400000)))))))))))))*1.2)</f>
        <v>420000</v>
      </c>
      <c r="X197" s="912">
        <f>E199</f>
        <v>1120</v>
      </c>
      <c r="Y197" s="912">
        <f t="shared" ref="Y197" si="113">IF(G197&lt;=6750,450,(IF(G197&lt;=8500,500,(IF(G197&lt;=10750,560,(IF(G197&lt;=13500,630,(IF(G197&lt;=17000,710,(IF(G197&lt;=21500,800,(IF(G197&lt;=27000,900,(IF(G197&lt;=34000,1000,0)))))))))))))))</f>
        <v>0</v>
      </c>
      <c r="Z197" s="912">
        <f t="shared" ref="Z197" si="114">IF(G197&lt;=1300,200,(IF(G197&lt;=1600,225,(IF(G197&lt;=2100,250,(IF(G197&lt;=2700,280,(IF(G197&lt;=3450,315,(IF(G197&lt;=4250,355,(IF(G197&lt;=5250,400,(IF(G197&lt;=6750,450,0)))))))))))))))</f>
        <v>0</v>
      </c>
      <c r="AA197" s="912">
        <f t="shared" ref="AA197" si="115">IF(G197&lt;=2000,5000,(IF(G197&lt;=5000,8000,(IF(G197&lt;=10000,10000,(IF(G197&lt;=18000,15000,(IF(G197&lt;=40000,20000,10000)))))))))</f>
        <v>10000</v>
      </c>
      <c r="AB197" s="912">
        <f>IF(E198=950,2,(IF(E198=1150,3,(IF(E198=1550,4,(IF(E198=1750,5,(IF(E198=2050,6,(IF(E198=2900,8,(IF(E198=3600,10,12)))))))))))))</f>
        <v>12</v>
      </c>
      <c r="AC197" s="912">
        <f>IF(G198=950,2,(IF(G198=1150,3,(IF(G198=1550,4,(IF(G198=1750,5,(IF(G198=2050,6,(IF(G198=2900,8,(IF(G198=3600,10,12)))))))))))))</f>
        <v>10</v>
      </c>
      <c r="AD197" s="912">
        <f t="shared" ref="AD197" si="116">AC197*AB197</f>
        <v>120</v>
      </c>
      <c r="AE197" s="912">
        <v>150</v>
      </c>
      <c r="AF197" s="912">
        <f t="shared" ref="AF197" si="117">CEILING((SQRT(G197/1000))*4*2*AE197*1.25*K197,100)</f>
        <v>9800</v>
      </c>
      <c r="AG197" s="912">
        <f>E205*F205*H205/(305*305)</f>
        <v>0</v>
      </c>
      <c r="AH197" s="912">
        <f>E206*F206*H206/(305*305)</f>
        <v>36</v>
      </c>
      <c r="AI197" s="912">
        <f>H207*E207*F207/(305*305)</f>
        <v>36</v>
      </c>
      <c r="AJ197" s="912">
        <f>H208*E208*F208/(305*305)</f>
        <v>36</v>
      </c>
      <c r="AK197" s="912">
        <f>H209*E209*F209/(305*305)</f>
        <v>0</v>
      </c>
      <c r="AL197" s="912"/>
      <c r="AM197" s="915">
        <f t="shared" ref="AM197" si="118">(G197*2.2/1100)</f>
        <v>85.000000000000014</v>
      </c>
      <c r="AN197" s="915">
        <f t="shared" ref="AN197" si="119">(G197*1/1100)</f>
        <v>38.636363636363633</v>
      </c>
    </row>
    <row r="198" spans="3:40" ht="14.1">
      <c r="C198" s="57"/>
      <c r="D198" s="175" t="s">
        <v>278</v>
      </c>
      <c r="E198" s="180">
        <f>'BOD-Cold &amp; Amb.'!AL211</f>
        <v>4000</v>
      </c>
      <c r="F198" s="175" t="s">
        <v>279</v>
      </c>
      <c r="G198" s="180">
        <f>'BOD-Cold &amp; Amb.'!AL213</f>
        <v>3600</v>
      </c>
      <c r="H198" s="175" t="s">
        <v>280</v>
      </c>
      <c r="I198" s="181">
        <f>'BOD-Cold &amp; Amb.'!AL215</f>
        <v>5800</v>
      </c>
      <c r="J198" s="902"/>
      <c r="K198" s="902"/>
      <c r="L198" s="902"/>
      <c r="M198" s="902"/>
      <c r="N198" s="902"/>
      <c r="O198" s="902"/>
      <c r="P198" s="902"/>
      <c r="Q198" s="913"/>
      <c r="R198" s="913"/>
      <c r="S198" s="913"/>
      <c r="T198" s="913"/>
      <c r="U198" s="912"/>
      <c r="V198" s="912"/>
      <c r="W198" s="913"/>
      <c r="X198" s="912"/>
      <c r="Y198" s="912"/>
      <c r="Z198" s="912"/>
      <c r="AA198" s="912"/>
      <c r="AB198" s="912"/>
      <c r="AC198" s="912"/>
      <c r="AD198" s="912"/>
      <c r="AE198" s="912"/>
      <c r="AF198" s="912"/>
      <c r="AG198" s="912"/>
      <c r="AH198" s="912"/>
      <c r="AI198" s="912"/>
      <c r="AJ198" s="912"/>
      <c r="AK198" s="912"/>
      <c r="AL198" s="912"/>
      <c r="AM198" s="915"/>
      <c r="AN198" s="915"/>
    </row>
    <row r="199" spans="3:40" ht="14.1">
      <c r="C199" s="57"/>
      <c r="D199" s="175" t="s">
        <v>281</v>
      </c>
      <c r="E199" s="180">
        <f>'BOD-Cold &amp; Amb.'!AN210</f>
        <v>1120</v>
      </c>
      <c r="F199" s="176" t="s">
        <v>282</v>
      </c>
      <c r="G199" s="180">
        <f>'BOD-Cold &amp; Amb.'!AM210</f>
        <v>150</v>
      </c>
      <c r="H199" s="176" t="s">
        <v>283</v>
      </c>
      <c r="I199" s="181">
        <f>'BOD-Cold &amp; Amb.'!AO210</f>
        <v>60</v>
      </c>
      <c r="J199" s="902"/>
      <c r="K199" s="902"/>
      <c r="L199" s="902"/>
      <c r="M199" s="902"/>
      <c r="N199" s="902"/>
      <c r="O199" s="902"/>
      <c r="P199" s="902"/>
      <c r="Q199" s="913"/>
      <c r="R199" s="913"/>
      <c r="S199" s="913"/>
      <c r="T199" s="913"/>
      <c r="U199" s="912"/>
      <c r="V199" s="912"/>
      <c r="W199" s="913"/>
      <c r="X199" s="912"/>
      <c r="Y199" s="912"/>
      <c r="Z199" s="912"/>
      <c r="AA199" s="912"/>
      <c r="AB199" s="912"/>
      <c r="AC199" s="912"/>
      <c r="AD199" s="912"/>
      <c r="AE199" s="912"/>
      <c r="AF199" s="912"/>
      <c r="AG199" s="912"/>
      <c r="AH199" s="912"/>
      <c r="AI199" s="912"/>
      <c r="AJ199" s="912"/>
      <c r="AK199" s="912"/>
      <c r="AL199" s="912"/>
      <c r="AM199" s="915"/>
      <c r="AN199" s="915"/>
    </row>
    <row r="200" spans="3:40" ht="21.6" customHeight="1">
      <c r="C200" s="57"/>
      <c r="D200" s="175" t="s">
        <v>284</v>
      </c>
      <c r="E200" s="180">
        <f>'BOD-Cold &amp; Amb.'!AP210</f>
        <v>4</v>
      </c>
      <c r="F200" s="832" t="s">
        <v>285</v>
      </c>
      <c r="G200" s="837" t="str">
        <f>IF(OR(I197=0, E200="Amb"), "Amb",IF('BOD-Cold &amp; Amb.'!AH160="C", "Header",IF('BOD-Cold &amp; Amb.'!AH160="D", "Distributor", "Refer")))</f>
        <v>Header</v>
      </c>
      <c r="H200" s="832" t="s">
        <v>286</v>
      </c>
      <c r="I200" s="833" t="str">
        <f>IF(OR(I197=0, E200=0), 0,ROUND(((( I197/E200)*304.8)/(E198-400))*1000,0)&amp;" h "&amp;" x " &amp; (E198-400)&amp;" w ")</f>
        <v xml:space="preserve">2297 h  x 3600 w </v>
      </c>
      <c r="J200" s="902"/>
      <c r="K200" s="902"/>
      <c r="L200" s="902"/>
      <c r="M200" s="902"/>
      <c r="N200" s="902"/>
      <c r="O200" s="902"/>
      <c r="P200" s="902"/>
      <c r="Q200" s="913"/>
      <c r="R200" s="913"/>
      <c r="S200" s="913"/>
      <c r="T200" s="913"/>
      <c r="U200" s="912"/>
      <c r="V200" s="912"/>
      <c r="W200" s="913"/>
      <c r="X200" s="912"/>
      <c r="Y200" s="912"/>
      <c r="Z200" s="912"/>
      <c r="AA200" s="912"/>
      <c r="AB200" s="912"/>
      <c r="AC200" s="912"/>
      <c r="AD200" s="912"/>
      <c r="AE200" s="912"/>
      <c r="AF200" s="912"/>
      <c r="AG200" s="912"/>
      <c r="AH200" s="912"/>
      <c r="AI200" s="912"/>
      <c r="AJ200" s="912"/>
      <c r="AK200" s="912"/>
      <c r="AL200" s="912"/>
      <c r="AM200" s="915"/>
      <c r="AN200" s="915"/>
    </row>
    <row r="201" spans="3:40" ht="21">
      <c r="C201" s="57"/>
      <c r="D201" s="175" t="s">
        <v>287</v>
      </c>
      <c r="E201" s="180">
        <f>'BOD-Cold &amp; Amb.'!AR210</f>
        <v>3</v>
      </c>
      <c r="F201" s="176" t="s">
        <v>288</v>
      </c>
      <c r="G201" s="177" t="str">
        <f>IF(E201=4,"10µ, 5µ, 1µ &amp; 0.3µ (HEPA Plenum Fitted 95% eff.)",IF(E201=3,"10µ, 5µ &amp; 1µ ",IF(E201=2,"10µ  &amp; 5µ",IF(E201=1,"10µ", "Filter Ratings"))))</f>
        <v xml:space="preserve">10µ, 5µ &amp; 1µ </v>
      </c>
      <c r="H201" s="178"/>
      <c r="I201" s="179"/>
      <c r="J201" s="902"/>
      <c r="K201" s="902"/>
      <c r="L201" s="902"/>
      <c r="M201" s="902"/>
      <c r="N201" s="902"/>
      <c r="O201" s="902"/>
      <c r="P201" s="902"/>
      <c r="Q201" s="913"/>
      <c r="R201" s="913"/>
      <c r="S201" s="913"/>
      <c r="T201" s="913"/>
      <c r="U201" s="912"/>
      <c r="V201" s="912"/>
      <c r="W201" s="913"/>
      <c r="X201" s="912"/>
      <c r="Y201" s="912"/>
      <c r="Z201" s="912"/>
      <c r="AA201" s="912"/>
      <c r="AB201" s="912"/>
      <c r="AC201" s="912"/>
      <c r="AD201" s="912"/>
      <c r="AE201" s="912"/>
      <c r="AF201" s="912"/>
      <c r="AG201" s="912"/>
      <c r="AH201" s="912"/>
      <c r="AI201" s="912"/>
      <c r="AJ201" s="912"/>
      <c r="AK201" s="912"/>
      <c r="AL201" s="912"/>
      <c r="AM201" s="915"/>
      <c r="AN201" s="915"/>
    </row>
    <row r="202" spans="3:40">
      <c r="C202" s="57"/>
      <c r="D202" s="922" t="s">
        <v>289</v>
      </c>
      <c r="E202" s="923"/>
      <c r="F202" s="923"/>
      <c r="G202" s="923"/>
      <c r="H202" s="923"/>
      <c r="I202" s="924"/>
      <c r="J202" s="902"/>
      <c r="K202" s="902"/>
      <c r="L202" s="902"/>
      <c r="M202" s="902"/>
      <c r="N202" s="902"/>
      <c r="O202" s="902"/>
      <c r="P202" s="902"/>
      <c r="Q202" s="913"/>
      <c r="R202" s="913"/>
      <c r="S202" s="913"/>
      <c r="T202" s="913"/>
      <c r="U202" s="912"/>
      <c r="V202" s="912"/>
      <c r="W202" s="913"/>
      <c r="X202" s="912"/>
      <c r="Y202" s="912"/>
      <c r="Z202" s="912"/>
      <c r="AA202" s="912"/>
      <c r="AB202" s="912"/>
      <c r="AC202" s="912"/>
      <c r="AD202" s="912"/>
      <c r="AE202" s="912"/>
      <c r="AF202" s="912"/>
      <c r="AG202" s="912"/>
      <c r="AH202" s="912"/>
      <c r="AI202" s="912"/>
      <c r="AJ202" s="912"/>
      <c r="AK202" s="912"/>
      <c r="AL202" s="912"/>
      <c r="AM202" s="915"/>
      <c r="AN202" s="915"/>
    </row>
    <row r="203" spans="3:40" ht="24.95">
      <c r="C203" s="57"/>
      <c r="D203" s="58" t="s">
        <v>290</v>
      </c>
      <c r="E203" s="58" t="s">
        <v>291</v>
      </c>
      <c r="F203" s="58" t="s">
        <v>292</v>
      </c>
      <c r="G203" s="58" t="s">
        <v>293</v>
      </c>
      <c r="H203" s="58" t="s">
        <v>294</v>
      </c>
      <c r="I203" s="179"/>
      <c r="J203" s="902"/>
      <c r="K203" s="902"/>
      <c r="L203" s="902"/>
      <c r="M203" s="902"/>
      <c r="N203" s="902"/>
      <c r="O203" s="902"/>
      <c r="P203" s="902"/>
      <c r="Q203" s="913"/>
      <c r="R203" s="913"/>
      <c r="S203" s="913"/>
      <c r="T203" s="913"/>
      <c r="U203" s="912"/>
      <c r="V203" s="912"/>
      <c r="W203" s="913"/>
      <c r="X203" s="912"/>
      <c r="Y203" s="912"/>
      <c r="Z203" s="912"/>
      <c r="AA203" s="912"/>
      <c r="AB203" s="912"/>
      <c r="AC203" s="912"/>
      <c r="AD203" s="912"/>
      <c r="AE203" s="912"/>
      <c r="AF203" s="912"/>
      <c r="AG203" s="912"/>
      <c r="AH203" s="912"/>
      <c r="AI203" s="912"/>
      <c r="AJ203" s="912"/>
      <c r="AK203" s="912"/>
      <c r="AL203" s="912"/>
      <c r="AM203" s="915"/>
      <c r="AN203" s="915"/>
    </row>
    <row r="204" spans="3:40" ht="14.1">
      <c r="C204" s="57"/>
      <c r="D204" s="58"/>
      <c r="E204" s="58">
        <f>IF(E198=950,2,(IF(E198=1150,3,(IF(E198=1550,4,(IF(E198=1750,5,(IF(E198=2050,6,(IF(E198=2900,8,(IF(E198=3600,10,IF(E198=4000,12,0))))))))))))))</f>
        <v>12</v>
      </c>
      <c r="F204" s="58">
        <f>IF(G198=950,2,(IF(G198=1150,3,(IF(G198=1550,4,(IF(G198=1750,5,(IF(G198=2050,6,(IF(G198=2900,8,(IF(G198=3600,10,IF(E198=4000,12,0))))))))))))))</f>
        <v>10</v>
      </c>
      <c r="G204" s="58"/>
      <c r="H204" s="60"/>
      <c r="I204" s="834"/>
      <c r="J204" s="902"/>
      <c r="K204" s="902"/>
      <c r="L204" s="902"/>
      <c r="M204" s="902"/>
      <c r="N204" s="902"/>
      <c r="O204" s="902"/>
      <c r="P204" s="902"/>
      <c r="Q204" s="913"/>
      <c r="R204" s="913"/>
      <c r="S204" s="913"/>
      <c r="T204" s="913"/>
      <c r="U204" s="912"/>
      <c r="V204" s="912"/>
      <c r="W204" s="913"/>
      <c r="X204" s="912"/>
      <c r="Y204" s="912"/>
      <c r="Z204" s="912"/>
      <c r="AA204" s="912"/>
      <c r="AB204" s="912"/>
      <c r="AC204" s="912"/>
      <c r="AD204" s="912"/>
      <c r="AE204" s="912"/>
      <c r="AF204" s="912"/>
      <c r="AG204" s="912"/>
      <c r="AH204" s="912"/>
      <c r="AI204" s="912"/>
      <c r="AJ204" s="912"/>
      <c r="AK204" s="912"/>
      <c r="AL204" s="912"/>
      <c r="AM204" s="915"/>
      <c r="AN204" s="915"/>
    </row>
    <row r="205" spans="3:40" ht="14.1">
      <c r="C205" s="57"/>
      <c r="D205" s="58">
        <f>IF(AND(I197=0, OR(E201=1, E201=2, E201=3, E201=4, E201=5)), "20µ", 0)</f>
        <v>0</v>
      </c>
      <c r="E205" s="58">
        <f>IF(OR(D205=0),0,IF(MOD($E$42*$F$42,2)=0,"610",IF(MOD($E$42*$F$42,2.5)=0,"760",IF(MOD($E$42*$F$42,3)=0,"915","Refer"))))</f>
        <v>0</v>
      </c>
      <c r="F205" s="58">
        <f>IF(OR(D205=0),0,IF(MOD($E$42*$F$42,6)=0,"915",IF(MOD($E$42*$F$42,5)=0,"760",IF(MOD($E$42*$F$42,4)=0,"610","Refer"))))</f>
        <v>0</v>
      </c>
      <c r="G205" s="58">
        <f>IF(D205=0,0,100)</f>
        <v>0</v>
      </c>
      <c r="H205" s="60">
        <f>IF(D205=0,0,($E$42*$F$42*305*305)/(E205*F205))</f>
        <v>0</v>
      </c>
      <c r="I205" s="834"/>
      <c r="J205" s="902"/>
      <c r="K205" s="902"/>
      <c r="L205" s="902"/>
      <c r="M205" s="902"/>
      <c r="N205" s="902"/>
      <c r="O205" s="902"/>
      <c r="P205" s="902"/>
      <c r="Q205" s="55"/>
      <c r="R205" s="55"/>
      <c r="S205" s="55"/>
      <c r="T205" s="55"/>
      <c r="U205" s="45"/>
      <c r="V205" s="45"/>
      <c r="W205" s="55"/>
      <c r="X205" s="45"/>
      <c r="Y205" s="45"/>
      <c r="Z205" s="45"/>
      <c r="AA205" s="45"/>
      <c r="AB205" s="45"/>
      <c r="AC205" s="45"/>
      <c r="AD205" s="45"/>
      <c r="AE205" s="45"/>
      <c r="AF205" s="45"/>
      <c r="AG205" s="45"/>
      <c r="AH205" s="45"/>
      <c r="AI205" s="45"/>
      <c r="AJ205" s="45"/>
      <c r="AK205" s="45"/>
      <c r="AL205" s="45"/>
      <c r="AM205" s="63"/>
      <c r="AN205" s="63"/>
    </row>
    <row r="206" spans="3:40" ht="14.1">
      <c r="C206" s="57"/>
      <c r="D206" s="58" t="str">
        <f>IF(E201=4,"10µ",IF(E201=3,"10µ",IF(E201=2,"10µ",IF(E201=1,"10µ",0))))</f>
        <v>10µ</v>
      </c>
      <c r="E206" s="58" t="str">
        <f>IF(OR(D206=0),0,IF(MOD($E$42*$F$42,2)=0,"610",IF(MOD($E$42*$F$42,2.5)=0,"760",IF(MOD($E$42*$F$42,3)=0,"915","Refer"))))</f>
        <v>610</v>
      </c>
      <c r="F206" s="58" t="str">
        <f>IF(OR(D206=0),0,IF(MOD($E$42*$F$42,6)=0,"915",IF(MOD($E$42*$F$42,5)=0,"760",IF(MOD($E$42*$F$42,4)=0,"610","Refer"))))</f>
        <v>915</v>
      </c>
      <c r="G206" s="58">
        <f>IF(D206=0,0,150)</f>
        <v>150</v>
      </c>
      <c r="H206" s="60">
        <f>IF(D206=0,0,($E$42*$F$42*305*305)/(E206*F206))</f>
        <v>6</v>
      </c>
      <c r="I206" s="834"/>
      <c r="J206" s="902"/>
      <c r="K206" s="902"/>
      <c r="L206" s="902"/>
      <c r="M206" s="902"/>
      <c r="N206" s="902"/>
      <c r="O206" s="902"/>
      <c r="P206" s="902"/>
      <c r="Q206" s="913"/>
      <c r="R206" s="913"/>
      <c r="S206" s="913"/>
      <c r="T206" s="913"/>
      <c r="U206" s="912"/>
      <c r="V206" s="912"/>
      <c r="W206" s="913"/>
      <c r="X206" s="912"/>
      <c r="Y206" s="912"/>
      <c r="Z206" s="912"/>
      <c r="AA206" s="912"/>
      <c r="AB206" s="912"/>
      <c r="AC206" s="912"/>
      <c r="AD206" s="912"/>
      <c r="AE206" s="912"/>
      <c r="AF206" s="912"/>
      <c r="AG206" s="912"/>
      <c r="AH206" s="912"/>
      <c r="AI206" s="912"/>
      <c r="AJ206" s="912"/>
      <c r="AK206" s="912"/>
      <c r="AL206" s="912"/>
      <c r="AM206" s="915"/>
      <c r="AN206" s="915"/>
    </row>
    <row r="207" spans="3:40" ht="14.1">
      <c r="C207" s="57"/>
      <c r="D207" s="58" t="str">
        <f>IF(E201=4,"5µ",IF(E201=3,"5µ",IF(E201=2,"5µ",0)))</f>
        <v>5µ</v>
      </c>
      <c r="E207" s="58" t="str">
        <f t="shared" ref="E207:E209" si="120">IF(OR(D207=0),0,IF(MOD($E$42*$F$42,2)=0,"610",IF(MOD($E$42*$F$42,2.5)=0,"760",IF(MOD($E$42*$F$42,3)=0,"915","Refer"))))</f>
        <v>610</v>
      </c>
      <c r="F207" s="58" t="str">
        <f>IF(OR(D207=0),0,IF(MOD($E$42*$F$42,6)=0,"915",IF(MOD($E$42*$F$42,5)=0,"760",IF(MOD($E$42*$F$42,4)=0,"610","Refer"))))</f>
        <v>915</v>
      </c>
      <c r="G207" s="58">
        <f>IF(D207=0,0,300)</f>
        <v>300</v>
      </c>
      <c r="H207" s="60">
        <f>IF(D207=0,0,($E$42*$F$42*305*305)/(E207*F207))</f>
        <v>6</v>
      </c>
      <c r="I207" s="834"/>
      <c r="J207" s="902"/>
      <c r="K207" s="902"/>
      <c r="L207" s="902"/>
      <c r="M207" s="902"/>
      <c r="N207" s="902"/>
      <c r="O207" s="902"/>
      <c r="P207" s="902"/>
      <c r="Q207" s="913"/>
      <c r="R207" s="913"/>
      <c r="S207" s="913"/>
      <c r="T207" s="913"/>
      <c r="U207" s="912"/>
      <c r="V207" s="912"/>
      <c r="W207" s="913"/>
      <c r="X207" s="912"/>
      <c r="Y207" s="912"/>
      <c r="Z207" s="912"/>
      <c r="AA207" s="912"/>
      <c r="AB207" s="912"/>
      <c r="AC207" s="912"/>
      <c r="AD207" s="912"/>
      <c r="AE207" s="912"/>
      <c r="AF207" s="912"/>
      <c r="AG207" s="912"/>
      <c r="AH207" s="912"/>
      <c r="AI207" s="912"/>
      <c r="AJ207" s="912"/>
      <c r="AK207" s="912"/>
      <c r="AL207" s="912"/>
      <c r="AM207" s="915"/>
      <c r="AN207" s="915"/>
    </row>
    <row r="208" spans="3:40" ht="14.1">
      <c r="C208" s="57"/>
      <c r="D208" s="58" t="str">
        <f>IF(E201=4,"1µ",IF(E201=3,"1µ",0))</f>
        <v>1µ</v>
      </c>
      <c r="E208" s="58" t="str">
        <f t="shared" si="120"/>
        <v>610</v>
      </c>
      <c r="F208" s="58" t="str">
        <f>IF(OR(D208=0),0,IF(MOD($E$42*$F$42,6)=0,"915",IF(MOD($E$42*$F$42,5)=0,"760",IF(MOD($E$42*$F$42,4)=0,"610","Refer"))))</f>
        <v>915</v>
      </c>
      <c r="G208" s="58">
        <f>IF(D208=0,0,300)</f>
        <v>300</v>
      </c>
      <c r="H208" s="60">
        <f>IF(D208=0,0,($E$42*$F$42*305*305)/(E208*F208))</f>
        <v>6</v>
      </c>
      <c r="I208" s="834"/>
      <c r="J208" s="902"/>
      <c r="K208" s="902"/>
      <c r="L208" s="902"/>
      <c r="M208" s="902"/>
      <c r="N208" s="902"/>
      <c r="O208" s="902"/>
      <c r="P208" s="902"/>
      <c r="Q208" s="913"/>
      <c r="R208" s="913"/>
      <c r="S208" s="913"/>
      <c r="T208" s="913"/>
      <c r="U208" s="912"/>
      <c r="V208" s="912"/>
      <c r="W208" s="913"/>
      <c r="X208" s="912"/>
      <c r="Y208" s="912"/>
      <c r="Z208" s="912"/>
      <c r="AA208" s="912"/>
      <c r="AB208" s="912"/>
      <c r="AC208" s="912"/>
      <c r="AD208" s="912"/>
      <c r="AE208" s="912"/>
      <c r="AF208" s="912"/>
      <c r="AG208" s="912"/>
      <c r="AH208" s="912"/>
      <c r="AI208" s="912"/>
      <c r="AJ208" s="912"/>
      <c r="AK208" s="912"/>
      <c r="AL208" s="912"/>
      <c r="AM208" s="915"/>
      <c r="AN208" s="915"/>
    </row>
    <row r="209" spans="3:40" ht="14.1">
      <c r="C209" s="57"/>
      <c r="D209" s="58">
        <f>IF(E201=4,"0.3µ 95% Eff. HEPA Filetr",0)</f>
        <v>0</v>
      </c>
      <c r="E209" s="58">
        <f t="shared" si="120"/>
        <v>0</v>
      </c>
      <c r="F209" s="58">
        <f>IF(OR(D209=0),0,IF(MOD($E$42*$F$42,6)=0,"915",IF(MOD($E$42*$F$42,5)=0,"760",IF(MOD($E$42*$F$42,4)=0,"610","Refer"))))</f>
        <v>0</v>
      </c>
      <c r="G209" s="58">
        <f>IF(D209=0,0,300)</f>
        <v>0</v>
      </c>
      <c r="H209" s="60">
        <f>IF(D209=0,0,($E$42*$F$42*305*305)/(E209*F209))</f>
        <v>0</v>
      </c>
      <c r="I209" s="836"/>
      <c r="J209" s="902"/>
      <c r="K209" s="902"/>
      <c r="L209" s="902"/>
      <c r="M209" s="902"/>
      <c r="N209" s="902"/>
      <c r="O209" s="902"/>
      <c r="P209" s="902"/>
      <c r="Q209" s="913"/>
      <c r="R209" s="913"/>
      <c r="S209" s="913"/>
      <c r="T209" s="913"/>
      <c r="U209" s="912"/>
      <c r="V209" s="912"/>
      <c r="W209" s="913"/>
      <c r="X209" s="912"/>
      <c r="Y209" s="912"/>
      <c r="Z209" s="912"/>
      <c r="AA209" s="912"/>
      <c r="AB209" s="912"/>
      <c r="AC209" s="912"/>
      <c r="AD209" s="912"/>
      <c r="AE209" s="912"/>
      <c r="AF209" s="912"/>
      <c r="AG209" s="912"/>
      <c r="AH209" s="912"/>
      <c r="AI209" s="912"/>
      <c r="AJ209" s="912"/>
      <c r="AK209" s="912"/>
      <c r="AL209" s="912"/>
      <c r="AM209" s="915"/>
      <c r="AN209" s="915"/>
    </row>
    <row r="210" spans="3:40" ht="14.1">
      <c r="C210" s="57"/>
      <c r="D210" s="826"/>
      <c r="E210" s="182"/>
      <c r="F210" s="182"/>
      <c r="G210" s="182"/>
      <c r="H210" s="182"/>
      <c r="I210" s="827"/>
      <c r="J210" s="52"/>
      <c r="K210" s="52"/>
      <c r="L210" s="52"/>
      <c r="M210" s="52"/>
      <c r="N210" s="52"/>
      <c r="O210" s="828"/>
      <c r="P210" s="828"/>
      <c r="Q210" s="55"/>
      <c r="R210" s="55"/>
      <c r="S210" s="55"/>
      <c r="T210" s="55"/>
      <c r="U210" s="45"/>
      <c r="V210" s="45"/>
      <c r="W210" s="55"/>
      <c r="X210" s="45"/>
      <c r="Y210" s="45"/>
      <c r="Z210" s="45"/>
      <c r="AA210" s="45"/>
      <c r="AB210" s="45"/>
      <c r="AC210" s="45"/>
      <c r="AD210" s="45"/>
      <c r="AE210" s="45"/>
      <c r="AF210" s="45"/>
      <c r="AG210" s="45"/>
      <c r="AH210" s="45"/>
      <c r="AI210" s="45"/>
      <c r="AJ210" s="45"/>
      <c r="AK210" s="45"/>
      <c r="AL210" s="45"/>
      <c r="AM210" s="63"/>
      <c r="AN210" s="63"/>
    </row>
    <row r="211" spans="3:40" ht="14.1" customHeight="1">
      <c r="C211" s="57"/>
      <c r="D211" s="901" t="str">
        <f>"AHU - " &amp; INT((ROW()-34)/14)+1 &amp; "  " &amp; IF(I212&gt;0,"Air-Conditioning System " &amp; IF(OR(G215="Header", G215="C"), "(Chilled Water)",IF(OR(G215="Distributor", G215="D"), "(DX)", "Ventilation System")),IF(NOT(I212&gt;0), "Ventilation System ( SUPPLY )", "Refer"))</f>
        <v>AHU - 13  Air-Conditioning System (Chilled Water)</v>
      </c>
      <c r="E211" s="901"/>
      <c r="F211" s="901"/>
      <c r="G211" s="901"/>
      <c r="H211" s="901"/>
      <c r="I211" s="901"/>
      <c r="J211" s="52"/>
      <c r="K211" s="52"/>
      <c r="L211" s="53"/>
      <c r="M211" s="53"/>
      <c r="N211" s="53"/>
      <c r="O211" s="54"/>
      <c r="P211" s="55"/>
      <c r="AM211" s="56"/>
      <c r="AN211" s="56"/>
    </row>
    <row r="212" spans="3:40" ht="14.1">
      <c r="C212" s="57"/>
      <c r="D212" s="175" t="s">
        <v>274</v>
      </c>
      <c r="E212" s="180" t="str">
        <f>'BOD-Cold &amp; Amb.'!R230</f>
        <v>ISO 6</v>
      </c>
      <c r="F212" s="175" t="s">
        <v>275</v>
      </c>
      <c r="G212" s="180">
        <f>'BOD-Cold &amp; Amb.'!AK230</f>
        <v>42500</v>
      </c>
      <c r="H212" s="175" t="s">
        <v>276</v>
      </c>
      <c r="I212" s="181">
        <f>'BOD-Cold &amp; Amb.'!AQ230</f>
        <v>108.5</v>
      </c>
      <c r="J212" s="902" t="s">
        <v>277</v>
      </c>
      <c r="K212" s="902">
        <v>1</v>
      </c>
      <c r="L212" s="917">
        <f>Q212</f>
        <v>2070750</v>
      </c>
      <c r="M212" s="902">
        <f>K212*L212</f>
        <v>2070750</v>
      </c>
      <c r="N212" s="902"/>
      <c r="O212" s="902"/>
      <c r="P212" s="902"/>
      <c r="Q212" s="913">
        <f t="shared" ref="Q212" si="121">CEILING((S212+T212+U212+V212+W212),250)</f>
        <v>2070750</v>
      </c>
      <c r="R212" s="913">
        <f>IF(I212&gt;0,625,375)</f>
        <v>625</v>
      </c>
      <c r="S212" s="913">
        <f>(E213*G213*3*10.76+E213*I213*2*10.76+G213*I213*2*10.76)*R212/(1000*1000)</f>
        <v>883396</v>
      </c>
      <c r="T212" s="913">
        <f>I212*4*1050</f>
        <v>455700</v>
      </c>
      <c r="U212" s="912">
        <f>IF(G212&lt;=2000,5000,(IF(G212&lt;=5000,8000,(IF(G212&lt;=10000,10000,(IF(G212&lt;=18000,15000,(IF(G212&lt;=40000,20000,25000)))))))))</f>
        <v>25000</v>
      </c>
      <c r="V212" s="912">
        <f t="shared" ref="V212" si="122">IF(X212=200,17150,(IF(X212=225,18150,(IF(X212=250,18900,(IF(X212=280,19150,(IF(X212=315,19650,(IF(X212=355,21900,(IF(X212=400,24400,0)))))))))))))+IF(X212=450,31000,(IF(X212=500,37450,(IF(X212=560,45650,(IF(X212=630,58900,(IF(X212=710,77950,0)))))))))+IF(X212=800,119650,(IF(X212=900,153300,(IF(X212=1000,178900,(IF(X212=1120,286500,(IF(X212=1250,394500,(IF(X212=1450,461500,0)))))))))))</f>
        <v>286500</v>
      </c>
      <c r="W212" s="913">
        <f>IF(I214=0.5,16600,(IF(I214=1,19050,(IF(I214=1.5,21750,(IF(I214=2,23600,(IF(I214=3,30000,(IF(I214=5,38000,0)))))))))))*1.2+IF(I214=7.5,52300,(IF(I214=10,59600,0)))*1.2+IF(I214=12.5,100350,(IF(I214=15,106000,(IF(I214=20,129150,(IF(I214=25,146050,(IF(I214=30,173600,(IF(I214=40,233900,(IF(I214=50,304650,IF(I214=60,350000,400000)))))))))))))*1.2)</f>
        <v>420000</v>
      </c>
      <c r="X212" s="912">
        <f>E214</f>
        <v>1120</v>
      </c>
      <c r="Y212" s="912">
        <f t="shared" ref="Y212" si="123">IF(G212&lt;=6750,450,(IF(G212&lt;=8500,500,(IF(G212&lt;=10750,560,(IF(G212&lt;=13500,630,(IF(G212&lt;=17000,710,(IF(G212&lt;=21500,800,(IF(G212&lt;=27000,900,(IF(G212&lt;=34000,1000,0)))))))))))))))</f>
        <v>0</v>
      </c>
      <c r="Z212" s="912">
        <f t="shared" ref="Z212" si="124">IF(G212&lt;=1300,200,(IF(G212&lt;=1600,225,(IF(G212&lt;=2100,250,(IF(G212&lt;=2700,280,(IF(G212&lt;=3450,315,(IF(G212&lt;=4250,355,(IF(G212&lt;=5250,400,(IF(G212&lt;=6750,450,0)))))))))))))))</f>
        <v>0</v>
      </c>
      <c r="AA212" s="912">
        <f t="shared" ref="AA212" si="125">IF(G212&lt;=2000,5000,(IF(G212&lt;=5000,8000,(IF(G212&lt;=10000,10000,(IF(G212&lt;=18000,15000,(IF(G212&lt;=40000,20000,10000)))))))))</f>
        <v>10000</v>
      </c>
      <c r="AB212" s="912">
        <f>IF(E213=950,2,(IF(E213=1150,3,(IF(E213=1550,4,(IF(E213=1750,5,(IF(E213=2050,6,(IF(E213=2900,8,(IF(E213=3600,10,12)))))))))))))</f>
        <v>12</v>
      </c>
      <c r="AC212" s="912">
        <f>IF(G213=950,2,(IF(G213=1150,3,(IF(G213=1550,4,(IF(G213=1750,5,(IF(G213=2050,6,(IF(G213=2900,8,(IF(G213=3600,10,12)))))))))))))</f>
        <v>10</v>
      </c>
      <c r="AD212" s="912">
        <f t="shared" ref="AD212" si="126">AC212*AB212</f>
        <v>120</v>
      </c>
      <c r="AE212" s="912">
        <v>150</v>
      </c>
      <c r="AF212" s="912">
        <f t="shared" ref="AF212" si="127">CEILING((SQRT(G212/1000))*4*2*AE212*1.25*K212,100)</f>
        <v>9800</v>
      </c>
      <c r="AG212" s="912">
        <f>E220*F220*H220/(305*305)</f>
        <v>0</v>
      </c>
      <c r="AH212" s="912">
        <f>E221*F221*H221/(305*305)</f>
        <v>36</v>
      </c>
      <c r="AI212" s="912">
        <f>H222*E222*F222/(305*305)</f>
        <v>36</v>
      </c>
      <c r="AJ212" s="912">
        <f>H223*E223*F223/(305*305)</f>
        <v>36</v>
      </c>
      <c r="AK212" s="912">
        <f>H224*E224*F224/(305*305)</f>
        <v>0</v>
      </c>
      <c r="AL212" s="912"/>
      <c r="AM212" s="915">
        <f t="shared" ref="AM212" si="128">(G212*2.2/1100)</f>
        <v>85.000000000000014</v>
      </c>
      <c r="AN212" s="915">
        <f t="shared" ref="AN212" si="129">(G212*1/1100)</f>
        <v>38.636363636363633</v>
      </c>
    </row>
    <row r="213" spans="3:40" ht="14.1">
      <c r="C213" s="57"/>
      <c r="D213" s="175" t="s">
        <v>278</v>
      </c>
      <c r="E213" s="180">
        <f>'BOD-Cold &amp; Amb.'!AL231</f>
        <v>4000</v>
      </c>
      <c r="F213" s="175" t="s">
        <v>279</v>
      </c>
      <c r="G213" s="180">
        <f>'BOD-Cold &amp; Amb.'!AL233</f>
        <v>3600</v>
      </c>
      <c r="H213" s="175" t="s">
        <v>280</v>
      </c>
      <c r="I213" s="181">
        <f>'BOD-Cold &amp; Amb.'!AL235</f>
        <v>5800</v>
      </c>
      <c r="J213" s="902"/>
      <c r="K213" s="902"/>
      <c r="L213" s="902"/>
      <c r="M213" s="902"/>
      <c r="N213" s="902"/>
      <c r="O213" s="902"/>
      <c r="P213" s="902"/>
      <c r="Q213" s="913"/>
      <c r="R213" s="913"/>
      <c r="S213" s="913"/>
      <c r="T213" s="913"/>
      <c r="U213" s="912"/>
      <c r="V213" s="912"/>
      <c r="W213" s="913"/>
      <c r="X213" s="912"/>
      <c r="Y213" s="912"/>
      <c r="Z213" s="912"/>
      <c r="AA213" s="912"/>
      <c r="AB213" s="912"/>
      <c r="AC213" s="912"/>
      <c r="AD213" s="912"/>
      <c r="AE213" s="912"/>
      <c r="AF213" s="912"/>
      <c r="AG213" s="912"/>
      <c r="AH213" s="912"/>
      <c r="AI213" s="912"/>
      <c r="AJ213" s="912"/>
      <c r="AK213" s="912"/>
      <c r="AL213" s="912"/>
      <c r="AM213" s="915"/>
      <c r="AN213" s="915"/>
    </row>
    <row r="214" spans="3:40" ht="14.1">
      <c r="C214" s="57"/>
      <c r="D214" s="175" t="s">
        <v>281</v>
      </c>
      <c r="E214" s="180">
        <f>'BOD-Cold &amp; Amb.'!AN230</f>
        <v>1120</v>
      </c>
      <c r="F214" s="176" t="s">
        <v>282</v>
      </c>
      <c r="G214" s="180">
        <f>'BOD-Cold &amp; Amb.'!AM230</f>
        <v>150</v>
      </c>
      <c r="H214" s="176" t="s">
        <v>283</v>
      </c>
      <c r="I214" s="181">
        <f>'BOD-Cold &amp; Amb.'!AO230</f>
        <v>60</v>
      </c>
      <c r="J214" s="902"/>
      <c r="K214" s="902"/>
      <c r="L214" s="902"/>
      <c r="M214" s="902"/>
      <c r="N214" s="902"/>
      <c r="O214" s="902"/>
      <c r="P214" s="902"/>
      <c r="Q214" s="913"/>
      <c r="R214" s="913"/>
      <c r="S214" s="913"/>
      <c r="T214" s="913"/>
      <c r="U214" s="912"/>
      <c r="V214" s="912"/>
      <c r="W214" s="913"/>
      <c r="X214" s="912"/>
      <c r="Y214" s="912"/>
      <c r="Z214" s="912"/>
      <c r="AA214" s="912"/>
      <c r="AB214" s="912"/>
      <c r="AC214" s="912"/>
      <c r="AD214" s="912"/>
      <c r="AE214" s="912"/>
      <c r="AF214" s="912"/>
      <c r="AG214" s="912"/>
      <c r="AH214" s="912"/>
      <c r="AI214" s="912"/>
      <c r="AJ214" s="912"/>
      <c r="AK214" s="912"/>
      <c r="AL214" s="912"/>
      <c r="AM214" s="915"/>
      <c r="AN214" s="915"/>
    </row>
    <row r="215" spans="3:40" ht="21.6" customHeight="1">
      <c r="C215" s="57"/>
      <c r="D215" s="175" t="s">
        <v>284</v>
      </c>
      <c r="E215" s="180">
        <f>'BOD-Cold &amp; Amb.'!AP230</f>
        <v>4</v>
      </c>
      <c r="F215" s="832" t="s">
        <v>285</v>
      </c>
      <c r="G215" s="837" t="str">
        <f>IF(OR(I212=0, E215="Amb"), "Amb",IF('BOD-Cold &amp; Amb.'!AH175="C", "Header",IF('BOD-Cold &amp; Amb.'!AH175="D", "Distributor", "Refer")))</f>
        <v>Header</v>
      </c>
      <c r="H215" s="832" t="s">
        <v>286</v>
      </c>
      <c r="I215" s="833" t="str">
        <f>IF(OR(I212=0, E215=0), 0,ROUND(((( I212/E215)*304.8)/(E213-400))*1000,0)&amp;" h "&amp;" x " &amp; (E213-400)&amp;" w ")</f>
        <v xml:space="preserve">2297 h  x 3600 w </v>
      </c>
      <c r="J215" s="902"/>
      <c r="K215" s="902"/>
      <c r="L215" s="902"/>
      <c r="M215" s="902"/>
      <c r="N215" s="902"/>
      <c r="O215" s="902"/>
      <c r="P215" s="902"/>
      <c r="Q215" s="913"/>
      <c r="R215" s="913"/>
      <c r="S215" s="913"/>
      <c r="T215" s="913"/>
      <c r="U215" s="912"/>
      <c r="V215" s="912"/>
      <c r="W215" s="913"/>
      <c r="X215" s="912"/>
      <c r="Y215" s="912"/>
      <c r="Z215" s="912"/>
      <c r="AA215" s="912"/>
      <c r="AB215" s="912"/>
      <c r="AC215" s="912"/>
      <c r="AD215" s="912"/>
      <c r="AE215" s="912"/>
      <c r="AF215" s="912"/>
      <c r="AG215" s="912"/>
      <c r="AH215" s="912"/>
      <c r="AI215" s="912"/>
      <c r="AJ215" s="912"/>
      <c r="AK215" s="912"/>
      <c r="AL215" s="912"/>
      <c r="AM215" s="915"/>
      <c r="AN215" s="915"/>
    </row>
    <row r="216" spans="3:40" ht="21" customHeight="1">
      <c r="C216" s="57"/>
      <c r="D216" s="175" t="s">
        <v>287</v>
      </c>
      <c r="E216" s="180">
        <f>'BOD-Cold &amp; Amb.'!AR230</f>
        <v>3</v>
      </c>
      <c r="F216" s="176" t="s">
        <v>288</v>
      </c>
      <c r="G216" s="925" t="str">
        <f>IF(E216=4,"10µ, 5µ, 1µ &amp; 0.3µ (HEPA Plenum Fitted 95% eff.)",IF(E216=3,"10µ, 5µ &amp; 1µ ",IF(E216=2,"10µ  &amp; 5µ",IF(E216=1,"10µ", "Filter Ratings"))))</f>
        <v xml:space="preserve">10µ, 5µ &amp; 1µ </v>
      </c>
      <c r="H216" s="925"/>
      <c r="I216" s="926"/>
      <c r="J216" s="902"/>
      <c r="K216" s="902"/>
      <c r="L216" s="902"/>
      <c r="M216" s="902"/>
      <c r="N216" s="902"/>
      <c r="O216" s="902"/>
      <c r="P216" s="902"/>
      <c r="Q216" s="913"/>
      <c r="R216" s="913"/>
      <c r="S216" s="913"/>
      <c r="T216" s="913"/>
      <c r="U216" s="912"/>
      <c r="V216" s="912"/>
      <c r="W216" s="913"/>
      <c r="X216" s="912"/>
      <c r="Y216" s="912"/>
      <c r="Z216" s="912"/>
      <c r="AA216" s="912"/>
      <c r="AB216" s="912"/>
      <c r="AC216" s="912"/>
      <c r="AD216" s="912"/>
      <c r="AE216" s="912"/>
      <c r="AF216" s="912"/>
      <c r="AG216" s="912"/>
      <c r="AH216" s="912"/>
      <c r="AI216" s="912"/>
      <c r="AJ216" s="912"/>
      <c r="AK216" s="912"/>
      <c r="AL216" s="912"/>
      <c r="AM216" s="915"/>
      <c r="AN216" s="915"/>
    </row>
    <row r="217" spans="3:40" ht="12.6" customHeight="1">
      <c r="C217" s="57"/>
      <c r="D217" s="922" t="s">
        <v>289</v>
      </c>
      <c r="E217" s="923"/>
      <c r="F217" s="923"/>
      <c r="G217" s="923"/>
      <c r="H217" s="923"/>
      <c r="I217" s="924"/>
      <c r="J217" s="902"/>
      <c r="K217" s="902"/>
      <c r="L217" s="902"/>
      <c r="M217" s="902"/>
      <c r="N217" s="902"/>
      <c r="O217" s="902"/>
      <c r="P217" s="902"/>
      <c r="Q217" s="913"/>
      <c r="R217" s="913"/>
      <c r="S217" s="913"/>
      <c r="T217" s="913"/>
      <c r="U217" s="912"/>
      <c r="V217" s="912"/>
      <c r="W217" s="913"/>
      <c r="X217" s="912"/>
      <c r="Y217" s="912"/>
      <c r="Z217" s="912"/>
      <c r="AA217" s="912"/>
      <c r="AB217" s="912"/>
      <c r="AC217" s="912"/>
      <c r="AD217" s="912"/>
      <c r="AE217" s="912"/>
      <c r="AF217" s="912"/>
      <c r="AG217" s="912"/>
      <c r="AH217" s="912"/>
      <c r="AI217" s="912"/>
      <c r="AJ217" s="912"/>
      <c r="AK217" s="912"/>
      <c r="AL217" s="912"/>
      <c r="AM217" s="915"/>
      <c r="AN217" s="915"/>
    </row>
    <row r="218" spans="3:40" ht="24.95">
      <c r="C218" s="57"/>
      <c r="D218" s="58" t="s">
        <v>290</v>
      </c>
      <c r="E218" s="58" t="s">
        <v>291</v>
      </c>
      <c r="F218" s="58" t="s">
        <v>292</v>
      </c>
      <c r="G218" s="58" t="s">
        <v>293</v>
      </c>
      <c r="H218" s="58" t="s">
        <v>294</v>
      </c>
      <c r="I218" s="181"/>
      <c r="J218" s="902"/>
      <c r="K218" s="902"/>
      <c r="L218" s="902"/>
      <c r="M218" s="902"/>
      <c r="N218" s="902"/>
      <c r="O218" s="902"/>
      <c r="P218" s="902"/>
      <c r="Q218" s="913"/>
      <c r="R218" s="913"/>
      <c r="S218" s="913"/>
      <c r="T218" s="913"/>
      <c r="U218" s="912"/>
      <c r="V218" s="912"/>
      <c r="W218" s="913"/>
      <c r="X218" s="912"/>
      <c r="Y218" s="912"/>
      <c r="Z218" s="912"/>
      <c r="AA218" s="912"/>
      <c r="AB218" s="912"/>
      <c r="AC218" s="912"/>
      <c r="AD218" s="912"/>
      <c r="AE218" s="912"/>
      <c r="AF218" s="912"/>
      <c r="AG218" s="912"/>
      <c r="AH218" s="912"/>
      <c r="AI218" s="912"/>
      <c r="AJ218" s="912"/>
      <c r="AK218" s="912"/>
      <c r="AL218" s="912"/>
      <c r="AM218" s="915"/>
      <c r="AN218" s="915"/>
    </row>
    <row r="219" spans="3:40" ht="14.1">
      <c r="C219" s="57"/>
      <c r="D219" s="58"/>
      <c r="E219" s="58">
        <f>IF(E213=950,2,(IF(E213=1150,3,(IF(E213=1550,4,(IF(E213=1750,5,(IF(E213=2050,6,(IF(E213=2900,8,(IF(E213=3600,10,IF(E213=4000,12,0))))))))))))))</f>
        <v>12</v>
      </c>
      <c r="F219" s="58">
        <f>IF(G213=950,2,(IF(G213=1150,3,(IF(G213=1550,4,(IF(G213=1750,5,(IF(G213=2050,6,(IF(G213=2900,8,(IF(G213=3600,10,IF(E213=4000,12,0))))))))))))))</f>
        <v>10</v>
      </c>
      <c r="G219" s="58"/>
      <c r="H219" s="60"/>
      <c r="I219" s="834"/>
      <c r="J219" s="902"/>
      <c r="K219" s="902"/>
      <c r="L219" s="902"/>
      <c r="M219" s="902"/>
      <c r="N219" s="902"/>
      <c r="O219" s="902"/>
      <c r="P219" s="902"/>
      <c r="Q219" s="913"/>
      <c r="R219" s="913"/>
      <c r="S219" s="913"/>
      <c r="T219" s="913"/>
      <c r="U219" s="912"/>
      <c r="V219" s="912"/>
      <c r="W219" s="913"/>
      <c r="X219" s="912"/>
      <c r="Y219" s="912"/>
      <c r="Z219" s="912"/>
      <c r="AA219" s="912"/>
      <c r="AB219" s="912"/>
      <c r="AC219" s="912"/>
      <c r="AD219" s="912"/>
      <c r="AE219" s="912"/>
      <c r="AF219" s="912"/>
      <c r="AG219" s="912"/>
      <c r="AH219" s="912"/>
      <c r="AI219" s="912"/>
      <c r="AJ219" s="912"/>
      <c r="AK219" s="912"/>
      <c r="AL219" s="912"/>
      <c r="AM219" s="915"/>
      <c r="AN219" s="915"/>
    </row>
    <row r="220" spans="3:40" ht="14.1">
      <c r="C220" s="57"/>
      <c r="D220" s="58">
        <f>IF(AND(I212=0, OR(E216=1, E216=2, E216=3, E216=4, E216=5)), "20µ", 0)</f>
        <v>0</v>
      </c>
      <c r="E220" s="58">
        <f>IF(OR(D220=0),0,IF(MOD($E$42*$F$42,2)=0,"610",IF(MOD($E$42*$F$42,2.5)=0,"760",IF(MOD($E$42*$F$42,3)=0,"915","Refer"))))</f>
        <v>0</v>
      </c>
      <c r="F220" s="58">
        <f>IF(OR(D220=0),0,IF(MOD($E$42*$F$42,6)=0,"915",IF(MOD($E$42*$F$42,5)=0,"760",IF(MOD($E$42*$F$42,4)=0,"610","Refer"))))</f>
        <v>0</v>
      </c>
      <c r="G220" s="58">
        <f>IF(D220=0,0,100)</f>
        <v>0</v>
      </c>
      <c r="H220" s="60">
        <f>IF(D220=0,0,($E$42*$F$42*305*305)/(E220*F220))</f>
        <v>0</v>
      </c>
      <c r="I220" s="834"/>
      <c r="J220" s="902"/>
      <c r="K220" s="902"/>
      <c r="L220" s="902"/>
      <c r="M220" s="902"/>
      <c r="N220" s="902"/>
      <c r="O220" s="902"/>
      <c r="P220" s="902"/>
      <c r="Q220" s="55"/>
      <c r="R220" s="55"/>
      <c r="S220" s="55"/>
      <c r="T220" s="55"/>
      <c r="U220" s="45"/>
      <c r="V220" s="45"/>
      <c r="W220" s="55"/>
      <c r="X220" s="45"/>
      <c r="Y220" s="45"/>
      <c r="Z220" s="45"/>
      <c r="AA220" s="45"/>
      <c r="AB220" s="45"/>
      <c r="AC220" s="45"/>
      <c r="AD220" s="45"/>
      <c r="AE220" s="45"/>
      <c r="AF220" s="45"/>
      <c r="AG220" s="45"/>
      <c r="AH220" s="45"/>
      <c r="AI220" s="45"/>
      <c r="AJ220" s="45"/>
      <c r="AK220" s="45"/>
      <c r="AL220" s="45"/>
      <c r="AM220" s="63"/>
      <c r="AN220" s="63"/>
    </row>
    <row r="221" spans="3:40" ht="14.1">
      <c r="C221" s="57"/>
      <c r="D221" s="58" t="str">
        <f>IF(E216=4,"10µ",IF(E216=3,"10µ",IF(E216=2,"10µ",IF(E216=1,"10µ",0))))</f>
        <v>10µ</v>
      </c>
      <c r="E221" s="58" t="str">
        <f>IF(OR(D221=0),0,IF(MOD($E$42*$F$42,2)=0,"610",IF(MOD($E$42*$F$42,2.5)=0,"760",IF(MOD($E$42*$F$42,3)=0,"915","Refer"))))</f>
        <v>610</v>
      </c>
      <c r="F221" s="58" t="str">
        <f>IF(OR(D221=0),0,IF(MOD($E$42*$F$42,6)=0,"915",IF(MOD($E$42*$F$42,5)=0,"760",IF(MOD($E$42*$F$42,4)=0,"610","Refer"))))</f>
        <v>915</v>
      </c>
      <c r="G221" s="58">
        <f>IF(D221=0,0,150)</f>
        <v>150</v>
      </c>
      <c r="H221" s="60">
        <f>IF(D221=0,0,($E$42*$F$42*305*305)/(E221*F221))</f>
        <v>6</v>
      </c>
      <c r="I221" s="834"/>
      <c r="J221" s="902"/>
      <c r="K221" s="902"/>
      <c r="L221" s="902"/>
      <c r="M221" s="902"/>
      <c r="N221" s="902"/>
      <c r="O221" s="902"/>
      <c r="P221" s="902"/>
      <c r="Q221" s="913"/>
      <c r="R221" s="913"/>
      <c r="S221" s="913"/>
      <c r="T221" s="913"/>
      <c r="U221" s="912"/>
      <c r="V221" s="912"/>
      <c r="W221" s="913"/>
      <c r="X221" s="912"/>
      <c r="Y221" s="912"/>
      <c r="Z221" s="912"/>
      <c r="AA221" s="912"/>
      <c r="AB221" s="912"/>
      <c r="AC221" s="912"/>
      <c r="AD221" s="912"/>
      <c r="AE221" s="912"/>
      <c r="AF221" s="912"/>
      <c r="AG221" s="912"/>
      <c r="AH221" s="912"/>
      <c r="AI221" s="912"/>
      <c r="AJ221" s="912"/>
      <c r="AK221" s="912"/>
      <c r="AL221" s="912"/>
      <c r="AM221" s="915"/>
      <c r="AN221" s="915"/>
    </row>
    <row r="222" spans="3:40" ht="14.1">
      <c r="C222" s="57"/>
      <c r="D222" s="58" t="str">
        <f>IF(E216=4,"5µ",IF(E216=3,"5µ",IF(E216=2,"5µ",0)))</f>
        <v>5µ</v>
      </c>
      <c r="E222" s="58" t="str">
        <f t="shared" ref="E222:E224" si="130">IF(OR(D222=0),0,IF(MOD($E$42*$F$42,2)=0,"610",IF(MOD($E$42*$F$42,2.5)=0,"760",IF(MOD($E$42*$F$42,3)=0,"915","Refer"))))</f>
        <v>610</v>
      </c>
      <c r="F222" s="58" t="str">
        <f>IF(OR(D222=0),0,IF(MOD($E$42*$F$42,6)=0,"915",IF(MOD($E$42*$F$42,5)=0,"760",IF(MOD($E$42*$F$42,4)=0,"610","Refer"))))</f>
        <v>915</v>
      </c>
      <c r="G222" s="58">
        <f>IF(D222=0,0,300)</f>
        <v>300</v>
      </c>
      <c r="H222" s="60">
        <f>IF(D222=0,0,($E$42*$F$42*305*305)/(E222*F222))</f>
        <v>6</v>
      </c>
      <c r="I222" s="834"/>
      <c r="J222" s="902"/>
      <c r="K222" s="902"/>
      <c r="L222" s="902"/>
      <c r="M222" s="902"/>
      <c r="N222" s="902"/>
      <c r="O222" s="902"/>
      <c r="P222" s="902"/>
      <c r="Q222" s="913"/>
      <c r="R222" s="913"/>
      <c r="S222" s="913"/>
      <c r="T222" s="913"/>
      <c r="U222" s="912"/>
      <c r="V222" s="912"/>
      <c r="W222" s="913"/>
      <c r="X222" s="912"/>
      <c r="Y222" s="912"/>
      <c r="Z222" s="912"/>
      <c r="AA222" s="912"/>
      <c r="AB222" s="912"/>
      <c r="AC222" s="912"/>
      <c r="AD222" s="912"/>
      <c r="AE222" s="912"/>
      <c r="AF222" s="912"/>
      <c r="AG222" s="912"/>
      <c r="AH222" s="912"/>
      <c r="AI222" s="912"/>
      <c r="AJ222" s="912"/>
      <c r="AK222" s="912"/>
      <c r="AL222" s="912"/>
      <c r="AM222" s="915"/>
      <c r="AN222" s="915"/>
    </row>
    <row r="223" spans="3:40" ht="14.1">
      <c r="C223" s="57"/>
      <c r="D223" s="58" t="str">
        <f>IF(E216=4,"1µ",IF(E216=3,"1µ",0))</f>
        <v>1µ</v>
      </c>
      <c r="E223" s="58" t="str">
        <f t="shared" si="130"/>
        <v>610</v>
      </c>
      <c r="F223" s="58" t="str">
        <f>IF(OR(D223=0),0,IF(MOD($E$42*$F$42,6)=0,"915",IF(MOD($E$42*$F$42,5)=0,"760",IF(MOD($E$42*$F$42,4)=0,"610","Refer"))))</f>
        <v>915</v>
      </c>
      <c r="G223" s="58">
        <f>IF(D223=0,0,300)</f>
        <v>300</v>
      </c>
      <c r="H223" s="60">
        <f>IF(D223=0,0,($E$42*$F$42*305*305)/(E223*F223))</f>
        <v>6</v>
      </c>
      <c r="I223" s="834"/>
      <c r="J223" s="902"/>
      <c r="K223" s="902"/>
      <c r="L223" s="902"/>
      <c r="M223" s="902"/>
      <c r="N223" s="902"/>
      <c r="O223" s="902"/>
      <c r="P223" s="902"/>
      <c r="Q223" s="913"/>
      <c r="R223" s="913"/>
      <c r="S223" s="913"/>
      <c r="T223" s="913"/>
      <c r="U223" s="912"/>
      <c r="V223" s="912"/>
      <c r="W223" s="913"/>
      <c r="X223" s="912"/>
      <c r="Y223" s="912"/>
      <c r="Z223" s="912"/>
      <c r="AA223" s="912"/>
      <c r="AB223" s="912"/>
      <c r="AC223" s="912"/>
      <c r="AD223" s="912"/>
      <c r="AE223" s="912"/>
      <c r="AF223" s="912"/>
      <c r="AG223" s="912"/>
      <c r="AH223" s="912"/>
      <c r="AI223" s="912"/>
      <c r="AJ223" s="912"/>
      <c r="AK223" s="912"/>
      <c r="AL223" s="912"/>
      <c r="AM223" s="915"/>
      <c r="AN223" s="915"/>
    </row>
    <row r="224" spans="3:40" ht="14.1">
      <c r="C224" s="57"/>
      <c r="D224" s="58">
        <f>IF(E216=4,"0.3µ 95% Eff. HEPA Filetr",0)</f>
        <v>0</v>
      </c>
      <c r="E224" s="58">
        <f t="shared" si="130"/>
        <v>0</v>
      </c>
      <c r="F224" s="58">
        <f>IF(OR(D224=0),0,IF(MOD($E$42*$F$42,6)=0,"915",IF(MOD($E$42*$F$42,5)=0,"760",IF(MOD($E$42*$F$42,4)=0,"610","Refer"))))</f>
        <v>0</v>
      </c>
      <c r="G224" s="58">
        <f>IF(D224=0,0,300)</f>
        <v>0</v>
      </c>
      <c r="H224" s="60">
        <f>IF(D224=0,0,($E$42*$F$42*305*305)/(E224*F224))</f>
        <v>0</v>
      </c>
      <c r="I224" s="836"/>
      <c r="J224" s="902"/>
      <c r="K224" s="902"/>
      <c r="L224" s="902"/>
      <c r="M224" s="902"/>
      <c r="N224" s="902"/>
      <c r="O224" s="902"/>
      <c r="P224" s="902"/>
      <c r="Q224" s="913"/>
      <c r="R224" s="913"/>
      <c r="S224" s="913"/>
      <c r="T224" s="913"/>
      <c r="U224" s="912"/>
      <c r="V224" s="912"/>
      <c r="W224" s="913"/>
      <c r="X224" s="912"/>
      <c r="Y224" s="912"/>
      <c r="Z224" s="912"/>
      <c r="AA224" s="912"/>
      <c r="AB224" s="912"/>
      <c r="AC224" s="912"/>
      <c r="AD224" s="912"/>
      <c r="AE224" s="912"/>
      <c r="AF224" s="912"/>
      <c r="AG224" s="912"/>
      <c r="AH224" s="912"/>
      <c r="AI224" s="912"/>
      <c r="AJ224" s="912"/>
      <c r="AK224" s="912"/>
      <c r="AL224" s="912"/>
      <c r="AM224" s="915"/>
      <c r="AN224" s="915"/>
    </row>
    <row r="225" spans="3:40" ht="14.1">
      <c r="C225" s="57"/>
      <c r="D225" s="826"/>
      <c r="E225" s="182"/>
      <c r="F225" s="182"/>
      <c r="G225" s="182"/>
      <c r="H225" s="182"/>
      <c r="I225" s="827"/>
      <c r="J225" s="52"/>
      <c r="K225" s="52"/>
      <c r="L225" s="52"/>
      <c r="M225" s="52"/>
      <c r="N225" s="52"/>
      <c r="O225" s="828"/>
      <c r="P225" s="828"/>
      <c r="Q225" s="55"/>
      <c r="R225" s="55"/>
      <c r="S225" s="55"/>
      <c r="T225" s="55"/>
      <c r="U225" s="45"/>
      <c r="V225" s="45"/>
      <c r="W225" s="55"/>
      <c r="X225" s="45"/>
      <c r="Y225" s="45"/>
      <c r="Z225" s="45"/>
      <c r="AA225" s="45"/>
      <c r="AB225" s="45"/>
      <c r="AC225" s="45"/>
      <c r="AD225" s="45"/>
      <c r="AE225" s="45"/>
      <c r="AF225" s="45"/>
      <c r="AG225" s="45"/>
      <c r="AH225" s="45"/>
      <c r="AI225" s="45"/>
      <c r="AJ225" s="45"/>
      <c r="AK225" s="45"/>
      <c r="AL225" s="45"/>
      <c r="AM225" s="63"/>
      <c r="AN225" s="63"/>
    </row>
    <row r="226" spans="3:40" ht="14.1" customHeight="1">
      <c r="C226" s="57"/>
      <c r="D226" s="901" t="str">
        <f>"AHU - " &amp; INT((ROW()-34)/14)+1 &amp; "  " &amp; IF(I227&gt;0,"Air-Conditioning System " &amp; IF(OR(G230="Header", G230="C"), "(Chilled Water)",IF(OR(G230="Distributor", G230="D"), "(DX)", "Ventilation System")),IF(NOT(I227&gt;0), "Ventilation System ( SUPPLY )", "Refer"))</f>
        <v>AHU - 14  Air-Conditioning System (Chilled Water)</v>
      </c>
      <c r="E226" s="901"/>
      <c r="F226" s="901"/>
      <c r="G226" s="901"/>
      <c r="H226" s="901"/>
      <c r="I226" s="901"/>
      <c r="J226" s="52"/>
      <c r="K226" s="52"/>
      <c r="L226" s="53"/>
      <c r="M226" s="53"/>
      <c r="N226" s="53"/>
      <c r="O226" s="54"/>
      <c r="P226" s="55"/>
      <c r="AM226" s="56"/>
      <c r="AN226" s="56"/>
    </row>
    <row r="227" spans="3:40" ht="14.1">
      <c r="C227" s="57"/>
      <c r="D227" s="175" t="s">
        <v>274</v>
      </c>
      <c r="E227" s="180" t="str">
        <f>'BOD-Cold &amp; Amb.'!R250</f>
        <v>ISO 6</v>
      </c>
      <c r="F227" s="175" t="s">
        <v>275</v>
      </c>
      <c r="G227" s="180">
        <f>'BOD-Cold &amp; Amb.'!AK250</f>
        <v>42500</v>
      </c>
      <c r="H227" s="175" t="s">
        <v>276</v>
      </c>
      <c r="I227" s="181">
        <f>'BOD-Cold &amp; Amb.'!AQ250</f>
        <v>108.5</v>
      </c>
      <c r="J227" s="902" t="s">
        <v>277</v>
      </c>
      <c r="K227" s="902">
        <v>1</v>
      </c>
      <c r="L227" s="917">
        <f>Q227</f>
        <v>2070750</v>
      </c>
      <c r="M227" s="902">
        <f>K227*L227</f>
        <v>2070750</v>
      </c>
      <c r="N227" s="902"/>
      <c r="O227" s="902"/>
      <c r="P227" s="902"/>
      <c r="Q227" s="913">
        <f t="shared" ref="Q227" si="131">CEILING((S227+T227+U227+V227+W227),250)</f>
        <v>2070750</v>
      </c>
      <c r="R227" s="913">
        <f>IF(I227&gt;0,625,375)</f>
        <v>625</v>
      </c>
      <c r="S227" s="913">
        <f>(E228*G228*3*10.76+E228*I228*2*10.76+G228*I228*2*10.76)*R227/(1000*1000)</f>
        <v>883396</v>
      </c>
      <c r="T227" s="913">
        <f>I227*4*1050</f>
        <v>455700</v>
      </c>
      <c r="U227" s="912">
        <f>IF(G227&lt;=2000,5000,(IF(G227&lt;=5000,8000,(IF(G227&lt;=10000,10000,(IF(G227&lt;=18000,15000,(IF(G227&lt;=40000,20000,25000)))))))))</f>
        <v>25000</v>
      </c>
      <c r="V227" s="912">
        <f t="shared" ref="V227" si="132">IF(X227=200,17150,(IF(X227=225,18150,(IF(X227=250,18900,(IF(X227=280,19150,(IF(X227=315,19650,(IF(X227=355,21900,(IF(X227=400,24400,0)))))))))))))+IF(X227=450,31000,(IF(X227=500,37450,(IF(X227=560,45650,(IF(X227=630,58900,(IF(X227=710,77950,0)))))))))+IF(X227=800,119650,(IF(X227=900,153300,(IF(X227=1000,178900,(IF(X227=1120,286500,(IF(X227=1250,394500,(IF(X227=1450,461500,0)))))))))))</f>
        <v>286500</v>
      </c>
      <c r="W227" s="913">
        <f>IF(I229=0.5,16600,(IF(I229=1,19050,(IF(I229=1.5,21750,(IF(I229=2,23600,(IF(I229=3,30000,(IF(I229=5,38000,0)))))))))))*1.2+IF(I229=7.5,52300,(IF(I229=10,59600,0)))*1.2+IF(I229=12.5,100350,(IF(I229=15,106000,(IF(I229=20,129150,(IF(I229=25,146050,(IF(I229=30,173600,(IF(I229=40,233900,(IF(I229=50,304650,IF(I229=60,350000,400000)))))))))))))*1.2)</f>
        <v>420000</v>
      </c>
      <c r="X227" s="912">
        <f>E229</f>
        <v>1120</v>
      </c>
      <c r="Y227" s="912">
        <f t="shared" ref="Y227" si="133">IF(G227&lt;=6750,450,(IF(G227&lt;=8500,500,(IF(G227&lt;=10750,560,(IF(G227&lt;=13500,630,(IF(G227&lt;=17000,710,(IF(G227&lt;=21500,800,(IF(G227&lt;=27000,900,(IF(G227&lt;=34000,1000,0)))))))))))))))</f>
        <v>0</v>
      </c>
      <c r="Z227" s="912">
        <f t="shared" ref="Z227" si="134">IF(G227&lt;=1300,200,(IF(G227&lt;=1600,225,(IF(G227&lt;=2100,250,(IF(G227&lt;=2700,280,(IF(G227&lt;=3450,315,(IF(G227&lt;=4250,355,(IF(G227&lt;=5250,400,(IF(G227&lt;=6750,450,0)))))))))))))))</f>
        <v>0</v>
      </c>
      <c r="AA227" s="912">
        <f t="shared" ref="AA227" si="135">IF(G227&lt;=2000,5000,(IF(G227&lt;=5000,8000,(IF(G227&lt;=10000,10000,(IF(G227&lt;=18000,15000,(IF(G227&lt;=40000,20000,10000)))))))))</f>
        <v>10000</v>
      </c>
      <c r="AB227" s="912">
        <f>IF(E228=950,2,(IF(E228=1150,3,(IF(E228=1550,4,(IF(E228=1750,5,(IF(E228=2050,6,(IF(E228=2900,8,(IF(E228=3600,10,12)))))))))))))</f>
        <v>12</v>
      </c>
      <c r="AC227" s="912">
        <f>IF(G228=950,2,(IF(G228=1150,3,(IF(G228=1550,4,(IF(G228=1750,5,(IF(G228=2050,6,(IF(G228=2900,8,(IF(G228=3600,10,12)))))))))))))</f>
        <v>10</v>
      </c>
      <c r="AD227" s="912">
        <f t="shared" ref="AD227" si="136">AC227*AB227</f>
        <v>120</v>
      </c>
      <c r="AE227" s="912">
        <v>150</v>
      </c>
      <c r="AF227" s="912">
        <f t="shared" ref="AF227" si="137">CEILING((SQRT(G227/1000))*4*2*AE227*1.25*K227,100)</f>
        <v>9800</v>
      </c>
      <c r="AG227" s="912">
        <f>E235*F235*H235/(305*305)</f>
        <v>0</v>
      </c>
      <c r="AH227" s="912">
        <f>E236*F236*H236/(305*305)</f>
        <v>36</v>
      </c>
      <c r="AI227" s="912">
        <f>H237*E237*F237/(305*305)</f>
        <v>36</v>
      </c>
      <c r="AJ227" s="912">
        <f>H238*E238*F238/(305*305)</f>
        <v>36</v>
      </c>
      <c r="AK227" s="912">
        <f>H239*E239*F239/(305*305)</f>
        <v>0</v>
      </c>
      <c r="AL227" s="912"/>
      <c r="AM227" s="915">
        <f t="shared" ref="AM227" si="138">(G227*2.2/1100)</f>
        <v>85.000000000000014</v>
      </c>
      <c r="AN227" s="915">
        <f t="shared" ref="AN227" si="139">(G227*1/1100)</f>
        <v>38.636363636363633</v>
      </c>
    </row>
    <row r="228" spans="3:40" ht="14.1">
      <c r="C228" s="57"/>
      <c r="D228" s="175" t="s">
        <v>278</v>
      </c>
      <c r="E228" s="180">
        <f>'BOD-Cold &amp; Amb.'!AL251</f>
        <v>4000</v>
      </c>
      <c r="F228" s="175" t="s">
        <v>279</v>
      </c>
      <c r="G228" s="180">
        <f>'BOD-Cold &amp; Amb.'!AL253</f>
        <v>3600</v>
      </c>
      <c r="H228" s="175" t="s">
        <v>280</v>
      </c>
      <c r="I228" s="181">
        <f>'BOD-Cold &amp; Amb.'!AL255</f>
        <v>5800</v>
      </c>
      <c r="J228" s="902"/>
      <c r="K228" s="902"/>
      <c r="L228" s="902"/>
      <c r="M228" s="902"/>
      <c r="N228" s="902"/>
      <c r="O228" s="902"/>
      <c r="P228" s="902"/>
      <c r="Q228" s="913"/>
      <c r="R228" s="913"/>
      <c r="S228" s="913"/>
      <c r="T228" s="913"/>
      <c r="U228" s="912"/>
      <c r="V228" s="912"/>
      <c r="W228" s="913"/>
      <c r="X228" s="912"/>
      <c r="Y228" s="912"/>
      <c r="Z228" s="912"/>
      <c r="AA228" s="912"/>
      <c r="AB228" s="912"/>
      <c r="AC228" s="912"/>
      <c r="AD228" s="912"/>
      <c r="AE228" s="912"/>
      <c r="AF228" s="912"/>
      <c r="AG228" s="912"/>
      <c r="AH228" s="912"/>
      <c r="AI228" s="912"/>
      <c r="AJ228" s="912"/>
      <c r="AK228" s="912"/>
      <c r="AL228" s="912"/>
      <c r="AM228" s="915"/>
      <c r="AN228" s="915"/>
    </row>
    <row r="229" spans="3:40" ht="14.1">
      <c r="C229" s="57"/>
      <c r="D229" s="175" t="s">
        <v>281</v>
      </c>
      <c r="E229" s="180">
        <f>'BOD-Cold &amp; Amb.'!AN250</f>
        <v>1120</v>
      </c>
      <c r="F229" s="176" t="s">
        <v>282</v>
      </c>
      <c r="G229" s="180">
        <f>'BOD-Cold &amp; Amb.'!AM250</f>
        <v>150</v>
      </c>
      <c r="H229" s="176" t="s">
        <v>283</v>
      </c>
      <c r="I229" s="181">
        <f>'BOD-Cold &amp; Amb.'!AO250</f>
        <v>60</v>
      </c>
      <c r="J229" s="902"/>
      <c r="K229" s="902"/>
      <c r="L229" s="902"/>
      <c r="M229" s="902"/>
      <c r="N229" s="902"/>
      <c r="O229" s="902"/>
      <c r="P229" s="902"/>
      <c r="Q229" s="913"/>
      <c r="R229" s="913"/>
      <c r="S229" s="913"/>
      <c r="T229" s="913"/>
      <c r="U229" s="912"/>
      <c r="V229" s="912"/>
      <c r="W229" s="913"/>
      <c r="X229" s="912"/>
      <c r="Y229" s="912"/>
      <c r="Z229" s="912"/>
      <c r="AA229" s="912"/>
      <c r="AB229" s="912"/>
      <c r="AC229" s="912"/>
      <c r="AD229" s="912"/>
      <c r="AE229" s="912"/>
      <c r="AF229" s="912"/>
      <c r="AG229" s="912"/>
      <c r="AH229" s="912"/>
      <c r="AI229" s="912"/>
      <c r="AJ229" s="912"/>
      <c r="AK229" s="912"/>
      <c r="AL229" s="912"/>
      <c r="AM229" s="915"/>
      <c r="AN229" s="915"/>
    </row>
    <row r="230" spans="3:40" ht="21.6" customHeight="1">
      <c r="C230" s="57"/>
      <c r="D230" s="175" t="s">
        <v>284</v>
      </c>
      <c r="E230" s="180">
        <f>'BOD-Cold &amp; Amb.'!AP250</f>
        <v>4</v>
      </c>
      <c r="F230" s="832" t="s">
        <v>285</v>
      </c>
      <c r="G230" s="837" t="str">
        <f>IF(OR(I227=0, E230="Amb"), "Amb",IF('BOD-Cold &amp; Amb.'!AH190="C", "Header",IF('BOD-Cold &amp; Amb.'!AH190="D", "Distributor", "Refer")))</f>
        <v>Header</v>
      </c>
      <c r="H230" s="832" t="s">
        <v>286</v>
      </c>
      <c r="I230" s="833" t="str">
        <f>IF(OR(I227=0, E230=0), 0,ROUND(((( I227/E230)*304.8)/(E228-400))*1000,0)&amp;" h "&amp;" x " &amp; (E228-400)&amp;" w ")</f>
        <v xml:space="preserve">2297 h  x 3600 w </v>
      </c>
      <c r="J230" s="902"/>
      <c r="K230" s="902"/>
      <c r="L230" s="902"/>
      <c r="M230" s="902"/>
      <c r="N230" s="902"/>
      <c r="O230" s="902"/>
      <c r="P230" s="902"/>
      <c r="Q230" s="913"/>
      <c r="R230" s="913"/>
      <c r="S230" s="913"/>
      <c r="T230" s="913"/>
      <c r="U230" s="912"/>
      <c r="V230" s="912"/>
      <c r="W230" s="913"/>
      <c r="X230" s="912"/>
      <c r="Y230" s="912"/>
      <c r="Z230" s="912"/>
      <c r="AA230" s="912"/>
      <c r="AB230" s="912"/>
      <c r="AC230" s="912"/>
      <c r="AD230" s="912"/>
      <c r="AE230" s="912"/>
      <c r="AF230" s="912"/>
      <c r="AG230" s="912"/>
      <c r="AH230" s="912"/>
      <c r="AI230" s="912"/>
      <c r="AJ230" s="912"/>
      <c r="AK230" s="912"/>
      <c r="AL230" s="912"/>
      <c r="AM230" s="915"/>
      <c r="AN230" s="915"/>
    </row>
    <row r="231" spans="3:40" ht="21">
      <c r="C231" s="57"/>
      <c r="D231" s="175" t="s">
        <v>287</v>
      </c>
      <c r="E231" s="180">
        <f>'BOD-Cold &amp; Amb.'!AR250</f>
        <v>3</v>
      </c>
      <c r="F231" s="176" t="s">
        <v>288</v>
      </c>
      <c r="G231" s="177" t="str">
        <f>IF(E231=4,"10µ, 5µ, 1µ &amp; 0.3µ (HEPA Plenum Fitted 95% eff.)",IF(E231=3,"10µ, 5µ &amp; 1µ ",IF(E231=2,"10µ  &amp; 5µ",IF(E231=1,"10µ", "Filter Ratings"))))</f>
        <v xml:space="preserve">10µ, 5µ &amp; 1µ </v>
      </c>
      <c r="H231" s="178"/>
      <c r="I231" s="179"/>
      <c r="J231" s="902"/>
      <c r="K231" s="902"/>
      <c r="L231" s="902"/>
      <c r="M231" s="902"/>
      <c r="N231" s="902"/>
      <c r="O231" s="902"/>
      <c r="P231" s="902"/>
      <c r="Q231" s="913"/>
      <c r="R231" s="913"/>
      <c r="S231" s="913"/>
      <c r="T231" s="913"/>
      <c r="U231" s="912"/>
      <c r="V231" s="912"/>
      <c r="W231" s="913"/>
      <c r="X231" s="912"/>
      <c r="Y231" s="912"/>
      <c r="Z231" s="912"/>
      <c r="AA231" s="912"/>
      <c r="AB231" s="912"/>
      <c r="AC231" s="912"/>
      <c r="AD231" s="912"/>
      <c r="AE231" s="912"/>
      <c r="AF231" s="912"/>
      <c r="AG231" s="912"/>
      <c r="AH231" s="912"/>
      <c r="AI231" s="912"/>
      <c r="AJ231" s="912"/>
      <c r="AK231" s="912"/>
      <c r="AL231" s="912"/>
      <c r="AM231" s="915"/>
      <c r="AN231" s="915"/>
    </row>
    <row r="232" spans="3:40">
      <c r="C232" s="57"/>
      <c r="D232" s="922" t="s">
        <v>289</v>
      </c>
      <c r="E232" s="923"/>
      <c r="F232" s="923"/>
      <c r="G232" s="923"/>
      <c r="H232" s="923"/>
      <c r="I232" s="924"/>
      <c r="J232" s="902"/>
      <c r="K232" s="902"/>
      <c r="L232" s="902"/>
      <c r="M232" s="902"/>
      <c r="N232" s="902"/>
      <c r="O232" s="902"/>
      <c r="P232" s="902"/>
      <c r="Q232" s="913"/>
      <c r="R232" s="913"/>
      <c r="S232" s="913"/>
      <c r="T232" s="913"/>
      <c r="U232" s="912"/>
      <c r="V232" s="912"/>
      <c r="W232" s="913"/>
      <c r="X232" s="912"/>
      <c r="Y232" s="912"/>
      <c r="Z232" s="912"/>
      <c r="AA232" s="912"/>
      <c r="AB232" s="912"/>
      <c r="AC232" s="912"/>
      <c r="AD232" s="912"/>
      <c r="AE232" s="912"/>
      <c r="AF232" s="912"/>
      <c r="AG232" s="912"/>
      <c r="AH232" s="912"/>
      <c r="AI232" s="912"/>
      <c r="AJ232" s="912"/>
      <c r="AK232" s="912"/>
      <c r="AL232" s="912"/>
      <c r="AM232" s="915"/>
      <c r="AN232" s="915"/>
    </row>
    <row r="233" spans="3:40" ht="24.95">
      <c r="C233" s="57"/>
      <c r="D233" s="58" t="s">
        <v>290</v>
      </c>
      <c r="E233" s="58" t="s">
        <v>291</v>
      </c>
      <c r="F233" s="58" t="s">
        <v>292</v>
      </c>
      <c r="G233" s="58" t="s">
        <v>293</v>
      </c>
      <c r="H233" s="58" t="s">
        <v>294</v>
      </c>
      <c r="I233" s="179"/>
      <c r="J233" s="902"/>
      <c r="K233" s="902"/>
      <c r="L233" s="902"/>
      <c r="M233" s="902"/>
      <c r="N233" s="902"/>
      <c r="O233" s="902"/>
      <c r="P233" s="902"/>
      <c r="Q233" s="913"/>
      <c r="R233" s="913"/>
      <c r="S233" s="913"/>
      <c r="T233" s="913"/>
      <c r="U233" s="912"/>
      <c r="V233" s="912"/>
      <c r="W233" s="913"/>
      <c r="X233" s="912"/>
      <c r="Y233" s="912"/>
      <c r="Z233" s="912"/>
      <c r="AA233" s="912"/>
      <c r="AB233" s="912"/>
      <c r="AC233" s="912"/>
      <c r="AD233" s="912"/>
      <c r="AE233" s="912"/>
      <c r="AF233" s="912"/>
      <c r="AG233" s="912"/>
      <c r="AH233" s="912"/>
      <c r="AI233" s="912"/>
      <c r="AJ233" s="912"/>
      <c r="AK233" s="912"/>
      <c r="AL233" s="912"/>
      <c r="AM233" s="915"/>
      <c r="AN233" s="915"/>
    </row>
    <row r="234" spans="3:40" ht="14.1">
      <c r="C234" s="57"/>
      <c r="D234" s="58"/>
      <c r="E234" s="58">
        <f>IF(E228=950,2,(IF(E228=1150,3,(IF(E228=1550,4,(IF(E228=1750,5,(IF(E228=2050,6,(IF(E228=2900,8,(IF(E228=3600,10,IF(E228=4000,12,0))))))))))))))</f>
        <v>12</v>
      </c>
      <c r="F234" s="58">
        <f>IF(G228=950,2,(IF(G228=1150,3,(IF(G228=1550,4,(IF(G228=1750,5,(IF(G228=2050,6,(IF(G228=2900,8,(IF(G228=3600,10,IF(E228=4000,12,0))))))))))))))</f>
        <v>10</v>
      </c>
      <c r="G234" s="58"/>
      <c r="H234" s="60"/>
      <c r="I234" s="834"/>
      <c r="J234" s="902"/>
      <c r="K234" s="902"/>
      <c r="L234" s="902"/>
      <c r="M234" s="902"/>
      <c r="N234" s="902"/>
      <c r="O234" s="902"/>
      <c r="P234" s="902"/>
      <c r="Q234" s="913"/>
      <c r="R234" s="913"/>
      <c r="S234" s="913"/>
      <c r="T234" s="913"/>
      <c r="U234" s="912"/>
      <c r="V234" s="912"/>
      <c r="W234" s="913"/>
      <c r="X234" s="912"/>
      <c r="Y234" s="912"/>
      <c r="Z234" s="912"/>
      <c r="AA234" s="912"/>
      <c r="AB234" s="912"/>
      <c r="AC234" s="912"/>
      <c r="AD234" s="912"/>
      <c r="AE234" s="912"/>
      <c r="AF234" s="912"/>
      <c r="AG234" s="912"/>
      <c r="AH234" s="912"/>
      <c r="AI234" s="912"/>
      <c r="AJ234" s="912"/>
      <c r="AK234" s="912"/>
      <c r="AL234" s="912"/>
      <c r="AM234" s="915"/>
      <c r="AN234" s="915"/>
    </row>
    <row r="235" spans="3:40" ht="14.1">
      <c r="C235" s="57"/>
      <c r="D235" s="58">
        <f>IF(AND(I227=0, OR(E231=1, E231=2, E231=3, E231=4, E231=5)), "20µ", 0)</f>
        <v>0</v>
      </c>
      <c r="E235" s="58">
        <f>IF(OR(D235=0),0,IF(MOD($E$42*$F$42,2)=0,"610",IF(MOD($E$42*$F$42,2.5)=0,"760",IF(MOD($E$42*$F$42,3)=0,"915","Refer"))))</f>
        <v>0</v>
      </c>
      <c r="F235" s="58">
        <f>IF(OR(D235=0),0,IF(MOD($E$42*$F$42,6)=0,"915",IF(MOD($E$42*$F$42,5)=0,"760",IF(MOD($E$42*$F$42,4)=0,"610","Refer"))))</f>
        <v>0</v>
      </c>
      <c r="G235" s="58">
        <f>IF(D235=0,0,100)</f>
        <v>0</v>
      </c>
      <c r="H235" s="60">
        <f>IF(D235=0,0,($E$42*$F$42*305*305)/(E235*F235))</f>
        <v>0</v>
      </c>
      <c r="I235" s="834"/>
      <c r="J235" s="902"/>
      <c r="K235" s="902"/>
      <c r="L235" s="902"/>
      <c r="M235" s="902"/>
      <c r="N235" s="902"/>
      <c r="O235" s="902"/>
      <c r="P235" s="902"/>
      <c r="Q235" s="55"/>
      <c r="R235" s="55"/>
      <c r="S235" s="55"/>
      <c r="T235" s="55"/>
      <c r="U235" s="45"/>
      <c r="V235" s="45"/>
      <c r="W235" s="55"/>
      <c r="X235" s="45"/>
      <c r="Y235" s="45"/>
      <c r="Z235" s="45"/>
      <c r="AA235" s="45"/>
      <c r="AB235" s="45"/>
      <c r="AC235" s="45"/>
      <c r="AD235" s="45"/>
      <c r="AE235" s="45"/>
      <c r="AF235" s="45"/>
      <c r="AG235" s="45"/>
      <c r="AH235" s="45"/>
      <c r="AI235" s="45"/>
      <c r="AJ235" s="45"/>
      <c r="AK235" s="45"/>
      <c r="AL235" s="45"/>
      <c r="AM235" s="63"/>
      <c r="AN235" s="63"/>
    </row>
    <row r="236" spans="3:40" ht="14.1">
      <c r="C236" s="57"/>
      <c r="D236" s="58" t="str">
        <f>IF(E231=4,"10µ",IF(E231=3,"10µ",IF(E231=2,"10µ",IF(E231=1,"10µ",0))))</f>
        <v>10µ</v>
      </c>
      <c r="E236" s="58" t="str">
        <f>IF(OR(D236=0),0,IF(MOD($E$42*$F$42,2)=0,"610",IF(MOD($E$42*$F$42,2.5)=0,"760",IF(MOD($E$42*$F$42,3)=0,"915","Refer"))))</f>
        <v>610</v>
      </c>
      <c r="F236" s="58" t="str">
        <f>IF(OR(D236=0),0,IF(MOD($E$42*$F$42,6)=0,"915",IF(MOD($E$42*$F$42,5)=0,"760",IF(MOD($E$42*$F$42,4)=0,"610","Refer"))))</f>
        <v>915</v>
      </c>
      <c r="G236" s="58">
        <f>IF(D236=0,0,150)</f>
        <v>150</v>
      </c>
      <c r="H236" s="60">
        <f>IF(D236=0,0,($E$42*$F$42*305*305)/(E236*F236))</f>
        <v>6</v>
      </c>
      <c r="I236" s="834"/>
      <c r="J236" s="902"/>
      <c r="K236" s="902"/>
      <c r="L236" s="902"/>
      <c r="M236" s="902"/>
      <c r="N236" s="902"/>
      <c r="O236" s="902"/>
      <c r="P236" s="902"/>
      <c r="Q236" s="913"/>
      <c r="R236" s="913"/>
      <c r="S236" s="913"/>
      <c r="T236" s="913"/>
      <c r="U236" s="912"/>
      <c r="V236" s="912"/>
      <c r="W236" s="913"/>
      <c r="X236" s="912"/>
      <c r="Y236" s="912"/>
      <c r="Z236" s="912"/>
      <c r="AA236" s="912"/>
      <c r="AB236" s="912"/>
      <c r="AC236" s="912"/>
      <c r="AD236" s="912"/>
      <c r="AE236" s="912"/>
      <c r="AF236" s="912"/>
      <c r="AG236" s="912"/>
      <c r="AH236" s="912"/>
      <c r="AI236" s="912"/>
      <c r="AJ236" s="912"/>
      <c r="AK236" s="912"/>
      <c r="AL236" s="912"/>
      <c r="AM236" s="915"/>
      <c r="AN236" s="915"/>
    </row>
    <row r="237" spans="3:40" ht="14.1">
      <c r="C237" s="57"/>
      <c r="D237" s="58" t="str">
        <f>IF(E231=4,"5µ",IF(E231=3,"5µ",IF(E231=2,"5µ",0)))</f>
        <v>5µ</v>
      </c>
      <c r="E237" s="58" t="str">
        <f t="shared" ref="E237:E239" si="140">IF(OR(D237=0),0,IF(MOD($E$42*$F$42,2)=0,"610",IF(MOD($E$42*$F$42,2.5)=0,"760",IF(MOD($E$42*$F$42,3)=0,"915","Refer"))))</f>
        <v>610</v>
      </c>
      <c r="F237" s="58" t="str">
        <f>IF(OR(D237=0),0,IF(MOD($E$42*$F$42,6)=0,"915",IF(MOD($E$42*$F$42,5)=0,"760",IF(MOD($E$42*$F$42,4)=0,"610","Refer"))))</f>
        <v>915</v>
      </c>
      <c r="G237" s="58">
        <f>IF(D237=0,0,300)</f>
        <v>300</v>
      </c>
      <c r="H237" s="60">
        <f>IF(D237=0,0,($E$42*$F$42*305*305)/(E237*F237))</f>
        <v>6</v>
      </c>
      <c r="I237" s="834"/>
      <c r="J237" s="902"/>
      <c r="K237" s="902"/>
      <c r="L237" s="902"/>
      <c r="M237" s="902"/>
      <c r="N237" s="902"/>
      <c r="O237" s="902"/>
      <c r="P237" s="902"/>
      <c r="Q237" s="913"/>
      <c r="R237" s="913"/>
      <c r="S237" s="913"/>
      <c r="T237" s="913"/>
      <c r="U237" s="912"/>
      <c r="V237" s="912"/>
      <c r="W237" s="913"/>
      <c r="X237" s="912"/>
      <c r="Y237" s="912"/>
      <c r="Z237" s="912"/>
      <c r="AA237" s="912"/>
      <c r="AB237" s="912"/>
      <c r="AC237" s="912"/>
      <c r="AD237" s="912"/>
      <c r="AE237" s="912"/>
      <c r="AF237" s="912"/>
      <c r="AG237" s="912"/>
      <c r="AH237" s="912"/>
      <c r="AI237" s="912"/>
      <c r="AJ237" s="912"/>
      <c r="AK237" s="912"/>
      <c r="AL237" s="912"/>
      <c r="AM237" s="915"/>
      <c r="AN237" s="915"/>
    </row>
    <row r="238" spans="3:40" ht="14.1">
      <c r="C238" s="57"/>
      <c r="D238" s="58" t="str">
        <f>IF(E231=4,"1µ",IF(E231=3,"1µ",0))</f>
        <v>1µ</v>
      </c>
      <c r="E238" s="58" t="str">
        <f t="shared" si="140"/>
        <v>610</v>
      </c>
      <c r="F238" s="58" t="str">
        <f>IF(OR(D238=0),0,IF(MOD($E$42*$F$42,6)=0,"915",IF(MOD($E$42*$F$42,5)=0,"760",IF(MOD($E$42*$F$42,4)=0,"610","Refer"))))</f>
        <v>915</v>
      </c>
      <c r="G238" s="58">
        <f>IF(D238=0,0,300)</f>
        <v>300</v>
      </c>
      <c r="H238" s="60">
        <f>IF(D238=0,0,($E$42*$F$42*305*305)/(E238*F238))</f>
        <v>6</v>
      </c>
      <c r="I238" s="834"/>
      <c r="J238" s="902"/>
      <c r="K238" s="902"/>
      <c r="L238" s="902"/>
      <c r="M238" s="902"/>
      <c r="N238" s="902"/>
      <c r="O238" s="902"/>
      <c r="P238" s="902"/>
      <c r="Q238" s="913"/>
      <c r="R238" s="913"/>
      <c r="S238" s="913"/>
      <c r="T238" s="913"/>
      <c r="U238" s="912"/>
      <c r="V238" s="912"/>
      <c r="W238" s="913"/>
      <c r="X238" s="912"/>
      <c r="Y238" s="912"/>
      <c r="Z238" s="912"/>
      <c r="AA238" s="912"/>
      <c r="AB238" s="912"/>
      <c r="AC238" s="912"/>
      <c r="AD238" s="912"/>
      <c r="AE238" s="912"/>
      <c r="AF238" s="912"/>
      <c r="AG238" s="912"/>
      <c r="AH238" s="912"/>
      <c r="AI238" s="912"/>
      <c r="AJ238" s="912"/>
      <c r="AK238" s="912"/>
      <c r="AL238" s="912"/>
      <c r="AM238" s="915"/>
      <c r="AN238" s="915"/>
    </row>
    <row r="239" spans="3:40" ht="14.1">
      <c r="C239" s="57"/>
      <c r="D239" s="58">
        <f>IF(E231=4,"0.3µ 95% Eff. HEPA Filetr",0)</f>
        <v>0</v>
      </c>
      <c r="E239" s="58">
        <f t="shared" si="140"/>
        <v>0</v>
      </c>
      <c r="F239" s="58">
        <f>IF(OR(D239=0),0,IF(MOD($E$42*$F$42,6)=0,"915",IF(MOD($E$42*$F$42,5)=0,"760",IF(MOD($E$42*$F$42,4)=0,"610","Refer"))))</f>
        <v>0</v>
      </c>
      <c r="G239" s="58">
        <f>IF(D239=0,0,300)</f>
        <v>0</v>
      </c>
      <c r="H239" s="60">
        <f>IF(D239=0,0,($E$42*$F$42*305*305)/(E239*F239))</f>
        <v>0</v>
      </c>
      <c r="I239" s="836"/>
      <c r="J239" s="902"/>
      <c r="K239" s="902"/>
      <c r="L239" s="902"/>
      <c r="M239" s="902"/>
      <c r="N239" s="902"/>
      <c r="O239" s="902"/>
      <c r="P239" s="902"/>
      <c r="Q239" s="913"/>
      <c r="R239" s="913"/>
      <c r="S239" s="913"/>
      <c r="T239" s="913"/>
      <c r="U239" s="912"/>
      <c r="V239" s="912"/>
      <c r="W239" s="913"/>
      <c r="X239" s="912"/>
      <c r="Y239" s="912"/>
      <c r="Z239" s="912"/>
      <c r="AA239" s="912"/>
      <c r="AB239" s="912"/>
      <c r="AC239" s="912"/>
      <c r="AD239" s="912"/>
      <c r="AE239" s="912"/>
      <c r="AF239" s="912"/>
      <c r="AG239" s="912"/>
      <c r="AH239" s="912"/>
      <c r="AI239" s="912"/>
      <c r="AJ239" s="912"/>
      <c r="AK239" s="912"/>
      <c r="AL239" s="912"/>
      <c r="AM239" s="915"/>
      <c r="AN239" s="915"/>
    </row>
    <row r="240" spans="3:40" ht="14.1">
      <c r="C240" s="57"/>
      <c r="D240" s="826"/>
      <c r="E240" s="182"/>
      <c r="F240" s="182"/>
      <c r="G240" s="182"/>
      <c r="H240" s="182"/>
      <c r="I240" s="827"/>
      <c r="J240" s="52"/>
      <c r="K240" s="52"/>
      <c r="L240" s="52"/>
      <c r="M240" s="52"/>
      <c r="N240" s="52"/>
      <c r="O240" s="828"/>
      <c r="P240" s="828"/>
      <c r="Q240" s="55"/>
      <c r="R240" s="55"/>
      <c r="S240" s="55"/>
      <c r="T240" s="55"/>
      <c r="U240" s="45"/>
      <c r="V240" s="45"/>
      <c r="W240" s="55"/>
      <c r="X240" s="45"/>
      <c r="Y240" s="45"/>
      <c r="Z240" s="45"/>
      <c r="AA240" s="45"/>
      <c r="AB240" s="45"/>
      <c r="AC240" s="45"/>
      <c r="AD240" s="45"/>
      <c r="AE240" s="45"/>
      <c r="AF240" s="45"/>
      <c r="AG240" s="45"/>
      <c r="AH240" s="45"/>
      <c r="AI240" s="45"/>
      <c r="AJ240" s="45"/>
      <c r="AK240" s="45"/>
      <c r="AL240" s="45"/>
      <c r="AM240" s="63"/>
      <c r="AN240" s="63"/>
    </row>
    <row r="241" spans="3:40" ht="14.1" customHeight="1">
      <c r="C241" s="57"/>
      <c r="D241" s="901" t="str">
        <f>"AHU - " &amp; INT((ROW()-34)/14)+1 &amp; "  " &amp; IF(I242&gt;0,"Air-Conditioning System " &amp; IF(OR(G245="Header", G245="C"), "(Chilled Water)",IF(OR(G245="Distributor", G245="D"), "(DX)", "Ventilation System")),IF(NOT(I242&gt;0), "Ventilation System ( SUPPLY )", "Refer"))</f>
        <v>AHU - 15  Air-Conditioning System (Chilled Water)</v>
      </c>
      <c r="E241" s="901"/>
      <c r="F241" s="901"/>
      <c r="G241" s="901"/>
      <c r="H241" s="901"/>
      <c r="I241" s="901"/>
      <c r="J241" s="52"/>
      <c r="K241" s="52"/>
      <c r="L241" s="53"/>
      <c r="M241" s="53"/>
      <c r="N241" s="53"/>
      <c r="O241" s="54"/>
      <c r="P241" s="55"/>
      <c r="AM241" s="56"/>
      <c r="AN241" s="56"/>
    </row>
    <row r="242" spans="3:40" ht="14.1">
      <c r="C242" s="57"/>
      <c r="D242" s="175" t="s">
        <v>274</v>
      </c>
      <c r="E242" s="180" t="str">
        <f>'BOD-Cold &amp; Amb.'!R270</f>
        <v>ISO 6</v>
      </c>
      <c r="F242" s="175" t="s">
        <v>275</v>
      </c>
      <c r="G242" s="180">
        <f>'BOD-Cold &amp; Amb.'!AK270</f>
        <v>42500</v>
      </c>
      <c r="H242" s="175" t="s">
        <v>276</v>
      </c>
      <c r="I242" s="181">
        <f>'BOD-Cold &amp; Amb.'!AQ270</f>
        <v>108.5</v>
      </c>
      <c r="J242" s="902" t="s">
        <v>277</v>
      </c>
      <c r="K242" s="902">
        <v>1</v>
      </c>
      <c r="L242" s="917">
        <f>Q242</f>
        <v>2070750</v>
      </c>
      <c r="M242" s="902">
        <f>K242*L242</f>
        <v>2070750</v>
      </c>
      <c r="N242" s="902"/>
      <c r="O242" s="902"/>
      <c r="P242" s="902"/>
      <c r="Q242" s="913">
        <f t="shared" ref="Q242" si="141">CEILING((S242+T242+U242+V242+W242),250)</f>
        <v>2070750</v>
      </c>
      <c r="R242" s="913">
        <f>IF(I242&gt;0,625,375)</f>
        <v>625</v>
      </c>
      <c r="S242" s="913">
        <f>(E243*G243*3*10.76+E243*I243*2*10.76+G243*I243*2*10.76)*R242/(1000*1000)</f>
        <v>883396</v>
      </c>
      <c r="T242" s="913">
        <f>I242*4*1050</f>
        <v>455700</v>
      </c>
      <c r="U242" s="912">
        <f>IF(G242&lt;=2000,5000,(IF(G242&lt;=5000,8000,(IF(G242&lt;=10000,10000,(IF(G242&lt;=18000,15000,(IF(G242&lt;=40000,20000,25000)))))))))</f>
        <v>25000</v>
      </c>
      <c r="V242" s="912">
        <f t="shared" ref="V242" si="142">IF(X242=200,17150,(IF(X242=225,18150,(IF(X242=250,18900,(IF(X242=280,19150,(IF(X242=315,19650,(IF(X242=355,21900,(IF(X242=400,24400,0)))))))))))))+IF(X242=450,31000,(IF(X242=500,37450,(IF(X242=560,45650,(IF(X242=630,58900,(IF(X242=710,77950,0)))))))))+IF(X242=800,119650,(IF(X242=900,153300,(IF(X242=1000,178900,(IF(X242=1120,286500,(IF(X242=1250,394500,(IF(X242=1450,461500,0)))))))))))</f>
        <v>286500</v>
      </c>
      <c r="W242" s="913">
        <f>IF(I244=0.5,16600,(IF(I244=1,19050,(IF(I244=1.5,21750,(IF(I244=2,23600,(IF(I244=3,30000,(IF(I244=5,38000,0)))))))))))*1.2+IF(I244=7.5,52300,(IF(I244=10,59600,0)))*1.2+IF(I244=12.5,100350,(IF(I244=15,106000,(IF(I244=20,129150,(IF(I244=25,146050,(IF(I244=30,173600,(IF(I244=40,233900,(IF(I244=50,304650,IF(I244=60,350000,400000)))))))))))))*1.2)</f>
        <v>420000</v>
      </c>
      <c r="X242" s="912">
        <f>E244</f>
        <v>1120</v>
      </c>
      <c r="Y242" s="912">
        <f t="shared" ref="Y242" si="143">IF(G242&lt;=6750,450,(IF(G242&lt;=8500,500,(IF(G242&lt;=10750,560,(IF(G242&lt;=13500,630,(IF(G242&lt;=17000,710,(IF(G242&lt;=21500,800,(IF(G242&lt;=27000,900,(IF(G242&lt;=34000,1000,0)))))))))))))))</f>
        <v>0</v>
      </c>
      <c r="Z242" s="912">
        <f t="shared" ref="Z242" si="144">IF(G242&lt;=1300,200,(IF(G242&lt;=1600,225,(IF(G242&lt;=2100,250,(IF(G242&lt;=2700,280,(IF(G242&lt;=3450,315,(IF(G242&lt;=4250,355,(IF(G242&lt;=5250,400,(IF(G242&lt;=6750,450,0)))))))))))))))</f>
        <v>0</v>
      </c>
      <c r="AA242" s="912">
        <f t="shared" ref="AA242" si="145">IF(G242&lt;=2000,5000,(IF(G242&lt;=5000,8000,(IF(G242&lt;=10000,10000,(IF(G242&lt;=18000,15000,(IF(G242&lt;=40000,20000,10000)))))))))</f>
        <v>10000</v>
      </c>
      <c r="AB242" s="912">
        <f>IF(E243=950,2,(IF(E243=1150,3,(IF(E243=1550,4,(IF(E243=1750,5,(IF(E243=2050,6,(IF(E243=2900,8,(IF(E243=3600,10,12)))))))))))))</f>
        <v>12</v>
      </c>
      <c r="AC242" s="912">
        <f>IF(G243=950,2,(IF(G243=1150,3,(IF(G243=1550,4,(IF(G243=1750,5,(IF(G243=2050,6,(IF(G243=2900,8,(IF(G243=3600,10,12)))))))))))))</f>
        <v>10</v>
      </c>
      <c r="AD242" s="912">
        <f t="shared" ref="AD242" si="146">AC242*AB242</f>
        <v>120</v>
      </c>
      <c r="AE242" s="912">
        <v>150</v>
      </c>
      <c r="AF242" s="912">
        <f t="shared" ref="AF242" si="147">CEILING((SQRT(G242/1000))*4*2*AE242*1.25*K242,100)</f>
        <v>9800</v>
      </c>
      <c r="AG242" s="912">
        <f>E250*F250*H250/(305*305)</f>
        <v>0</v>
      </c>
      <c r="AH242" s="912">
        <f>E251*F251*H251/(305*305)</f>
        <v>36</v>
      </c>
      <c r="AI242" s="912">
        <f>H252*E252*F252/(305*305)</f>
        <v>36</v>
      </c>
      <c r="AJ242" s="912">
        <f>H253*E253*F253/(305*305)</f>
        <v>36</v>
      </c>
      <c r="AK242" s="912">
        <f>H254*E254*F254/(305*305)</f>
        <v>0</v>
      </c>
      <c r="AL242" s="912"/>
      <c r="AM242" s="915">
        <f t="shared" ref="AM242" si="148">(G242*2.2/1100)</f>
        <v>85.000000000000014</v>
      </c>
      <c r="AN242" s="915">
        <f t="shared" ref="AN242" si="149">(G242*1/1100)</f>
        <v>38.636363636363633</v>
      </c>
    </row>
    <row r="243" spans="3:40" ht="14.1">
      <c r="C243" s="57"/>
      <c r="D243" s="175" t="s">
        <v>278</v>
      </c>
      <c r="E243" s="180">
        <f>'BOD-Cold &amp; Amb.'!AL271</f>
        <v>4000</v>
      </c>
      <c r="F243" s="175" t="s">
        <v>279</v>
      </c>
      <c r="G243" s="180">
        <f>'BOD-Cold &amp; Amb.'!AL273</f>
        <v>3600</v>
      </c>
      <c r="H243" s="175" t="s">
        <v>280</v>
      </c>
      <c r="I243" s="181">
        <f>'BOD-Cold &amp; Amb.'!AL275</f>
        <v>5800</v>
      </c>
      <c r="J243" s="902"/>
      <c r="K243" s="902"/>
      <c r="L243" s="902"/>
      <c r="M243" s="902"/>
      <c r="N243" s="902"/>
      <c r="O243" s="902"/>
      <c r="P243" s="902"/>
      <c r="Q243" s="913"/>
      <c r="R243" s="913"/>
      <c r="S243" s="913"/>
      <c r="T243" s="913"/>
      <c r="U243" s="912"/>
      <c r="V243" s="912"/>
      <c r="W243" s="913"/>
      <c r="X243" s="912"/>
      <c r="Y243" s="912"/>
      <c r="Z243" s="912"/>
      <c r="AA243" s="912"/>
      <c r="AB243" s="912"/>
      <c r="AC243" s="912"/>
      <c r="AD243" s="912"/>
      <c r="AE243" s="912"/>
      <c r="AF243" s="912"/>
      <c r="AG243" s="912"/>
      <c r="AH243" s="912"/>
      <c r="AI243" s="912"/>
      <c r="AJ243" s="912"/>
      <c r="AK243" s="912"/>
      <c r="AL243" s="912"/>
      <c r="AM243" s="915"/>
      <c r="AN243" s="915"/>
    </row>
    <row r="244" spans="3:40" ht="14.1">
      <c r="C244" s="57"/>
      <c r="D244" s="175" t="s">
        <v>281</v>
      </c>
      <c r="E244" s="180">
        <f>'BOD-Cold &amp; Amb.'!AN270</f>
        <v>1120</v>
      </c>
      <c r="F244" s="176" t="s">
        <v>282</v>
      </c>
      <c r="G244" s="180">
        <f>'BOD-Cold &amp; Amb.'!AM270</f>
        <v>150</v>
      </c>
      <c r="H244" s="176" t="s">
        <v>283</v>
      </c>
      <c r="I244" s="181">
        <f>'BOD-Cold &amp; Amb.'!AO270</f>
        <v>60</v>
      </c>
      <c r="J244" s="902"/>
      <c r="K244" s="902"/>
      <c r="L244" s="902"/>
      <c r="M244" s="902"/>
      <c r="N244" s="902"/>
      <c r="O244" s="902"/>
      <c r="P244" s="902"/>
      <c r="Q244" s="913"/>
      <c r="R244" s="913"/>
      <c r="S244" s="913"/>
      <c r="T244" s="913"/>
      <c r="U244" s="912"/>
      <c r="V244" s="912"/>
      <c r="W244" s="913"/>
      <c r="X244" s="912"/>
      <c r="Y244" s="912"/>
      <c r="Z244" s="912"/>
      <c r="AA244" s="912"/>
      <c r="AB244" s="912"/>
      <c r="AC244" s="912"/>
      <c r="AD244" s="912"/>
      <c r="AE244" s="912"/>
      <c r="AF244" s="912"/>
      <c r="AG244" s="912"/>
      <c r="AH244" s="912"/>
      <c r="AI244" s="912"/>
      <c r="AJ244" s="912"/>
      <c r="AK244" s="912"/>
      <c r="AL244" s="912"/>
      <c r="AM244" s="915"/>
      <c r="AN244" s="915"/>
    </row>
    <row r="245" spans="3:40" ht="21.6" customHeight="1">
      <c r="C245" s="57"/>
      <c r="D245" s="175" t="s">
        <v>284</v>
      </c>
      <c r="E245" s="180">
        <f>'BOD-Cold &amp; Amb.'!AP270</f>
        <v>4</v>
      </c>
      <c r="F245" s="832" t="s">
        <v>285</v>
      </c>
      <c r="G245" s="837" t="str">
        <f>IF(OR(I242=0, E245="Amb"), "Amb",IF('BOD-Cold &amp; Amb.'!AH205="C", "Header",IF('BOD-Cold &amp; Amb.'!AH205="D", "Distributor", "Refer")))</f>
        <v>Header</v>
      </c>
      <c r="H245" s="832" t="s">
        <v>286</v>
      </c>
      <c r="I245" s="833" t="str">
        <f>IF(OR(I242=0, E245=0), 0,ROUND(((( I242/E245)*304.8)/(E243-400))*1000,0)&amp;" h "&amp;" x " &amp; (E243-400)&amp;" w ")</f>
        <v xml:space="preserve">2297 h  x 3600 w </v>
      </c>
      <c r="J245" s="902"/>
      <c r="K245" s="902"/>
      <c r="L245" s="902"/>
      <c r="M245" s="902"/>
      <c r="N245" s="902"/>
      <c r="O245" s="902"/>
      <c r="P245" s="902"/>
      <c r="Q245" s="913"/>
      <c r="R245" s="913"/>
      <c r="S245" s="913"/>
      <c r="T245" s="913"/>
      <c r="U245" s="912"/>
      <c r="V245" s="912"/>
      <c r="W245" s="913"/>
      <c r="X245" s="912"/>
      <c r="Y245" s="912"/>
      <c r="Z245" s="912"/>
      <c r="AA245" s="912"/>
      <c r="AB245" s="912"/>
      <c r="AC245" s="912"/>
      <c r="AD245" s="912"/>
      <c r="AE245" s="912"/>
      <c r="AF245" s="912"/>
      <c r="AG245" s="912"/>
      <c r="AH245" s="912"/>
      <c r="AI245" s="912"/>
      <c r="AJ245" s="912"/>
      <c r="AK245" s="912"/>
      <c r="AL245" s="912"/>
      <c r="AM245" s="915"/>
      <c r="AN245" s="915"/>
    </row>
    <row r="246" spans="3:40" ht="21">
      <c r="C246" s="57"/>
      <c r="D246" s="175" t="s">
        <v>287</v>
      </c>
      <c r="E246" s="180">
        <f>'BOD-Cold &amp; Amb.'!AR270</f>
        <v>3</v>
      </c>
      <c r="F246" s="176" t="s">
        <v>288</v>
      </c>
      <c r="G246" s="177" t="str">
        <f>IF(E246=4,"10µ, 5µ, 1µ &amp; 0.3µ (HEPA Plenum Fitted 95% eff.)",IF(E246=3,"10µ, 5µ &amp; 1µ ",IF(E246=2,"10µ  &amp; 5µ",IF(E246=1,"10µ", "Filter Ratings"))))</f>
        <v xml:space="preserve">10µ, 5µ &amp; 1µ </v>
      </c>
      <c r="H246" s="178"/>
      <c r="I246" s="179"/>
      <c r="J246" s="902"/>
      <c r="K246" s="902"/>
      <c r="L246" s="902"/>
      <c r="M246" s="902"/>
      <c r="N246" s="902"/>
      <c r="O246" s="902"/>
      <c r="P246" s="902"/>
      <c r="Q246" s="913"/>
      <c r="R246" s="913"/>
      <c r="S246" s="913"/>
      <c r="T246" s="913"/>
      <c r="U246" s="912"/>
      <c r="V246" s="912"/>
      <c r="W246" s="913"/>
      <c r="X246" s="912"/>
      <c r="Y246" s="912"/>
      <c r="Z246" s="912"/>
      <c r="AA246" s="912"/>
      <c r="AB246" s="912"/>
      <c r="AC246" s="912"/>
      <c r="AD246" s="912"/>
      <c r="AE246" s="912"/>
      <c r="AF246" s="912"/>
      <c r="AG246" s="912"/>
      <c r="AH246" s="912"/>
      <c r="AI246" s="912"/>
      <c r="AJ246" s="912"/>
      <c r="AK246" s="912"/>
      <c r="AL246" s="912"/>
      <c r="AM246" s="915"/>
      <c r="AN246" s="915"/>
    </row>
    <row r="247" spans="3:40">
      <c r="C247" s="57"/>
      <c r="D247" s="922" t="s">
        <v>289</v>
      </c>
      <c r="E247" s="923"/>
      <c r="F247" s="923"/>
      <c r="G247" s="923"/>
      <c r="H247" s="923"/>
      <c r="I247" s="924"/>
      <c r="J247" s="902"/>
      <c r="K247" s="902"/>
      <c r="L247" s="902"/>
      <c r="M247" s="902"/>
      <c r="N247" s="902"/>
      <c r="O247" s="902"/>
      <c r="P247" s="902"/>
      <c r="Q247" s="913"/>
      <c r="R247" s="913"/>
      <c r="S247" s="913"/>
      <c r="T247" s="913"/>
      <c r="U247" s="912"/>
      <c r="V247" s="912"/>
      <c r="W247" s="913"/>
      <c r="X247" s="912"/>
      <c r="Y247" s="912"/>
      <c r="Z247" s="912"/>
      <c r="AA247" s="912"/>
      <c r="AB247" s="912"/>
      <c r="AC247" s="912"/>
      <c r="AD247" s="912"/>
      <c r="AE247" s="912"/>
      <c r="AF247" s="912"/>
      <c r="AG247" s="912"/>
      <c r="AH247" s="912"/>
      <c r="AI247" s="912"/>
      <c r="AJ247" s="912"/>
      <c r="AK247" s="912"/>
      <c r="AL247" s="912"/>
      <c r="AM247" s="915"/>
      <c r="AN247" s="915"/>
    </row>
    <row r="248" spans="3:40" ht="24.95">
      <c r="C248" s="57"/>
      <c r="D248" s="58" t="s">
        <v>290</v>
      </c>
      <c r="E248" s="58" t="s">
        <v>291</v>
      </c>
      <c r="F248" s="58" t="s">
        <v>292</v>
      </c>
      <c r="G248" s="58" t="s">
        <v>293</v>
      </c>
      <c r="H248" s="58" t="s">
        <v>294</v>
      </c>
      <c r="I248" s="179"/>
      <c r="J248" s="902"/>
      <c r="K248" s="902"/>
      <c r="L248" s="902"/>
      <c r="M248" s="902"/>
      <c r="N248" s="902"/>
      <c r="O248" s="902"/>
      <c r="P248" s="902"/>
      <c r="Q248" s="913"/>
      <c r="R248" s="913"/>
      <c r="S248" s="913"/>
      <c r="T248" s="913"/>
      <c r="U248" s="912"/>
      <c r="V248" s="912"/>
      <c r="W248" s="913"/>
      <c r="X248" s="912"/>
      <c r="Y248" s="912"/>
      <c r="Z248" s="912"/>
      <c r="AA248" s="912"/>
      <c r="AB248" s="912"/>
      <c r="AC248" s="912"/>
      <c r="AD248" s="912"/>
      <c r="AE248" s="912"/>
      <c r="AF248" s="912"/>
      <c r="AG248" s="912"/>
      <c r="AH248" s="912"/>
      <c r="AI248" s="912"/>
      <c r="AJ248" s="912"/>
      <c r="AK248" s="912"/>
      <c r="AL248" s="912"/>
      <c r="AM248" s="915"/>
      <c r="AN248" s="915"/>
    </row>
    <row r="249" spans="3:40" ht="14.1">
      <c r="C249" s="57"/>
      <c r="D249" s="58"/>
      <c r="E249" s="58">
        <f>IF(E243=950,2,(IF(E243=1150,3,(IF(E243=1550,4,(IF(E243=1750,5,(IF(E243=2050,6,(IF(E243=2900,8,(IF(E243=3600,10,IF(E243=4000,12,0))))))))))))))</f>
        <v>12</v>
      </c>
      <c r="F249" s="58">
        <f>IF(G243=950,2,(IF(G243=1150,3,(IF(G243=1550,4,(IF(G243=1750,5,(IF(G243=2050,6,(IF(G243=2900,8,(IF(G243=3600,10,IF(E243=4000,12,0))))))))))))))</f>
        <v>10</v>
      </c>
      <c r="G249" s="58"/>
      <c r="H249" s="60"/>
      <c r="I249" s="834"/>
      <c r="J249" s="902"/>
      <c r="K249" s="902"/>
      <c r="L249" s="902"/>
      <c r="M249" s="902"/>
      <c r="N249" s="902"/>
      <c r="O249" s="902"/>
      <c r="P249" s="902"/>
      <c r="Q249" s="913"/>
      <c r="R249" s="913"/>
      <c r="S249" s="913"/>
      <c r="T249" s="913"/>
      <c r="U249" s="912"/>
      <c r="V249" s="912"/>
      <c r="W249" s="913"/>
      <c r="X249" s="912"/>
      <c r="Y249" s="912"/>
      <c r="Z249" s="912"/>
      <c r="AA249" s="912"/>
      <c r="AB249" s="912"/>
      <c r="AC249" s="912"/>
      <c r="AD249" s="912"/>
      <c r="AE249" s="912"/>
      <c r="AF249" s="912"/>
      <c r="AG249" s="912"/>
      <c r="AH249" s="912"/>
      <c r="AI249" s="912"/>
      <c r="AJ249" s="912"/>
      <c r="AK249" s="912"/>
      <c r="AL249" s="912"/>
      <c r="AM249" s="915"/>
      <c r="AN249" s="915"/>
    </row>
    <row r="250" spans="3:40" ht="14.1">
      <c r="C250" s="57"/>
      <c r="D250" s="58">
        <f>IF(AND(I242=0, OR(E246=1, E246=2, E246=3, E246=4, E246=5)), "20µ", 0)</f>
        <v>0</v>
      </c>
      <c r="E250" s="58">
        <f>IF(OR(D250=0),0,IF(MOD($E$42*$F$42,2)=0,"610",IF(MOD($E$42*$F$42,2.5)=0,"760",IF(MOD($E$42*$F$42,3)=0,"915","Refer"))))</f>
        <v>0</v>
      </c>
      <c r="F250" s="58">
        <f>IF(OR(D250=0),0,IF(MOD($E$42*$F$42,6)=0,"915",IF(MOD($E$42*$F$42,5)=0,"760",IF(MOD($E$42*$F$42,4)=0,"610","Refer"))))</f>
        <v>0</v>
      </c>
      <c r="G250" s="58">
        <f>IF(D250=0,0,100)</f>
        <v>0</v>
      </c>
      <c r="H250" s="60">
        <f>IF(D250=0,0,($E$42*$F$42*305*305)/(E250*F250))</f>
        <v>0</v>
      </c>
      <c r="I250" s="834"/>
      <c r="J250" s="902"/>
      <c r="K250" s="902"/>
      <c r="L250" s="902"/>
      <c r="M250" s="902"/>
      <c r="N250" s="902"/>
      <c r="O250" s="902"/>
      <c r="P250" s="902"/>
      <c r="Q250" s="55"/>
      <c r="R250" s="55"/>
      <c r="S250" s="55"/>
      <c r="T250" s="55"/>
      <c r="U250" s="45"/>
      <c r="V250" s="45"/>
      <c r="W250" s="55"/>
      <c r="X250" s="45"/>
      <c r="Y250" s="45"/>
      <c r="Z250" s="45"/>
      <c r="AA250" s="45"/>
      <c r="AB250" s="45"/>
      <c r="AC250" s="45"/>
      <c r="AD250" s="45"/>
      <c r="AE250" s="45"/>
      <c r="AF250" s="45"/>
      <c r="AG250" s="45"/>
      <c r="AH250" s="45"/>
      <c r="AI250" s="45"/>
      <c r="AJ250" s="45"/>
      <c r="AK250" s="45"/>
      <c r="AL250" s="45"/>
      <c r="AM250" s="63"/>
      <c r="AN250" s="63"/>
    </row>
    <row r="251" spans="3:40" ht="14.1">
      <c r="C251" s="57"/>
      <c r="D251" s="58" t="str">
        <f>IF(E246=4,"10µ",IF(E246=3,"10µ",IF(E246=2,"10µ",IF(E246=1,"10µ",0))))</f>
        <v>10µ</v>
      </c>
      <c r="E251" s="58" t="str">
        <f>IF(OR(D251=0),0,IF(MOD($E$42*$F$42,2)=0,"610",IF(MOD($E$42*$F$42,2.5)=0,"760",IF(MOD($E$42*$F$42,3)=0,"915","Refer"))))</f>
        <v>610</v>
      </c>
      <c r="F251" s="58" t="str">
        <f>IF(OR(D251=0),0,IF(MOD($E$42*$F$42,6)=0,"915",IF(MOD($E$42*$F$42,5)=0,"760",IF(MOD($E$42*$F$42,4)=0,"610","Refer"))))</f>
        <v>915</v>
      </c>
      <c r="G251" s="58">
        <f>IF(D251=0,0,150)</f>
        <v>150</v>
      </c>
      <c r="H251" s="60">
        <f>IF(D251=0,0,($E$42*$F$42*305*305)/(E251*F251))</f>
        <v>6</v>
      </c>
      <c r="I251" s="834"/>
      <c r="J251" s="902"/>
      <c r="K251" s="902"/>
      <c r="L251" s="902"/>
      <c r="M251" s="902"/>
      <c r="N251" s="902"/>
      <c r="O251" s="902"/>
      <c r="P251" s="902"/>
      <c r="Q251" s="913"/>
      <c r="R251" s="913"/>
      <c r="S251" s="913"/>
      <c r="T251" s="913"/>
      <c r="U251" s="912"/>
      <c r="V251" s="912"/>
      <c r="W251" s="913"/>
      <c r="X251" s="912"/>
      <c r="Y251" s="912"/>
      <c r="Z251" s="912"/>
      <c r="AA251" s="912"/>
      <c r="AB251" s="912"/>
      <c r="AC251" s="912"/>
      <c r="AD251" s="912"/>
      <c r="AE251" s="912"/>
      <c r="AF251" s="912"/>
      <c r="AG251" s="912"/>
      <c r="AH251" s="912"/>
      <c r="AI251" s="912"/>
      <c r="AJ251" s="912"/>
      <c r="AK251" s="912"/>
      <c r="AL251" s="912"/>
      <c r="AM251" s="915"/>
      <c r="AN251" s="915"/>
    </row>
    <row r="252" spans="3:40" ht="14.1">
      <c r="C252" s="57"/>
      <c r="D252" s="58" t="str">
        <f>IF(E246=4,"5µ",IF(E246=3,"5µ",IF(E246=2,"5µ",0)))</f>
        <v>5µ</v>
      </c>
      <c r="E252" s="58" t="str">
        <f t="shared" ref="E252:E254" si="150">IF(OR(D252=0),0,IF(MOD($E$42*$F$42,2)=0,"610",IF(MOD($E$42*$F$42,2.5)=0,"760",IF(MOD($E$42*$F$42,3)=0,"915","Refer"))))</f>
        <v>610</v>
      </c>
      <c r="F252" s="58" t="str">
        <f>IF(OR(D252=0),0,IF(MOD($E$42*$F$42,6)=0,"915",IF(MOD($E$42*$F$42,5)=0,"760",IF(MOD($E$42*$F$42,4)=0,"610","Refer"))))</f>
        <v>915</v>
      </c>
      <c r="G252" s="58">
        <f>IF(D252=0,0,300)</f>
        <v>300</v>
      </c>
      <c r="H252" s="60">
        <f>IF(D252=0,0,($E$42*$F$42*305*305)/(E252*F252))</f>
        <v>6</v>
      </c>
      <c r="I252" s="834"/>
      <c r="J252" s="902"/>
      <c r="K252" s="902"/>
      <c r="L252" s="902"/>
      <c r="M252" s="902"/>
      <c r="N252" s="902"/>
      <c r="O252" s="902"/>
      <c r="P252" s="902"/>
      <c r="Q252" s="913"/>
      <c r="R252" s="913"/>
      <c r="S252" s="913"/>
      <c r="T252" s="913"/>
      <c r="U252" s="912"/>
      <c r="V252" s="912"/>
      <c r="W252" s="913"/>
      <c r="X252" s="912"/>
      <c r="Y252" s="912"/>
      <c r="Z252" s="912"/>
      <c r="AA252" s="912"/>
      <c r="AB252" s="912"/>
      <c r="AC252" s="912"/>
      <c r="AD252" s="912"/>
      <c r="AE252" s="912"/>
      <c r="AF252" s="912"/>
      <c r="AG252" s="912"/>
      <c r="AH252" s="912"/>
      <c r="AI252" s="912"/>
      <c r="AJ252" s="912"/>
      <c r="AK252" s="912"/>
      <c r="AL252" s="912"/>
      <c r="AM252" s="915"/>
      <c r="AN252" s="915"/>
    </row>
    <row r="253" spans="3:40" ht="14.1">
      <c r="C253" s="57"/>
      <c r="D253" s="58" t="str">
        <f>IF(E246=4,"1µ",IF(E246=3,"1µ",0))</f>
        <v>1µ</v>
      </c>
      <c r="E253" s="58" t="str">
        <f t="shared" si="150"/>
        <v>610</v>
      </c>
      <c r="F253" s="58" t="str">
        <f>IF(OR(D253=0),0,IF(MOD($E$42*$F$42,6)=0,"915",IF(MOD($E$42*$F$42,5)=0,"760",IF(MOD($E$42*$F$42,4)=0,"610","Refer"))))</f>
        <v>915</v>
      </c>
      <c r="G253" s="58">
        <f>IF(D253=0,0,300)</f>
        <v>300</v>
      </c>
      <c r="H253" s="60">
        <f>IF(D253=0,0,($E$42*$F$42*305*305)/(E253*F253))</f>
        <v>6</v>
      </c>
      <c r="I253" s="834"/>
      <c r="J253" s="902"/>
      <c r="K253" s="902"/>
      <c r="L253" s="902"/>
      <c r="M253" s="902"/>
      <c r="N253" s="902"/>
      <c r="O253" s="902"/>
      <c r="P253" s="902"/>
      <c r="Q253" s="913"/>
      <c r="R253" s="913"/>
      <c r="S253" s="913"/>
      <c r="T253" s="913"/>
      <c r="U253" s="912"/>
      <c r="V253" s="912"/>
      <c r="W253" s="913"/>
      <c r="X253" s="912"/>
      <c r="Y253" s="912"/>
      <c r="Z253" s="912"/>
      <c r="AA253" s="912"/>
      <c r="AB253" s="912"/>
      <c r="AC253" s="912"/>
      <c r="AD253" s="912"/>
      <c r="AE253" s="912"/>
      <c r="AF253" s="912"/>
      <c r="AG253" s="912"/>
      <c r="AH253" s="912"/>
      <c r="AI253" s="912"/>
      <c r="AJ253" s="912"/>
      <c r="AK253" s="912"/>
      <c r="AL253" s="912"/>
      <c r="AM253" s="915"/>
      <c r="AN253" s="915"/>
    </row>
    <row r="254" spans="3:40" ht="14.1">
      <c r="C254" s="57"/>
      <c r="D254" s="58">
        <f>IF(E246=4,"0.3µ 95% Eff. HEPA Filetr",0)</f>
        <v>0</v>
      </c>
      <c r="E254" s="58">
        <f t="shared" si="150"/>
        <v>0</v>
      </c>
      <c r="F254" s="58">
        <f>IF(OR(D254=0),0,IF(MOD($E$42*$F$42,6)=0,"915",IF(MOD($E$42*$F$42,5)=0,"760",IF(MOD($E$42*$F$42,4)=0,"610","Refer"))))</f>
        <v>0</v>
      </c>
      <c r="G254" s="58">
        <f>IF(D254=0,0,300)</f>
        <v>0</v>
      </c>
      <c r="H254" s="60">
        <f>IF(D254=0,0,($E$42*$F$42*305*305)/(E254*F254))</f>
        <v>0</v>
      </c>
      <c r="I254" s="836"/>
      <c r="J254" s="902"/>
      <c r="K254" s="902"/>
      <c r="L254" s="902"/>
      <c r="M254" s="902"/>
      <c r="N254" s="902"/>
      <c r="O254" s="902"/>
      <c r="P254" s="902"/>
      <c r="Q254" s="913"/>
      <c r="R254" s="913"/>
      <c r="S254" s="913"/>
      <c r="T254" s="913"/>
      <c r="U254" s="912"/>
      <c r="V254" s="912"/>
      <c r="W254" s="913"/>
      <c r="X254" s="912"/>
      <c r="Y254" s="912"/>
      <c r="Z254" s="912"/>
      <c r="AA254" s="912"/>
      <c r="AB254" s="912"/>
      <c r="AC254" s="912"/>
      <c r="AD254" s="912"/>
      <c r="AE254" s="912"/>
      <c r="AF254" s="912"/>
      <c r="AG254" s="912"/>
      <c r="AH254" s="912"/>
      <c r="AI254" s="912"/>
      <c r="AJ254" s="912"/>
      <c r="AK254" s="912"/>
      <c r="AL254" s="912"/>
      <c r="AM254" s="915"/>
      <c r="AN254" s="915"/>
    </row>
    <row r="255" spans="3:40" ht="14.1">
      <c r="C255" s="57"/>
      <c r="D255" s="826"/>
      <c r="E255" s="182"/>
      <c r="F255" s="182"/>
      <c r="G255" s="182"/>
      <c r="H255" s="182"/>
      <c r="I255" s="827"/>
      <c r="J255" s="52"/>
      <c r="K255" s="52"/>
      <c r="L255" s="52"/>
      <c r="M255" s="52"/>
      <c r="N255" s="52"/>
      <c r="O255" s="828"/>
      <c r="P255" s="828"/>
      <c r="Q255" s="55"/>
      <c r="R255" s="55"/>
      <c r="S255" s="55"/>
      <c r="T255" s="55"/>
      <c r="U255" s="45"/>
      <c r="V255" s="45"/>
      <c r="W255" s="55"/>
      <c r="X255" s="45"/>
      <c r="Y255" s="45"/>
      <c r="Z255" s="45"/>
      <c r="AA255" s="45"/>
      <c r="AB255" s="45"/>
      <c r="AC255" s="45"/>
      <c r="AD255" s="45"/>
      <c r="AE255" s="45"/>
      <c r="AF255" s="45"/>
      <c r="AG255" s="45"/>
      <c r="AH255" s="45"/>
      <c r="AI255" s="45"/>
      <c r="AJ255" s="45"/>
      <c r="AK255" s="45"/>
      <c r="AL255" s="45"/>
      <c r="AM255" s="63"/>
      <c r="AN255" s="63"/>
    </row>
    <row r="256" spans="3:40" ht="14.1" customHeight="1">
      <c r="C256" s="57"/>
      <c r="D256" s="901" t="str">
        <f>"AHU - " &amp; INT((ROW()-34)/15)+1 &amp; "  " &amp; IF(I257&gt;0,"Air-Conditioning System " &amp; IF(OR(G260="Header", G260="C"), "(Chilled Water)",IF(OR(G260="Distributor", G260="D"), "(DX)", "Ventilation System")),IF(NOT(I257&gt;0), "Ventilation System ( SUPPLY )", "Refer"))</f>
        <v>AHU - 15  Air-Conditioning System (Chilled Water)</v>
      </c>
      <c r="E256" s="901"/>
      <c r="F256" s="901"/>
      <c r="G256" s="901"/>
      <c r="H256" s="901"/>
      <c r="I256" s="901"/>
      <c r="J256" s="52"/>
      <c r="K256" s="52"/>
      <c r="L256" s="53"/>
      <c r="M256" s="53"/>
      <c r="N256" s="53"/>
      <c r="O256" s="54"/>
      <c r="P256" s="55"/>
      <c r="AM256" s="56"/>
      <c r="AN256" s="56"/>
    </row>
    <row r="257" spans="3:40" ht="14.1">
      <c r="C257" s="57"/>
      <c r="D257" s="175" t="s">
        <v>274</v>
      </c>
      <c r="E257" s="180" t="str">
        <f>'BOD-Cold &amp; Amb.'!R290</f>
        <v>ISO 6</v>
      </c>
      <c r="F257" s="175" t="s">
        <v>275</v>
      </c>
      <c r="G257" s="180">
        <f>'BOD-Cold &amp; Amb.'!AK290</f>
        <v>42500</v>
      </c>
      <c r="H257" s="175" t="s">
        <v>276</v>
      </c>
      <c r="I257" s="181">
        <f>'BOD-Cold &amp; Amb.'!AQ290</f>
        <v>108.5</v>
      </c>
      <c r="J257" s="902" t="s">
        <v>277</v>
      </c>
      <c r="K257" s="902">
        <v>1</v>
      </c>
      <c r="L257" s="917">
        <f>Q257</f>
        <v>2070750</v>
      </c>
      <c r="M257" s="902">
        <f>K257*L257</f>
        <v>2070750</v>
      </c>
      <c r="N257" s="902"/>
      <c r="O257" s="902"/>
      <c r="P257" s="902"/>
      <c r="Q257" s="913">
        <f t="shared" ref="Q257" si="151">CEILING((S257+T257+U257+V257+W257),250)</f>
        <v>2070750</v>
      </c>
      <c r="R257" s="913">
        <f>IF(I257&gt;0,625,375)</f>
        <v>625</v>
      </c>
      <c r="S257" s="913">
        <f>(E258*G258*3*10.76+E258*I258*2*10.76+G258*I258*2*10.76)*R257/(1000*1000)</f>
        <v>883396</v>
      </c>
      <c r="T257" s="913">
        <f>I257*4*1050</f>
        <v>455700</v>
      </c>
      <c r="U257" s="912">
        <f>IF(G257&lt;=2000,5000,(IF(G257&lt;=5000,8000,(IF(G257&lt;=10000,10000,(IF(G257&lt;=18000,15000,(IF(G257&lt;=40000,20000,25000)))))))))</f>
        <v>25000</v>
      </c>
      <c r="V257" s="912">
        <f t="shared" ref="V257" si="152">IF(X257=200,17150,(IF(X257=225,18150,(IF(X257=250,18900,(IF(X257=280,19150,(IF(X257=315,19650,(IF(X257=355,21900,(IF(X257=400,24400,0)))))))))))))+IF(X257=450,31000,(IF(X257=500,37450,(IF(X257=560,45650,(IF(X257=630,58900,(IF(X257=710,77950,0)))))))))+IF(X257=800,119650,(IF(X257=900,153300,(IF(X257=1000,178900,(IF(X257=1120,286500,(IF(X257=1250,394500,(IF(X257=1450,461500,0)))))))))))</f>
        <v>286500</v>
      </c>
      <c r="W257" s="913">
        <f>IF(I259=0.5,16600,(IF(I259=1,19050,(IF(I259=1.5,21750,(IF(I259=2,23600,(IF(I259=3,30000,(IF(I259=5,38000,0)))))))))))*1.2+IF(I259=7.5,52300,(IF(I259=10,59600,0)))*1.2+IF(I259=12.5,100350,(IF(I259=15,106000,(IF(I259=20,129150,(IF(I259=25,146050,(IF(I259=30,173600,(IF(I259=40,233900,(IF(I259=50,304650,IF(I259=60,350000,400000)))))))))))))*1.2)</f>
        <v>420000</v>
      </c>
      <c r="X257" s="912">
        <f>E259</f>
        <v>1120</v>
      </c>
      <c r="Y257" s="912">
        <f t="shared" ref="Y257" si="153">IF(G257&lt;=6750,450,(IF(G257&lt;=8500,500,(IF(G257&lt;=10750,560,(IF(G257&lt;=13500,630,(IF(G257&lt;=17000,710,(IF(G257&lt;=21500,800,(IF(G257&lt;=27000,900,(IF(G257&lt;=34000,1000,0)))))))))))))))</f>
        <v>0</v>
      </c>
      <c r="Z257" s="912">
        <f t="shared" ref="Z257" si="154">IF(G257&lt;=1300,200,(IF(G257&lt;=1600,225,(IF(G257&lt;=2100,250,(IF(G257&lt;=2700,280,(IF(G257&lt;=3450,315,(IF(G257&lt;=4250,355,(IF(G257&lt;=5250,400,(IF(G257&lt;=6750,450,0)))))))))))))))</f>
        <v>0</v>
      </c>
      <c r="AA257" s="912">
        <f t="shared" ref="AA257" si="155">IF(G257&lt;=2000,5000,(IF(G257&lt;=5000,8000,(IF(G257&lt;=10000,10000,(IF(G257&lt;=18000,15000,(IF(G257&lt;=40000,20000,10000)))))))))</f>
        <v>10000</v>
      </c>
      <c r="AB257" s="912">
        <f>IF(E258=950,2,(IF(E258=1150,3,(IF(E258=1550,4,(IF(E258=1750,5,(IF(E258=2050,6,(IF(E258=2900,8,(IF(E258=3600,10,12)))))))))))))</f>
        <v>12</v>
      </c>
      <c r="AC257" s="912">
        <f>IF(G258=950,2,(IF(G258=1150,3,(IF(G258=1550,4,(IF(G258=1750,5,(IF(G258=2050,6,(IF(G258=2900,8,(IF(G258=3600,10,12)))))))))))))</f>
        <v>10</v>
      </c>
      <c r="AD257" s="912">
        <f t="shared" ref="AD257" si="156">AC257*AB257</f>
        <v>120</v>
      </c>
      <c r="AE257" s="912">
        <v>150</v>
      </c>
      <c r="AF257" s="912">
        <f t="shared" ref="AF257" si="157">CEILING((SQRT(G257/1000))*4*2*AE257*1.25*K257,100)</f>
        <v>9800</v>
      </c>
      <c r="AG257" s="912">
        <f>E265*F265*H265/(305*305)</f>
        <v>0</v>
      </c>
      <c r="AH257" s="912">
        <f>E266*F266*H266/(305*305)</f>
        <v>36</v>
      </c>
      <c r="AI257" s="912">
        <f>H267*E267*F267/(305*305)</f>
        <v>36</v>
      </c>
      <c r="AJ257" s="912">
        <f>H268*E268*F268/(305*305)</f>
        <v>36</v>
      </c>
      <c r="AK257" s="912">
        <f>H269*E269*F269/(305*305)</f>
        <v>0</v>
      </c>
      <c r="AL257" s="912"/>
      <c r="AM257" s="915">
        <f t="shared" ref="AM257" si="158">(G257*2.2/1100)</f>
        <v>85.000000000000014</v>
      </c>
      <c r="AN257" s="915">
        <f t="shared" ref="AN257" si="159">(G257*1/1100)</f>
        <v>38.636363636363633</v>
      </c>
    </row>
    <row r="258" spans="3:40" ht="14.1">
      <c r="C258" s="57"/>
      <c r="D258" s="175" t="s">
        <v>278</v>
      </c>
      <c r="E258" s="180">
        <f>'BOD-Cold &amp; Amb.'!AL291</f>
        <v>4000</v>
      </c>
      <c r="F258" s="175" t="s">
        <v>279</v>
      </c>
      <c r="G258" s="180">
        <f>'BOD-Cold &amp; Amb.'!AL293</f>
        <v>3600</v>
      </c>
      <c r="H258" s="175" t="s">
        <v>280</v>
      </c>
      <c r="I258" s="181">
        <f>'BOD-Cold &amp; Amb.'!AL295</f>
        <v>5800</v>
      </c>
      <c r="J258" s="902"/>
      <c r="K258" s="902"/>
      <c r="L258" s="902"/>
      <c r="M258" s="902"/>
      <c r="N258" s="902"/>
      <c r="O258" s="902"/>
      <c r="P258" s="902"/>
      <c r="Q258" s="913"/>
      <c r="R258" s="913"/>
      <c r="S258" s="913"/>
      <c r="T258" s="913"/>
      <c r="U258" s="912"/>
      <c r="V258" s="912"/>
      <c r="W258" s="913"/>
      <c r="X258" s="912"/>
      <c r="Y258" s="912"/>
      <c r="Z258" s="912"/>
      <c r="AA258" s="912"/>
      <c r="AB258" s="912"/>
      <c r="AC258" s="912"/>
      <c r="AD258" s="912"/>
      <c r="AE258" s="912"/>
      <c r="AF258" s="912"/>
      <c r="AG258" s="912"/>
      <c r="AH258" s="912"/>
      <c r="AI258" s="912"/>
      <c r="AJ258" s="912"/>
      <c r="AK258" s="912"/>
      <c r="AL258" s="912"/>
      <c r="AM258" s="915"/>
      <c r="AN258" s="915"/>
    </row>
    <row r="259" spans="3:40" ht="14.1">
      <c r="C259" s="57"/>
      <c r="D259" s="175" t="s">
        <v>281</v>
      </c>
      <c r="E259" s="180">
        <f>'BOD-Cold &amp; Amb.'!AN290</f>
        <v>1120</v>
      </c>
      <c r="F259" s="176" t="s">
        <v>282</v>
      </c>
      <c r="G259" s="180">
        <f>'BOD-Cold &amp; Amb.'!AM290</f>
        <v>150</v>
      </c>
      <c r="H259" s="176" t="s">
        <v>283</v>
      </c>
      <c r="I259" s="181">
        <f>'BOD-Cold &amp; Amb.'!AO290</f>
        <v>60</v>
      </c>
      <c r="J259" s="902"/>
      <c r="K259" s="902"/>
      <c r="L259" s="902"/>
      <c r="M259" s="902"/>
      <c r="N259" s="902"/>
      <c r="O259" s="902"/>
      <c r="P259" s="902"/>
      <c r="Q259" s="913"/>
      <c r="R259" s="913"/>
      <c r="S259" s="913"/>
      <c r="T259" s="913"/>
      <c r="U259" s="912"/>
      <c r="V259" s="912"/>
      <c r="W259" s="913"/>
      <c r="X259" s="912"/>
      <c r="Y259" s="912"/>
      <c r="Z259" s="912"/>
      <c r="AA259" s="912"/>
      <c r="AB259" s="912"/>
      <c r="AC259" s="912"/>
      <c r="AD259" s="912"/>
      <c r="AE259" s="912"/>
      <c r="AF259" s="912"/>
      <c r="AG259" s="912"/>
      <c r="AH259" s="912"/>
      <c r="AI259" s="912"/>
      <c r="AJ259" s="912"/>
      <c r="AK259" s="912"/>
      <c r="AL259" s="912"/>
      <c r="AM259" s="915"/>
      <c r="AN259" s="915"/>
    </row>
    <row r="260" spans="3:40" ht="21.6" customHeight="1">
      <c r="C260" s="57"/>
      <c r="D260" s="175" t="s">
        <v>284</v>
      </c>
      <c r="E260" s="180">
        <f>'BOD-Cold &amp; Amb.'!AP290</f>
        <v>4</v>
      </c>
      <c r="F260" s="832" t="s">
        <v>285</v>
      </c>
      <c r="G260" s="837" t="str">
        <f>IF(OR(I257=0, E260="Amb"), "Amb",IF('BOD-Cold &amp; Amb.'!AH220="C", "Header",IF('BOD-Cold &amp; Amb.'!AH220="D", "Distributor", "Refer")))</f>
        <v>Header</v>
      </c>
      <c r="H260" s="832" t="s">
        <v>286</v>
      </c>
      <c r="I260" s="833" t="str">
        <f>IF(OR(I257=0, E260=0), 0,ROUND(((( I257/E260)*304.8)/(E258-400))*1000,0)&amp;" h "&amp;" x " &amp; (E258-400)&amp;" w ")</f>
        <v xml:space="preserve">2297 h  x 3600 w </v>
      </c>
      <c r="J260" s="902"/>
      <c r="K260" s="902"/>
      <c r="L260" s="902"/>
      <c r="M260" s="902"/>
      <c r="N260" s="902"/>
      <c r="O260" s="902"/>
      <c r="P260" s="902"/>
      <c r="Q260" s="913"/>
      <c r="R260" s="913"/>
      <c r="S260" s="913"/>
      <c r="T260" s="913"/>
      <c r="U260" s="912"/>
      <c r="V260" s="912"/>
      <c r="W260" s="913"/>
      <c r="X260" s="912"/>
      <c r="Y260" s="912"/>
      <c r="Z260" s="912"/>
      <c r="AA260" s="912"/>
      <c r="AB260" s="912"/>
      <c r="AC260" s="912"/>
      <c r="AD260" s="912"/>
      <c r="AE260" s="912"/>
      <c r="AF260" s="912"/>
      <c r="AG260" s="912"/>
      <c r="AH260" s="912"/>
      <c r="AI260" s="912"/>
      <c r="AJ260" s="912"/>
      <c r="AK260" s="912"/>
      <c r="AL260" s="912"/>
      <c r="AM260" s="915"/>
      <c r="AN260" s="915"/>
    </row>
    <row r="261" spans="3:40" ht="21">
      <c r="C261" s="57"/>
      <c r="D261" s="175" t="s">
        <v>287</v>
      </c>
      <c r="E261" s="180">
        <f>'BOD-Cold &amp; Amb.'!AR290</f>
        <v>3</v>
      </c>
      <c r="F261" s="176" t="s">
        <v>288</v>
      </c>
      <c r="G261" s="177" t="str">
        <f>IF(E261=4,"10µ, 5µ, 1µ &amp; 0.3µ (HEPA Plenum Fitted 95% eff.)",IF(E261=3,"10µ, 5µ &amp; 1µ ",IF(E261=2,"10µ  &amp; 5µ",IF(E261=1,"10µ", "Filter Ratings"))))</f>
        <v xml:space="preserve">10µ, 5µ &amp; 1µ </v>
      </c>
      <c r="H261" s="178"/>
      <c r="I261" s="179"/>
      <c r="J261" s="902"/>
      <c r="K261" s="902"/>
      <c r="L261" s="902"/>
      <c r="M261" s="902"/>
      <c r="N261" s="902"/>
      <c r="O261" s="902"/>
      <c r="P261" s="902"/>
      <c r="Q261" s="913"/>
      <c r="R261" s="913"/>
      <c r="S261" s="913"/>
      <c r="T261" s="913"/>
      <c r="U261" s="912"/>
      <c r="V261" s="912"/>
      <c r="W261" s="913"/>
      <c r="X261" s="912"/>
      <c r="Y261" s="912"/>
      <c r="Z261" s="912"/>
      <c r="AA261" s="912"/>
      <c r="AB261" s="912"/>
      <c r="AC261" s="912"/>
      <c r="AD261" s="912"/>
      <c r="AE261" s="912"/>
      <c r="AF261" s="912"/>
      <c r="AG261" s="912"/>
      <c r="AH261" s="912"/>
      <c r="AI261" s="912"/>
      <c r="AJ261" s="912"/>
      <c r="AK261" s="912"/>
      <c r="AL261" s="912"/>
      <c r="AM261" s="915"/>
      <c r="AN261" s="915"/>
    </row>
    <row r="262" spans="3:40">
      <c r="C262" s="57"/>
      <c r="D262" s="922" t="s">
        <v>289</v>
      </c>
      <c r="E262" s="923"/>
      <c r="F262" s="923"/>
      <c r="G262" s="923"/>
      <c r="H262" s="923"/>
      <c r="I262" s="924"/>
      <c r="J262" s="902"/>
      <c r="K262" s="902"/>
      <c r="L262" s="902"/>
      <c r="M262" s="902"/>
      <c r="N262" s="902"/>
      <c r="O262" s="902"/>
      <c r="P262" s="902"/>
      <c r="Q262" s="913"/>
      <c r="R262" s="913"/>
      <c r="S262" s="913"/>
      <c r="T262" s="913"/>
      <c r="U262" s="912"/>
      <c r="V262" s="912"/>
      <c r="W262" s="913"/>
      <c r="X262" s="912"/>
      <c r="Y262" s="912"/>
      <c r="Z262" s="912"/>
      <c r="AA262" s="912"/>
      <c r="AB262" s="912"/>
      <c r="AC262" s="912"/>
      <c r="AD262" s="912"/>
      <c r="AE262" s="912"/>
      <c r="AF262" s="912"/>
      <c r="AG262" s="912"/>
      <c r="AH262" s="912"/>
      <c r="AI262" s="912"/>
      <c r="AJ262" s="912"/>
      <c r="AK262" s="912"/>
      <c r="AL262" s="912"/>
      <c r="AM262" s="915"/>
      <c r="AN262" s="915"/>
    </row>
    <row r="263" spans="3:40" ht="24.95">
      <c r="C263" s="57"/>
      <c r="D263" s="58" t="s">
        <v>290</v>
      </c>
      <c r="E263" s="58" t="s">
        <v>291</v>
      </c>
      <c r="F263" s="58" t="s">
        <v>292</v>
      </c>
      <c r="G263" s="58" t="s">
        <v>293</v>
      </c>
      <c r="H263" s="58" t="s">
        <v>294</v>
      </c>
      <c r="I263" s="179"/>
      <c r="J263" s="902"/>
      <c r="K263" s="902"/>
      <c r="L263" s="902"/>
      <c r="M263" s="902"/>
      <c r="N263" s="902"/>
      <c r="O263" s="902"/>
      <c r="P263" s="902"/>
      <c r="Q263" s="913"/>
      <c r="R263" s="913"/>
      <c r="S263" s="913"/>
      <c r="T263" s="913"/>
      <c r="U263" s="912"/>
      <c r="V263" s="912"/>
      <c r="W263" s="913"/>
      <c r="X263" s="912"/>
      <c r="Y263" s="912"/>
      <c r="Z263" s="912"/>
      <c r="AA263" s="912"/>
      <c r="AB263" s="912"/>
      <c r="AC263" s="912"/>
      <c r="AD263" s="912"/>
      <c r="AE263" s="912"/>
      <c r="AF263" s="912"/>
      <c r="AG263" s="912"/>
      <c r="AH263" s="912"/>
      <c r="AI263" s="912"/>
      <c r="AJ263" s="912"/>
      <c r="AK263" s="912"/>
      <c r="AL263" s="912"/>
      <c r="AM263" s="915"/>
      <c r="AN263" s="915"/>
    </row>
    <row r="264" spans="3:40" ht="14.1">
      <c r="C264" s="57"/>
      <c r="D264" s="58"/>
      <c r="E264" s="58">
        <f>IF(E258=950,2,(IF(E258=1150,3,(IF(E258=1550,4,(IF(E258=1750,5,(IF(E258=2050,6,(IF(E258=2900,8,(IF(E258=3600,10,IF(E258=4000,12,0))))))))))))))</f>
        <v>12</v>
      </c>
      <c r="F264" s="58">
        <f>IF(G258=950,2,(IF(G258=1150,3,(IF(G258=1550,4,(IF(G258=1750,5,(IF(G258=2050,6,(IF(G258=2900,8,(IF(G258=3600,10,IF(E258=4000,12,0))))))))))))))</f>
        <v>10</v>
      </c>
      <c r="G264" s="58"/>
      <c r="H264" s="60"/>
      <c r="I264" s="834"/>
      <c r="J264" s="902"/>
      <c r="K264" s="902"/>
      <c r="L264" s="902"/>
      <c r="M264" s="902"/>
      <c r="N264" s="902"/>
      <c r="O264" s="902"/>
      <c r="P264" s="902"/>
      <c r="Q264" s="913"/>
      <c r="R264" s="913"/>
      <c r="S264" s="913"/>
      <c r="T264" s="913"/>
      <c r="U264" s="912"/>
      <c r="V264" s="912"/>
      <c r="W264" s="913"/>
      <c r="X264" s="912"/>
      <c r="Y264" s="912"/>
      <c r="Z264" s="912"/>
      <c r="AA264" s="912"/>
      <c r="AB264" s="912"/>
      <c r="AC264" s="912"/>
      <c r="AD264" s="912"/>
      <c r="AE264" s="912"/>
      <c r="AF264" s="912"/>
      <c r="AG264" s="912"/>
      <c r="AH264" s="912"/>
      <c r="AI264" s="912"/>
      <c r="AJ264" s="912"/>
      <c r="AK264" s="912"/>
      <c r="AL264" s="912"/>
      <c r="AM264" s="915"/>
      <c r="AN264" s="915"/>
    </row>
    <row r="265" spans="3:40" ht="14.1">
      <c r="C265" s="57"/>
      <c r="D265" s="58">
        <f>IF(AND(I257=0, OR(E261=1, E261=2, E261=3, E261=4, E261=5)), "20µ", 0)</f>
        <v>0</v>
      </c>
      <c r="E265" s="58">
        <f>IF(OR(D265=0),0,IF(MOD($E$42*$F$42,2)=0,"610",IF(MOD($E$42*$F$42,2.5)=0,"760",IF(MOD($E$42*$F$42,3)=0,"915","Refer"))))</f>
        <v>0</v>
      </c>
      <c r="F265" s="58">
        <f>IF(OR(D265=0),0,IF(MOD($E$42*$F$42,6)=0,"915",IF(MOD($E$42*$F$42,5)=0,"760",IF(MOD($E$42*$F$42,4)=0,"610","Refer"))))</f>
        <v>0</v>
      </c>
      <c r="G265" s="58">
        <f>IF(D265=0,0,100)</f>
        <v>0</v>
      </c>
      <c r="H265" s="60">
        <f>IF(D265=0,0,($E$42*$F$42*305*305)/(E265*F265))</f>
        <v>0</v>
      </c>
      <c r="I265" s="834"/>
      <c r="J265" s="902"/>
      <c r="K265" s="902"/>
      <c r="L265" s="902"/>
      <c r="M265" s="902"/>
      <c r="N265" s="902"/>
      <c r="O265" s="902"/>
      <c r="P265" s="902"/>
      <c r="Q265" s="55"/>
      <c r="R265" s="55"/>
      <c r="S265" s="55"/>
      <c r="T265" s="55"/>
      <c r="U265" s="45"/>
      <c r="V265" s="45"/>
      <c r="W265" s="55"/>
      <c r="X265" s="45"/>
      <c r="Y265" s="45"/>
      <c r="Z265" s="45"/>
      <c r="AA265" s="45"/>
      <c r="AB265" s="45"/>
      <c r="AC265" s="45"/>
      <c r="AD265" s="45"/>
      <c r="AE265" s="45"/>
      <c r="AF265" s="45"/>
      <c r="AG265" s="45"/>
      <c r="AH265" s="45"/>
      <c r="AI265" s="45"/>
      <c r="AJ265" s="45"/>
      <c r="AK265" s="45"/>
      <c r="AL265" s="45"/>
      <c r="AM265" s="63"/>
      <c r="AN265" s="63"/>
    </row>
    <row r="266" spans="3:40" ht="14.1">
      <c r="C266" s="57"/>
      <c r="D266" s="58" t="str">
        <f>IF(E261=4,"10µ",IF(E261=3,"10µ",IF(E261=2,"10µ",IF(E261=1,"10µ",0))))</f>
        <v>10µ</v>
      </c>
      <c r="E266" s="58" t="str">
        <f>IF(OR(D266=0),0,IF(MOD($E$42*$F$42,2)=0,"610",IF(MOD($E$42*$F$42,2.5)=0,"760",IF(MOD($E$42*$F$42,3)=0,"915","Refer"))))</f>
        <v>610</v>
      </c>
      <c r="F266" s="58" t="str">
        <f>IF(OR(D266=0),0,IF(MOD($E$42*$F$42,6)=0,"915",IF(MOD($E$42*$F$42,5)=0,"760",IF(MOD($E$42*$F$42,4)=0,"610","Refer"))))</f>
        <v>915</v>
      </c>
      <c r="G266" s="58">
        <f>IF(D266=0,0,150)</f>
        <v>150</v>
      </c>
      <c r="H266" s="60">
        <f>IF(D266=0,0,($E$42*$F$42*305*305)/(E266*F266))</f>
        <v>6</v>
      </c>
      <c r="I266" s="834"/>
      <c r="J266" s="902"/>
      <c r="K266" s="902"/>
      <c r="L266" s="902"/>
      <c r="M266" s="902"/>
      <c r="N266" s="902"/>
      <c r="O266" s="902"/>
      <c r="P266" s="902"/>
      <c r="Q266" s="913"/>
      <c r="R266" s="913"/>
      <c r="S266" s="913"/>
      <c r="T266" s="913"/>
      <c r="U266" s="912"/>
      <c r="V266" s="912"/>
      <c r="W266" s="913"/>
      <c r="X266" s="912"/>
      <c r="Y266" s="912"/>
      <c r="Z266" s="912"/>
      <c r="AA266" s="912"/>
      <c r="AB266" s="912"/>
      <c r="AC266" s="912"/>
      <c r="AD266" s="912"/>
      <c r="AE266" s="912"/>
      <c r="AF266" s="912"/>
      <c r="AG266" s="912"/>
      <c r="AH266" s="912"/>
      <c r="AI266" s="912"/>
      <c r="AJ266" s="912"/>
      <c r="AK266" s="912"/>
      <c r="AL266" s="912"/>
      <c r="AM266" s="915"/>
      <c r="AN266" s="915"/>
    </row>
    <row r="267" spans="3:40" ht="14.1">
      <c r="C267" s="57"/>
      <c r="D267" s="58" t="str">
        <f>IF(E261=4,"5µ",IF(E261=3,"5µ",IF(E261=2,"5µ",0)))</f>
        <v>5µ</v>
      </c>
      <c r="E267" s="58" t="str">
        <f t="shared" ref="E267:E269" si="160">IF(OR(D267=0),0,IF(MOD($E$42*$F$42,2)=0,"610",IF(MOD($E$42*$F$42,2.5)=0,"760",IF(MOD($E$42*$F$42,3)=0,"915","Refer"))))</f>
        <v>610</v>
      </c>
      <c r="F267" s="58" t="str">
        <f>IF(OR(D267=0),0,IF(MOD($E$42*$F$42,6)=0,"915",IF(MOD($E$42*$F$42,5)=0,"760",IF(MOD($E$42*$F$42,4)=0,"610","Refer"))))</f>
        <v>915</v>
      </c>
      <c r="G267" s="58">
        <f>IF(D267=0,0,300)</f>
        <v>300</v>
      </c>
      <c r="H267" s="60">
        <f>IF(D267=0,0,($E$42*$F$42*305*305)/(E267*F267))</f>
        <v>6</v>
      </c>
      <c r="I267" s="834"/>
      <c r="J267" s="902"/>
      <c r="K267" s="902"/>
      <c r="L267" s="902"/>
      <c r="M267" s="902"/>
      <c r="N267" s="902"/>
      <c r="O267" s="902"/>
      <c r="P267" s="902"/>
      <c r="Q267" s="913"/>
      <c r="R267" s="913"/>
      <c r="S267" s="913"/>
      <c r="T267" s="913"/>
      <c r="U267" s="912"/>
      <c r="V267" s="912"/>
      <c r="W267" s="913"/>
      <c r="X267" s="912"/>
      <c r="Y267" s="912"/>
      <c r="Z267" s="912"/>
      <c r="AA267" s="912"/>
      <c r="AB267" s="912"/>
      <c r="AC267" s="912"/>
      <c r="AD267" s="912"/>
      <c r="AE267" s="912"/>
      <c r="AF267" s="912"/>
      <c r="AG267" s="912"/>
      <c r="AH267" s="912"/>
      <c r="AI267" s="912"/>
      <c r="AJ267" s="912"/>
      <c r="AK267" s="912"/>
      <c r="AL267" s="912"/>
      <c r="AM267" s="915"/>
      <c r="AN267" s="915"/>
    </row>
    <row r="268" spans="3:40" ht="14.1">
      <c r="C268" s="57"/>
      <c r="D268" s="58" t="str">
        <f>IF(E261=4,"1µ",IF(E261=3,"1µ",0))</f>
        <v>1µ</v>
      </c>
      <c r="E268" s="58" t="str">
        <f t="shared" si="160"/>
        <v>610</v>
      </c>
      <c r="F268" s="58" t="str">
        <f>IF(OR(D268=0),0,IF(MOD($E$42*$F$42,6)=0,"915",IF(MOD($E$42*$F$42,5)=0,"760",IF(MOD($E$42*$F$42,4)=0,"610","Refer"))))</f>
        <v>915</v>
      </c>
      <c r="G268" s="58">
        <f>IF(D268=0,0,300)</f>
        <v>300</v>
      </c>
      <c r="H268" s="60">
        <f>IF(D268=0,0,($E$42*$F$42*305*305)/(E268*F268))</f>
        <v>6</v>
      </c>
      <c r="I268" s="834"/>
      <c r="J268" s="902"/>
      <c r="K268" s="902"/>
      <c r="L268" s="902"/>
      <c r="M268" s="902"/>
      <c r="N268" s="902"/>
      <c r="O268" s="902"/>
      <c r="P268" s="902"/>
      <c r="Q268" s="913"/>
      <c r="R268" s="913"/>
      <c r="S268" s="913"/>
      <c r="T268" s="913"/>
      <c r="U268" s="912"/>
      <c r="V268" s="912"/>
      <c r="W268" s="913"/>
      <c r="X268" s="912"/>
      <c r="Y268" s="912"/>
      <c r="Z268" s="912"/>
      <c r="AA268" s="912"/>
      <c r="AB268" s="912"/>
      <c r="AC268" s="912"/>
      <c r="AD268" s="912"/>
      <c r="AE268" s="912"/>
      <c r="AF268" s="912"/>
      <c r="AG268" s="912"/>
      <c r="AH268" s="912"/>
      <c r="AI268" s="912"/>
      <c r="AJ268" s="912"/>
      <c r="AK268" s="912"/>
      <c r="AL268" s="912"/>
      <c r="AM268" s="915"/>
      <c r="AN268" s="915"/>
    </row>
    <row r="269" spans="3:40" ht="14.1">
      <c r="C269" s="57"/>
      <c r="D269" s="58">
        <f>IF(E261=4,"0.3µ 95% Eff. HEPA Filetr",0)</f>
        <v>0</v>
      </c>
      <c r="E269" s="58">
        <f t="shared" si="160"/>
        <v>0</v>
      </c>
      <c r="F269" s="58">
        <f>IF(OR(D269=0),0,IF(MOD($E$42*$F$42,6)=0,"915",IF(MOD($E$42*$F$42,5)=0,"760",IF(MOD($E$42*$F$42,4)=0,"610","Refer"))))</f>
        <v>0</v>
      </c>
      <c r="G269" s="58">
        <f>IF(D269=0,0,300)</f>
        <v>0</v>
      </c>
      <c r="H269" s="60">
        <f>IF(D269=0,0,($E$42*$F$42*305*305)/(E269*F269))</f>
        <v>0</v>
      </c>
      <c r="I269" s="836"/>
      <c r="J269" s="902"/>
      <c r="K269" s="902"/>
      <c r="L269" s="902"/>
      <c r="M269" s="902"/>
      <c r="N269" s="902"/>
      <c r="O269" s="902"/>
      <c r="P269" s="902"/>
      <c r="Q269" s="913"/>
      <c r="R269" s="913"/>
      <c r="S269" s="913"/>
      <c r="T269" s="913"/>
      <c r="U269" s="912"/>
      <c r="V269" s="912"/>
      <c r="W269" s="913"/>
      <c r="X269" s="912"/>
      <c r="Y269" s="912"/>
      <c r="Z269" s="912"/>
      <c r="AA269" s="912"/>
      <c r="AB269" s="912"/>
      <c r="AC269" s="912"/>
      <c r="AD269" s="912"/>
      <c r="AE269" s="912"/>
      <c r="AF269" s="912"/>
      <c r="AG269" s="912"/>
      <c r="AH269" s="912"/>
      <c r="AI269" s="912"/>
      <c r="AJ269" s="912"/>
      <c r="AK269" s="912"/>
      <c r="AL269" s="912"/>
      <c r="AM269" s="915"/>
      <c r="AN269" s="915"/>
    </row>
    <row r="270" spans="3:40" ht="14.1">
      <c r="C270" s="57"/>
      <c r="D270" s="826"/>
      <c r="E270" s="182"/>
      <c r="F270" s="182"/>
      <c r="G270" s="182"/>
      <c r="H270" s="182"/>
      <c r="I270" s="827"/>
      <c r="J270" s="52"/>
      <c r="K270" s="52"/>
      <c r="L270" s="52"/>
      <c r="M270" s="52"/>
      <c r="N270" s="52"/>
      <c r="O270" s="828"/>
      <c r="P270" s="828"/>
      <c r="Q270" s="55"/>
      <c r="R270" s="55"/>
      <c r="S270" s="55"/>
      <c r="T270" s="55"/>
      <c r="U270" s="45"/>
      <c r="V270" s="45"/>
      <c r="W270" s="55"/>
      <c r="X270" s="45"/>
      <c r="Y270" s="45"/>
      <c r="Z270" s="45"/>
      <c r="AA270" s="45"/>
      <c r="AB270" s="45"/>
      <c r="AC270" s="45"/>
      <c r="AD270" s="45"/>
      <c r="AE270" s="45"/>
      <c r="AF270" s="45"/>
      <c r="AG270" s="45"/>
      <c r="AH270" s="45"/>
      <c r="AI270" s="45"/>
      <c r="AJ270" s="45"/>
      <c r="AK270" s="45"/>
      <c r="AL270" s="45"/>
      <c r="AM270" s="63"/>
      <c r="AN270" s="63"/>
    </row>
    <row r="271" spans="3:40" ht="14.1" customHeight="1">
      <c r="C271" s="57"/>
      <c r="D271" s="901" t="str">
        <f>"AHU - " &amp; INT((ROW()-34)/15)+1 &amp; "  " &amp; IF(I272&gt;0,"Air-Conditioning System " &amp; IF(OR(G275="Header", G275="C"), "(Chilled Water)",IF(OR(G275="Distributor", G275="D"), "(DX)", "Ventilation System")),IF(NOT(I272&gt;0), "Ventilation System ( SUPPLY )", "Refer"))</f>
        <v>AHU - 16  Ventilation System ( SUPPLY )</v>
      </c>
      <c r="E271" s="901"/>
      <c r="F271" s="901"/>
      <c r="G271" s="901"/>
      <c r="H271" s="901"/>
      <c r="I271" s="901"/>
      <c r="J271" s="52"/>
      <c r="K271" s="52"/>
      <c r="L271" s="53"/>
      <c r="M271" s="53"/>
      <c r="N271" s="53"/>
      <c r="O271" s="54"/>
      <c r="P271" s="55"/>
      <c r="AM271" s="56"/>
      <c r="AN271" s="56"/>
    </row>
    <row r="272" spans="3:40" ht="14.1">
      <c r="C272" s="57"/>
      <c r="D272" s="175" t="s">
        <v>274</v>
      </c>
      <c r="E272" s="180" t="str">
        <f>'BOD-Cold &amp; Amb.'!R310</f>
        <v>ISO 6</v>
      </c>
      <c r="F272" s="175" t="s">
        <v>275</v>
      </c>
      <c r="G272" s="180">
        <f>'BOD-Cold &amp; Amb.'!AK310</f>
        <v>20000</v>
      </c>
      <c r="H272" s="175" t="s">
        <v>276</v>
      </c>
      <c r="I272" s="181">
        <f>'BOD-Cold &amp; Amb.'!AQ310</f>
        <v>0</v>
      </c>
      <c r="J272" s="902" t="s">
        <v>277</v>
      </c>
      <c r="K272" s="902">
        <v>1</v>
      </c>
      <c r="L272" s="917">
        <f>Q272</f>
        <v>749500</v>
      </c>
      <c r="M272" s="902">
        <f>K272*L272</f>
        <v>749500</v>
      </c>
      <c r="N272" s="902"/>
      <c r="O272" s="902"/>
      <c r="P272" s="902"/>
      <c r="Q272" s="913">
        <f t="shared" ref="Q272" si="161">CEILING((S272+T272+U272+V272+W272),250)</f>
        <v>749500</v>
      </c>
      <c r="R272" s="913">
        <f>IF(I272&gt;0,625,375)</f>
        <v>375</v>
      </c>
      <c r="S272" s="913">
        <f>(E273*G273*3*10.76+E273*I273*2*10.76+G273*I273*2*10.76)*R272/(1000*1000)</f>
        <v>401361.45</v>
      </c>
      <c r="T272" s="913">
        <f>I272*4*1050</f>
        <v>0</v>
      </c>
      <c r="U272" s="912">
        <f>IF(G272&lt;=2000,5000,(IF(G272&lt;=5000,8000,(IF(G272&lt;=10000,10000,(IF(G272&lt;=18000,15000,(IF(G272&lt;=40000,20000,25000)))))))))</f>
        <v>20000</v>
      </c>
      <c r="V272" s="912">
        <f t="shared" ref="V272" si="162">IF(X272=200,17150,(IF(X272=225,18150,(IF(X272=250,18900,(IF(X272=280,19150,(IF(X272=315,19650,(IF(X272=355,21900,(IF(X272=400,24400,0)))))))))))))+IF(X272=450,31000,(IF(X272=500,37450,(IF(X272=560,45650,(IF(X272=630,58900,(IF(X272=710,77950,0)))))))))+IF(X272=800,119650,(IF(X272=900,153300,(IF(X272=1000,178900,(IF(X272=1120,286500,(IF(X272=1250,394500,(IF(X272=1450,461500,0)))))))))))</f>
        <v>119650</v>
      </c>
      <c r="W272" s="913">
        <f>IF(I274=0.5,16600,(IF(I274=1,19050,(IF(I274=1.5,21750,(IF(I274=2,23600,(IF(I274=3,30000,(IF(I274=5,38000,0)))))))))))*1.2+IF(I274=7.5,52300,(IF(I274=10,59600,0)))*1.2+IF(I274=12.5,100350,(IF(I274=15,106000,(IF(I274=20,129150,(IF(I274=25,146050,(IF(I274=30,173600,(IF(I274=40,233900,(IF(I274=50,304650,IF(I274=60,350000,400000)))))))))))))*1.2)</f>
        <v>208320</v>
      </c>
      <c r="X272" s="912">
        <f>E274</f>
        <v>800</v>
      </c>
      <c r="Y272" s="912">
        <f t="shared" ref="Y272" si="163">IF(G272&lt;=6750,450,(IF(G272&lt;=8500,500,(IF(G272&lt;=10750,560,(IF(G272&lt;=13500,630,(IF(G272&lt;=17000,710,(IF(G272&lt;=21500,800,(IF(G272&lt;=27000,900,(IF(G272&lt;=34000,1000,0)))))))))))))))</f>
        <v>800</v>
      </c>
      <c r="Z272" s="912">
        <f t="shared" ref="Z272" si="164">IF(G272&lt;=1300,200,(IF(G272&lt;=1600,225,(IF(G272&lt;=2100,250,(IF(G272&lt;=2700,280,(IF(G272&lt;=3450,315,(IF(G272&lt;=4250,355,(IF(G272&lt;=5250,400,(IF(G272&lt;=6750,450,0)))))))))))))))</f>
        <v>0</v>
      </c>
      <c r="AA272" s="912">
        <f t="shared" ref="AA272" si="165">IF(G272&lt;=2000,5000,(IF(G272&lt;=5000,8000,(IF(G272&lt;=10000,10000,(IF(G272&lt;=18000,15000,(IF(G272&lt;=40000,20000,10000)))))))))</f>
        <v>20000</v>
      </c>
      <c r="AB272" s="912">
        <f>IF(E273=950,2,(IF(E273=1150,3,(IF(E273=1550,4,(IF(E273=1750,5,(IF(E273=2050,6,(IF(E273=2900,8,(IF(E273=3600,10,12)))))))))))))</f>
        <v>8</v>
      </c>
      <c r="AC272" s="912">
        <f>IF(G273=950,2,(IF(G273=1150,3,(IF(G273=1550,4,(IF(G273=1750,5,(IF(G273=2050,6,(IF(G273=2900,8,(IF(G273=3600,10,12)))))))))))))</f>
        <v>8</v>
      </c>
      <c r="AD272" s="912">
        <f t="shared" ref="AD272" si="166">AC272*AB272</f>
        <v>64</v>
      </c>
      <c r="AE272" s="912">
        <v>150</v>
      </c>
      <c r="AF272" s="912">
        <f t="shared" ref="AF272" si="167">CEILING((SQRT(G272/1000))*4*2*AE272*1.25*K272,100)</f>
        <v>6800</v>
      </c>
      <c r="AG272" s="912">
        <f>E280*F280*H280/(305*305)</f>
        <v>36</v>
      </c>
      <c r="AH272" s="912">
        <f>E281*F281*H281/(305*305)</f>
        <v>36</v>
      </c>
      <c r="AI272" s="912">
        <f>H282*E282*F282/(305*305)</f>
        <v>36</v>
      </c>
      <c r="AJ272" s="912">
        <f>H283*E283*F283/(305*305)</f>
        <v>36</v>
      </c>
      <c r="AK272" s="912">
        <f>H284*E284*F284/(305*305)</f>
        <v>0</v>
      </c>
      <c r="AL272" s="912"/>
      <c r="AM272" s="915">
        <f t="shared" ref="AM272" si="168">(G272*2.2/1100)</f>
        <v>40</v>
      </c>
      <c r="AN272" s="915">
        <f t="shared" ref="AN272" si="169">(G272*1/1100)</f>
        <v>18.181818181818183</v>
      </c>
    </row>
    <row r="273" spans="3:40" ht="14.1">
      <c r="C273" s="57"/>
      <c r="D273" s="175" t="s">
        <v>278</v>
      </c>
      <c r="E273" s="180">
        <f>'BOD-Cold &amp; Amb.'!AL311</f>
        <v>2900</v>
      </c>
      <c r="F273" s="175" t="s">
        <v>279</v>
      </c>
      <c r="G273" s="180">
        <f>'BOD-Cold &amp; Amb.'!AL311</f>
        <v>2900</v>
      </c>
      <c r="H273" s="175" t="s">
        <v>280</v>
      </c>
      <c r="I273" s="181">
        <f>'BOD-Cold &amp; Amb.'!AL315</f>
        <v>6400</v>
      </c>
      <c r="J273" s="902"/>
      <c r="K273" s="902"/>
      <c r="L273" s="902"/>
      <c r="M273" s="902"/>
      <c r="N273" s="902"/>
      <c r="O273" s="902"/>
      <c r="P273" s="902"/>
      <c r="Q273" s="913"/>
      <c r="R273" s="913"/>
      <c r="S273" s="913"/>
      <c r="T273" s="913"/>
      <c r="U273" s="912"/>
      <c r="V273" s="912"/>
      <c r="W273" s="913"/>
      <c r="X273" s="912"/>
      <c r="Y273" s="912"/>
      <c r="Z273" s="912"/>
      <c r="AA273" s="912"/>
      <c r="AB273" s="912"/>
      <c r="AC273" s="912"/>
      <c r="AD273" s="912"/>
      <c r="AE273" s="912"/>
      <c r="AF273" s="912"/>
      <c r="AG273" s="912"/>
      <c r="AH273" s="912"/>
      <c r="AI273" s="912"/>
      <c r="AJ273" s="912"/>
      <c r="AK273" s="912"/>
      <c r="AL273" s="912"/>
      <c r="AM273" s="915"/>
      <c r="AN273" s="915"/>
    </row>
    <row r="274" spans="3:40" ht="14.1">
      <c r="C274" s="57"/>
      <c r="D274" s="175" t="s">
        <v>281</v>
      </c>
      <c r="E274" s="180">
        <f>'BOD-Cold &amp; Amb.'!AN310</f>
        <v>800</v>
      </c>
      <c r="F274" s="176" t="s">
        <v>282</v>
      </c>
      <c r="G274" s="180">
        <f>'BOD-Cold &amp; Amb.'!AM310</f>
        <v>150</v>
      </c>
      <c r="H274" s="176" t="s">
        <v>283</v>
      </c>
      <c r="I274" s="181">
        <f>'BOD-Cold &amp; Amb.'!AO310</f>
        <v>30</v>
      </c>
      <c r="J274" s="902"/>
      <c r="K274" s="902"/>
      <c r="L274" s="902"/>
      <c r="M274" s="902"/>
      <c r="N274" s="902"/>
      <c r="O274" s="902"/>
      <c r="P274" s="902"/>
      <c r="Q274" s="913"/>
      <c r="R274" s="913"/>
      <c r="S274" s="913"/>
      <c r="T274" s="913"/>
      <c r="U274" s="912"/>
      <c r="V274" s="912"/>
      <c r="W274" s="913"/>
      <c r="X274" s="912"/>
      <c r="Y274" s="912"/>
      <c r="Z274" s="912"/>
      <c r="AA274" s="912"/>
      <c r="AB274" s="912"/>
      <c r="AC274" s="912"/>
      <c r="AD274" s="912"/>
      <c r="AE274" s="912"/>
      <c r="AF274" s="912"/>
      <c r="AG274" s="912"/>
      <c r="AH274" s="912"/>
      <c r="AI274" s="912"/>
      <c r="AJ274" s="912"/>
      <c r="AK274" s="912"/>
      <c r="AL274" s="912"/>
      <c r="AM274" s="915"/>
      <c r="AN274" s="915"/>
    </row>
    <row r="275" spans="3:40" ht="21.6" customHeight="1">
      <c r="C275" s="57"/>
      <c r="D275" s="175" t="s">
        <v>284</v>
      </c>
      <c r="E275" s="180" t="str">
        <f>'BOD-Cold &amp; Amb.'!AP310</f>
        <v>Amb</v>
      </c>
      <c r="F275" s="832" t="s">
        <v>285</v>
      </c>
      <c r="G275" s="837" t="str">
        <f>IF(OR(I272=0, E275="Amb"), "Amb",IF('BOD-Cold &amp; Amb.'!AH235="C", "Header",IF('BOD-Cold &amp; Amb.'!AH235="D", "Distributor", "Refer")))</f>
        <v>Amb</v>
      </c>
      <c r="H275" s="832" t="s">
        <v>286</v>
      </c>
      <c r="I275" s="833">
        <f>IF(OR(I272=0, E275=0), 0,ROUND(((( I272/E275)*304.8)/(E273-400))*1000,0)&amp;" h "&amp;" x " &amp; (E273-400)&amp;" w ")</f>
        <v>0</v>
      </c>
      <c r="J275" s="902"/>
      <c r="K275" s="902"/>
      <c r="L275" s="902"/>
      <c r="M275" s="902"/>
      <c r="N275" s="902"/>
      <c r="O275" s="902"/>
      <c r="P275" s="902"/>
      <c r="Q275" s="913"/>
      <c r="R275" s="913"/>
      <c r="S275" s="913"/>
      <c r="T275" s="913"/>
      <c r="U275" s="912"/>
      <c r="V275" s="912"/>
      <c r="W275" s="913"/>
      <c r="X275" s="912"/>
      <c r="Y275" s="912"/>
      <c r="Z275" s="912"/>
      <c r="AA275" s="912"/>
      <c r="AB275" s="912"/>
      <c r="AC275" s="912"/>
      <c r="AD275" s="912"/>
      <c r="AE275" s="912"/>
      <c r="AF275" s="912"/>
      <c r="AG275" s="912"/>
      <c r="AH275" s="912"/>
      <c r="AI275" s="912"/>
      <c r="AJ275" s="912"/>
      <c r="AK275" s="912"/>
      <c r="AL275" s="912"/>
      <c r="AM275" s="915"/>
      <c r="AN275" s="915"/>
    </row>
    <row r="276" spans="3:40" ht="21">
      <c r="C276" s="57"/>
      <c r="D276" s="175" t="s">
        <v>287</v>
      </c>
      <c r="E276" s="180">
        <f>'BOD-Cold &amp; Amb.'!AR310</f>
        <v>3</v>
      </c>
      <c r="F276" s="176" t="s">
        <v>288</v>
      </c>
      <c r="G276" s="177" t="str">
        <f>IF(E276=4,"10µ, 5µ, 1µ &amp; 0.3µ (HEPA Plenum Fitted 95% eff.)",IF(E276=3,"10µ, 5µ &amp; 1µ ",IF(E276=2,"10µ  &amp; 5µ",IF(E276=1,"10µ", "Filter Ratings"))))</f>
        <v xml:space="preserve">10µ, 5µ &amp; 1µ </v>
      </c>
      <c r="H276" s="178"/>
      <c r="I276" s="179"/>
      <c r="J276" s="902"/>
      <c r="K276" s="902"/>
      <c r="L276" s="902"/>
      <c r="M276" s="902"/>
      <c r="N276" s="902"/>
      <c r="O276" s="902"/>
      <c r="P276" s="902"/>
      <c r="Q276" s="913"/>
      <c r="R276" s="913"/>
      <c r="S276" s="913"/>
      <c r="T276" s="913"/>
      <c r="U276" s="912"/>
      <c r="V276" s="912"/>
      <c r="W276" s="913"/>
      <c r="X276" s="912"/>
      <c r="Y276" s="912"/>
      <c r="Z276" s="912"/>
      <c r="AA276" s="912"/>
      <c r="AB276" s="912"/>
      <c r="AC276" s="912"/>
      <c r="AD276" s="912"/>
      <c r="AE276" s="912"/>
      <c r="AF276" s="912"/>
      <c r="AG276" s="912"/>
      <c r="AH276" s="912"/>
      <c r="AI276" s="912"/>
      <c r="AJ276" s="912"/>
      <c r="AK276" s="912"/>
      <c r="AL276" s="912"/>
      <c r="AM276" s="915"/>
      <c r="AN276" s="915"/>
    </row>
    <row r="277" spans="3:40">
      <c r="C277" s="57"/>
      <c r="D277" s="922" t="s">
        <v>289</v>
      </c>
      <c r="E277" s="923"/>
      <c r="F277" s="923"/>
      <c r="G277" s="923"/>
      <c r="H277" s="923"/>
      <c r="I277" s="924"/>
      <c r="J277" s="902"/>
      <c r="K277" s="902"/>
      <c r="L277" s="902"/>
      <c r="M277" s="902"/>
      <c r="N277" s="902"/>
      <c r="O277" s="902"/>
      <c r="P277" s="902"/>
      <c r="Q277" s="913"/>
      <c r="R277" s="913"/>
      <c r="S277" s="913"/>
      <c r="T277" s="913"/>
      <c r="U277" s="912"/>
      <c r="V277" s="912"/>
      <c r="W277" s="913"/>
      <c r="X277" s="912"/>
      <c r="Y277" s="912"/>
      <c r="Z277" s="912"/>
      <c r="AA277" s="912"/>
      <c r="AB277" s="912"/>
      <c r="AC277" s="912"/>
      <c r="AD277" s="912"/>
      <c r="AE277" s="912"/>
      <c r="AF277" s="912"/>
      <c r="AG277" s="912"/>
      <c r="AH277" s="912"/>
      <c r="AI277" s="912"/>
      <c r="AJ277" s="912"/>
      <c r="AK277" s="912"/>
      <c r="AL277" s="912"/>
      <c r="AM277" s="915"/>
      <c r="AN277" s="915"/>
    </row>
    <row r="278" spans="3:40" ht="24.95">
      <c r="C278" s="57"/>
      <c r="D278" s="58" t="s">
        <v>290</v>
      </c>
      <c r="E278" s="58" t="s">
        <v>291</v>
      </c>
      <c r="F278" s="58" t="s">
        <v>292</v>
      </c>
      <c r="G278" s="58" t="s">
        <v>293</v>
      </c>
      <c r="H278" s="58" t="s">
        <v>294</v>
      </c>
      <c r="I278" s="179"/>
      <c r="J278" s="902"/>
      <c r="K278" s="902"/>
      <c r="L278" s="902"/>
      <c r="M278" s="902"/>
      <c r="N278" s="902"/>
      <c r="O278" s="902"/>
      <c r="P278" s="902"/>
      <c r="Q278" s="913"/>
      <c r="R278" s="913"/>
      <c r="S278" s="913"/>
      <c r="T278" s="913"/>
      <c r="U278" s="912"/>
      <c r="V278" s="912"/>
      <c r="W278" s="913"/>
      <c r="X278" s="912"/>
      <c r="Y278" s="912"/>
      <c r="Z278" s="912"/>
      <c r="AA278" s="912"/>
      <c r="AB278" s="912"/>
      <c r="AC278" s="912"/>
      <c r="AD278" s="912"/>
      <c r="AE278" s="912"/>
      <c r="AF278" s="912"/>
      <c r="AG278" s="912"/>
      <c r="AH278" s="912"/>
      <c r="AI278" s="912"/>
      <c r="AJ278" s="912"/>
      <c r="AK278" s="912"/>
      <c r="AL278" s="912"/>
      <c r="AM278" s="915"/>
      <c r="AN278" s="915"/>
    </row>
    <row r="279" spans="3:40" ht="14.1">
      <c r="C279" s="57"/>
      <c r="D279" s="58"/>
      <c r="E279" s="58">
        <f>IF(E273=950,2,(IF(E273=1150,3,(IF(E273=1550,4,(IF(E273=1750,5,(IF(E273=2050,6,(IF(E273=2900,8,(IF(E273=3600,10,IF(E273=4000,12,0))))))))))))))</f>
        <v>8</v>
      </c>
      <c r="F279" s="58">
        <f>IF(G273=950,2,(IF(G273=1150,3,(IF(G273=1550,4,(IF(G273=1750,5,(IF(G273=2050,6,(IF(G273=2900,8,(IF(G273=3600,10,IF(E273=4000,12,0))))))))))))))</f>
        <v>8</v>
      </c>
      <c r="G279" s="58"/>
      <c r="H279" s="60"/>
      <c r="I279" s="834"/>
      <c r="J279" s="902"/>
      <c r="K279" s="902"/>
      <c r="L279" s="902"/>
      <c r="M279" s="902"/>
      <c r="N279" s="902"/>
      <c r="O279" s="902"/>
      <c r="P279" s="902"/>
      <c r="Q279" s="913"/>
      <c r="R279" s="913"/>
      <c r="S279" s="913"/>
      <c r="T279" s="913"/>
      <c r="U279" s="912"/>
      <c r="V279" s="912"/>
      <c r="W279" s="913"/>
      <c r="X279" s="912"/>
      <c r="Y279" s="912"/>
      <c r="Z279" s="912"/>
      <c r="AA279" s="912"/>
      <c r="AB279" s="912"/>
      <c r="AC279" s="912"/>
      <c r="AD279" s="912"/>
      <c r="AE279" s="912"/>
      <c r="AF279" s="912"/>
      <c r="AG279" s="912"/>
      <c r="AH279" s="912"/>
      <c r="AI279" s="912"/>
      <c r="AJ279" s="912"/>
      <c r="AK279" s="912"/>
      <c r="AL279" s="912"/>
      <c r="AM279" s="915"/>
      <c r="AN279" s="915"/>
    </row>
    <row r="280" spans="3:40" ht="14.1">
      <c r="C280" s="57"/>
      <c r="D280" s="58" t="str">
        <f>IF(AND(I272=0, OR(E276=1, E276=2, E276=3, E276=4, E276=5)), "20µ", 0)</f>
        <v>20µ</v>
      </c>
      <c r="E280" s="58" t="str">
        <f>IF(OR(D280=0),0,IF(MOD($E$42*$F$42,2)=0,"610",IF(MOD($E$42*$F$42,2.5)=0,"760",IF(MOD($E$42*$F$42,3)=0,"915","Refer"))))</f>
        <v>610</v>
      </c>
      <c r="F280" s="58" t="str">
        <f>IF(OR(D280=0),0,IF(MOD($E$42*$F$42,6)=0,"915",IF(MOD($E$42*$F$42,5)=0,"760",IF(MOD($E$42*$F$42,4)=0,"610","Refer"))))</f>
        <v>915</v>
      </c>
      <c r="G280" s="58">
        <f>IF(D280=0,0,100)</f>
        <v>100</v>
      </c>
      <c r="H280" s="60">
        <f>IF(D280=0,0,($E$42*$F$42*305*305)/(E280*F280))</f>
        <v>6</v>
      </c>
      <c r="I280" s="834"/>
      <c r="J280" s="902"/>
      <c r="K280" s="902"/>
      <c r="L280" s="902"/>
      <c r="M280" s="902"/>
      <c r="N280" s="902"/>
      <c r="O280" s="902"/>
      <c r="P280" s="902"/>
      <c r="Q280" s="55"/>
      <c r="R280" s="55"/>
      <c r="S280" s="55"/>
      <c r="T280" s="55"/>
      <c r="U280" s="45"/>
      <c r="V280" s="45"/>
      <c r="W280" s="55"/>
      <c r="X280" s="45"/>
      <c r="Y280" s="45"/>
      <c r="Z280" s="45"/>
      <c r="AA280" s="45"/>
      <c r="AB280" s="45"/>
      <c r="AC280" s="45"/>
      <c r="AD280" s="45"/>
      <c r="AE280" s="45"/>
      <c r="AF280" s="45"/>
      <c r="AG280" s="45"/>
      <c r="AH280" s="45"/>
      <c r="AI280" s="45"/>
      <c r="AJ280" s="45"/>
      <c r="AK280" s="45"/>
      <c r="AL280" s="45"/>
      <c r="AM280" s="63"/>
      <c r="AN280" s="63"/>
    </row>
    <row r="281" spans="3:40" ht="14.1">
      <c r="C281" s="57"/>
      <c r="D281" s="58" t="str">
        <f>IF(E276=4,"10µ",IF(E276=3,"10µ",IF(E276=2,"10µ",IF(E276=1,"10µ",0))))</f>
        <v>10µ</v>
      </c>
      <c r="E281" s="58" t="str">
        <f>IF(OR(D281=0),0,IF(MOD($E$42*$F$42,2)=0,"610",IF(MOD($E$42*$F$42,2.5)=0,"760",IF(MOD($E$42*$F$42,3)=0,"915","Refer"))))</f>
        <v>610</v>
      </c>
      <c r="F281" s="58" t="str">
        <f>IF(OR(D281=0),0,IF(MOD($E$42*$F$42,6)=0,"915",IF(MOD($E$42*$F$42,5)=0,"760",IF(MOD($E$42*$F$42,4)=0,"610","Refer"))))</f>
        <v>915</v>
      </c>
      <c r="G281" s="58">
        <f>IF(D281=0,0,150)</f>
        <v>150</v>
      </c>
      <c r="H281" s="60">
        <f>IF(D281=0,0,($E$42*$F$42*305*305)/(E281*F281))</f>
        <v>6</v>
      </c>
      <c r="I281" s="834"/>
      <c r="J281" s="902"/>
      <c r="K281" s="902"/>
      <c r="L281" s="902"/>
      <c r="M281" s="902"/>
      <c r="N281" s="902"/>
      <c r="O281" s="902"/>
      <c r="P281" s="902"/>
      <c r="Q281" s="913"/>
      <c r="R281" s="913"/>
      <c r="S281" s="913"/>
      <c r="T281" s="913"/>
      <c r="U281" s="912"/>
      <c r="V281" s="912"/>
      <c r="W281" s="913"/>
      <c r="X281" s="912"/>
      <c r="Y281" s="912"/>
      <c r="Z281" s="912"/>
      <c r="AA281" s="912"/>
      <c r="AB281" s="912"/>
      <c r="AC281" s="912"/>
      <c r="AD281" s="912"/>
      <c r="AE281" s="912"/>
      <c r="AF281" s="912"/>
      <c r="AG281" s="912"/>
      <c r="AH281" s="912"/>
      <c r="AI281" s="912"/>
      <c r="AJ281" s="912"/>
      <c r="AK281" s="912"/>
      <c r="AL281" s="912"/>
      <c r="AM281" s="915"/>
      <c r="AN281" s="915"/>
    </row>
    <row r="282" spans="3:40" ht="14.1">
      <c r="C282" s="57"/>
      <c r="D282" s="58" t="str">
        <f>IF(E276=4,"5µ",IF(E276=3,"5µ",IF(E276=2,"5µ",0)))</f>
        <v>5µ</v>
      </c>
      <c r="E282" s="58" t="str">
        <f t="shared" ref="E282:E284" si="170">IF(OR(D282=0),0,IF(MOD($E$42*$F$42,2)=0,"610",IF(MOD($E$42*$F$42,2.5)=0,"760",IF(MOD($E$42*$F$42,3)=0,"915","Refer"))))</f>
        <v>610</v>
      </c>
      <c r="F282" s="58" t="str">
        <f>IF(OR(D282=0),0,IF(MOD($E$42*$F$42,6)=0,"915",IF(MOD($E$42*$F$42,5)=0,"760",IF(MOD($E$42*$F$42,4)=0,"610","Refer"))))</f>
        <v>915</v>
      </c>
      <c r="G282" s="58">
        <f>IF(D282=0,0,300)</f>
        <v>300</v>
      </c>
      <c r="H282" s="60">
        <f>IF(D282=0,0,($E$42*$F$42*305*305)/(E282*F282))</f>
        <v>6</v>
      </c>
      <c r="I282" s="834"/>
      <c r="J282" s="902"/>
      <c r="K282" s="902"/>
      <c r="L282" s="902"/>
      <c r="M282" s="902"/>
      <c r="N282" s="902"/>
      <c r="O282" s="902"/>
      <c r="P282" s="902"/>
      <c r="Q282" s="913"/>
      <c r="R282" s="913"/>
      <c r="S282" s="913"/>
      <c r="T282" s="913"/>
      <c r="U282" s="912"/>
      <c r="V282" s="912"/>
      <c r="W282" s="913"/>
      <c r="X282" s="912"/>
      <c r="Y282" s="912"/>
      <c r="Z282" s="912"/>
      <c r="AA282" s="912"/>
      <c r="AB282" s="912"/>
      <c r="AC282" s="912"/>
      <c r="AD282" s="912"/>
      <c r="AE282" s="912"/>
      <c r="AF282" s="912"/>
      <c r="AG282" s="912"/>
      <c r="AH282" s="912"/>
      <c r="AI282" s="912"/>
      <c r="AJ282" s="912"/>
      <c r="AK282" s="912"/>
      <c r="AL282" s="912"/>
      <c r="AM282" s="915"/>
      <c r="AN282" s="915"/>
    </row>
    <row r="283" spans="3:40" ht="14.1">
      <c r="C283" s="57"/>
      <c r="D283" s="58" t="str">
        <f>IF(E276=4,"1µ",IF(E276=3,"1µ",0))</f>
        <v>1µ</v>
      </c>
      <c r="E283" s="58" t="str">
        <f t="shared" si="170"/>
        <v>610</v>
      </c>
      <c r="F283" s="58" t="str">
        <f>IF(OR(D283=0),0,IF(MOD($E$42*$F$42,6)=0,"915",IF(MOD($E$42*$F$42,5)=0,"760",IF(MOD($E$42*$F$42,4)=0,"610","Refer"))))</f>
        <v>915</v>
      </c>
      <c r="G283" s="58">
        <f>IF(D283=0,0,300)</f>
        <v>300</v>
      </c>
      <c r="H283" s="60">
        <f>IF(D283=0,0,($E$42*$F$42*305*305)/(E283*F283))</f>
        <v>6</v>
      </c>
      <c r="I283" s="834"/>
      <c r="J283" s="902"/>
      <c r="K283" s="902"/>
      <c r="L283" s="902"/>
      <c r="M283" s="902"/>
      <c r="N283" s="902"/>
      <c r="O283" s="902"/>
      <c r="P283" s="902"/>
      <c r="Q283" s="913"/>
      <c r="R283" s="913"/>
      <c r="S283" s="913"/>
      <c r="T283" s="913"/>
      <c r="U283" s="912"/>
      <c r="V283" s="912"/>
      <c r="W283" s="913"/>
      <c r="X283" s="912"/>
      <c r="Y283" s="912"/>
      <c r="Z283" s="912"/>
      <c r="AA283" s="912"/>
      <c r="AB283" s="912"/>
      <c r="AC283" s="912"/>
      <c r="AD283" s="912"/>
      <c r="AE283" s="912"/>
      <c r="AF283" s="912"/>
      <c r="AG283" s="912"/>
      <c r="AH283" s="912"/>
      <c r="AI283" s="912"/>
      <c r="AJ283" s="912"/>
      <c r="AK283" s="912"/>
      <c r="AL283" s="912"/>
      <c r="AM283" s="915"/>
      <c r="AN283" s="915"/>
    </row>
    <row r="284" spans="3:40" ht="14.1">
      <c r="C284" s="57"/>
      <c r="D284" s="58">
        <f>IF(E276=4,"0.3µ 95% Eff. HEPA Filetr",0)</f>
        <v>0</v>
      </c>
      <c r="E284" s="58">
        <f t="shared" si="170"/>
        <v>0</v>
      </c>
      <c r="F284" s="58">
        <f>IF(OR(D284=0),0,IF(MOD($E$42*$F$42,6)=0,"915",IF(MOD($E$42*$F$42,5)=0,"760",IF(MOD($E$42*$F$42,4)=0,"610","Refer"))))</f>
        <v>0</v>
      </c>
      <c r="G284" s="58">
        <f>IF(D284=0,0,300)</f>
        <v>0</v>
      </c>
      <c r="H284" s="60">
        <f>IF(D284=0,0,($E$42*$F$42*305*305)/(E284*F284))</f>
        <v>0</v>
      </c>
      <c r="I284" s="836"/>
      <c r="J284" s="902"/>
      <c r="K284" s="902"/>
      <c r="L284" s="902"/>
      <c r="M284" s="902"/>
      <c r="N284" s="902"/>
      <c r="O284" s="902"/>
      <c r="P284" s="902"/>
      <c r="Q284" s="913"/>
      <c r="R284" s="913"/>
      <c r="S284" s="913"/>
      <c r="T284" s="913"/>
      <c r="U284" s="912"/>
      <c r="V284" s="912"/>
      <c r="W284" s="913"/>
      <c r="X284" s="912"/>
      <c r="Y284" s="912"/>
      <c r="Z284" s="912"/>
      <c r="AA284" s="912"/>
      <c r="AB284" s="912"/>
      <c r="AC284" s="912"/>
      <c r="AD284" s="912"/>
      <c r="AE284" s="912"/>
      <c r="AF284" s="912"/>
      <c r="AG284" s="912"/>
      <c r="AH284" s="912"/>
      <c r="AI284" s="912"/>
      <c r="AJ284" s="912"/>
      <c r="AK284" s="912"/>
      <c r="AL284" s="912"/>
      <c r="AM284" s="915"/>
      <c r="AN284" s="915"/>
    </row>
    <row r="285" spans="3:40" ht="14.1">
      <c r="C285" s="57"/>
      <c r="D285" s="826"/>
      <c r="E285" s="182"/>
      <c r="F285" s="182"/>
      <c r="G285" s="182"/>
      <c r="H285" s="182"/>
      <c r="I285" s="827"/>
      <c r="J285" s="52"/>
      <c r="K285" s="52"/>
      <c r="L285" s="52"/>
      <c r="M285" s="52"/>
      <c r="N285" s="52"/>
      <c r="O285" s="828"/>
      <c r="P285" s="828"/>
      <c r="Q285" s="55"/>
      <c r="R285" s="55"/>
      <c r="S285" s="55"/>
      <c r="T285" s="55"/>
      <c r="U285" s="45"/>
      <c r="V285" s="45"/>
      <c r="W285" s="55"/>
      <c r="X285" s="45"/>
      <c r="Y285" s="45"/>
      <c r="Z285" s="45"/>
      <c r="AA285" s="45"/>
      <c r="AB285" s="45"/>
      <c r="AC285" s="45"/>
      <c r="AD285" s="45"/>
      <c r="AE285" s="45"/>
      <c r="AF285" s="45"/>
      <c r="AG285" s="45"/>
      <c r="AH285" s="45"/>
      <c r="AI285" s="45"/>
      <c r="AJ285" s="45"/>
      <c r="AK285" s="45"/>
      <c r="AL285" s="45"/>
      <c r="AM285" s="63"/>
      <c r="AN285" s="63"/>
    </row>
    <row r="286" spans="3:40" ht="14.1" customHeight="1">
      <c r="C286" s="57"/>
      <c r="D286" s="901" t="str">
        <f>"AHU - " &amp; INT((ROW()-34)/14)+1 &amp; "  " &amp; IF(I287&gt;0,"Air-Conditioning System " &amp; IF(OR(G290="Header", G290="C"), "(Chilled Water)",IF(OR(G290="Distributor", G290="D"), "(DX)", "Ventilation System")),IF(NOT(I287&gt;0), "Ventilation System ( SUPPLY )", "Refer"))</f>
        <v>AHU - 19  Air-Conditioning System (Chilled Water)</v>
      </c>
      <c r="E286" s="901"/>
      <c r="F286" s="901"/>
      <c r="G286" s="901"/>
      <c r="H286" s="901"/>
      <c r="I286" s="901"/>
      <c r="J286" s="52"/>
      <c r="K286" s="52"/>
      <c r="L286" s="53"/>
      <c r="M286" s="53"/>
      <c r="N286" s="53"/>
      <c r="O286" s="54"/>
      <c r="P286" s="55"/>
      <c r="AM286" s="56"/>
      <c r="AN286" s="56"/>
    </row>
    <row r="287" spans="3:40" ht="14.1">
      <c r="C287" s="57"/>
      <c r="D287" s="175" t="s">
        <v>274</v>
      </c>
      <c r="E287" s="180" t="str">
        <f>'BOD-Cold &amp; Amb.'!R330</f>
        <v>ISO 6</v>
      </c>
      <c r="F287" s="175" t="s">
        <v>275</v>
      </c>
      <c r="G287" s="180">
        <f>'BOD-Cold &amp; Amb.'!AK330</f>
        <v>42500</v>
      </c>
      <c r="H287" s="175" t="s">
        <v>276</v>
      </c>
      <c r="I287" s="181">
        <f>'BOD-Cold &amp; Amb.'!AQ330</f>
        <v>108.5</v>
      </c>
      <c r="J287" s="902" t="s">
        <v>277</v>
      </c>
      <c r="K287" s="902">
        <v>1</v>
      </c>
      <c r="L287" s="917">
        <f>Q287</f>
        <v>2070750</v>
      </c>
      <c r="M287" s="902">
        <f>K287*L287</f>
        <v>2070750</v>
      </c>
      <c r="N287" s="902"/>
      <c r="O287" s="902"/>
      <c r="P287" s="902"/>
      <c r="Q287" s="913">
        <f t="shared" ref="Q287" si="171">CEILING((S287+T287+U287+V287+W287),250)</f>
        <v>2070750</v>
      </c>
      <c r="R287" s="913">
        <f>IF(I287&gt;0,625,375)</f>
        <v>625</v>
      </c>
      <c r="S287" s="913">
        <f>(E288*G288*3*10.76+E288*I288*2*10.76+G288*I288*2*10.76)*R287/(1000*1000)</f>
        <v>883396</v>
      </c>
      <c r="T287" s="913">
        <f>I287*4*1050</f>
        <v>455700</v>
      </c>
      <c r="U287" s="912">
        <f>IF(G287&lt;=2000,5000,(IF(G287&lt;=5000,8000,(IF(G287&lt;=10000,10000,(IF(G287&lt;=18000,15000,(IF(G287&lt;=40000,20000,25000)))))))))</f>
        <v>25000</v>
      </c>
      <c r="V287" s="912">
        <f t="shared" ref="V287" si="172">IF(X287=200,17150,(IF(X287=225,18150,(IF(X287=250,18900,(IF(X287=280,19150,(IF(X287=315,19650,(IF(X287=355,21900,(IF(X287=400,24400,0)))))))))))))+IF(X287=450,31000,(IF(X287=500,37450,(IF(X287=560,45650,(IF(X287=630,58900,(IF(X287=710,77950,0)))))))))+IF(X287=800,119650,(IF(X287=900,153300,(IF(X287=1000,178900,(IF(X287=1120,286500,(IF(X287=1250,394500,(IF(X287=1450,461500,0)))))))))))</f>
        <v>286500</v>
      </c>
      <c r="W287" s="913">
        <f>IF(I289=0.5,16600,(IF(I289=1,19050,(IF(I289=1.5,21750,(IF(I289=2,23600,(IF(I289=3,30000,(IF(I289=5,38000,0)))))))))))*1.2+IF(I289=7.5,52300,(IF(I289=10,59600,0)))*1.2+IF(I289=12.5,100350,(IF(I289=15,106000,(IF(I289=20,129150,(IF(I289=25,146050,(IF(I289=30,173600,(IF(I289=40,233900,(IF(I289=50,304650,IF(I289=60,350000,400000)))))))))))))*1.2)</f>
        <v>420000</v>
      </c>
      <c r="X287" s="912">
        <f>E289</f>
        <v>1120</v>
      </c>
      <c r="Y287" s="912">
        <f t="shared" ref="Y287" si="173">IF(G287&lt;=6750,450,(IF(G287&lt;=8500,500,(IF(G287&lt;=10750,560,(IF(G287&lt;=13500,630,(IF(G287&lt;=17000,710,(IF(G287&lt;=21500,800,(IF(G287&lt;=27000,900,(IF(G287&lt;=34000,1000,0)))))))))))))))</f>
        <v>0</v>
      </c>
      <c r="Z287" s="912">
        <f t="shared" ref="Z287" si="174">IF(G287&lt;=1300,200,(IF(G287&lt;=1600,225,(IF(G287&lt;=2100,250,(IF(G287&lt;=2700,280,(IF(G287&lt;=3450,315,(IF(G287&lt;=4250,355,(IF(G287&lt;=5250,400,(IF(G287&lt;=6750,450,0)))))))))))))))</f>
        <v>0</v>
      </c>
      <c r="AA287" s="912">
        <f t="shared" ref="AA287" si="175">IF(G287&lt;=2000,5000,(IF(G287&lt;=5000,8000,(IF(G287&lt;=10000,10000,(IF(G287&lt;=18000,15000,(IF(G287&lt;=40000,20000,10000)))))))))</f>
        <v>10000</v>
      </c>
      <c r="AB287" s="912">
        <f>IF(E288=950,2,(IF(E288=1150,3,(IF(E288=1550,4,(IF(E288=1750,5,(IF(E288=2050,6,(IF(E288=2900,8,(IF(E288=3600,10,12)))))))))))))</f>
        <v>12</v>
      </c>
      <c r="AC287" s="912">
        <f>IF(G288=950,2,(IF(G288=1150,3,(IF(G288=1550,4,(IF(G288=1750,5,(IF(G288=2050,6,(IF(G288=2900,8,(IF(G288=3600,10,12)))))))))))))</f>
        <v>10</v>
      </c>
      <c r="AD287" s="912">
        <f t="shared" ref="AD287" si="176">AC287*AB287</f>
        <v>120</v>
      </c>
      <c r="AE287" s="912">
        <v>150</v>
      </c>
      <c r="AF287" s="912">
        <f t="shared" ref="AF287" si="177">CEILING((SQRT(G287/1000))*4*2*AE287*1.25*K287,100)</f>
        <v>9800</v>
      </c>
      <c r="AG287" s="912">
        <f>E295*F295*H295/(305*305)</f>
        <v>0</v>
      </c>
      <c r="AH287" s="912">
        <f>E296*F296*H296/(305*305)</f>
        <v>36</v>
      </c>
      <c r="AI287" s="912">
        <f>H297*E297*F297/(305*305)</f>
        <v>36</v>
      </c>
      <c r="AJ287" s="912">
        <f>H298*E298*F298/(305*305)</f>
        <v>36</v>
      </c>
      <c r="AK287" s="912">
        <f>H299*E299*F299/(305*305)</f>
        <v>0</v>
      </c>
      <c r="AL287" s="912"/>
      <c r="AM287" s="915">
        <f t="shared" ref="AM287" si="178">(G287*2.2/1100)</f>
        <v>85.000000000000014</v>
      </c>
      <c r="AN287" s="915">
        <f t="shared" ref="AN287" si="179">(G287*1/1100)</f>
        <v>38.636363636363633</v>
      </c>
    </row>
    <row r="288" spans="3:40" ht="14.1">
      <c r="C288" s="57"/>
      <c r="D288" s="175" t="s">
        <v>278</v>
      </c>
      <c r="E288" s="180">
        <f>'BOD-Cold &amp; Amb.'!AL331</f>
        <v>4000</v>
      </c>
      <c r="F288" s="175" t="s">
        <v>279</v>
      </c>
      <c r="G288" s="180">
        <f>'BOD-Cold &amp; Amb.'!AL333</f>
        <v>3600</v>
      </c>
      <c r="H288" s="175" t="s">
        <v>280</v>
      </c>
      <c r="I288" s="181">
        <f>'BOD-Cold &amp; Amb.'!AL335</f>
        <v>5800</v>
      </c>
      <c r="J288" s="902"/>
      <c r="K288" s="902"/>
      <c r="L288" s="902"/>
      <c r="M288" s="902"/>
      <c r="N288" s="902"/>
      <c r="O288" s="902"/>
      <c r="P288" s="902"/>
      <c r="Q288" s="913"/>
      <c r="R288" s="913"/>
      <c r="S288" s="913"/>
      <c r="T288" s="913"/>
      <c r="U288" s="912"/>
      <c r="V288" s="912"/>
      <c r="W288" s="913"/>
      <c r="X288" s="912"/>
      <c r="Y288" s="912"/>
      <c r="Z288" s="912"/>
      <c r="AA288" s="912"/>
      <c r="AB288" s="912"/>
      <c r="AC288" s="912"/>
      <c r="AD288" s="912"/>
      <c r="AE288" s="912"/>
      <c r="AF288" s="912"/>
      <c r="AG288" s="912"/>
      <c r="AH288" s="912"/>
      <c r="AI288" s="912"/>
      <c r="AJ288" s="912"/>
      <c r="AK288" s="912"/>
      <c r="AL288" s="912"/>
      <c r="AM288" s="915"/>
      <c r="AN288" s="915"/>
    </row>
    <row r="289" spans="3:40" ht="14.1">
      <c r="C289" s="57"/>
      <c r="D289" s="175" t="s">
        <v>281</v>
      </c>
      <c r="E289" s="180">
        <f>'BOD-Cold &amp; Amb.'!AN330</f>
        <v>1120</v>
      </c>
      <c r="F289" s="176" t="s">
        <v>282</v>
      </c>
      <c r="G289" s="180">
        <f>'BOD-Cold &amp; Amb.'!AM330</f>
        <v>150</v>
      </c>
      <c r="H289" s="176" t="s">
        <v>283</v>
      </c>
      <c r="I289" s="181">
        <f>'BOD-Cold &amp; Amb.'!AO330</f>
        <v>60</v>
      </c>
      <c r="J289" s="902"/>
      <c r="K289" s="902"/>
      <c r="L289" s="902"/>
      <c r="M289" s="902"/>
      <c r="N289" s="902"/>
      <c r="O289" s="902"/>
      <c r="P289" s="902"/>
      <c r="Q289" s="913"/>
      <c r="R289" s="913"/>
      <c r="S289" s="913"/>
      <c r="T289" s="913"/>
      <c r="U289" s="912"/>
      <c r="V289" s="912"/>
      <c r="W289" s="913"/>
      <c r="X289" s="912"/>
      <c r="Y289" s="912"/>
      <c r="Z289" s="912"/>
      <c r="AA289" s="912"/>
      <c r="AB289" s="912"/>
      <c r="AC289" s="912"/>
      <c r="AD289" s="912"/>
      <c r="AE289" s="912"/>
      <c r="AF289" s="912"/>
      <c r="AG289" s="912"/>
      <c r="AH289" s="912"/>
      <c r="AI289" s="912"/>
      <c r="AJ289" s="912"/>
      <c r="AK289" s="912"/>
      <c r="AL289" s="912"/>
      <c r="AM289" s="915"/>
      <c r="AN289" s="915"/>
    </row>
    <row r="290" spans="3:40" ht="21.6" customHeight="1">
      <c r="C290" s="57"/>
      <c r="D290" s="175" t="s">
        <v>284</v>
      </c>
      <c r="E290" s="180">
        <f>'BOD-Cold &amp; Amb.'!AP330</f>
        <v>4</v>
      </c>
      <c r="F290" s="832" t="s">
        <v>285</v>
      </c>
      <c r="G290" s="837" t="str">
        <f>IF(OR(I287=0, E290="Amb"), "Amb",IF('BOD-Cold &amp; Amb.'!AH250="C", "Header",IF('BOD-Cold &amp; Amb.'!AH250="D", "Distributor", "Refer")))</f>
        <v>Header</v>
      </c>
      <c r="H290" s="832" t="s">
        <v>286</v>
      </c>
      <c r="I290" s="833" t="str">
        <f>IF(OR(I287=0, E290=0), 0,ROUND(((( I287/E290)*304.8)/(E288-400))*1000,0)&amp;" h "&amp;" x " &amp; (E288-400)&amp;" w ")</f>
        <v xml:space="preserve">2297 h  x 3600 w </v>
      </c>
      <c r="J290" s="902"/>
      <c r="K290" s="902"/>
      <c r="L290" s="902"/>
      <c r="M290" s="902"/>
      <c r="N290" s="902"/>
      <c r="O290" s="902"/>
      <c r="P290" s="902"/>
      <c r="Q290" s="913"/>
      <c r="R290" s="913"/>
      <c r="S290" s="913"/>
      <c r="T290" s="913"/>
      <c r="U290" s="912"/>
      <c r="V290" s="912"/>
      <c r="W290" s="913"/>
      <c r="X290" s="912"/>
      <c r="Y290" s="912"/>
      <c r="Z290" s="912"/>
      <c r="AA290" s="912"/>
      <c r="AB290" s="912"/>
      <c r="AC290" s="912"/>
      <c r="AD290" s="912"/>
      <c r="AE290" s="912"/>
      <c r="AF290" s="912"/>
      <c r="AG290" s="912"/>
      <c r="AH290" s="912"/>
      <c r="AI290" s="912"/>
      <c r="AJ290" s="912"/>
      <c r="AK290" s="912"/>
      <c r="AL290" s="912"/>
      <c r="AM290" s="915"/>
      <c r="AN290" s="915"/>
    </row>
    <row r="291" spans="3:40" ht="21">
      <c r="C291" s="57"/>
      <c r="D291" s="175" t="s">
        <v>287</v>
      </c>
      <c r="E291" s="180">
        <f>'BOD-Cold &amp; Amb.'!AR330</f>
        <v>3</v>
      </c>
      <c r="F291" s="176" t="s">
        <v>288</v>
      </c>
      <c r="G291" s="177" t="str">
        <f>IF(E291=4,"10µ, 5µ, 1µ &amp; 0.3µ (HEPA Plenum Fitted 95% eff.)",IF(E291=3,"10µ, 5µ &amp; 1µ ",IF(E291=2,"10µ  &amp; 5µ",IF(E291=1,"10µ", "Filter Ratings"))))</f>
        <v xml:space="preserve">10µ, 5µ &amp; 1µ </v>
      </c>
      <c r="H291" s="178"/>
      <c r="I291" s="179"/>
      <c r="J291" s="902"/>
      <c r="K291" s="902"/>
      <c r="L291" s="902"/>
      <c r="M291" s="902"/>
      <c r="N291" s="902"/>
      <c r="O291" s="902"/>
      <c r="P291" s="902"/>
      <c r="Q291" s="913"/>
      <c r="R291" s="913"/>
      <c r="S291" s="913"/>
      <c r="T291" s="913"/>
      <c r="U291" s="912"/>
      <c r="V291" s="912"/>
      <c r="W291" s="913"/>
      <c r="X291" s="912"/>
      <c r="Y291" s="912"/>
      <c r="Z291" s="912"/>
      <c r="AA291" s="912"/>
      <c r="AB291" s="912"/>
      <c r="AC291" s="912"/>
      <c r="AD291" s="912"/>
      <c r="AE291" s="912"/>
      <c r="AF291" s="912"/>
      <c r="AG291" s="912"/>
      <c r="AH291" s="912"/>
      <c r="AI291" s="912"/>
      <c r="AJ291" s="912"/>
      <c r="AK291" s="912"/>
      <c r="AL291" s="912"/>
      <c r="AM291" s="915"/>
      <c r="AN291" s="915"/>
    </row>
    <row r="292" spans="3:40">
      <c r="C292" s="57"/>
      <c r="D292" s="922" t="s">
        <v>289</v>
      </c>
      <c r="E292" s="923"/>
      <c r="F292" s="923"/>
      <c r="G292" s="923"/>
      <c r="H292" s="923"/>
      <c r="I292" s="924"/>
      <c r="J292" s="902"/>
      <c r="K292" s="902"/>
      <c r="L292" s="902"/>
      <c r="M292" s="902"/>
      <c r="N292" s="902"/>
      <c r="O292" s="902"/>
      <c r="P292" s="902"/>
      <c r="Q292" s="913"/>
      <c r="R292" s="913"/>
      <c r="S292" s="913"/>
      <c r="T292" s="913"/>
      <c r="U292" s="912"/>
      <c r="V292" s="912"/>
      <c r="W292" s="913"/>
      <c r="X292" s="912"/>
      <c r="Y292" s="912"/>
      <c r="Z292" s="912"/>
      <c r="AA292" s="912"/>
      <c r="AB292" s="912"/>
      <c r="AC292" s="912"/>
      <c r="AD292" s="912"/>
      <c r="AE292" s="912"/>
      <c r="AF292" s="912"/>
      <c r="AG292" s="912"/>
      <c r="AH292" s="912"/>
      <c r="AI292" s="912"/>
      <c r="AJ292" s="912"/>
      <c r="AK292" s="912"/>
      <c r="AL292" s="912"/>
      <c r="AM292" s="915"/>
      <c r="AN292" s="915"/>
    </row>
    <row r="293" spans="3:40" ht="24.95">
      <c r="C293" s="57"/>
      <c r="D293" s="58" t="s">
        <v>290</v>
      </c>
      <c r="E293" s="58" t="s">
        <v>291</v>
      </c>
      <c r="F293" s="58" t="s">
        <v>292</v>
      </c>
      <c r="G293" s="58" t="s">
        <v>293</v>
      </c>
      <c r="H293" s="58" t="s">
        <v>294</v>
      </c>
      <c r="I293" s="179"/>
      <c r="J293" s="902"/>
      <c r="K293" s="902"/>
      <c r="L293" s="902"/>
      <c r="M293" s="902"/>
      <c r="N293" s="902"/>
      <c r="O293" s="902"/>
      <c r="P293" s="902"/>
      <c r="Q293" s="913"/>
      <c r="R293" s="913"/>
      <c r="S293" s="913"/>
      <c r="T293" s="913"/>
      <c r="U293" s="912"/>
      <c r="V293" s="912"/>
      <c r="W293" s="913"/>
      <c r="X293" s="912"/>
      <c r="Y293" s="912"/>
      <c r="Z293" s="912"/>
      <c r="AA293" s="912"/>
      <c r="AB293" s="912"/>
      <c r="AC293" s="912"/>
      <c r="AD293" s="912"/>
      <c r="AE293" s="912"/>
      <c r="AF293" s="912"/>
      <c r="AG293" s="912"/>
      <c r="AH293" s="912"/>
      <c r="AI293" s="912"/>
      <c r="AJ293" s="912"/>
      <c r="AK293" s="912"/>
      <c r="AL293" s="912"/>
      <c r="AM293" s="915"/>
      <c r="AN293" s="915"/>
    </row>
    <row r="294" spans="3:40" ht="14.1">
      <c r="C294" s="57"/>
      <c r="D294" s="58"/>
      <c r="E294" s="58">
        <f>IF(E288=950,2,(IF(E288=1150,3,(IF(E288=1550,4,(IF(E288=1750,5,(IF(E288=2050,6,(IF(E288=2900,8,(IF(E288=3600,10,IF(E288=4000,12,0))))))))))))))</f>
        <v>12</v>
      </c>
      <c r="F294" s="58">
        <f>IF(G288=950,2,(IF(G288=1150,3,(IF(G288=1550,4,(IF(G288=1750,5,(IF(G288=2050,6,(IF(G288=2900,8,(IF(G288=3600,10,IF(E288=4000,12,0))))))))))))))</f>
        <v>10</v>
      </c>
      <c r="G294" s="58"/>
      <c r="H294" s="60"/>
      <c r="I294" s="834"/>
      <c r="J294" s="902"/>
      <c r="K294" s="902"/>
      <c r="L294" s="902"/>
      <c r="M294" s="902"/>
      <c r="N294" s="902"/>
      <c r="O294" s="902"/>
      <c r="P294" s="902"/>
      <c r="Q294" s="913"/>
      <c r="R294" s="913"/>
      <c r="S294" s="913"/>
      <c r="T294" s="913"/>
      <c r="U294" s="912"/>
      <c r="V294" s="912"/>
      <c r="W294" s="913"/>
      <c r="X294" s="912"/>
      <c r="Y294" s="912"/>
      <c r="Z294" s="912"/>
      <c r="AA294" s="912"/>
      <c r="AB294" s="912"/>
      <c r="AC294" s="912"/>
      <c r="AD294" s="912"/>
      <c r="AE294" s="912"/>
      <c r="AF294" s="912"/>
      <c r="AG294" s="912"/>
      <c r="AH294" s="912"/>
      <c r="AI294" s="912"/>
      <c r="AJ294" s="912"/>
      <c r="AK294" s="912"/>
      <c r="AL294" s="912"/>
      <c r="AM294" s="915"/>
      <c r="AN294" s="915"/>
    </row>
    <row r="295" spans="3:40" ht="14.1">
      <c r="C295" s="57"/>
      <c r="D295" s="58">
        <f>IF(AND(I287=0, OR(E291=1, E291=2, E291=3, E291=4, E291=5)), "20µ", 0)</f>
        <v>0</v>
      </c>
      <c r="E295" s="58">
        <f>IF(OR(D295=0),0,IF(MOD($E$42*$F$42,2)=0,"610",IF(MOD($E$42*$F$42,2.5)=0,"760",IF(MOD($E$42*$F$42,3)=0,"915","Refer"))))</f>
        <v>0</v>
      </c>
      <c r="F295" s="58">
        <f>IF(OR(D295=0),0,IF(MOD($E$42*$F$42,6)=0,"915",IF(MOD($E$42*$F$42,5)=0,"760",IF(MOD($E$42*$F$42,4)=0,"610","Refer"))))</f>
        <v>0</v>
      </c>
      <c r="G295" s="58">
        <f>IF(D295=0,0,100)</f>
        <v>0</v>
      </c>
      <c r="H295" s="60">
        <f>IF(D295=0,0,($E$42*$F$42*305*305)/(E295*F295))</f>
        <v>0</v>
      </c>
      <c r="I295" s="834"/>
      <c r="J295" s="902"/>
      <c r="K295" s="902"/>
      <c r="L295" s="902"/>
      <c r="M295" s="902"/>
      <c r="N295" s="902"/>
      <c r="O295" s="902"/>
      <c r="P295" s="902"/>
      <c r="Q295" s="55"/>
      <c r="R295" s="55"/>
      <c r="S295" s="55"/>
      <c r="T295" s="55"/>
      <c r="U295" s="45"/>
      <c r="V295" s="45"/>
      <c r="W295" s="55"/>
      <c r="X295" s="45"/>
      <c r="Y295" s="45"/>
      <c r="Z295" s="45"/>
      <c r="AA295" s="45"/>
      <c r="AB295" s="45"/>
      <c r="AC295" s="45"/>
      <c r="AD295" s="45"/>
      <c r="AE295" s="45"/>
      <c r="AF295" s="45"/>
      <c r="AG295" s="45"/>
      <c r="AH295" s="45"/>
      <c r="AI295" s="45"/>
      <c r="AJ295" s="45"/>
      <c r="AK295" s="45"/>
      <c r="AL295" s="45"/>
      <c r="AM295" s="63"/>
      <c r="AN295" s="63"/>
    </row>
    <row r="296" spans="3:40" ht="14.1">
      <c r="C296" s="57"/>
      <c r="D296" s="58" t="str">
        <f>IF(E291=4,"10µ",IF(E291=3,"10µ",IF(E291=2,"10µ",IF(E291=1,"10µ",0))))</f>
        <v>10µ</v>
      </c>
      <c r="E296" s="58" t="str">
        <f>IF(OR(D296=0),0,IF(MOD($E$42*$F$42,2)=0,"610",IF(MOD($E$42*$F$42,2.5)=0,"760",IF(MOD($E$42*$F$42,3)=0,"915","Refer"))))</f>
        <v>610</v>
      </c>
      <c r="F296" s="58" t="str">
        <f>IF(OR(D296=0),0,IF(MOD($E$42*$F$42,6)=0,"915",IF(MOD($E$42*$F$42,5)=0,"760",IF(MOD($E$42*$F$42,4)=0,"610","Refer"))))</f>
        <v>915</v>
      </c>
      <c r="G296" s="58">
        <f>IF(D296=0,0,150)</f>
        <v>150</v>
      </c>
      <c r="H296" s="60">
        <f>IF(D296=0,0,($E$42*$F$42*305*305)/(E296*F296))</f>
        <v>6</v>
      </c>
      <c r="I296" s="834"/>
      <c r="J296" s="902"/>
      <c r="K296" s="902"/>
      <c r="L296" s="902"/>
      <c r="M296" s="902"/>
      <c r="N296" s="902"/>
      <c r="O296" s="902"/>
      <c r="P296" s="902"/>
      <c r="Q296" s="913"/>
      <c r="R296" s="913"/>
      <c r="S296" s="913"/>
      <c r="T296" s="913"/>
      <c r="U296" s="912"/>
      <c r="V296" s="912"/>
      <c r="W296" s="913"/>
      <c r="X296" s="912"/>
      <c r="Y296" s="912"/>
      <c r="Z296" s="912"/>
      <c r="AA296" s="912"/>
      <c r="AB296" s="912"/>
      <c r="AC296" s="912"/>
      <c r="AD296" s="912"/>
      <c r="AE296" s="912"/>
      <c r="AF296" s="912"/>
      <c r="AG296" s="912"/>
      <c r="AH296" s="912"/>
      <c r="AI296" s="912"/>
      <c r="AJ296" s="912"/>
      <c r="AK296" s="912"/>
      <c r="AL296" s="912"/>
      <c r="AM296" s="915"/>
      <c r="AN296" s="915"/>
    </row>
    <row r="297" spans="3:40" ht="14.1">
      <c r="C297" s="57"/>
      <c r="D297" s="58" t="str">
        <f>IF(E291=4,"5µ",IF(E291=3,"5µ",IF(E291=2,"5µ",0)))</f>
        <v>5µ</v>
      </c>
      <c r="E297" s="58" t="str">
        <f t="shared" ref="E297:E299" si="180">IF(OR(D297=0),0,IF(MOD($E$42*$F$42,2)=0,"610",IF(MOD($E$42*$F$42,2.5)=0,"760",IF(MOD($E$42*$F$42,3)=0,"915","Refer"))))</f>
        <v>610</v>
      </c>
      <c r="F297" s="58" t="str">
        <f>IF(OR(D297=0),0,IF(MOD($E$42*$F$42,6)=0,"915",IF(MOD($E$42*$F$42,5)=0,"760",IF(MOD($E$42*$F$42,4)=0,"610","Refer"))))</f>
        <v>915</v>
      </c>
      <c r="G297" s="58">
        <f>IF(D297=0,0,300)</f>
        <v>300</v>
      </c>
      <c r="H297" s="60">
        <f>IF(D297=0,0,($E$42*$F$42*305*305)/(E297*F297))</f>
        <v>6</v>
      </c>
      <c r="I297" s="834"/>
      <c r="J297" s="902"/>
      <c r="K297" s="902"/>
      <c r="L297" s="902"/>
      <c r="M297" s="902"/>
      <c r="N297" s="902"/>
      <c r="O297" s="902"/>
      <c r="P297" s="902"/>
      <c r="Q297" s="913"/>
      <c r="R297" s="913"/>
      <c r="S297" s="913"/>
      <c r="T297" s="913"/>
      <c r="U297" s="912"/>
      <c r="V297" s="912"/>
      <c r="W297" s="913"/>
      <c r="X297" s="912"/>
      <c r="Y297" s="912"/>
      <c r="Z297" s="912"/>
      <c r="AA297" s="912"/>
      <c r="AB297" s="912"/>
      <c r="AC297" s="912"/>
      <c r="AD297" s="912"/>
      <c r="AE297" s="912"/>
      <c r="AF297" s="912"/>
      <c r="AG297" s="912"/>
      <c r="AH297" s="912"/>
      <c r="AI297" s="912"/>
      <c r="AJ297" s="912"/>
      <c r="AK297" s="912"/>
      <c r="AL297" s="912"/>
      <c r="AM297" s="915"/>
      <c r="AN297" s="915"/>
    </row>
    <row r="298" spans="3:40" ht="14.1">
      <c r="C298" s="57"/>
      <c r="D298" s="58" t="str">
        <f>IF(E291=4,"1µ",IF(E291=3,"1µ",0))</f>
        <v>1µ</v>
      </c>
      <c r="E298" s="58" t="str">
        <f t="shared" si="180"/>
        <v>610</v>
      </c>
      <c r="F298" s="58" t="str">
        <f>IF(OR(D298=0),0,IF(MOD($E$42*$F$42,6)=0,"915",IF(MOD($E$42*$F$42,5)=0,"760",IF(MOD($E$42*$F$42,4)=0,"610","Refer"))))</f>
        <v>915</v>
      </c>
      <c r="G298" s="58">
        <f>IF(D298=0,0,300)</f>
        <v>300</v>
      </c>
      <c r="H298" s="60">
        <f>IF(D298=0,0,($E$42*$F$42*305*305)/(E298*F298))</f>
        <v>6</v>
      </c>
      <c r="I298" s="834"/>
      <c r="J298" s="902"/>
      <c r="K298" s="902"/>
      <c r="L298" s="902"/>
      <c r="M298" s="902"/>
      <c r="N298" s="902"/>
      <c r="O298" s="902"/>
      <c r="P298" s="902"/>
      <c r="Q298" s="913"/>
      <c r="R298" s="913"/>
      <c r="S298" s="913"/>
      <c r="T298" s="913"/>
      <c r="U298" s="912"/>
      <c r="V298" s="912"/>
      <c r="W298" s="913"/>
      <c r="X298" s="912"/>
      <c r="Y298" s="912"/>
      <c r="Z298" s="912"/>
      <c r="AA298" s="912"/>
      <c r="AB298" s="912"/>
      <c r="AC298" s="912"/>
      <c r="AD298" s="912"/>
      <c r="AE298" s="912"/>
      <c r="AF298" s="912"/>
      <c r="AG298" s="912"/>
      <c r="AH298" s="912"/>
      <c r="AI298" s="912"/>
      <c r="AJ298" s="912"/>
      <c r="AK298" s="912"/>
      <c r="AL298" s="912"/>
      <c r="AM298" s="915"/>
      <c r="AN298" s="915"/>
    </row>
    <row r="299" spans="3:40" ht="14.1">
      <c r="C299" s="57"/>
      <c r="D299" s="58">
        <f>IF(E291=4,"0.3µ 95% Eff. HEPA Filetr",0)</f>
        <v>0</v>
      </c>
      <c r="E299" s="58">
        <f t="shared" si="180"/>
        <v>0</v>
      </c>
      <c r="F299" s="58">
        <f>IF(OR(D299=0),0,IF(MOD($E$42*$F$42,6)=0,"915",IF(MOD($E$42*$F$42,5)=0,"760",IF(MOD($E$42*$F$42,4)=0,"610","Refer"))))</f>
        <v>0</v>
      </c>
      <c r="G299" s="58">
        <f>IF(D299=0,0,300)</f>
        <v>0</v>
      </c>
      <c r="H299" s="60">
        <f>IF(D299=0,0,($E$42*$F$42*305*305)/(E299*F299))</f>
        <v>0</v>
      </c>
      <c r="I299" s="836"/>
      <c r="J299" s="902"/>
      <c r="K299" s="902"/>
      <c r="L299" s="902"/>
      <c r="M299" s="902"/>
      <c r="N299" s="902"/>
      <c r="O299" s="902"/>
      <c r="P299" s="902"/>
      <c r="Q299" s="913"/>
      <c r="R299" s="913"/>
      <c r="S299" s="913"/>
      <c r="T299" s="913"/>
      <c r="U299" s="912"/>
      <c r="V299" s="912"/>
      <c r="W299" s="913"/>
      <c r="X299" s="912"/>
      <c r="Y299" s="912"/>
      <c r="Z299" s="912"/>
      <c r="AA299" s="912"/>
      <c r="AB299" s="912"/>
      <c r="AC299" s="912"/>
      <c r="AD299" s="912"/>
      <c r="AE299" s="912"/>
      <c r="AF299" s="912"/>
      <c r="AG299" s="912"/>
      <c r="AH299" s="912"/>
      <c r="AI299" s="912"/>
      <c r="AJ299" s="912"/>
      <c r="AK299" s="912"/>
      <c r="AL299" s="912"/>
      <c r="AM299" s="915"/>
      <c r="AN299" s="915"/>
    </row>
    <row r="300" spans="3:40" ht="14.1">
      <c r="C300" s="57"/>
      <c r="D300" s="826"/>
      <c r="E300" s="182"/>
      <c r="F300" s="182"/>
      <c r="G300" s="182"/>
      <c r="H300" s="182"/>
      <c r="I300" s="827"/>
      <c r="J300" s="52"/>
      <c r="K300" s="52"/>
      <c r="L300" s="52"/>
      <c r="M300" s="52"/>
      <c r="N300" s="52"/>
      <c r="O300" s="828"/>
      <c r="P300" s="828"/>
      <c r="Q300" s="55"/>
      <c r="R300" s="55"/>
      <c r="S300" s="55"/>
      <c r="T300" s="55"/>
      <c r="U300" s="45"/>
      <c r="V300" s="45"/>
      <c r="W300" s="55"/>
      <c r="X300" s="45"/>
      <c r="Y300" s="45"/>
      <c r="Z300" s="45"/>
      <c r="AA300" s="45"/>
      <c r="AB300" s="45"/>
      <c r="AC300" s="45"/>
      <c r="AD300" s="45"/>
      <c r="AE300" s="45"/>
      <c r="AF300" s="45"/>
      <c r="AG300" s="45"/>
      <c r="AH300" s="45"/>
      <c r="AI300" s="45"/>
      <c r="AJ300" s="45"/>
      <c r="AK300" s="45"/>
      <c r="AL300" s="45"/>
      <c r="AM300" s="63"/>
      <c r="AN300" s="63"/>
    </row>
    <row r="301" spans="3:40" ht="14.1" customHeight="1">
      <c r="C301" s="57"/>
      <c r="D301" s="901" t="str">
        <f>"AHU - " &amp; INT((ROW()-34)/14)+1 &amp; "  " &amp; IF(I302&gt;0,"Air-Conditioning System " &amp; IF(OR(G305="Header", G305="C"), "(Chilled Water)",IF(OR(G305="Distributor", G305="D"), "(DX)", "Ventilation System")),IF(NOT(I302&gt;0), "Ventilation System ( SUPPLY )", "Refer"))</f>
        <v>AHU - 20  Air-Conditioning System (Chilled Water)</v>
      </c>
      <c r="E301" s="901"/>
      <c r="F301" s="901"/>
      <c r="G301" s="901"/>
      <c r="H301" s="901"/>
      <c r="I301" s="901"/>
      <c r="J301" s="52"/>
      <c r="K301" s="52"/>
      <c r="L301" s="53"/>
      <c r="M301" s="53"/>
      <c r="N301" s="53"/>
      <c r="O301" s="54"/>
      <c r="P301" s="55"/>
      <c r="AM301" s="56"/>
      <c r="AN301" s="56"/>
    </row>
    <row r="302" spans="3:40" ht="14.1">
      <c r="C302" s="57"/>
      <c r="D302" s="175" t="s">
        <v>274</v>
      </c>
      <c r="E302" s="180" t="str">
        <f>'BOD-Cold &amp; Amb.'!R350</f>
        <v>ISO 5</v>
      </c>
      <c r="F302" s="175" t="s">
        <v>275</v>
      </c>
      <c r="G302" s="180">
        <f>'BOD-Cold &amp; Amb.'!AK350</f>
        <v>42500</v>
      </c>
      <c r="H302" s="175" t="s">
        <v>276</v>
      </c>
      <c r="I302" s="181">
        <f>'BOD-Cold &amp; Amb.'!AQ350</f>
        <v>108.5</v>
      </c>
      <c r="J302" s="902" t="s">
        <v>277</v>
      </c>
      <c r="K302" s="902">
        <v>1</v>
      </c>
      <c r="L302" s="917">
        <f>Q302</f>
        <v>2173000</v>
      </c>
      <c r="M302" s="902">
        <f>K302*L302</f>
        <v>2173000</v>
      </c>
      <c r="N302" s="902"/>
      <c r="O302" s="902"/>
      <c r="P302" s="902"/>
      <c r="Q302" s="913">
        <f t="shared" ref="Q302" si="181">CEILING((S302+T302+U302+V302+W302),250)</f>
        <v>2173000</v>
      </c>
      <c r="R302" s="913">
        <f>IF(I302&gt;0,625,375)</f>
        <v>625</v>
      </c>
      <c r="S302" s="913">
        <f>(E303*G303*3*10.76+E303*I303*2*10.76+G303*I303*2*10.76)*R302/(1000*1000)</f>
        <v>985616</v>
      </c>
      <c r="T302" s="913">
        <f>I302*4*1050</f>
        <v>455700</v>
      </c>
      <c r="U302" s="912">
        <f>IF(G302&lt;=2000,5000,(IF(G302&lt;=5000,8000,(IF(G302&lt;=10000,10000,(IF(G302&lt;=18000,15000,(IF(G302&lt;=40000,20000,25000)))))))))</f>
        <v>25000</v>
      </c>
      <c r="V302" s="912">
        <f t="shared" ref="V302" si="182">IF(X302=200,17150,(IF(X302=225,18150,(IF(X302=250,18900,(IF(X302=280,19150,(IF(X302=315,19650,(IF(X302=355,21900,(IF(X302=400,24400,0)))))))))))))+IF(X302=450,31000,(IF(X302=500,37450,(IF(X302=560,45650,(IF(X302=630,58900,(IF(X302=710,77950,0)))))))))+IF(X302=800,119650,(IF(X302=900,153300,(IF(X302=1000,178900,(IF(X302=1120,286500,(IF(X302=1250,394500,(IF(X302=1450,461500,0)))))))))))</f>
        <v>286500</v>
      </c>
      <c r="W302" s="913">
        <f>IF(I304=0.5,16600,(IF(I304=1,19050,(IF(I304=1.5,21750,(IF(I304=2,23600,(IF(I304=3,30000,(IF(I304=5,38000,0)))))))))))*1.2+IF(I304=7.5,52300,(IF(I304=10,59600,0)))*1.2+IF(I304=12.5,100350,(IF(I304=15,106000,(IF(I304=20,129150,(IF(I304=25,146050,(IF(I304=30,173600,(IF(I304=40,233900,(IF(I304=50,304650,IF(I304=60,350000,400000)))))))))))))*1.2)</f>
        <v>420000</v>
      </c>
      <c r="X302" s="912">
        <f>E304</f>
        <v>1120</v>
      </c>
      <c r="Y302" s="912">
        <f t="shared" ref="Y302" si="183">IF(G302&lt;=6750,450,(IF(G302&lt;=8500,500,(IF(G302&lt;=10750,560,(IF(G302&lt;=13500,630,(IF(G302&lt;=17000,710,(IF(G302&lt;=21500,800,(IF(G302&lt;=27000,900,(IF(G302&lt;=34000,1000,0)))))))))))))))</f>
        <v>0</v>
      </c>
      <c r="Z302" s="912">
        <f t="shared" ref="Z302" si="184">IF(G302&lt;=1300,200,(IF(G302&lt;=1600,225,(IF(G302&lt;=2100,250,(IF(G302&lt;=2700,280,(IF(G302&lt;=3450,315,(IF(G302&lt;=4250,355,(IF(G302&lt;=5250,400,(IF(G302&lt;=6750,450,0)))))))))))))))</f>
        <v>0</v>
      </c>
      <c r="AA302" s="912">
        <f t="shared" ref="AA302" si="185">IF(G302&lt;=2000,5000,(IF(G302&lt;=5000,8000,(IF(G302&lt;=10000,10000,(IF(G302&lt;=18000,15000,(IF(G302&lt;=40000,20000,10000)))))))))</f>
        <v>10000</v>
      </c>
      <c r="AB302" s="912">
        <f>IF(E303=950,2,(IF(E303=1150,3,(IF(E303=1550,4,(IF(E303=1750,5,(IF(E303=2050,6,(IF(E303=2900,8,(IF(E303=3600,10,12)))))))))))))</f>
        <v>12</v>
      </c>
      <c r="AC302" s="912">
        <f>IF(G303=950,2,(IF(G303=1150,3,(IF(G303=1550,4,(IF(G303=1750,5,(IF(G303=2050,6,(IF(G303=2900,8,(IF(G303=3600,10,12)))))))))))))</f>
        <v>10</v>
      </c>
      <c r="AD302" s="912">
        <f t="shared" ref="AD302" si="186">AC302*AB302</f>
        <v>120</v>
      </c>
      <c r="AE302" s="912">
        <v>150</v>
      </c>
      <c r="AF302" s="912">
        <f t="shared" ref="AF302" si="187">CEILING((SQRT(G302/1000))*4*2*AE302*1.25*K302,100)</f>
        <v>9800</v>
      </c>
      <c r="AG302" s="912">
        <f>E310*F310*H310/(305*305)</f>
        <v>0</v>
      </c>
      <c r="AH302" s="912">
        <f>E311*F311*H311/(305*305)</f>
        <v>36</v>
      </c>
      <c r="AI302" s="912">
        <f>H312*E312*F312/(305*305)</f>
        <v>36</v>
      </c>
      <c r="AJ302" s="912">
        <f>H313*E313*F313/(305*305)</f>
        <v>36</v>
      </c>
      <c r="AK302" s="912">
        <f>H314*E314*F314/(305*305)</f>
        <v>36</v>
      </c>
      <c r="AL302" s="912"/>
      <c r="AM302" s="915">
        <f t="shared" ref="AM302" si="188">(G302*2.2/1100)</f>
        <v>85.000000000000014</v>
      </c>
      <c r="AN302" s="915">
        <f t="shared" ref="AN302" si="189">(G302*1/1100)</f>
        <v>38.636363636363633</v>
      </c>
    </row>
    <row r="303" spans="3:40" ht="14.1">
      <c r="C303" s="57"/>
      <c r="D303" s="175" t="s">
        <v>278</v>
      </c>
      <c r="E303" s="180">
        <f>'BOD-Cold &amp; Amb.'!AL351</f>
        <v>4000</v>
      </c>
      <c r="F303" s="175" t="s">
        <v>279</v>
      </c>
      <c r="G303" s="180">
        <f>'BOD-Cold &amp; Amb.'!AL353</f>
        <v>3600</v>
      </c>
      <c r="H303" s="175" t="s">
        <v>280</v>
      </c>
      <c r="I303" s="181">
        <f>'BOD-Cold &amp; Amb.'!AL355</f>
        <v>6800</v>
      </c>
      <c r="J303" s="902"/>
      <c r="K303" s="902"/>
      <c r="L303" s="902"/>
      <c r="M303" s="902"/>
      <c r="N303" s="902"/>
      <c r="O303" s="902"/>
      <c r="P303" s="902"/>
      <c r="Q303" s="913"/>
      <c r="R303" s="913"/>
      <c r="S303" s="913"/>
      <c r="T303" s="913"/>
      <c r="U303" s="912"/>
      <c r="V303" s="912"/>
      <c r="W303" s="913"/>
      <c r="X303" s="912"/>
      <c r="Y303" s="912"/>
      <c r="Z303" s="912"/>
      <c r="AA303" s="912"/>
      <c r="AB303" s="912"/>
      <c r="AC303" s="912"/>
      <c r="AD303" s="912"/>
      <c r="AE303" s="912"/>
      <c r="AF303" s="912"/>
      <c r="AG303" s="912"/>
      <c r="AH303" s="912"/>
      <c r="AI303" s="912"/>
      <c r="AJ303" s="912"/>
      <c r="AK303" s="912"/>
      <c r="AL303" s="912"/>
      <c r="AM303" s="915"/>
      <c r="AN303" s="915"/>
    </row>
    <row r="304" spans="3:40" ht="14.1">
      <c r="C304" s="57"/>
      <c r="D304" s="175" t="s">
        <v>281</v>
      </c>
      <c r="E304" s="180">
        <f>'BOD-Cold &amp; Amb.'!AN350</f>
        <v>1120</v>
      </c>
      <c r="F304" s="176" t="s">
        <v>282</v>
      </c>
      <c r="G304" s="180">
        <f>'BOD-Cold &amp; Amb.'!AM350</f>
        <v>150</v>
      </c>
      <c r="H304" s="176" t="s">
        <v>283</v>
      </c>
      <c r="I304" s="181">
        <f>'BOD-Cold &amp; Amb.'!AO350</f>
        <v>60</v>
      </c>
      <c r="J304" s="902"/>
      <c r="K304" s="902"/>
      <c r="L304" s="902"/>
      <c r="M304" s="902"/>
      <c r="N304" s="902"/>
      <c r="O304" s="902"/>
      <c r="P304" s="902"/>
      <c r="Q304" s="913"/>
      <c r="R304" s="913"/>
      <c r="S304" s="913"/>
      <c r="T304" s="913"/>
      <c r="U304" s="912"/>
      <c r="V304" s="912"/>
      <c r="W304" s="913"/>
      <c r="X304" s="912"/>
      <c r="Y304" s="912"/>
      <c r="Z304" s="912"/>
      <c r="AA304" s="912"/>
      <c r="AB304" s="912"/>
      <c r="AC304" s="912"/>
      <c r="AD304" s="912"/>
      <c r="AE304" s="912"/>
      <c r="AF304" s="912"/>
      <c r="AG304" s="912"/>
      <c r="AH304" s="912"/>
      <c r="AI304" s="912"/>
      <c r="AJ304" s="912"/>
      <c r="AK304" s="912"/>
      <c r="AL304" s="912"/>
      <c r="AM304" s="915"/>
      <c r="AN304" s="915"/>
    </row>
    <row r="305" spans="3:40" ht="21.6" customHeight="1">
      <c r="C305" s="57"/>
      <c r="D305" s="175" t="s">
        <v>284</v>
      </c>
      <c r="E305" s="180">
        <f>'BOD-Cold &amp; Amb.'!AP350</f>
        <v>4</v>
      </c>
      <c r="F305" s="832" t="s">
        <v>285</v>
      </c>
      <c r="G305" s="837" t="str">
        <f>IF(OR(I302=0, E305="Amb"), "Amb",IF('BOD-Cold &amp; Amb.'!AH265="C", "Header",IF('BOD-Cold &amp; Amb.'!AH265="D", "Distributor", "Refer")))</f>
        <v>Header</v>
      </c>
      <c r="H305" s="832" t="s">
        <v>286</v>
      </c>
      <c r="I305" s="833" t="str">
        <f>IF(OR(I302=0, E305=0), 0,ROUND(((( I302/E305)*304.8)/(E303-400))*1000,0)&amp;" h "&amp;" x " &amp; (E303-400)&amp;" w ")</f>
        <v xml:space="preserve">2297 h  x 3600 w </v>
      </c>
      <c r="J305" s="902"/>
      <c r="K305" s="902"/>
      <c r="L305" s="902"/>
      <c r="M305" s="902"/>
      <c r="N305" s="902"/>
      <c r="O305" s="902"/>
      <c r="P305" s="902"/>
      <c r="Q305" s="913"/>
      <c r="R305" s="913"/>
      <c r="S305" s="913"/>
      <c r="T305" s="913"/>
      <c r="U305" s="912"/>
      <c r="V305" s="912"/>
      <c r="W305" s="913"/>
      <c r="X305" s="912"/>
      <c r="Y305" s="912"/>
      <c r="Z305" s="912"/>
      <c r="AA305" s="912"/>
      <c r="AB305" s="912"/>
      <c r="AC305" s="912"/>
      <c r="AD305" s="912"/>
      <c r="AE305" s="912"/>
      <c r="AF305" s="912"/>
      <c r="AG305" s="912"/>
      <c r="AH305" s="912"/>
      <c r="AI305" s="912"/>
      <c r="AJ305" s="912"/>
      <c r="AK305" s="912"/>
      <c r="AL305" s="912"/>
      <c r="AM305" s="915"/>
      <c r="AN305" s="915"/>
    </row>
    <row r="306" spans="3:40" ht="27.95">
      <c r="C306" s="57"/>
      <c r="D306" s="175" t="s">
        <v>287</v>
      </c>
      <c r="E306" s="180">
        <f>'BOD-Cold &amp; Amb.'!AR350</f>
        <v>4</v>
      </c>
      <c r="F306" s="176" t="s">
        <v>288</v>
      </c>
      <c r="G306" s="177" t="str">
        <f>IF(E306=4,"10µ, 5µ, 1µ &amp; 0.3µ (HEPA Plenum Fitted 95% eff.)",IF(E306=3,"10µ, 5µ &amp; 1µ ",IF(E306=2,"10µ  &amp; 5µ",IF(E306=1,"10µ", "Filter Ratings"))))</f>
        <v>10µ, 5µ, 1µ &amp; 0.3µ (HEPA Plenum Fitted 95% eff.)</v>
      </c>
      <c r="H306" s="178"/>
      <c r="I306" s="179"/>
      <c r="J306" s="902"/>
      <c r="K306" s="902"/>
      <c r="L306" s="902"/>
      <c r="M306" s="902"/>
      <c r="N306" s="902"/>
      <c r="O306" s="902"/>
      <c r="P306" s="902"/>
      <c r="Q306" s="913"/>
      <c r="R306" s="913"/>
      <c r="S306" s="913"/>
      <c r="T306" s="913"/>
      <c r="U306" s="912"/>
      <c r="V306" s="912"/>
      <c r="W306" s="913"/>
      <c r="X306" s="912"/>
      <c r="Y306" s="912"/>
      <c r="Z306" s="912"/>
      <c r="AA306" s="912"/>
      <c r="AB306" s="912"/>
      <c r="AC306" s="912"/>
      <c r="AD306" s="912"/>
      <c r="AE306" s="912"/>
      <c r="AF306" s="912"/>
      <c r="AG306" s="912"/>
      <c r="AH306" s="912"/>
      <c r="AI306" s="912"/>
      <c r="AJ306" s="912"/>
      <c r="AK306" s="912"/>
      <c r="AL306" s="912"/>
      <c r="AM306" s="915"/>
      <c r="AN306" s="915"/>
    </row>
    <row r="307" spans="3:40">
      <c r="C307" s="57"/>
      <c r="D307" s="922" t="s">
        <v>289</v>
      </c>
      <c r="E307" s="923"/>
      <c r="F307" s="923"/>
      <c r="G307" s="923"/>
      <c r="H307" s="923"/>
      <c r="I307" s="924"/>
      <c r="J307" s="902"/>
      <c r="K307" s="902"/>
      <c r="L307" s="902"/>
      <c r="M307" s="902"/>
      <c r="N307" s="902"/>
      <c r="O307" s="902"/>
      <c r="P307" s="902"/>
      <c r="Q307" s="913"/>
      <c r="R307" s="913"/>
      <c r="S307" s="913"/>
      <c r="T307" s="913"/>
      <c r="U307" s="912"/>
      <c r="V307" s="912"/>
      <c r="W307" s="913"/>
      <c r="X307" s="912"/>
      <c r="Y307" s="912"/>
      <c r="Z307" s="912"/>
      <c r="AA307" s="912"/>
      <c r="AB307" s="912"/>
      <c r="AC307" s="912"/>
      <c r="AD307" s="912"/>
      <c r="AE307" s="912"/>
      <c r="AF307" s="912"/>
      <c r="AG307" s="912"/>
      <c r="AH307" s="912"/>
      <c r="AI307" s="912"/>
      <c r="AJ307" s="912"/>
      <c r="AK307" s="912"/>
      <c r="AL307" s="912"/>
      <c r="AM307" s="915"/>
      <c r="AN307" s="915"/>
    </row>
    <row r="308" spans="3:40" ht="24.95">
      <c r="C308" s="57"/>
      <c r="D308" s="58" t="s">
        <v>290</v>
      </c>
      <c r="E308" s="58" t="s">
        <v>291</v>
      </c>
      <c r="F308" s="58" t="s">
        <v>292</v>
      </c>
      <c r="G308" s="58" t="s">
        <v>293</v>
      </c>
      <c r="H308" s="58" t="s">
        <v>294</v>
      </c>
      <c r="I308" s="179"/>
      <c r="J308" s="902"/>
      <c r="K308" s="902"/>
      <c r="L308" s="902"/>
      <c r="M308" s="902"/>
      <c r="N308" s="902"/>
      <c r="O308" s="902"/>
      <c r="P308" s="902"/>
      <c r="Q308" s="913"/>
      <c r="R308" s="913"/>
      <c r="S308" s="913"/>
      <c r="T308" s="913"/>
      <c r="U308" s="912"/>
      <c r="V308" s="912"/>
      <c r="W308" s="913"/>
      <c r="X308" s="912"/>
      <c r="Y308" s="912"/>
      <c r="Z308" s="912"/>
      <c r="AA308" s="912"/>
      <c r="AB308" s="912"/>
      <c r="AC308" s="912"/>
      <c r="AD308" s="912"/>
      <c r="AE308" s="912"/>
      <c r="AF308" s="912"/>
      <c r="AG308" s="912"/>
      <c r="AH308" s="912"/>
      <c r="AI308" s="912"/>
      <c r="AJ308" s="912"/>
      <c r="AK308" s="912"/>
      <c r="AL308" s="912"/>
      <c r="AM308" s="915"/>
      <c r="AN308" s="915"/>
    </row>
    <row r="309" spans="3:40" ht="14.1">
      <c r="C309" s="57"/>
      <c r="D309" s="58"/>
      <c r="E309" s="58">
        <f>IF(E303=950,2,(IF(E303=1150,3,(IF(E303=1550,4,(IF(E303=1750,5,(IF(E303=2050,6,(IF(E303=2900,8,(IF(E303=3600,10,IF(E303=4000,12,0))))))))))))))</f>
        <v>12</v>
      </c>
      <c r="F309" s="58">
        <f>IF(G303=950,2,(IF(G303=1150,3,(IF(G303=1550,4,(IF(G303=1750,5,(IF(G303=2050,6,(IF(G303=2900,8,(IF(G303=3600,10,IF(E303=4000,12,0))))))))))))))</f>
        <v>10</v>
      </c>
      <c r="G309" s="58"/>
      <c r="H309" s="60"/>
      <c r="I309" s="834"/>
      <c r="J309" s="902"/>
      <c r="K309" s="902"/>
      <c r="L309" s="902"/>
      <c r="M309" s="902"/>
      <c r="N309" s="902"/>
      <c r="O309" s="902"/>
      <c r="P309" s="902"/>
      <c r="Q309" s="913"/>
      <c r="R309" s="913"/>
      <c r="S309" s="913"/>
      <c r="T309" s="913"/>
      <c r="U309" s="912"/>
      <c r="V309" s="912"/>
      <c r="W309" s="913"/>
      <c r="X309" s="912"/>
      <c r="Y309" s="912"/>
      <c r="Z309" s="912"/>
      <c r="AA309" s="912"/>
      <c r="AB309" s="912"/>
      <c r="AC309" s="912"/>
      <c r="AD309" s="912"/>
      <c r="AE309" s="912"/>
      <c r="AF309" s="912"/>
      <c r="AG309" s="912"/>
      <c r="AH309" s="912"/>
      <c r="AI309" s="912"/>
      <c r="AJ309" s="912"/>
      <c r="AK309" s="912"/>
      <c r="AL309" s="912"/>
      <c r="AM309" s="915"/>
      <c r="AN309" s="915"/>
    </row>
    <row r="310" spans="3:40" ht="14.1">
      <c r="C310" s="57"/>
      <c r="D310" s="58">
        <f>IF(AND(I302=0, OR(E306=1, E306=2, E306=3, E306=4, E306=5)), "20µ", 0)</f>
        <v>0</v>
      </c>
      <c r="E310" s="58">
        <f>IF(OR(D310=0),0,IF(MOD($E$42*$F$42,2)=0,"610",IF(MOD($E$42*$F$42,2.5)=0,"760",IF(MOD($E$42*$F$42,3)=0,"915","Refer"))))</f>
        <v>0</v>
      </c>
      <c r="F310" s="58">
        <f>IF(OR(D310=0),0,IF(MOD($E$42*$F$42,6)=0,"915",IF(MOD($E$42*$F$42,5)=0,"760",IF(MOD($E$42*$F$42,4)=0,"610","Refer"))))</f>
        <v>0</v>
      </c>
      <c r="G310" s="58">
        <f>IF(D310=0,0,100)</f>
        <v>0</v>
      </c>
      <c r="H310" s="60">
        <f>IF(D310=0,0,($E$42*$F$42*305*305)/(E310*F310))</f>
        <v>0</v>
      </c>
      <c r="I310" s="834"/>
      <c r="J310" s="902"/>
      <c r="K310" s="902"/>
      <c r="L310" s="902"/>
      <c r="M310" s="902"/>
      <c r="N310" s="902"/>
      <c r="O310" s="902"/>
      <c r="P310" s="902"/>
      <c r="Q310" s="55"/>
      <c r="R310" s="55"/>
      <c r="S310" s="55"/>
      <c r="T310" s="55"/>
      <c r="U310" s="45"/>
      <c r="V310" s="45"/>
      <c r="W310" s="55"/>
      <c r="X310" s="45"/>
      <c r="Y310" s="45"/>
      <c r="Z310" s="45"/>
      <c r="AA310" s="45"/>
      <c r="AB310" s="45"/>
      <c r="AC310" s="45"/>
      <c r="AD310" s="45"/>
      <c r="AE310" s="45"/>
      <c r="AF310" s="45"/>
      <c r="AG310" s="45"/>
      <c r="AH310" s="45"/>
      <c r="AI310" s="45"/>
      <c r="AJ310" s="45"/>
      <c r="AK310" s="45"/>
      <c r="AL310" s="45"/>
      <c r="AM310" s="63"/>
      <c r="AN310" s="63"/>
    </row>
    <row r="311" spans="3:40" ht="14.1">
      <c r="C311" s="57"/>
      <c r="D311" s="58" t="str">
        <f>IF(E306=4,"10µ",IF(E306=3,"10µ",IF(E306=2,"10µ",IF(E306=1,"10µ",0))))</f>
        <v>10µ</v>
      </c>
      <c r="E311" s="58" t="str">
        <f>IF(OR(D311=0),0,IF(MOD($E$42*$F$42,2)=0,"610",IF(MOD($E$42*$F$42,2.5)=0,"760",IF(MOD($E$42*$F$42,3)=0,"915","Refer"))))</f>
        <v>610</v>
      </c>
      <c r="F311" s="58" t="str">
        <f>IF(OR(D311=0),0,IF(MOD($E$42*$F$42,6)=0,"915",IF(MOD($E$42*$F$42,5)=0,"760",IF(MOD($E$42*$F$42,4)=0,"610","Refer"))))</f>
        <v>915</v>
      </c>
      <c r="G311" s="58">
        <f>IF(D311=0,0,150)</f>
        <v>150</v>
      </c>
      <c r="H311" s="60">
        <f>IF(D311=0,0,($E$42*$F$42*305*305)/(E311*F311))</f>
        <v>6</v>
      </c>
      <c r="I311" s="834"/>
      <c r="J311" s="902"/>
      <c r="K311" s="902"/>
      <c r="L311" s="902"/>
      <c r="M311" s="902"/>
      <c r="N311" s="902"/>
      <c r="O311" s="902"/>
      <c r="P311" s="902"/>
      <c r="Q311" s="913"/>
      <c r="R311" s="913"/>
      <c r="S311" s="913"/>
      <c r="T311" s="913"/>
      <c r="U311" s="912"/>
      <c r="V311" s="912"/>
      <c r="W311" s="913"/>
      <c r="X311" s="912"/>
      <c r="Y311" s="912"/>
      <c r="Z311" s="912"/>
      <c r="AA311" s="912"/>
      <c r="AB311" s="912"/>
      <c r="AC311" s="912"/>
      <c r="AD311" s="912"/>
      <c r="AE311" s="912"/>
      <c r="AF311" s="912"/>
      <c r="AG311" s="912"/>
      <c r="AH311" s="912"/>
      <c r="AI311" s="912"/>
      <c r="AJ311" s="912"/>
      <c r="AK311" s="912"/>
      <c r="AL311" s="912"/>
      <c r="AM311" s="915"/>
      <c r="AN311" s="915"/>
    </row>
    <row r="312" spans="3:40" ht="14.1">
      <c r="C312" s="57"/>
      <c r="D312" s="58" t="str">
        <f>IF(E306=4,"5µ",IF(E306=3,"5µ",IF(E306=2,"5µ",0)))</f>
        <v>5µ</v>
      </c>
      <c r="E312" s="58" t="str">
        <f t="shared" ref="E312:E314" si="190">IF(OR(D312=0),0,IF(MOD($E$42*$F$42,2)=0,"610",IF(MOD($E$42*$F$42,2.5)=0,"760",IF(MOD($E$42*$F$42,3)=0,"915","Refer"))))</f>
        <v>610</v>
      </c>
      <c r="F312" s="58" t="str">
        <f>IF(OR(D312=0),0,IF(MOD($E$42*$F$42,6)=0,"915",IF(MOD($E$42*$F$42,5)=0,"760",IF(MOD($E$42*$F$42,4)=0,"610","Refer"))))</f>
        <v>915</v>
      </c>
      <c r="G312" s="58">
        <f>IF(D312=0,0,300)</f>
        <v>300</v>
      </c>
      <c r="H312" s="60">
        <f>IF(D312=0,0,($E$42*$F$42*305*305)/(E312*F312))</f>
        <v>6</v>
      </c>
      <c r="I312" s="834"/>
      <c r="J312" s="902"/>
      <c r="K312" s="902"/>
      <c r="L312" s="902"/>
      <c r="M312" s="902"/>
      <c r="N312" s="902"/>
      <c r="O312" s="902"/>
      <c r="P312" s="902"/>
      <c r="Q312" s="913"/>
      <c r="R312" s="913"/>
      <c r="S312" s="913"/>
      <c r="T312" s="913"/>
      <c r="U312" s="912"/>
      <c r="V312" s="912"/>
      <c r="W312" s="913"/>
      <c r="X312" s="912"/>
      <c r="Y312" s="912"/>
      <c r="Z312" s="912"/>
      <c r="AA312" s="912"/>
      <c r="AB312" s="912"/>
      <c r="AC312" s="912"/>
      <c r="AD312" s="912"/>
      <c r="AE312" s="912"/>
      <c r="AF312" s="912"/>
      <c r="AG312" s="912"/>
      <c r="AH312" s="912"/>
      <c r="AI312" s="912"/>
      <c r="AJ312" s="912"/>
      <c r="AK312" s="912"/>
      <c r="AL312" s="912"/>
      <c r="AM312" s="915"/>
      <c r="AN312" s="915"/>
    </row>
    <row r="313" spans="3:40" ht="14.1">
      <c r="C313" s="57"/>
      <c r="D313" s="58" t="str">
        <f>IF(E306=4,"1µ",IF(E306=3,"1µ",0))</f>
        <v>1µ</v>
      </c>
      <c r="E313" s="58" t="str">
        <f t="shared" si="190"/>
        <v>610</v>
      </c>
      <c r="F313" s="58" t="str">
        <f>IF(OR(D313=0),0,IF(MOD($E$42*$F$42,6)=0,"915",IF(MOD($E$42*$F$42,5)=0,"760",IF(MOD($E$42*$F$42,4)=0,"610","Refer"))))</f>
        <v>915</v>
      </c>
      <c r="G313" s="58">
        <f>IF(D313=0,0,300)</f>
        <v>300</v>
      </c>
      <c r="H313" s="60">
        <f>IF(D313=0,0,($E$42*$F$42*305*305)/(E313*F313))</f>
        <v>6</v>
      </c>
      <c r="I313" s="834"/>
      <c r="J313" s="902"/>
      <c r="K313" s="902"/>
      <c r="L313" s="902"/>
      <c r="M313" s="902"/>
      <c r="N313" s="902"/>
      <c r="O313" s="902"/>
      <c r="P313" s="902"/>
      <c r="Q313" s="913"/>
      <c r="R313" s="913"/>
      <c r="S313" s="913"/>
      <c r="T313" s="913"/>
      <c r="U313" s="912"/>
      <c r="V313" s="912"/>
      <c r="W313" s="913"/>
      <c r="X313" s="912"/>
      <c r="Y313" s="912"/>
      <c r="Z313" s="912"/>
      <c r="AA313" s="912"/>
      <c r="AB313" s="912"/>
      <c r="AC313" s="912"/>
      <c r="AD313" s="912"/>
      <c r="AE313" s="912"/>
      <c r="AF313" s="912"/>
      <c r="AG313" s="912"/>
      <c r="AH313" s="912"/>
      <c r="AI313" s="912"/>
      <c r="AJ313" s="912"/>
      <c r="AK313" s="912"/>
      <c r="AL313" s="912"/>
      <c r="AM313" s="915"/>
      <c r="AN313" s="915"/>
    </row>
    <row r="314" spans="3:40" ht="37.5">
      <c r="C314" s="57"/>
      <c r="D314" s="58" t="str">
        <f>IF(E306=4,"0.3µ 95% Eff. HEPA Filetr",0)</f>
        <v>0.3µ 95% Eff. HEPA Filetr</v>
      </c>
      <c r="E314" s="58" t="str">
        <f t="shared" si="190"/>
        <v>610</v>
      </c>
      <c r="F314" s="58" t="str">
        <f>IF(OR(D314=0),0,IF(MOD($E$42*$F$42,6)=0,"915",IF(MOD($E$42*$F$42,5)=0,"760",IF(MOD($E$42*$F$42,4)=0,"610","Refer"))))</f>
        <v>915</v>
      </c>
      <c r="G314" s="58">
        <f>IF(D314=0,0,300)</f>
        <v>300</v>
      </c>
      <c r="H314" s="60">
        <f>IF(D314=0,0,($E$42*$F$42*305*305)/(E314*F314))</f>
        <v>6</v>
      </c>
      <c r="I314" s="836"/>
      <c r="J314" s="902"/>
      <c r="K314" s="902"/>
      <c r="L314" s="902"/>
      <c r="M314" s="902"/>
      <c r="N314" s="902"/>
      <c r="O314" s="902"/>
      <c r="P314" s="902"/>
      <c r="Q314" s="913"/>
      <c r="R314" s="913"/>
      <c r="S314" s="913"/>
      <c r="T314" s="913"/>
      <c r="U314" s="912"/>
      <c r="V314" s="912"/>
      <c r="W314" s="913"/>
      <c r="X314" s="912"/>
      <c r="Y314" s="912"/>
      <c r="Z314" s="912"/>
      <c r="AA314" s="912"/>
      <c r="AB314" s="912"/>
      <c r="AC314" s="912"/>
      <c r="AD314" s="912"/>
      <c r="AE314" s="912"/>
      <c r="AF314" s="912"/>
      <c r="AG314" s="912"/>
      <c r="AH314" s="912"/>
      <c r="AI314" s="912"/>
      <c r="AJ314" s="912"/>
      <c r="AK314" s="912"/>
      <c r="AL314" s="912"/>
      <c r="AM314" s="915"/>
      <c r="AN314" s="915"/>
    </row>
    <row r="315" spans="3:40" ht="14.1">
      <c r="C315" s="57"/>
      <c r="D315" s="826"/>
      <c r="E315" s="182"/>
      <c r="F315" s="182"/>
      <c r="G315" s="182"/>
      <c r="H315" s="182"/>
      <c r="I315" s="827"/>
      <c r="J315" s="52"/>
      <c r="K315" s="52"/>
      <c r="L315" s="52"/>
      <c r="M315" s="52"/>
      <c r="N315" s="52"/>
      <c r="O315" s="828"/>
      <c r="P315" s="828"/>
      <c r="Q315" s="55"/>
      <c r="R315" s="55"/>
      <c r="S315" s="55"/>
      <c r="T315" s="55"/>
      <c r="U315" s="45"/>
      <c r="V315" s="45"/>
      <c r="W315" s="55"/>
      <c r="X315" s="45"/>
      <c r="Y315" s="45"/>
      <c r="Z315" s="45"/>
      <c r="AA315" s="45"/>
      <c r="AB315" s="45"/>
      <c r="AC315" s="45"/>
      <c r="AD315" s="45"/>
      <c r="AE315" s="45"/>
      <c r="AF315" s="45"/>
      <c r="AG315" s="45"/>
      <c r="AH315" s="45"/>
      <c r="AI315" s="45"/>
      <c r="AJ315" s="45"/>
      <c r="AK315" s="45"/>
      <c r="AL315" s="45"/>
      <c r="AM315" s="63"/>
      <c r="AN315" s="63"/>
    </row>
    <row r="316" spans="3:40" ht="14.1" customHeight="1">
      <c r="C316" s="57"/>
      <c r="D316" s="901" t="str">
        <f>"AHU - " &amp; INT((ROW()-34)/14)+1 &amp; "  " &amp; IF(I317&gt;0,"Air-Conditioning System " &amp; IF(OR(G320="Header", G320="C"), "(Chilled Water)",IF(OR(G320="Distributor", G320="D"), "(DX)", "Ventilation System")),IF(NOT(I317&gt;0), "Ventilation System ( SUPPLY )", "Refer"))</f>
        <v>AHU - 21  Air-Conditioning System (Chilled Water)</v>
      </c>
      <c r="E316" s="901"/>
      <c r="F316" s="901"/>
      <c r="G316" s="901"/>
      <c r="H316" s="901"/>
      <c r="I316" s="901"/>
      <c r="J316" s="52"/>
      <c r="K316" s="52"/>
      <c r="L316" s="53"/>
      <c r="M316" s="53"/>
      <c r="N316" s="53"/>
      <c r="O316" s="54"/>
      <c r="P316" s="55"/>
      <c r="AM316" s="56"/>
      <c r="AN316" s="56"/>
    </row>
    <row r="317" spans="3:40" ht="14.1">
      <c r="C317" s="57"/>
      <c r="D317" s="175" t="s">
        <v>274</v>
      </c>
      <c r="E317" s="180" t="str">
        <f>'BOD-Cold &amp; Amb.'!R370</f>
        <v>ISO 7</v>
      </c>
      <c r="F317" s="175" t="s">
        <v>275</v>
      </c>
      <c r="G317" s="180">
        <f>'BOD-Cold &amp; Amb.'!AK370</f>
        <v>42500</v>
      </c>
      <c r="H317" s="175" t="s">
        <v>276</v>
      </c>
      <c r="I317" s="181">
        <f>'BOD-Cold &amp; Amb.'!AQ370</f>
        <v>108.5</v>
      </c>
      <c r="J317" s="902" t="s">
        <v>277</v>
      </c>
      <c r="K317" s="902">
        <v>1</v>
      </c>
      <c r="L317" s="917">
        <f>Q317</f>
        <v>2070750</v>
      </c>
      <c r="M317" s="902">
        <f>K317*L317</f>
        <v>2070750</v>
      </c>
      <c r="N317" s="902"/>
      <c r="O317" s="902"/>
      <c r="P317" s="902"/>
      <c r="Q317" s="913">
        <f t="shared" ref="Q317" si="191">CEILING((S317+T317+U317+V317+W317),250)</f>
        <v>2070750</v>
      </c>
      <c r="R317" s="913">
        <f>IF(I317&gt;0,625,375)</f>
        <v>625</v>
      </c>
      <c r="S317" s="913">
        <f>(E318*G318*3*10.76+E318*I318*2*10.76+G318*I318*2*10.76)*R317/(1000*1000)</f>
        <v>883396</v>
      </c>
      <c r="T317" s="913">
        <f>I317*4*1050</f>
        <v>455700</v>
      </c>
      <c r="U317" s="912">
        <f>IF(G317&lt;=2000,5000,(IF(G317&lt;=5000,8000,(IF(G317&lt;=10000,10000,(IF(G317&lt;=18000,15000,(IF(G317&lt;=40000,20000,25000)))))))))</f>
        <v>25000</v>
      </c>
      <c r="V317" s="912">
        <f t="shared" ref="V317" si="192">IF(X317=200,17150,(IF(X317=225,18150,(IF(X317=250,18900,(IF(X317=280,19150,(IF(X317=315,19650,(IF(X317=355,21900,(IF(X317=400,24400,0)))))))))))))+IF(X317=450,31000,(IF(X317=500,37450,(IF(X317=560,45650,(IF(X317=630,58900,(IF(X317=710,77950,0)))))))))+IF(X317=800,119650,(IF(X317=900,153300,(IF(X317=1000,178900,(IF(X317=1120,286500,(IF(X317=1250,394500,(IF(X317=1450,461500,0)))))))))))</f>
        <v>286500</v>
      </c>
      <c r="W317" s="913">
        <f>IF(I319=0.5,16600,(IF(I319=1,19050,(IF(I319=1.5,21750,(IF(I319=2,23600,(IF(I319=3,30000,(IF(I319=5,38000,0)))))))))))*1.2+IF(I319=7.5,52300,(IF(I319=10,59600,0)))*1.2+IF(I319=12.5,100350,(IF(I319=15,106000,(IF(I319=20,129150,(IF(I319=25,146050,(IF(I319=30,173600,(IF(I319=40,233900,(IF(I319=50,304650,IF(I319=60,350000,400000)))))))))))))*1.2)</f>
        <v>420000</v>
      </c>
      <c r="X317" s="912">
        <f>E319</f>
        <v>1120</v>
      </c>
      <c r="Y317" s="912">
        <f t="shared" ref="Y317" si="193">IF(G317&lt;=6750,450,(IF(G317&lt;=8500,500,(IF(G317&lt;=10750,560,(IF(G317&lt;=13500,630,(IF(G317&lt;=17000,710,(IF(G317&lt;=21500,800,(IF(G317&lt;=27000,900,(IF(G317&lt;=34000,1000,0)))))))))))))))</f>
        <v>0</v>
      </c>
      <c r="Z317" s="912">
        <f t="shared" ref="Z317" si="194">IF(G317&lt;=1300,200,(IF(G317&lt;=1600,225,(IF(G317&lt;=2100,250,(IF(G317&lt;=2700,280,(IF(G317&lt;=3450,315,(IF(G317&lt;=4250,355,(IF(G317&lt;=5250,400,(IF(G317&lt;=6750,450,0)))))))))))))))</f>
        <v>0</v>
      </c>
      <c r="AA317" s="912">
        <f t="shared" ref="AA317" si="195">IF(G317&lt;=2000,5000,(IF(G317&lt;=5000,8000,(IF(G317&lt;=10000,10000,(IF(G317&lt;=18000,15000,(IF(G317&lt;=40000,20000,10000)))))))))</f>
        <v>10000</v>
      </c>
      <c r="AB317" s="912">
        <f>IF(E318=950,2,(IF(E318=1150,3,(IF(E318=1550,4,(IF(E318=1750,5,(IF(E318=2050,6,(IF(E318=2900,8,(IF(E318=3600,10,12)))))))))))))</f>
        <v>12</v>
      </c>
      <c r="AC317" s="912">
        <f>IF(G318=950,2,(IF(G318=1150,3,(IF(G318=1550,4,(IF(G318=1750,5,(IF(G318=2050,6,(IF(G318=2900,8,(IF(G318=3600,10,12)))))))))))))</f>
        <v>10</v>
      </c>
      <c r="AD317" s="912">
        <f t="shared" ref="AD317" si="196">AC317*AB317</f>
        <v>120</v>
      </c>
      <c r="AE317" s="912">
        <v>150</v>
      </c>
      <c r="AF317" s="912">
        <f t="shared" ref="AF317" si="197">CEILING((SQRT(G317/1000))*4*2*AE317*1.25*K317,100)</f>
        <v>9800</v>
      </c>
      <c r="AG317" s="912">
        <f>E325*F325*H325/(305*305)</f>
        <v>0</v>
      </c>
      <c r="AH317" s="912">
        <f>E326*F326*H326/(305*305)</f>
        <v>36</v>
      </c>
      <c r="AI317" s="912">
        <f>H327*E327*F327/(305*305)</f>
        <v>36</v>
      </c>
      <c r="AJ317" s="912">
        <f>H328*E328*F328/(305*305)</f>
        <v>36</v>
      </c>
      <c r="AK317" s="912">
        <f>H329*E329*F329/(305*305)</f>
        <v>0</v>
      </c>
      <c r="AL317" s="912"/>
      <c r="AM317" s="915">
        <f t="shared" ref="AM317" si="198">(G317*2.2/1100)</f>
        <v>85.000000000000014</v>
      </c>
      <c r="AN317" s="915">
        <f t="shared" ref="AN317" si="199">(G317*1/1100)</f>
        <v>38.636363636363633</v>
      </c>
    </row>
    <row r="318" spans="3:40" ht="14.1">
      <c r="C318" s="57"/>
      <c r="D318" s="175" t="s">
        <v>278</v>
      </c>
      <c r="E318" s="180">
        <f>'BOD-Cold &amp; Amb.'!AL371</f>
        <v>4000</v>
      </c>
      <c r="F318" s="175" t="s">
        <v>279</v>
      </c>
      <c r="G318" s="180">
        <f>'BOD-Cold &amp; Amb.'!AL373</f>
        <v>3600</v>
      </c>
      <c r="H318" s="175" t="s">
        <v>280</v>
      </c>
      <c r="I318" s="181">
        <f>'BOD-Cold &amp; Amb.'!AL375</f>
        <v>5800</v>
      </c>
      <c r="J318" s="902"/>
      <c r="K318" s="902"/>
      <c r="L318" s="902"/>
      <c r="M318" s="902"/>
      <c r="N318" s="902"/>
      <c r="O318" s="902"/>
      <c r="P318" s="902"/>
      <c r="Q318" s="913"/>
      <c r="R318" s="913"/>
      <c r="S318" s="913"/>
      <c r="T318" s="913"/>
      <c r="U318" s="912"/>
      <c r="V318" s="912"/>
      <c r="W318" s="913"/>
      <c r="X318" s="912"/>
      <c r="Y318" s="912"/>
      <c r="Z318" s="912"/>
      <c r="AA318" s="912"/>
      <c r="AB318" s="912"/>
      <c r="AC318" s="912"/>
      <c r="AD318" s="912"/>
      <c r="AE318" s="912"/>
      <c r="AF318" s="912"/>
      <c r="AG318" s="912"/>
      <c r="AH318" s="912"/>
      <c r="AI318" s="912"/>
      <c r="AJ318" s="912"/>
      <c r="AK318" s="912"/>
      <c r="AL318" s="912"/>
      <c r="AM318" s="915"/>
      <c r="AN318" s="915"/>
    </row>
    <row r="319" spans="3:40" ht="14.1">
      <c r="C319" s="57"/>
      <c r="D319" s="175" t="s">
        <v>281</v>
      </c>
      <c r="E319" s="180">
        <f>'BOD-Cold &amp; Amb.'!AN370</f>
        <v>1120</v>
      </c>
      <c r="F319" s="176" t="s">
        <v>282</v>
      </c>
      <c r="G319" s="180">
        <f>'BOD-Cold &amp; Amb.'!AM370</f>
        <v>150</v>
      </c>
      <c r="H319" s="176" t="s">
        <v>283</v>
      </c>
      <c r="I319" s="181">
        <f>'BOD-Cold &amp; Amb.'!AO370</f>
        <v>60</v>
      </c>
      <c r="J319" s="902"/>
      <c r="K319" s="902"/>
      <c r="L319" s="902"/>
      <c r="M319" s="902"/>
      <c r="N319" s="902"/>
      <c r="O319" s="902"/>
      <c r="P319" s="902"/>
      <c r="Q319" s="913"/>
      <c r="R319" s="913"/>
      <c r="S319" s="913"/>
      <c r="T319" s="913"/>
      <c r="U319" s="912"/>
      <c r="V319" s="912"/>
      <c r="W319" s="913"/>
      <c r="X319" s="912"/>
      <c r="Y319" s="912"/>
      <c r="Z319" s="912"/>
      <c r="AA319" s="912"/>
      <c r="AB319" s="912"/>
      <c r="AC319" s="912"/>
      <c r="AD319" s="912"/>
      <c r="AE319" s="912"/>
      <c r="AF319" s="912"/>
      <c r="AG319" s="912"/>
      <c r="AH319" s="912"/>
      <c r="AI319" s="912"/>
      <c r="AJ319" s="912"/>
      <c r="AK319" s="912"/>
      <c r="AL319" s="912"/>
      <c r="AM319" s="915"/>
      <c r="AN319" s="915"/>
    </row>
    <row r="320" spans="3:40" ht="21.6" customHeight="1">
      <c r="C320" s="57"/>
      <c r="D320" s="175" t="s">
        <v>284</v>
      </c>
      <c r="E320" s="180">
        <f>'BOD-Cold &amp; Amb.'!AP370</f>
        <v>4</v>
      </c>
      <c r="F320" s="832" t="s">
        <v>285</v>
      </c>
      <c r="G320" s="837" t="str">
        <f>IF(OR(I317=0, E320="Amb"), "Amb",IF('BOD-Cold &amp; Amb.'!AH280="C", "Header",IF('BOD-Cold &amp; Amb.'!AH280="D", "Distributor", "Refer")))</f>
        <v>Header</v>
      </c>
      <c r="H320" s="832" t="s">
        <v>286</v>
      </c>
      <c r="I320" s="833" t="str">
        <f>IF(OR(I317=0, E320=0), 0,ROUND(((( I317/E320)*304.8)/(E318-400))*1000,0)&amp;" h "&amp;" x " &amp; (E318-400)&amp;" w ")</f>
        <v xml:space="preserve">2297 h  x 3600 w </v>
      </c>
      <c r="J320" s="902"/>
      <c r="K320" s="902"/>
      <c r="L320" s="902"/>
      <c r="M320" s="902"/>
      <c r="N320" s="902"/>
      <c r="O320" s="902"/>
      <c r="P320" s="902"/>
      <c r="Q320" s="913"/>
      <c r="R320" s="913"/>
      <c r="S320" s="913"/>
      <c r="T320" s="913"/>
      <c r="U320" s="912"/>
      <c r="V320" s="912"/>
      <c r="W320" s="913"/>
      <c r="X320" s="912"/>
      <c r="Y320" s="912"/>
      <c r="Z320" s="912"/>
      <c r="AA320" s="912"/>
      <c r="AB320" s="912"/>
      <c r="AC320" s="912"/>
      <c r="AD320" s="912"/>
      <c r="AE320" s="912"/>
      <c r="AF320" s="912"/>
      <c r="AG320" s="912"/>
      <c r="AH320" s="912"/>
      <c r="AI320" s="912"/>
      <c r="AJ320" s="912"/>
      <c r="AK320" s="912"/>
      <c r="AL320" s="912"/>
      <c r="AM320" s="915"/>
      <c r="AN320" s="915"/>
    </row>
    <row r="321" spans="3:40" ht="21">
      <c r="C321" s="57"/>
      <c r="D321" s="175" t="s">
        <v>287</v>
      </c>
      <c r="E321" s="180">
        <f>'BOD-Cold &amp; Amb.'!AR370</f>
        <v>3</v>
      </c>
      <c r="F321" s="176" t="s">
        <v>288</v>
      </c>
      <c r="G321" s="177" t="str">
        <f>IF(E321=4,"10µ, 5µ, 1µ &amp; 0.3µ (HEPA Plenum Fitted 95% eff.)",IF(E321=3,"10µ, 5µ &amp; 1µ ",IF(E321=2,"10µ  &amp; 5µ",IF(E321=1,"10µ", "Filter Ratings"))))</f>
        <v xml:space="preserve">10µ, 5µ &amp; 1µ </v>
      </c>
      <c r="H321" s="178"/>
      <c r="I321" s="179"/>
      <c r="J321" s="902"/>
      <c r="K321" s="902"/>
      <c r="L321" s="902"/>
      <c r="M321" s="902"/>
      <c r="N321" s="902"/>
      <c r="O321" s="902"/>
      <c r="P321" s="902"/>
      <c r="Q321" s="913"/>
      <c r="R321" s="913"/>
      <c r="S321" s="913"/>
      <c r="T321" s="913"/>
      <c r="U321" s="912"/>
      <c r="V321" s="912"/>
      <c r="W321" s="913"/>
      <c r="X321" s="912"/>
      <c r="Y321" s="912"/>
      <c r="Z321" s="912"/>
      <c r="AA321" s="912"/>
      <c r="AB321" s="912"/>
      <c r="AC321" s="912"/>
      <c r="AD321" s="912"/>
      <c r="AE321" s="912"/>
      <c r="AF321" s="912"/>
      <c r="AG321" s="912"/>
      <c r="AH321" s="912"/>
      <c r="AI321" s="912"/>
      <c r="AJ321" s="912"/>
      <c r="AK321" s="912"/>
      <c r="AL321" s="912"/>
      <c r="AM321" s="915"/>
      <c r="AN321" s="915"/>
    </row>
    <row r="322" spans="3:40">
      <c r="C322" s="57"/>
      <c r="D322" s="922" t="s">
        <v>289</v>
      </c>
      <c r="E322" s="923"/>
      <c r="F322" s="923"/>
      <c r="G322" s="923"/>
      <c r="H322" s="923"/>
      <c r="I322" s="924"/>
      <c r="J322" s="902"/>
      <c r="K322" s="902"/>
      <c r="L322" s="902"/>
      <c r="M322" s="902"/>
      <c r="N322" s="902"/>
      <c r="O322" s="902"/>
      <c r="P322" s="902"/>
      <c r="Q322" s="913"/>
      <c r="R322" s="913"/>
      <c r="S322" s="913"/>
      <c r="T322" s="913"/>
      <c r="U322" s="912"/>
      <c r="V322" s="912"/>
      <c r="W322" s="913"/>
      <c r="X322" s="912"/>
      <c r="Y322" s="912"/>
      <c r="Z322" s="912"/>
      <c r="AA322" s="912"/>
      <c r="AB322" s="912"/>
      <c r="AC322" s="912"/>
      <c r="AD322" s="912"/>
      <c r="AE322" s="912"/>
      <c r="AF322" s="912"/>
      <c r="AG322" s="912"/>
      <c r="AH322" s="912"/>
      <c r="AI322" s="912"/>
      <c r="AJ322" s="912"/>
      <c r="AK322" s="912"/>
      <c r="AL322" s="912"/>
      <c r="AM322" s="915"/>
      <c r="AN322" s="915"/>
    </row>
    <row r="323" spans="3:40" ht="24.95">
      <c r="C323" s="57"/>
      <c r="D323" s="58" t="s">
        <v>290</v>
      </c>
      <c r="E323" s="58" t="s">
        <v>291</v>
      </c>
      <c r="F323" s="58" t="s">
        <v>292</v>
      </c>
      <c r="G323" s="58" t="s">
        <v>293</v>
      </c>
      <c r="H323" s="58" t="s">
        <v>294</v>
      </c>
      <c r="I323" s="179"/>
      <c r="J323" s="902"/>
      <c r="K323" s="902"/>
      <c r="L323" s="902"/>
      <c r="M323" s="902"/>
      <c r="N323" s="902"/>
      <c r="O323" s="902"/>
      <c r="P323" s="902"/>
      <c r="Q323" s="913"/>
      <c r="R323" s="913"/>
      <c r="S323" s="913"/>
      <c r="T323" s="913"/>
      <c r="U323" s="912"/>
      <c r="V323" s="912"/>
      <c r="W323" s="913"/>
      <c r="X323" s="912"/>
      <c r="Y323" s="912"/>
      <c r="Z323" s="912"/>
      <c r="AA323" s="912"/>
      <c r="AB323" s="912"/>
      <c r="AC323" s="912"/>
      <c r="AD323" s="912"/>
      <c r="AE323" s="912"/>
      <c r="AF323" s="912"/>
      <c r="AG323" s="912"/>
      <c r="AH323" s="912"/>
      <c r="AI323" s="912"/>
      <c r="AJ323" s="912"/>
      <c r="AK323" s="912"/>
      <c r="AL323" s="912"/>
      <c r="AM323" s="915"/>
      <c r="AN323" s="915"/>
    </row>
    <row r="324" spans="3:40" ht="14.1">
      <c r="C324" s="57"/>
      <c r="D324" s="58"/>
      <c r="E324" s="58">
        <f>IF(E318=950,2,(IF(E318=1150,3,(IF(E318=1550,4,(IF(E318=1750,5,(IF(E318=2050,6,(IF(E318=2900,8,(IF(E318=3600,10,IF(E318=4000,12,0))))))))))))))</f>
        <v>12</v>
      </c>
      <c r="F324" s="58">
        <f>IF(G318=950,2,(IF(G318=1150,3,(IF(G318=1550,4,(IF(G318=1750,5,(IF(G318=2050,6,(IF(G318=2900,8,(IF(G318=3600,10,IF(E318=4000,12,0))))))))))))))</f>
        <v>10</v>
      </c>
      <c r="G324" s="58"/>
      <c r="H324" s="60"/>
      <c r="I324" s="834"/>
      <c r="J324" s="902"/>
      <c r="K324" s="902"/>
      <c r="L324" s="902"/>
      <c r="M324" s="902"/>
      <c r="N324" s="902"/>
      <c r="O324" s="902"/>
      <c r="P324" s="902"/>
      <c r="Q324" s="913"/>
      <c r="R324" s="913"/>
      <c r="S324" s="913"/>
      <c r="T324" s="913"/>
      <c r="U324" s="912"/>
      <c r="V324" s="912"/>
      <c r="W324" s="913"/>
      <c r="X324" s="912"/>
      <c r="Y324" s="912"/>
      <c r="Z324" s="912"/>
      <c r="AA324" s="912"/>
      <c r="AB324" s="912"/>
      <c r="AC324" s="912"/>
      <c r="AD324" s="912"/>
      <c r="AE324" s="912"/>
      <c r="AF324" s="912"/>
      <c r="AG324" s="912"/>
      <c r="AH324" s="912"/>
      <c r="AI324" s="912"/>
      <c r="AJ324" s="912"/>
      <c r="AK324" s="912"/>
      <c r="AL324" s="912"/>
      <c r="AM324" s="915"/>
      <c r="AN324" s="915"/>
    </row>
    <row r="325" spans="3:40" ht="14.1">
      <c r="C325" s="57"/>
      <c r="D325" s="58">
        <f>IF(AND(I317=0, OR(E321=1, E321=2, E321=3, E321=4, E321=5)), "20µ", 0)</f>
        <v>0</v>
      </c>
      <c r="E325" s="58">
        <f>IF(OR(D325=0),0,IF(MOD($E$42*$F$42,2)=0,"610",IF(MOD($E$42*$F$42,2.5)=0,"760",IF(MOD($E$42*$F$42,3)=0,"915","Refer"))))</f>
        <v>0</v>
      </c>
      <c r="F325" s="58">
        <f>IF(OR(D325=0),0,IF(MOD($E$42*$F$42,6)=0,"915",IF(MOD($E$42*$F$42,5)=0,"760",IF(MOD($E$42*$F$42,4)=0,"610","Refer"))))</f>
        <v>0</v>
      </c>
      <c r="G325" s="58">
        <f>IF(D325=0,0,100)</f>
        <v>0</v>
      </c>
      <c r="H325" s="60">
        <f>IF(D325=0,0,($E$42*$F$42*305*305)/(E325*F325))</f>
        <v>0</v>
      </c>
      <c r="I325" s="834"/>
      <c r="J325" s="902"/>
      <c r="K325" s="902"/>
      <c r="L325" s="902"/>
      <c r="M325" s="902"/>
      <c r="N325" s="902"/>
      <c r="O325" s="902"/>
      <c r="P325" s="902"/>
      <c r="Q325" s="55"/>
      <c r="R325" s="55"/>
      <c r="S325" s="55"/>
      <c r="T325" s="55"/>
      <c r="U325" s="45"/>
      <c r="V325" s="45"/>
      <c r="W325" s="55"/>
      <c r="X325" s="45"/>
      <c r="Y325" s="45"/>
      <c r="Z325" s="45"/>
      <c r="AA325" s="45"/>
      <c r="AB325" s="45"/>
      <c r="AC325" s="45"/>
      <c r="AD325" s="45"/>
      <c r="AE325" s="45"/>
      <c r="AF325" s="45"/>
      <c r="AG325" s="45"/>
      <c r="AH325" s="45"/>
      <c r="AI325" s="45"/>
      <c r="AJ325" s="45"/>
      <c r="AK325" s="45"/>
      <c r="AL325" s="45"/>
      <c r="AM325" s="63"/>
      <c r="AN325" s="63"/>
    </row>
    <row r="326" spans="3:40" ht="14.1">
      <c r="C326" s="57"/>
      <c r="D326" s="58" t="str">
        <f>IF(E321=4,"10µ",IF(E321=3,"10µ",IF(E321=2,"10µ",IF(E321=1,"10µ",0))))</f>
        <v>10µ</v>
      </c>
      <c r="E326" s="58" t="str">
        <f>IF(OR(D326=0),0,IF(MOD($E$42*$F$42,2)=0,"610",IF(MOD($E$42*$F$42,2.5)=0,"760",IF(MOD($E$42*$F$42,3)=0,"915","Refer"))))</f>
        <v>610</v>
      </c>
      <c r="F326" s="58" t="str">
        <f>IF(OR(D326=0),0,IF(MOD($E$42*$F$42,6)=0,"915",IF(MOD($E$42*$F$42,5)=0,"760",IF(MOD($E$42*$F$42,4)=0,"610","Refer"))))</f>
        <v>915</v>
      </c>
      <c r="G326" s="58">
        <f>IF(D326=0,0,150)</f>
        <v>150</v>
      </c>
      <c r="H326" s="60">
        <f>IF(D326=0,0,($E$42*$F$42*305*305)/(E326*F326))</f>
        <v>6</v>
      </c>
      <c r="I326" s="834"/>
      <c r="J326" s="902"/>
      <c r="K326" s="902"/>
      <c r="L326" s="902"/>
      <c r="M326" s="902"/>
      <c r="N326" s="902"/>
      <c r="O326" s="902"/>
      <c r="P326" s="902"/>
      <c r="Q326" s="913"/>
      <c r="R326" s="913"/>
      <c r="S326" s="913"/>
      <c r="T326" s="913"/>
      <c r="U326" s="912"/>
      <c r="V326" s="912"/>
      <c r="W326" s="913"/>
      <c r="X326" s="912"/>
      <c r="Y326" s="912"/>
      <c r="Z326" s="912"/>
      <c r="AA326" s="912"/>
      <c r="AB326" s="912"/>
      <c r="AC326" s="912"/>
      <c r="AD326" s="912"/>
      <c r="AE326" s="912"/>
      <c r="AF326" s="912"/>
      <c r="AG326" s="912"/>
      <c r="AH326" s="912"/>
      <c r="AI326" s="912"/>
      <c r="AJ326" s="912"/>
      <c r="AK326" s="912"/>
      <c r="AL326" s="912"/>
      <c r="AM326" s="915"/>
      <c r="AN326" s="915"/>
    </row>
    <row r="327" spans="3:40" ht="14.1">
      <c r="C327" s="57"/>
      <c r="D327" s="58" t="str">
        <f>IF(E321=4,"5µ",IF(E321=3,"5µ",IF(E321=2,"5µ",0)))</f>
        <v>5µ</v>
      </c>
      <c r="E327" s="58" t="str">
        <f t="shared" ref="E327:E329" si="200">IF(OR(D327=0),0,IF(MOD($E$42*$F$42,2)=0,"610",IF(MOD($E$42*$F$42,2.5)=0,"760",IF(MOD($E$42*$F$42,3)=0,"915","Refer"))))</f>
        <v>610</v>
      </c>
      <c r="F327" s="58" t="str">
        <f>IF(OR(D327=0),0,IF(MOD($E$42*$F$42,6)=0,"915",IF(MOD($E$42*$F$42,5)=0,"760",IF(MOD($E$42*$F$42,4)=0,"610","Refer"))))</f>
        <v>915</v>
      </c>
      <c r="G327" s="58">
        <f>IF(D327=0,0,300)</f>
        <v>300</v>
      </c>
      <c r="H327" s="60">
        <f>IF(D327=0,0,($E$42*$F$42*305*305)/(E327*F327))</f>
        <v>6</v>
      </c>
      <c r="I327" s="834"/>
      <c r="J327" s="902"/>
      <c r="K327" s="902"/>
      <c r="L327" s="902"/>
      <c r="M327" s="902"/>
      <c r="N327" s="902"/>
      <c r="O327" s="902"/>
      <c r="P327" s="902"/>
      <c r="Q327" s="913"/>
      <c r="R327" s="913"/>
      <c r="S327" s="913"/>
      <c r="T327" s="913"/>
      <c r="U327" s="912"/>
      <c r="V327" s="912"/>
      <c r="W327" s="913"/>
      <c r="X327" s="912"/>
      <c r="Y327" s="912"/>
      <c r="Z327" s="912"/>
      <c r="AA327" s="912"/>
      <c r="AB327" s="912"/>
      <c r="AC327" s="912"/>
      <c r="AD327" s="912"/>
      <c r="AE327" s="912"/>
      <c r="AF327" s="912"/>
      <c r="AG327" s="912"/>
      <c r="AH327" s="912"/>
      <c r="AI327" s="912"/>
      <c r="AJ327" s="912"/>
      <c r="AK327" s="912"/>
      <c r="AL327" s="912"/>
      <c r="AM327" s="915"/>
      <c r="AN327" s="915"/>
    </row>
    <row r="328" spans="3:40" ht="14.1">
      <c r="C328" s="57"/>
      <c r="D328" s="58" t="str">
        <f>IF(E321=4,"1µ",IF(E321=3,"1µ",0))</f>
        <v>1µ</v>
      </c>
      <c r="E328" s="58" t="str">
        <f t="shared" si="200"/>
        <v>610</v>
      </c>
      <c r="F328" s="58" t="str">
        <f>IF(OR(D328=0),0,IF(MOD($E$42*$F$42,6)=0,"915",IF(MOD($E$42*$F$42,5)=0,"760",IF(MOD($E$42*$F$42,4)=0,"610","Refer"))))</f>
        <v>915</v>
      </c>
      <c r="G328" s="58">
        <f>IF(D328=0,0,300)</f>
        <v>300</v>
      </c>
      <c r="H328" s="60">
        <f>IF(D328=0,0,($E$42*$F$42*305*305)/(E328*F328))</f>
        <v>6</v>
      </c>
      <c r="I328" s="834"/>
      <c r="J328" s="902"/>
      <c r="K328" s="902"/>
      <c r="L328" s="902"/>
      <c r="M328" s="902"/>
      <c r="N328" s="902"/>
      <c r="O328" s="902"/>
      <c r="P328" s="902"/>
      <c r="Q328" s="913"/>
      <c r="R328" s="913"/>
      <c r="S328" s="913"/>
      <c r="T328" s="913"/>
      <c r="U328" s="912"/>
      <c r="V328" s="912"/>
      <c r="W328" s="913"/>
      <c r="X328" s="912"/>
      <c r="Y328" s="912"/>
      <c r="Z328" s="912"/>
      <c r="AA328" s="912"/>
      <c r="AB328" s="912"/>
      <c r="AC328" s="912"/>
      <c r="AD328" s="912"/>
      <c r="AE328" s="912"/>
      <c r="AF328" s="912"/>
      <c r="AG328" s="912"/>
      <c r="AH328" s="912"/>
      <c r="AI328" s="912"/>
      <c r="AJ328" s="912"/>
      <c r="AK328" s="912"/>
      <c r="AL328" s="912"/>
      <c r="AM328" s="915"/>
      <c r="AN328" s="915"/>
    </row>
    <row r="329" spans="3:40" ht="14.1">
      <c r="C329" s="57"/>
      <c r="D329" s="58">
        <f>IF(E321=4,"0.3µ 95% Eff. HEPA Filetr",0)</f>
        <v>0</v>
      </c>
      <c r="E329" s="58">
        <f t="shared" si="200"/>
        <v>0</v>
      </c>
      <c r="F329" s="58">
        <f>IF(OR(D329=0),0,IF(MOD($E$42*$F$42,6)=0,"915",IF(MOD($E$42*$F$42,5)=0,"760",IF(MOD($E$42*$F$42,4)=0,"610","Refer"))))</f>
        <v>0</v>
      </c>
      <c r="G329" s="58">
        <f>IF(D329=0,0,300)</f>
        <v>0</v>
      </c>
      <c r="H329" s="60">
        <f>IF(D329=0,0,($E$42*$F$42*305*305)/(E329*F329))</f>
        <v>0</v>
      </c>
      <c r="I329" s="836"/>
      <c r="J329" s="902"/>
      <c r="K329" s="902"/>
      <c r="L329" s="902"/>
      <c r="M329" s="902"/>
      <c r="N329" s="902"/>
      <c r="O329" s="902"/>
      <c r="P329" s="902"/>
      <c r="Q329" s="913"/>
      <c r="R329" s="913"/>
      <c r="S329" s="913"/>
      <c r="T329" s="913"/>
      <c r="U329" s="912"/>
      <c r="V329" s="912"/>
      <c r="W329" s="913"/>
      <c r="X329" s="912"/>
      <c r="Y329" s="912"/>
      <c r="Z329" s="912"/>
      <c r="AA329" s="912"/>
      <c r="AB329" s="912"/>
      <c r="AC329" s="912"/>
      <c r="AD329" s="912"/>
      <c r="AE329" s="912"/>
      <c r="AF329" s="912"/>
      <c r="AG329" s="912"/>
      <c r="AH329" s="912"/>
      <c r="AI329" s="912"/>
      <c r="AJ329" s="912"/>
      <c r="AK329" s="912"/>
      <c r="AL329" s="912"/>
      <c r="AM329" s="915"/>
      <c r="AN329" s="915"/>
    </row>
    <row r="330" spans="3:40" ht="14.1">
      <c r="C330" s="57"/>
      <c r="D330" s="826"/>
      <c r="E330" s="182"/>
      <c r="F330" s="182"/>
      <c r="G330" s="182"/>
      <c r="H330" s="182"/>
      <c r="I330" s="827"/>
      <c r="J330" s="52"/>
      <c r="K330" s="52"/>
      <c r="L330" s="52"/>
      <c r="M330" s="52"/>
      <c r="N330" s="52"/>
      <c r="O330" s="828"/>
      <c r="P330" s="828"/>
      <c r="Q330" s="55"/>
      <c r="R330" s="55"/>
      <c r="S330" s="55"/>
      <c r="T330" s="55"/>
      <c r="U330" s="45"/>
      <c r="V330" s="45"/>
      <c r="W330" s="55"/>
      <c r="X330" s="45"/>
      <c r="Y330" s="45"/>
      <c r="Z330" s="45"/>
      <c r="AA330" s="45"/>
      <c r="AB330" s="45"/>
      <c r="AC330" s="45"/>
      <c r="AD330" s="45"/>
      <c r="AE330" s="45"/>
      <c r="AF330" s="45"/>
      <c r="AG330" s="45"/>
      <c r="AH330" s="45"/>
      <c r="AI330" s="45"/>
      <c r="AJ330" s="45"/>
      <c r="AK330" s="45"/>
      <c r="AL330" s="45"/>
      <c r="AM330" s="63"/>
      <c r="AN330" s="63"/>
    </row>
    <row r="331" spans="3:40" ht="14.1">
      <c r="C331" s="57"/>
      <c r="D331" s="826"/>
      <c r="E331" s="182"/>
      <c r="F331" s="182"/>
      <c r="G331" s="182"/>
      <c r="H331" s="182"/>
      <c r="I331" s="827"/>
      <c r="J331" s="52"/>
      <c r="K331" s="52"/>
      <c r="L331" s="52"/>
      <c r="M331" s="52"/>
      <c r="N331" s="52"/>
      <c r="O331" s="828"/>
      <c r="P331" s="828"/>
      <c r="Q331" s="55"/>
      <c r="R331" s="55"/>
      <c r="S331" s="55"/>
      <c r="T331" s="55"/>
      <c r="U331" s="45"/>
      <c r="V331" s="45"/>
      <c r="W331" s="55"/>
      <c r="X331" s="45"/>
      <c r="Y331" s="45"/>
      <c r="Z331" s="45"/>
      <c r="AA331" s="45"/>
      <c r="AB331" s="45"/>
      <c r="AC331" s="45"/>
      <c r="AD331" s="45"/>
      <c r="AE331" s="45"/>
      <c r="AF331" s="45"/>
      <c r="AG331" s="45"/>
      <c r="AH331" s="45"/>
      <c r="AI331" s="45"/>
      <c r="AJ331" s="45"/>
      <c r="AK331" s="45"/>
      <c r="AL331" s="45"/>
      <c r="AM331" s="63"/>
      <c r="AN331" s="63"/>
    </row>
    <row r="332" spans="3:40" ht="14.45" thickBot="1">
      <c r="C332" s="57"/>
      <c r="D332" s="826"/>
      <c r="E332" s="182"/>
      <c r="F332" s="182"/>
      <c r="G332" s="182"/>
      <c r="H332" s="182"/>
      <c r="I332" s="827"/>
      <c r="J332" s="52"/>
      <c r="K332" s="52"/>
      <c r="L332" s="52"/>
      <c r="M332" s="52"/>
      <c r="N332" s="52"/>
      <c r="O332" s="828"/>
      <c r="P332" s="828"/>
      <c r="Q332" s="55"/>
      <c r="R332" s="55"/>
      <c r="S332" s="55"/>
      <c r="T332" s="55"/>
      <c r="U332" s="45"/>
      <c r="V332" s="45"/>
      <c r="W332" s="55"/>
      <c r="X332" s="45"/>
      <c r="Y332" s="45"/>
      <c r="Z332" s="45"/>
      <c r="AA332" s="45"/>
      <c r="AB332" s="45"/>
      <c r="AC332" s="45"/>
      <c r="AD332" s="45"/>
      <c r="AE332" s="45"/>
      <c r="AF332" s="45"/>
      <c r="AG332" s="45"/>
      <c r="AH332" s="45"/>
      <c r="AI332" s="45"/>
      <c r="AJ332" s="45"/>
      <c r="AK332" s="45"/>
      <c r="AL332" s="45"/>
      <c r="AM332" s="63"/>
      <c r="AN332" s="63"/>
    </row>
    <row r="333" spans="3:40" ht="12.95">
      <c r="C333" s="65" t="s">
        <v>296</v>
      </c>
      <c r="D333" s="941" t="s">
        <v>297</v>
      </c>
      <c r="E333" s="942"/>
      <c r="F333" s="942"/>
      <c r="G333" s="942"/>
      <c r="H333" s="942"/>
      <c r="I333" s="943"/>
      <c r="J333" s="49"/>
      <c r="K333" s="49"/>
      <c r="L333" s="66"/>
      <c r="M333" s="66"/>
      <c r="N333" s="66"/>
      <c r="O333" s="67"/>
      <c r="P333" s="67"/>
      <c r="AM333" s="56"/>
      <c r="AN333" s="56"/>
    </row>
    <row r="334" spans="3:40">
      <c r="C334" s="68"/>
      <c r="D334" s="931" t="s">
        <v>298</v>
      </c>
      <c r="E334" s="932"/>
      <c r="F334" s="932"/>
      <c r="G334" s="932"/>
      <c r="H334" s="932"/>
      <c r="I334" s="933"/>
      <c r="J334" s="69"/>
      <c r="K334" s="69"/>
      <c r="L334" s="70"/>
      <c r="M334" s="70"/>
      <c r="N334" s="70"/>
      <c r="O334" s="71"/>
      <c r="P334" s="71"/>
      <c r="AM334" s="56"/>
      <c r="AN334" s="56"/>
    </row>
    <row r="335" spans="3:40">
      <c r="C335" s="57"/>
      <c r="D335" s="934"/>
      <c r="E335" s="935"/>
      <c r="F335" s="935"/>
      <c r="G335" s="935"/>
      <c r="H335" s="935"/>
      <c r="I335" s="936"/>
      <c r="J335" s="52"/>
      <c r="K335" s="52"/>
      <c r="L335" s="53"/>
      <c r="M335" s="53"/>
      <c r="N335" s="53"/>
      <c r="O335" s="54"/>
      <c r="P335" s="54"/>
      <c r="AM335" s="56"/>
      <c r="AN335" s="56"/>
    </row>
    <row r="336" spans="3:40">
      <c r="C336" s="57"/>
      <c r="D336" s="934"/>
      <c r="E336" s="935"/>
      <c r="F336" s="935"/>
      <c r="G336" s="935"/>
      <c r="H336" s="935"/>
      <c r="I336" s="936"/>
      <c r="J336" s="52"/>
      <c r="K336" s="52"/>
      <c r="L336" s="53"/>
      <c r="M336" s="53"/>
      <c r="N336" s="53"/>
      <c r="O336" s="54"/>
      <c r="P336" s="54"/>
      <c r="AM336" s="56"/>
      <c r="AN336" s="56"/>
    </row>
    <row r="337" spans="3:50">
      <c r="C337" s="57"/>
      <c r="D337" s="934"/>
      <c r="E337" s="935"/>
      <c r="F337" s="935"/>
      <c r="G337" s="935"/>
      <c r="H337" s="935"/>
      <c r="I337" s="936"/>
      <c r="J337" s="52"/>
      <c r="K337" s="52"/>
      <c r="L337" s="53"/>
      <c r="M337" s="53"/>
      <c r="N337" s="53"/>
      <c r="O337" s="54"/>
      <c r="P337" s="54"/>
      <c r="AM337" s="56"/>
      <c r="AN337" s="56"/>
    </row>
    <row r="338" spans="3:50">
      <c r="C338" s="57"/>
      <c r="D338" s="934"/>
      <c r="E338" s="935"/>
      <c r="F338" s="935"/>
      <c r="G338" s="935"/>
      <c r="H338" s="935"/>
      <c r="I338" s="936"/>
      <c r="J338" s="52"/>
      <c r="K338" s="52"/>
      <c r="L338" s="53"/>
      <c r="M338" s="53"/>
      <c r="N338" s="53"/>
      <c r="O338" s="54"/>
      <c r="P338" s="54"/>
      <c r="AM338" s="56"/>
      <c r="AN338" s="56"/>
    </row>
    <row r="339" spans="3:50">
      <c r="C339" s="57"/>
      <c r="D339" s="934"/>
      <c r="E339" s="935"/>
      <c r="F339" s="935"/>
      <c r="G339" s="935"/>
      <c r="H339" s="935"/>
      <c r="I339" s="936"/>
      <c r="J339" s="52"/>
      <c r="K339" s="52"/>
      <c r="L339" s="53"/>
      <c r="M339" s="53"/>
      <c r="N339" s="53"/>
      <c r="O339" s="54"/>
      <c r="P339" s="54"/>
      <c r="AM339" s="56"/>
      <c r="AN339" s="56"/>
    </row>
    <row r="340" spans="3:50">
      <c r="C340" s="57"/>
      <c r="D340" s="934"/>
      <c r="E340" s="935"/>
      <c r="F340" s="935"/>
      <c r="G340" s="935"/>
      <c r="H340" s="935"/>
      <c r="I340" s="936"/>
      <c r="J340" s="52"/>
      <c r="K340" s="52"/>
      <c r="L340" s="53"/>
      <c r="M340" s="53"/>
      <c r="N340" s="53"/>
      <c r="O340" s="54"/>
      <c r="P340" s="54"/>
      <c r="AM340" s="56"/>
      <c r="AN340" s="56"/>
    </row>
    <row r="341" spans="3:50">
      <c r="C341" s="57"/>
      <c r="D341" s="934"/>
      <c r="E341" s="935"/>
      <c r="F341" s="935"/>
      <c r="G341" s="935"/>
      <c r="H341" s="935"/>
      <c r="I341" s="936"/>
      <c r="J341" s="52"/>
      <c r="K341" s="52"/>
      <c r="L341" s="53"/>
      <c r="M341" s="53"/>
      <c r="N341" s="53"/>
      <c r="O341" s="54"/>
      <c r="P341" s="54"/>
      <c r="AM341" s="56"/>
      <c r="AN341" s="56"/>
    </row>
    <row r="342" spans="3:50">
      <c r="C342" s="57"/>
      <c r="D342" s="934"/>
      <c r="E342" s="935"/>
      <c r="F342" s="935"/>
      <c r="G342" s="935"/>
      <c r="H342" s="935"/>
      <c r="I342" s="936"/>
      <c r="J342" s="52"/>
      <c r="K342" s="52"/>
      <c r="L342" s="53"/>
      <c r="M342" s="53"/>
      <c r="N342" s="53"/>
      <c r="O342" s="54"/>
      <c r="P342" s="54"/>
      <c r="AM342" s="56"/>
      <c r="AN342" s="56"/>
    </row>
    <row r="343" spans="3:50">
      <c r="C343" s="57"/>
      <c r="D343" s="934"/>
      <c r="E343" s="935"/>
      <c r="F343" s="935"/>
      <c r="G343" s="935"/>
      <c r="H343" s="935"/>
      <c r="I343" s="936"/>
      <c r="J343" s="52"/>
      <c r="K343" s="52"/>
      <c r="L343" s="53"/>
      <c r="M343" s="53"/>
      <c r="N343" s="53"/>
      <c r="O343" s="54"/>
      <c r="P343" s="54"/>
      <c r="AM343" s="56"/>
      <c r="AN343" s="56"/>
    </row>
    <row r="344" spans="3:50" ht="30.75" customHeight="1">
      <c r="C344" s="57"/>
      <c r="D344" s="934"/>
      <c r="E344" s="935"/>
      <c r="F344" s="935"/>
      <c r="G344" s="935"/>
      <c r="H344" s="935"/>
      <c r="I344" s="936"/>
      <c r="J344" s="52"/>
      <c r="K344" s="52"/>
      <c r="L344" s="53"/>
      <c r="M344" s="53"/>
      <c r="N344" s="53"/>
      <c r="O344" s="54"/>
      <c r="P344" s="54"/>
      <c r="AM344" s="56"/>
      <c r="AN344" s="56"/>
    </row>
    <row r="345" spans="3:50" ht="24.95">
      <c r="C345" s="68"/>
      <c r="D345" s="58" t="s">
        <v>299</v>
      </c>
      <c r="E345" s="58" t="s">
        <v>300</v>
      </c>
      <c r="F345" s="58" t="s">
        <v>301</v>
      </c>
      <c r="G345" s="58" t="s">
        <v>302</v>
      </c>
      <c r="H345" s="58" t="s">
        <v>303</v>
      </c>
      <c r="I345" s="58" t="s">
        <v>304</v>
      </c>
      <c r="J345" s="69"/>
      <c r="K345" s="69"/>
      <c r="L345" s="70"/>
      <c r="M345" s="70"/>
      <c r="N345" s="70"/>
      <c r="O345" s="71"/>
      <c r="P345" s="71"/>
      <c r="Q345" s="28">
        <f>CEILING((D346*E346*6*10.76/(1000*1000)+D346*F346*2*10.76/(1000*1000)+E346*F346*2*10.76/(1000*1000))*1000,100)</f>
        <v>679400</v>
      </c>
      <c r="AM345" s="56"/>
      <c r="AN345" s="56"/>
    </row>
    <row r="346" spans="3:50" ht="12.95">
      <c r="C346" s="927" t="s">
        <v>305</v>
      </c>
      <c r="D346" s="58">
        <f>IF(G346&lt;=2000,950,(IF(G346&lt;=3000,1150,(IF(G346&lt;=8000,1550,(IF(G346&lt;=10000,1750,(IF(G346&lt;=18000,2050,(IF(G346&lt;=32000,2900,(IF(G346&lt;=40000,3600,4000)))))))))))))</f>
        <v>1750</v>
      </c>
      <c r="E346" s="58">
        <f>IF(G346&lt;=2000,950,(IF(G346&lt;=4000,1100,(IF(G346&lt;=6000,1250,(IF(G346&lt;=10000,1550,(IF(G346&lt;=15000,1750,(IF(G346&lt;=24000,2050,(IF(G346&lt;=40000,2900,3600)))))))))))))</f>
        <v>1550</v>
      </c>
      <c r="F346" s="58">
        <f>H346+I346+G347+300</f>
        <v>7100</v>
      </c>
      <c r="G346" s="59">
        <v>9000</v>
      </c>
      <c r="H346" s="58">
        <f>IF(D347&lt;=315,1600,(IF(D347=355,1650,(IF(D347=400,1650,(IF(D347=450,1700,(IF(D347=500,1700,(IF(D347=560,1800,(IF(D347=630,2000,(IF(D347=710,2200,2500)))))))))))))))</f>
        <v>1800</v>
      </c>
      <c r="I346" s="58">
        <f>IF(H347=2,1800,(IF(H347=3,2300,(IF(H347=4,3300,(IF(H347=5,3800,0)))))))</f>
        <v>3800</v>
      </c>
      <c r="J346" s="929" t="s">
        <v>277</v>
      </c>
      <c r="K346" s="929">
        <v>1</v>
      </c>
      <c r="L346" s="930">
        <f>Q346*0.9</f>
        <v>491400</v>
      </c>
      <c r="M346" s="930">
        <f>L346*K346</f>
        <v>491400</v>
      </c>
      <c r="N346" s="930">
        <f>Q346*0.1</f>
        <v>54600</v>
      </c>
      <c r="O346" s="940">
        <f>N346*K346</f>
        <v>54600</v>
      </c>
      <c r="P346" s="940">
        <v>546000</v>
      </c>
      <c r="Q346" s="913">
        <f>CEILING((S346+T346+U346+V346+W346),250)</f>
        <v>546000</v>
      </c>
      <c r="R346" s="913">
        <v>625</v>
      </c>
      <c r="S346" s="913">
        <f>(D346*E346*3*10.76+D346*F346*2*10.76+E346*F346*2*10.76)*R346/(1000*1000)</f>
        <v>369858.1875</v>
      </c>
      <c r="T346" s="913">
        <f>F347*4*1050</f>
        <v>0</v>
      </c>
      <c r="U346" s="912">
        <f>IF(G346&lt;=2000,5000,(IF(G346&lt;=5000,8000,(IF(G346&lt;=10000,10000,(IF(G346&lt;=18000,15000,(IF(G346&lt;=40000,20000,10000)))))))))</f>
        <v>10000</v>
      </c>
      <c r="V346" s="912">
        <f>IF(X346=200,17150,(IF(X346=225,18150,(IF(X346=250,18900,(IF(X346=280,19150,(IF(X346=315,19650,(IF(X346=355,21900,(IF(X346=400,24400,0)))))))))))))+IF(X346=450,31000,(IF(X346=500,37450,(IF(X346=560,45650,(IF(X346=630,58900,(IF(X346=710,77950,0)))))))))+IF(X346=800,119650,(IF(X346=900,153300,(IF(X346=1000,178900,(IF(X346=1120,286500,(IF(X346=1250,394500,(IF(X346=1450,461500,0)))))))))))</f>
        <v>45650</v>
      </c>
      <c r="W346" s="913">
        <f>IF(E347=0.5,16600,(IF(E347=1,19050,(IF(E347=1.5,21750,(IF(E347=2,23600,(IF(E347=3,30000,(IF(E347=5,38000,0)))))))))))*1.2+IF(E347=7.5,52300,(IF(E347=10,59600,0)))*1.2+IF(E347=12.5,100350,(IF(E347=15,106000,(IF(E347=20,129150,(IF(E347=25,146050,(IF(E347=30,173600,(IF(E347=40,233900,(IF(E347=50,304650)))))))))))))*1.2</f>
        <v>120420</v>
      </c>
      <c r="X346" s="912">
        <f>IF(G346&lt;=5250,Z346,Y346)</f>
        <v>560</v>
      </c>
      <c r="Y346" s="912">
        <f>IF(G346&lt;=6750,450,(IF(G346&lt;=8500,500,(IF(G346&lt;=10750,560,(IF(G346&lt;=13500,630,(IF(G346&lt;=17000,710,(IF(G346&lt;=21500,800,(IF(G346&lt;=27000,900,(IF(G346&lt;=34000,1000,0)))))))))))))))</f>
        <v>560</v>
      </c>
      <c r="Z346" s="912">
        <f>IF(G346&lt;=1300,200,(IF(G346&lt;=1600,225,(IF(G346&lt;=2100,250,(IF(G346&lt;=2700,280,(IF(G346&lt;=3450,315,(IF(G346&lt;=4250,355,(IF(G346&lt;=5250,400,(IF(G346&lt;=6750,450,0)))))))))))))))</f>
        <v>0</v>
      </c>
      <c r="AA346" s="912">
        <f>IF(G346&lt;=2000,5000,(IF(G346&lt;=5000,8000,(IF(G346&lt;=10000,10000,(IF(G346&lt;=18000,15000,(IF(G346&lt;=40000,20000,10000)))))))))</f>
        <v>10000</v>
      </c>
      <c r="AB346" s="912">
        <f>IF(D346=950,2,(IF(D346=1150,3,(IF(D346=1550,4,(IF(D346=1750,5,(IF(D346=2050,6,(IF(D346=2900,8,(IF(D346=3600,10,1)))))))))))))</f>
        <v>5</v>
      </c>
      <c r="AC346" s="912">
        <f>IF(E346=950,2,(IF(E346=1100,2,(IF(E346=1250,3,(IF(E346=1550,4,(IF(E346=1750,5,(IF(E346=2050,6,(IF(E346=2900,8,(IF(E346=3600,10,1)))))))))))))))</f>
        <v>4</v>
      </c>
      <c r="AD346" s="912">
        <f>AC346*AB346</f>
        <v>20</v>
      </c>
      <c r="AE346" s="912">
        <v>150</v>
      </c>
      <c r="AF346" s="912">
        <f>CEILING((SQRT(G346/1000))*4*2*AE346*1.25*K346,100)</f>
        <v>4500</v>
      </c>
      <c r="AG346" s="912">
        <f>AB346*AC346</f>
        <v>20</v>
      </c>
      <c r="AH346" s="912">
        <f>AC346*AB346</f>
        <v>20</v>
      </c>
      <c r="AI346" s="912">
        <f>AC346*AB346</f>
        <v>20</v>
      </c>
      <c r="AJ346" s="912">
        <f>AC346*AB346</f>
        <v>20</v>
      </c>
      <c r="AK346" s="912">
        <f>AC346*AB346</f>
        <v>20</v>
      </c>
      <c r="AL346" s="912"/>
      <c r="AM346" s="915">
        <f>(G346*2.2/1100)</f>
        <v>18</v>
      </c>
      <c r="AN346" s="915">
        <f>(G346*1/1100)</f>
        <v>8.1818181818181817</v>
      </c>
      <c r="AX346" s="912"/>
    </row>
    <row r="347" spans="3:50">
      <c r="C347" s="928"/>
      <c r="D347" s="58">
        <f>IF(G346&lt;=5250,Z346,Y346)</f>
        <v>560</v>
      </c>
      <c r="E347" s="58">
        <v>12.5</v>
      </c>
      <c r="F347" s="58">
        <v>0</v>
      </c>
      <c r="G347" s="58">
        <f>IF(I347=4,600,(IF(I347=6,800,(IF(I347=8,1000,1200)))))</f>
        <v>1200</v>
      </c>
      <c r="H347" s="58">
        <v>5</v>
      </c>
      <c r="I347" s="58">
        <v>0</v>
      </c>
      <c r="J347" s="929"/>
      <c r="K347" s="929"/>
      <c r="L347" s="930"/>
      <c r="M347" s="930"/>
      <c r="N347" s="930"/>
      <c r="O347" s="940"/>
      <c r="P347" s="940"/>
      <c r="Q347" s="913"/>
      <c r="R347" s="913"/>
      <c r="S347" s="913"/>
      <c r="T347" s="913"/>
      <c r="U347" s="912"/>
      <c r="V347" s="912"/>
      <c r="W347" s="913"/>
      <c r="X347" s="912"/>
      <c r="Y347" s="912"/>
      <c r="Z347" s="912"/>
      <c r="AA347" s="912"/>
      <c r="AB347" s="912"/>
      <c r="AC347" s="912"/>
      <c r="AD347" s="912"/>
      <c r="AE347" s="912"/>
      <c r="AF347" s="912"/>
      <c r="AG347" s="912"/>
      <c r="AH347" s="912"/>
      <c r="AI347" s="912"/>
      <c r="AJ347" s="912"/>
      <c r="AK347" s="912"/>
      <c r="AL347" s="912"/>
      <c r="AM347" s="915"/>
      <c r="AN347" s="915"/>
      <c r="AX347" s="912"/>
    </row>
    <row r="348" spans="3:50" ht="25.5" thickBot="1">
      <c r="C348" s="57"/>
      <c r="D348" s="64" t="s">
        <v>306</v>
      </c>
      <c r="E348" s="64" t="s">
        <v>307</v>
      </c>
      <c r="F348" s="64" t="s">
        <v>308</v>
      </c>
      <c r="G348" s="64" t="s">
        <v>309</v>
      </c>
      <c r="H348" s="64" t="s">
        <v>310</v>
      </c>
      <c r="I348" s="64" t="s">
        <v>311</v>
      </c>
      <c r="J348" s="52"/>
      <c r="K348" s="52"/>
      <c r="L348" s="53"/>
      <c r="M348" s="53"/>
      <c r="N348" s="53"/>
      <c r="O348" s="54"/>
      <c r="P348" s="54"/>
      <c r="Q348" s="28">
        <f>CEILING((D351*E351*6*10.76/(1000*1000)+D351*F351*2*10.76/(1000*1000)+E351*F351*2*10.76/(1000*1000))*1000,100)</f>
        <v>0</v>
      </c>
      <c r="AM348" s="56"/>
      <c r="AN348" s="56"/>
    </row>
    <row r="349" spans="3:50" ht="12.95">
      <c r="C349" s="65" t="s">
        <v>85</v>
      </c>
      <c r="D349" s="941" t="s">
        <v>312</v>
      </c>
      <c r="E349" s="942"/>
      <c r="F349" s="942"/>
      <c r="G349" s="942"/>
      <c r="H349" s="942"/>
      <c r="I349" s="943"/>
      <c r="J349" s="49"/>
      <c r="K349" s="49"/>
      <c r="L349" s="66"/>
      <c r="M349" s="66"/>
      <c r="N349" s="66"/>
      <c r="O349" s="67"/>
      <c r="P349" s="67"/>
      <c r="AM349" s="56"/>
      <c r="AN349" s="56"/>
    </row>
    <row r="350" spans="3:50">
      <c r="C350" s="68"/>
      <c r="D350" s="931" t="s">
        <v>313</v>
      </c>
      <c r="E350" s="932"/>
      <c r="F350" s="932"/>
      <c r="G350" s="932"/>
      <c r="H350" s="932"/>
      <c r="I350" s="933"/>
      <c r="J350" s="69"/>
      <c r="K350" s="69"/>
      <c r="L350" s="70"/>
      <c r="M350" s="70"/>
      <c r="N350" s="70"/>
      <c r="O350" s="71"/>
      <c r="P350" s="71"/>
      <c r="AM350" s="56"/>
      <c r="AN350" s="56"/>
    </row>
    <row r="351" spans="3:50">
      <c r="C351" s="57"/>
      <c r="D351" s="934"/>
      <c r="E351" s="935"/>
      <c r="F351" s="935"/>
      <c r="G351" s="935"/>
      <c r="H351" s="935"/>
      <c r="I351" s="936"/>
      <c r="J351" s="52"/>
      <c r="K351" s="52"/>
      <c r="L351" s="53"/>
      <c r="M351" s="53"/>
      <c r="N351" s="53"/>
      <c r="O351" s="54"/>
      <c r="P351" s="54"/>
      <c r="AM351" s="56"/>
      <c r="AN351" s="56"/>
    </row>
    <row r="352" spans="3:50">
      <c r="C352" s="57"/>
      <c r="D352" s="934"/>
      <c r="E352" s="935"/>
      <c r="F352" s="935"/>
      <c r="G352" s="935"/>
      <c r="H352" s="935"/>
      <c r="I352" s="936"/>
      <c r="J352" s="52"/>
      <c r="K352" s="52"/>
      <c r="L352" s="53"/>
      <c r="M352" s="53"/>
      <c r="N352" s="53"/>
      <c r="O352" s="54"/>
      <c r="P352" s="54"/>
      <c r="AM352" s="56"/>
      <c r="AN352" s="56"/>
    </row>
    <row r="353" spans="3:50">
      <c r="C353" s="57"/>
      <c r="D353" s="934"/>
      <c r="E353" s="935"/>
      <c r="F353" s="935"/>
      <c r="G353" s="935"/>
      <c r="H353" s="935"/>
      <c r="I353" s="936"/>
      <c r="J353" s="52"/>
      <c r="K353" s="52"/>
      <c r="L353" s="53"/>
      <c r="M353" s="53"/>
      <c r="N353" s="53"/>
      <c r="O353" s="54"/>
      <c r="P353" s="54"/>
      <c r="AM353" s="56"/>
      <c r="AN353" s="56"/>
    </row>
    <row r="354" spans="3:50">
      <c r="C354" s="57"/>
      <c r="D354" s="934"/>
      <c r="E354" s="935"/>
      <c r="F354" s="935"/>
      <c r="G354" s="935"/>
      <c r="H354" s="935"/>
      <c r="I354" s="936"/>
      <c r="J354" s="52"/>
      <c r="K354" s="52"/>
      <c r="L354" s="53"/>
      <c r="M354" s="53"/>
      <c r="N354" s="53"/>
      <c r="O354" s="54"/>
      <c r="P354" s="54"/>
      <c r="AM354" s="56"/>
      <c r="AN354" s="56"/>
    </row>
    <row r="355" spans="3:50">
      <c r="C355" s="57"/>
      <c r="D355" s="934"/>
      <c r="E355" s="935"/>
      <c r="F355" s="935"/>
      <c r="G355" s="935"/>
      <c r="H355" s="935"/>
      <c r="I355" s="936"/>
      <c r="J355" s="52"/>
      <c r="K355" s="52"/>
      <c r="L355" s="53"/>
      <c r="M355" s="53"/>
      <c r="N355" s="53"/>
      <c r="O355" s="54"/>
      <c r="P355" s="54"/>
      <c r="AM355" s="56"/>
      <c r="AN355" s="56"/>
    </row>
    <row r="356" spans="3:50">
      <c r="C356" s="57"/>
      <c r="D356" s="934"/>
      <c r="E356" s="935"/>
      <c r="F356" s="935"/>
      <c r="G356" s="935"/>
      <c r="H356" s="935"/>
      <c r="I356" s="936"/>
      <c r="J356" s="52"/>
      <c r="K356" s="52"/>
      <c r="L356" s="53"/>
      <c r="M356" s="53"/>
      <c r="N356" s="53"/>
      <c r="O356" s="54"/>
      <c r="P356" s="54"/>
      <c r="AM356" s="56"/>
      <c r="AN356" s="56"/>
    </row>
    <row r="357" spans="3:50">
      <c r="C357" s="57"/>
      <c r="D357" s="934"/>
      <c r="E357" s="935"/>
      <c r="F357" s="935"/>
      <c r="G357" s="935"/>
      <c r="H357" s="935"/>
      <c r="I357" s="936"/>
      <c r="J357" s="52"/>
      <c r="K357" s="52"/>
      <c r="L357" s="53"/>
      <c r="M357" s="53"/>
      <c r="N357" s="53"/>
      <c r="O357" s="54"/>
      <c r="P357" s="54"/>
      <c r="AM357" s="56"/>
      <c r="AN357" s="56"/>
    </row>
    <row r="358" spans="3:50">
      <c r="C358" s="57"/>
      <c r="D358" s="934"/>
      <c r="E358" s="935"/>
      <c r="F358" s="935"/>
      <c r="G358" s="935"/>
      <c r="H358" s="935"/>
      <c r="I358" s="936"/>
      <c r="J358" s="52"/>
      <c r="K358" s="52"/>
      <c r="L358" s="53"/>
      <c r="M358" s="53"/>
      <c r="N358" s="53"/>
      <c r="O358" s="54"/>
      <c r="P358" s="54"/>
      <c r="AM358" s="56"/>
      <c r="AN358" s="56"/>
    </row>
    <row r="359" spans="3:50">
      <c r="C359" s="57"/>
      <c r="D359" s="934"/>
      <c r="E359" s="935"/>
      <c r="F359" s="935"/>
      <c r="G359" s="935"/>
      <c r="H359" s="935"/>
      <c r="I359" s="936"/>
      <c r="J359" s="52"/>
      <c r="K359" s="52"/>
      <c r="L359" s="53"/>
      <c r="M359" s="53"/>
      <c r="N359" s="53"/>
      <c r="O359" s="54"/>
      <c r="P359" s="54"/>
      <c r="AM359" s="56"/>
      <c r="AN359" s="56"/>
    </row>
    <row r="360" spans="3:50" ht="16.5" customHeight="1">
      <c r="C360" s="57"/>
      <c r="D360" s="934"/>
      <c r="E360" s="935"/>
      <c r="F360" s="935"/>
      <c r="G360" s="935"/>
      <c r="H360" s="935"/>
      <c r="I360" s="936"/>
      <c r="J360" s="52"/>
      <c r="K360" s="52"/>
      <c r="L360" s="53"/>
      <c r="M360" s="53"/>
      <c r="N360" s="53"/>
      <c r="O360" s="54"/>
      <c r="P360" s="54"/>
      <c r="AM360" s="56"/>
      <c r="AN360" s="56"/>
    </row>
    <row r="361" spans="3:50" ht="16.5" customHeight="1">
      <c r="C361" s="57"/>
      <c r="D361" s="937" t="s">
        <v>314</v>
      </c>
      <c r="E361" s="938"/>
      <c r="F361" s="938"/>
      <c r="G361" s="938"/>
      <c r="H361" s="938"/>
      <c r="I361" s="939"/>
      <c r="J361" s="52"/>
      <c r="K361" s="52"/>
      <c r="L361" s="53"/>
      <c r="M361" s="53"/>
      <c r="N361" s="53"/>
      <c r="O361" s="54"/>
      <c r="P361" s="54"/>
      <c r="AM361" s="56"/>
      <c r="AN361" s="56"/>
    </row>
    <row r="362" spans="3:50" ht="24.95">
      <c r="C362" s="68"/>
      <c r="D362" s="58" t="s">
        <v>299</v>
      </c>
      <c r="E362" s="58" t="s">
        <v>300</v>
      </c>
      <c r="F362" s="58" t="s">
        <v>301</v>
      </c>
      <c r="G362" s="58" t="s">
        <v>302</v>
      </c>
      <c r="H362" s="58" t="s">
        <v>303</v>
      </c>
      <c r="I362" s="58" t="s">
        <v>304</v>
      </c>
      <c r="J362" s="69"/>
      <c r="K362" s="69"/>
      <c r="L362" s="70"/>
      <c r="M362" s="70"/>
      <c r="N362" s="70"/>
      <c r="O362" s="71"/>
      <c r="P362" s="71"/>
      <c r="AM362" s="56"/>
      <c r="AN362" s="56"/>
    </row>
    <row r="363" spans="3:50" ht="12.95">
      <c r="C363" s="927" t="s">
        <v>315</v>
      </c>
      <c r="D363" s="58">
        <f>IF(G363&lt;=2000,950,(IF(G363&lt;=3000,1150,(IF(G363&lt;=8000,1550,(IF(G363&lt;=10000,1750,(IF(G363&lt;=18000,2050,(IF(G363&lt;=32000,2900,(IF(G363&lt;=40000,3600,4000)))))))))))))</f>
        <v>950</v>
      </c>
      <c r="E363" s="58">
        <f>IF(G363&lt;=2000,950,(IF(G363&lt;=4000,1100,(IF(G363&lt;=6000,1250,(IF(G363&lt;=10000,1550,(IF(G363&lt;=15000,1750,(IF(G363&lt;=24000,2050,(IF(G363&lt;=40000,2900,3600)))))))))))))</f>
        <v>950</v>
      </c>
      <c r="F363" s="58">
        <f>H363+I363+G364+300</f>
        <v>5400</v>
      </c>
      <c r="G363" s="59">
        <v>1850</v>
      </c>
      <c r="H363" s="58">
        <f>IF(D364&lt;=315,1600,(IF(D364=355,1650,(IF(D364=400,1650,(IF(D364=450,1700,(IF(D364=500,1700,(IF(D364=560,1800,(IF(D364=630,2000,(IF(D364=710,2200,2500)))))))))))))))</f>
        <v>1600</v>
      </c>
      <c r="I363" s="58">
        <f>IF(H364=2,1800,(IF(H364=3,2300,(IF(H364=4,3300,0)))))</f>
        <v>2300</v>
      </c>
      <c r="J363" s="929" t="s">
        <v>277</v>
      </c>
      <c r="K363" s="929">
        <v>1</v>
      </c>
      <c r="L363" s="930">
        <f>Q363*0.9</f>
        <v>185625</v>
      </c>
      <c r="M363" s="930">
        <f>L363*K363</f>
        <v>185625</v>
      </c>
      <c r="N363" s="930">
        <f>Q363*0.1</f>
        <v>20625</v>
      </c>
      <c r="O363" s="940">
        <f>N363*K363</f>
        <v>20625</v>
      </c>
      <c r="P363" s="940">
        <v>206250</v>
      </c>
      <c r="Q363" s="913">
        <f>CEILING((S363+T363+U363+V363+W363),250)</f>
        <v>206250</v>
      </c>
      <c r="R363" s="913">
        <v>625</v>
      </c>
      <c r="S363" s="913">
        <f>(D363*E363*3*10.76+D363*F363*2*10.76+E363*F363*2*10.76)*R363/(1000*1000)</f>
        <v>156204.9375</v>
      </c>
      <c r="T363" s="913">
        <f>F364*4*1050</f>
        <v>0</v>
      </c>
      <c r="U363" s="912">
        <f>IF(G363&lt;=2000,5000,(IF(G363&lt;=5000,8000,(IF(G363&lt;=10000,10000,(IF(G363&lt;=18000,15000,(IF(G363&lt;=40000,20000,10000)))))))))</f>
        <v>5000</v>
      </c>
      <c r="V363" s="912">
        <f>IF(X363=200,17150,(IF(X363=225,18150,(IF(X363=250,18900,(IF(X363=280,19150,(IF(X363=315,19650,(IF(X363=355,21900,(IF(X363=400,24400,0)))))))))))))+IF(X363=450,31000,(IF(X363=500,37450,(IF(X363=560,45650,(IF(X363=630,58900,(IF(X363=710,77950,0)))))))))+IF(X363=800,119650,(IF(X363=900,153300,(IF(X363=1000,178900,(IF(X363=1120,286500,(IF(X363=1250,394500,(IF(X363=1450,461500,0)))))))))))</f>
        <v>18900</v>
      </c>
      <c r="W363" s="913">
        <f>IF(E364=0.5,16600,(IF(E364=1,19050,(IF(E364=1.5,21750,(IF(E364=2,23600,(IF(E364=3,30000,(IF(E364=5,38000,0)))))))))))*1.2+IF(E364=7.5,52300,(IF(E364=10,59600,0)))*1.2+IF(E364=12.5,100350,(IF(E364=15,106000,(IF(E364=20,129150,(IF(E364=25,146050,(IF(E364=30,173600,(IF(E364=40,233900,(IF(E364=50,304650)))))))))))))*1.2</f>
        <v>26100</v>
      </c>
      <c r="X363" s="912">
        <f>IF(G363&lt;=5250,Z363,Y363)</f>
        <v>250</v>
      </c>
      <c r="Y363" s="912">
        <f>IF(G363&lt;=6750,450,(IF(G363&lt;=8500,500,(IF(G363&lt;=10750,560,(IF(G363&lt;=13500,630,(IF(G363&lt;=17000,710,(IF(G363&lt;=21500,800,(IF(G363&lt;=27000,900,(IF(G363&lt;=34000,1000,0)))))))))))))))</f>
        <v>450</v>
      </c>
      <c r="Z363" s="912">
        <f>IF(G363&lt;=1300,200,(IF(G363&lt;=1600,225,(IF(G363&lt;=2100,250,(IF(G363&lt;=2700,280,(IF(G363&lt;=3450,315,(IF(G363&lt;=4250,355,(IF(G363&lt;=5250,400,(IF(G363&lt;=6750,450,0)))))))))))))))</f>
        <v>250</v>
      </c>
      <c r="AA363" s="912">
        <f>IF(G363&lt;=2000,5000,(IF(G363&lt;=5000,8000,(IF(G363&lt;=10000,10000,(IF(G363&lt;=18000,15000,(IF(G363&lt;=40000,20000,10000)))))))))</f>
        <v>5000</v>
      </c>
      <c r="AB363" s="912">
        <f>IF(D363=950,2,(IF(D363=1150,3,(IF(D363=1550,4,(IF(D363=1750,5,(IF(D363=2050,6,(IF(D363=2900,8,(IF(D363=3600,10,1)))))))))))))</f>
        <v>2</v>
      </c>
      <c r="AC363" s="912">
        <f>IF(E363=950,2,(IF(E363=1100,2,(IF(E363=1250,3,(IF(E363=1550,4,(IF(E363=1750,5,(IF(E363=2050,6,(IF(E363=2900,8,(IF(E363=3600,10,1)))))))))))))))</f>
        <v>2</v>
      </c>
      <c r="AD363" s="912">
        <f>AC363*AB363</f>
        <v>4</v>
      </c>
      <c r="AE363" s="912">
        <v>150</v>
      </c>
      <c r="AF363" s="912">
        <f>CEILING((SQRT(G363/1000))*4*2*AE363*1.25*K363,100)</f>
        <v>2100</v>
      </c>
      <c r="AG363" s="912">
        <f>AB363*AC363</f>
        <v>4</v>
      </c>
      <c r="AH363" s="912">
        <f>AC363*AB363</f>
        <v>4</v>
      </c>
      <c r="AI363" s="912">
        <f>AC363*AB363</f>
        <v>4</v>
      </c>
      <c r="AJ363" s="912">
        <f>AC363*AB363</f>
        <v>4</v>
      </c>
      <c r="AK363" s="912"/>
      <c r="AL363" s="912"/>
      <c r="AM363" s="915">
        <f>(G363*2.2/1100)</f>
        <v>3.7000000000000006</v>
      </c>
      <c r="AN363" s="915">
        <f>(G363*1/1100)</f>
        <v>1.6818181818181819</v>
      </c>
      <c r="AX363" s="912"/>
    </row>
    <row r="364" spans="3:50">
      <c r="C364" s="928"/>
      <c r="D364" s="58">
        <f>IF(G363&lt;=5250,Z363,Y363)</f>
        <v>250</v>
      </c>
      <c r="E364" s="58">
        <v>1.5</v>
      </c>
      <c r="F364" s="58">
        <v>0</v>
      </c>
      <c r="G364" s="58">
        <f>IF(I364=4,600,(IF(I364=6,800,(IF(I364=8,1000,1200)))))</f>
        <v>1200</v>
      </c>
      <c r="H364" s="58">
        <v>3</v>
      </c>
      <c r="I364" s="58">
        <v>0</v>
      </c>
      <c r="J364" s="929"/>
      <c r="K364" s="929"/>
      <c r="L364" s="930"/>
      <c r="M364" s="930"/>
      <c r="N364" s="930"/>
      <c r="O364" s="940"/>
      <c r="P364" s="940"/>
      <c r="Q364" s="913"/>
      <c r="R364" s="913"/>
      <c r="S364" s="913"/>
      <c r="T364" s="913"/>
      <c r="U364" s="912"/>
      <c r="V364" s="912"/>
      <c r="W364" s="913"/>
      <c r="X364" s="912"/>
      <c r="Y364" s="912"/>
      <c r="Z364" s="912"/>
      <c r="AA364" s="912"/>
      <c r="AB364" s="912"/>
      <c r="AC364" s="912"/>
      <c r="AD364" s="912"/>
      <c r="AE364" s="912"/>
      <c r="AF364" s="912"/>
      <c r="AG364" s="912"/>
      <c r="AH364" s="912"/>
      <c r="AI364" s="912"/>
      <c r="AJ364" s="912"/>
      <c r="AK364" s="912"/>
      <c r="AL364" s="912"/>
      <c r="AM364" s="915"/>
      <c r="AN364" s="915"/>
      <c r="AX364" s="912"/>
    </row>
    <row r="365" spans="3:50" ht="12.95">
      <c r="C365" s="927" t="s">
        <v>316</v>
      </c>
      <c r="D365" s="58">
        <f>IF(G365&lt;=2000,950,(IF(G365&lt;=3000,1150,(IF(G365&lt;=8000,1550,(IF(G365&lt;=10000,1750,(IF(G365&lt;=18000,2050,(IF(G365&lt;=32000,2900,(IF(G365&lt;=40000,3600,4000)))))))))))))</f>
        <v>950</v>
      </c>
      <c r="E365" s="58">
        <f>IF(G365&lt;=2000,950,(IF(G365&lt;=4000,1100,(IF(G365&lt;=6000,1250,(IF(G365&lt;=10000,1550,(IF(G365&lt;=15000,1750,(IF(G365&lt;=24000,2050,(IF(G365&lt;=40000,2900,3600)))))))))))))</f>
        <v>950</v>
      </c>
      <c r="F365" s="58">
        <f>H365+I365+G366+300</f>
        <v>5400</v>
      </c>
      <c r="G365" s="59">
        <v>1950</v>
      </c>
      <c r="H365" s="58">
        <f>IF(D366&lt;=315,1600,(IF(D366=355,1650,(IF(D366=400,1650,(IF(D366=450,1700,(IF(D366=500,1700,(IF(D366=560,1800,(IF(D366=630,2000,(IF(D366=710,2200,2500)))))))))))))))</f>
        <v>1600</v>
      </c>
      <c r="I365" s="58">
        <f>IF(H366=2,1800,(IF(H366=3,2300,(IF(H366=4,3300,0)))))</f>
        <v>2300</v>
      </c>
      <c r="J365" s="929" t="s">
        <v>277</v>
      </c>
      <c r="K365" s="929">
        <v>1</v>
      </c>
      <c r="L365" s="930">
        <f>Q365*0.9</f>
        <v>185625</v>
      </c>
      <c r="M365" s="930">
        <f>L365*K365</f>
        <v>185625</v>
      </c>
      <c r="N365" s="930">
        <f>Q365*0.1</f>
        <v>20625</v>
      </c>
      <c r="O365" s="940">
        <f>N365*K365</f>
        <v>20625</v>
      </c>
      <c r="P365" s="940">
        <v>206250</v>
      </c>
      <c r="Q365" s="913">
        <f>CEILING((S365+T365+U365+V365+W365),250)</f>
        <v>206250</v>
      </c>
      <c r="R365" s="913">
        <v>625</v>
      </c>
      <c r="S365" s="913">
        <f>(D365*E365*3*10.76+D365*F365*2*10.76+E365*F365*2*10.76)*R365/(1000*1000)</f>
        <v>156204.9375</v>
      </c>
      <c r="T365" s="913">
        <f>F366*4*1050</f>
        <v>0</v>
      </c>
      <c r="U365" s="912">
        <f>IF(G365&lt;=2000,5000,(IF(G365&lt;=5000,8000,(IF(G365&lt;=10000,10000,(IF(G365&lt;=18000,15000,(IF(G365&lt;=40000,20000,10000)))))))))</f>
        <v>5000</v>
      </c>
      <c r="V365" s="912">
        <f>IF(X365=200,17150,(IF(X365=225,18150,(IF(X365=250,18900,(IF(X365=280,19150,(IF(X365=315,19650,(IF(X365=355,21900,(IF(X365=400,24400,0)))))))))))))+IF(X365=450,31000,(IF(X365=500,37450,(IF(X365=560,45650,(IF(X365=630,58900,(IF(X365=710,77950,0)))))))))+IF(X365=800,119650,(IF(X365=900,153300,(IF(X365=1000,178900,(IF(X365=1120,286500,(IF(X365=1250,394500,(IF(X365=1450,461500,0)))))))))))</f>
        <v>18900</v>
      </c>
      <c r="W365" s="913">
        <f>IF(E366=0.5,16600,(IF(E366=1,19050,(IF(E366=1.5,21750,(IF(E366=2,23600,(IF(E366=3,30000,(IF(E366=5,38000,0)))))))))))*1.2+IF(E366=7.5,52300,(IF(E366=10,59600,0)))*1.2+IF(E366=12.5,100350,(IF(E366=15,106000,(IF(E366=20,129150,(IF(E366=25,146050,(IF(E366=30,173600,(IF(E366=40,233900,(IF(E366=50,304650)))))))))))))*1.2</f>
        <v>26100</v>
      </c>
      <c r="X365" s="912">
        <f>IF(G365&lt;=5250,Z365,Y365)</f>
        <v>250</v>
      </c>
      <c r="Y365" s="912">
        <f>IF(G365&lt;=6750,450,(IF(G365&lt;=8500,500,(IF(G365&lt;=10750,560,(IF(G365&lt;=13500,630,(IF(G365&lt;=17000,710,(IF(G365&lt;=21500,800,(IF(G365&lt;=27000,900,(IF(G365&lt;=34000,1000,0)))))))))))))))</f>
        <v>450</v>
      </c>
      <c r="Z365" s="912">
        <f>IF(G365&lt;=1300,200,(IF(G365&lt;=1600,225,(IF(G365&lt;=2100,250,(IF(G365&lt;=2700,280,(IF(G365&lt;=3450,315,(IF(G365&lt;=4250,355,(IF(G365&lt;=5250,400,(IF(G365&lt;=6750,450,0)))))))))))))))</f>
        <v>250</v>
      </c>
      <c r="AA365" s="912">
        <f>IF(G365&lt;=2000,5000,(IF(G365&lt;=5000,8000,(IF(G365&lt;=10000,10000,(IF(G365&lt;=18000,15000,(IF(G365&lt;=40000,20000,10000)))))))))</f>
        <v>5000</v>
      </c>
      <c r="AB365" s="912">
        <f>IF(D365=950,2,(IF(D365=1150,3,(IF(D365=1550,4,(IF(D365=1750,5,(IF(D365=2050,6,(IF(D365=2900,8,(IF(D365=3600,10,1)))))))))))))</f>
        <v>2</v>
      </c>
      <c r="AC365" s="912">
        <f>IF(E365=950,2,(IF(E365=1100,2,(IF(E365=1250,3,(IF(E365=1550,4,(IF(E365=1750,5,(IF(E365=2050,6,(IF(E365=2900,8,(IF(E365=3600,10,1)))))))))))))))</f>
        <v>2</v>
      </c>
      <c r="AD365" s="912">
        <f>AC365*AB365</f>
        <v>4</v>
      </c>
      <c r="AE365" s="912">
        <v>150</v>
      </c>
      <c r="AF365" s="912">
        <f>CEILING((SQRT(G365/1000))*4*2*AE365*1.25*K365,100)</f>
        <v>2100</v>
      </c>
      <c r="AG365" s="912">
        <f>AB365*AC365</f>
        <v>4</v>
      </c>
      <c r="AH365" s="912">
        <f>AC365*AB365</f>
        <v>4</v>
      </c>
      <c r="AI365" s="912">
        <f>AC365*AB365</f>
        <v>4</v>
      </c>
      <c r="AJ365" s="912">
        <f>AC365*AB365</f>
        <v>4</v>
      </c>
      <c r="AK365" s="912"/>
      <c r="AL365" s="912"/>
      <c r="AM365" s="915">
        <f>(G365*2.2/1100)</f>
        <v>3.9</v>
      </c>
      <c r="AN365" s="915">
        <f>(G365*1/1100)</f>
        <v>1.7727272727272727</v>
      </c>
    </row>
    <row r="366" spans="3:50">
      <c r="C366" s="928"/>
      <c r="D366" s="58">
        <f>IF(G365&lt;=5250,Z365,Y365)</f>
        <v>250</v>
      </c>
      <c r="E366" s="58">
        <v>1.5</v>
      </c>
      <c r="F366" s="58">
        <v>0</v>
      </c>
      <c r="G366" s="58">
        <f>IF(I366=4,600,(IF(I366=6,800,(IF(I366=8,1000,1200)))))</f>
        <v>1200</v>
      </c>
      <c r="H366" s="58">
        <v>3</v>
      </c>
      <c r="I366" s="58">
        <v>0</v>
      </c>
      <c r="J366" s="929"/>
      <c r="K366" s="929"/>
      <c r="L366" s="930"/>
      <c r="M366" s="930"/>
      <c r="N366" s="930"/>
      <c r="O366" s="940"/>
      <c r="P366" s="940"/>
      <c r="Q366" s="913"/>
      <c r="R366" s="913"/>
      <c r="S366" s="913"/>
      <c r="T366" s="913"/>
      <c r="U366" s="912"/>
      <c r="V366" s="912"/>
      <c r="W366" s="913"/>
      <c r="X366" s="912"/>
      <c r="Y366" s="912"/>
      <c r="Z366" s="912"/>
      <c r="AA366" s="912"/>
      <c r="AB366" s="912"/>
      <c r="AC366" s="912"/>
      <c r="AD366" s="912"/>
      <c r="AE366" s="912"/>
      <c r="AF366" s="912"/>
      <c r="AG366" s="912"/>
      <c r="AH366" s="912"/>
      <c r="AI366" s="912"/>
      <c r="AJ366" s="912"/>
      <c r="AK366" s="912"/>
      <c r="AL366" s="912"/>
      <c r="AM366" s="915"/>
      <c r="AN366" s="915"/>
    </row>
    <row r="367" spans="3:50" ht="25.5" thickBot="1">
      <c r="C367" s="57"/>
      <c r="D367" s="64" t="s">
        <v>306</v>
      </c>
      <c r="E367" s="64" t="s">
        <v>307</v>
      </c>
      <c r="F367" s="64" t="s">
        <v>308</v>
      </c>
      <c r="G367" s="64" t="s">
        <v>309</v>
      </c>
      <c r="H367" s="64" t="s">
        <v>310</v>
      </c>
      <c r="I367" s="64" t="s">
        <v>311</v>
      </c>
      <c r="J367" s="52"/>
      <c r="K367" s="52"/>
      <c r="L367" s="53"/>
      <c r="M367" s="53"/>
      <c r="N367" s="53"/>
      <c r="O367" s="54"/>
      <c r="P367" s="54"/>
      <c r="Q367" s="28">
        <f>CEILING((D370*E370*6*10.76/(1000*1000)+D370*F370*2*10.76/(1000*1000)+E370*F370*2*10.76/(1000*1000))*1000,100)</f>
        <v>453500</v>
      </c>
      <c r="AM367" s="56"/>
      <c r="AN367" s="56"/>
    </row>
    <row r="368" spans="3:50" ht="12.95">
      <c r="C368" s="927" t="s">
        <v>317</v>
      </c>
      <c r="D368" s="58">
        <f>IF(G368&lt;=2000,950,(IF(G368&lt;=3000,1150,(IF(G368&lt;=8000,1550,(IF(G368&lt;=10000,1750,(IF(G368&lt;=18000,2050,(IF(G368&lt;=32000,2900,(IF(G368&lt;=40000,3600,4000)))))))))))))</f>
        <v>1550</v>
      </c>
      <c r="E368" s="58">
        <f>IF(G368&lt;=2000,950,(IF(G368&lt;=4000,1100,(IF(G368&lt;=6000,1250,(IF(G368&lt;=10000,1550,(IF(G368&lt;=15000,1750,(IF(G368&lt;=24000,2050,(IF(G368&lt;=40000,2900,3600)))))))))))))</f>
        <v>1100</v>
      </c>
      <c r="F368" s="58">
        <f>H368+I368+G369+300</f>
        <v>5450</v>
      </c>
      <c r="G368" s="59">
        <v>3900</v>
      </c>
      <c r="H368" s="58">
        <f>IF(D369&lt;=315,1600,(IF(D369=355,1650,(IF(D369=400,1650,(IF(D369=450,1700,(IF(D369=500,1700,(IF(D369=560,1800,(IF(D369=630,2000,(IF(D369=710,2200,2500)))))))))))))))</f>
        <v>1650</v>
      </c>
      <c r="I368" s="58">
        <f>IF(H369=2,1800,(IF(H369=3,2300,(IF(H369=4,3300,0)))))</f>
        <v>2300</v>
      </c>
      <c r="J368" s="929" t="s">
        <v>277</v>
      </c>
      <c r="K368" s="929">
        <v>1</v>
      </c>
      <c r="L368" s="930">
        <f>Q368*0.9</f>
        <v>273825</v>
      </c>
      <c r="M368" s="930">
        <f>L368*K368</f>
        <v>273825</v>
      </c>
      <c r="N368" s="930">
        <f>Q368*0.1</f>
        <v>30425</v>
      </c>
      <c r="O368" s="940">
        <f>N368*K368</f>
        <v>30425</v>
      </c>
      <c r="P368" s="940">
        <v>304250</v>
      </c>
      <c r="Q368" s="913">
        <f>CEILING((S368+T368+U368+V368+W368),250)</f>
        <v>304250</v>
      </c>
      <c r="R368" s="913">
        <v>625</v>
      </c>
      <c r="S368" s="913">
        <f>(D368*E368*3*10.76+D368*F368*2*10.76+E368*F368*2*10.76)*R368/(1000*1000)</f>
        <v>228650</v>
      </c>
      <c r="T368" s="913">
        <f>F369*4*1050</f>
        <v>0</v>
      </c>
      <c r="U368" s="912">
        <f>IF(G368&lt;=2000,5000,(IF(G368&lt;=5000,8000,(IF(G368&lt;=10000,10000,(IF(G368&lt;=18000,15000,(IF(G368&lt;=40000,20000,10000)))))))))</f>
        <v>8000</v>
      </c>
      <c r="V368" s="912">
        <f>IF(X368=200,17150,(IF(X368=225,18150,(IF(X368=250,18900,(IF(X368=280,19150,(IF(X368=315,19650,(IF(X368=355,21900,(IF(X368=400,24400,0)))))))))))))+IF(X368=450,31000,(IF(X368=500,37450,(IF(X368=560,45650,(IF(X368=630,58900,(IF(X368=710,77950,0)))))))))+IF(X368=800,119650,(IF(X368=900,153300,(IF(X368=1000,178900,(IF(X368=1120,286500,(IF(X368=1250,394500,(IF(X368=1450,461500,0)))))))))))</f>
        <v>21900</v>
      </c>
      <c r="W368" s="913">
        <f>IF(E369=0.5,16600,(IF(E369=1,19050,(IF(E369=1.5,21750,(IF(E369=2,23600,(IF(E369=3,30000,(IF(E369=5,38000,0)))))))))))*1.2+IF(E369=7.5,52300,(IF(E369=10,59600,0)))*1.2+IF(E369=12.5,100350,(IF(E369=15,106000,(IF(E369=20,129150,(IF(E369=25,146050,(IF(E369=30,173600,(IF(E369=40,233900,(IF(E369=50,304650)))))))))))))*1.2</f>
        <v>45600</v>
      </c>
      <c r="X368" s="912">
        <f>IF(G368&lt;=5250,Z368,Y368)</f>
        <v>355</v>
      </c>
      <c r="Y368" s="912">
        <f>IF(G368&lt;=6750,450,(IF(G368&lt;=8500,500,(IF(G368&lt;=10750,560,(IF(G368&lt;=13500,630,(IF(G368&lt;=17000,710,(IF(G368&lt;=21500,800,(IF(G368&lt;=27000,900,(IF(G368&lt;=34000,1000,0)))))))))))))))</f>
        <v>450</v>
      </c>
      <c r="Z368" s="912">
        <f>IF(G368&lt;=1300,200,(IF(G368&lt;=1600,225,(IF(G368&lt;=2100,250,(IF(G368&lt;=2700,280,(IF(G368&lt;=3450,315,(IF(G368&lt;=4250,355,(IF(G368&lt;=5250,400,(IF(G368&lt;=6750,450,0)))))))))))))))</f>
        <v>355</v>
      </c>
      <c r="AA368" s="912">
        <f>IF(G368&lt;=2000,5000,(IF(G368&lt;=5000,8000,(IF(G368&lt;=10000,10000,(IF(G368&lt;=18000,15000,(IF(G368&lt;=40000,20000,10000)))))))))</f>
        <v>8000</v>
      </c>
      <c r="AB368" s="912">
        <f>IF(D368=950,2,(IF(D368=1150,3,(IF(D368=1550,4,(IF(D368=1750,5,(IF(D368=2050,6,(IF(D368=2900,8,(IF(D368=3600,10,1)))))))))))))</f>
        <v>4</v>
      </c>
      <c r="AC368" s="912">
        <f>IF(E368=950,2,(IF(E368=1100,2,(IF(E368=1250,3,(IF(E368=1550,4,(IF(E368=1750,5,(IF(E368=2050,6,(IF(E368=2900,8,(IF(E368=3600,10,1)))))))))))))))</f>
        <v>2</v>
      </c>
      <c r="AD368" s="912">
        <f>AC368*AB368</f>
        <v>8</v>
      </c>
      <c r="AE368" s="912">
        <v>150</v>
      </c>
      <c r="AF368" s="912">
        <f>CEILING((SQRT(G368/1000))*4*2*AE368*1.25*K368,100)</f>
        <v>3000</v>
      </c>
      <c r="AG368" s="912">
        <f>AB368*AC368</f>
        <v>8</v>
      </c>
      <c r="AH368" s="912">
        <f>AC368*AB368</f>
        <v>8</v>
      </c>
      <c r="AI368" s="912">
        <f>AC368*AB368</f>
        <v>8</v>
      </c>
      <c r="AJ368" s="912">
        <f>AC368*AB368</f>
        <v>8</v>
      </c>
      <c r="AK368" s="912"/>
      <c r="AL368" s="912"/>
      <c r="AM368" s="915">
        <f>(G368*2.2/1100)</f>
        <v>7.8</v>
      </c>
      <c r="AN368" s="915">
        <f>(G368*1/1100)</f>
        <v>3.5454545454545454</v>
      </c>
      <c r="AX368" s="912"/>
    </row>
    <row r="369" spans="3:50">
      <c r="C369" s="928"/>
      <c r="D369" s="58">
        <f>IF(G368&lt;=5250,Z368,Y368)</f>
        <v>355</v>
      </c>
      <c r="E369" s="58">
        <v>5</v>
      </c>
      <c r="F369" s="58">
        <v>0</v>
      </c>
      <c r="G369" s="58">
        <f>IF(I369=4,600,(IF(I369=6,800,(IF(I369=8,1000,1200)))))</f>
        <v>1200</v>
      </c>
      <c r="H369" s="58">
        <v>3</v>
      </c>
      <c r="I369" s="58">
        <v>0</v>
      </c>
      <c r="J369" s="929"/>
      <c r="K369" s="929"/>
      <c r="L369" s="930"/>
      <c r="M369" s="930"/>
      <c r="N369" s="930"/>
      <c r="O369" s="940"/>
      <c r="P369" s="940"/>
      <c r="Q369" s="913"/>
      <c r="R369" s="913"/>
      <c r="S369" s="913"/>
      <c r="T369" s="913"/>
      <c r="U369" s="912"/>
      <c r="V369" s="912"/>
      <c r="W369" s="913"/>
      <c r="X369" s="912"/>
      <c r="Y369" s="912"/>
      <c r="Z369" s="912"/>
      <c r="AA369" s="912"/>
      <c r="AB369" s="912"/>
      <c r="AC369" s="912"/>
      <c r="AD369" s="912"/>
      <c r="AE369" s="912"/>
      <c r="AF369" s="912"/>
      <c r="AG369" s="912"/>
      <c r="AH369" s="912"/>
      <c r="AI369" s="912"/>
      <c r="AJ369" s="912"/>
      <c r="AK369" s="912"/>
      <c r="AL369" s="912"/>
      <c r="AM369" s="915"/>
      <c r="AN369" s="915"/>
      <c r="AX369" s="912"/>
    </row>
    <row r="370" spans="3:50" ht="12.95">
      <c r="C370" s="927" t="s">
        <v>318</v>
      </c>
      <c r="D370" s="58">
        <f>IF(G370&lt;=2000,950,(IF(G370&lt;=3000,1150,(IF(G370&lt;=8000,1550,(IF(G370&lt;=10000,1750,(IF(G370&lt;=18000,2050,(IF(G370&lt;=32000,2900,(IF(G370&lt;=40000,3600,4000)))))))))))))</f>
        <v>1550</v>
      </c>
      <c r="E370" s="58">
        <f>IF(G370&lt;=2000,950,(IF(G370&lt;=4000,1100,(IF(G370&lt;=6000,1250,(IF(G370&lt;=10000,1550,(IF(G370&lt;=15000,1750,(IF(G370&lt;=24000,2050,(IF(G370&lt;=40000,2900,3600)))))))))))))</f>
        <v>1250</v>
      </c>
      <c r="F370" s="58">
        <f>H370+I370+G371+300</f>
        <v>5450</v>
      </c>
      <c r="G370" s="59">
        <v>4450</v>
      </c>
      <c r="H370" s="58">
        <f>IF(D371&lt;=315,1600,(IF(D371=355,1650,(IF(D371=400,1650,(IF(D371=450,1700,(IF(D371=500,1700,(IF(D371=560,1800,(IF(D371=630,2000,(IF(D371=710,2200,2500)))))))))))))))</f>
        <v>1650</v>
      </c>
      <c r="I370" s="58">
        <f>IF(H371=2,1800,(IF(H371=3,2300,(IF(H371=4,3300,0)))))</f>
        <v>2300</v>
      </c>
      <c r="J370" s="929" t="s">
        <v>277</v>
      </c>
      <c r="K370" s="929">
        <v>1</v>
      </c>
      <c r="L370" s="930">
        <f>Q370*0.9</f>
        <v>290250</v>
      </c>
      <c r="M370" s="930">
        <f>L370*K370</f>
        <v>290250</v>
      </c>
      <c r="N370" s="930">
        <f>Q370*0.1</f>
        <v>32250</v>
      </c>
      <c r="O370" s="940">
        <f>N370*K370</f>
        <v>32250</v>
      </c>
      <c r="P370" s="940">
        <v>322500</v>
      </c>
      <c r="Q370" s="913">
        <f>CEILING((S370+T370+U370+V370+W370),250)</f>
        <v>322500</v>
      </c>
      <c r="R370" s="913">
        <v>625</v>
      </c>
      <c r="S370" s="913">
        <f>(D370*E370*3*10.76+D370*F370*2*10.76+E370*F370*2*10.76)*R370/(1000*1000)</f>
        <v>244336.0625</v>
      </c>
      <c r="T370" s="913">
        <f>F371*4*1050</f>
        <v>0</v>
      </c>
      <c r="U370" s="912">
        <f>IF(G370&lt;=2000,5000,(IF(G370&lt;=5000,8000,(IF(G370&lt;=10000,10000,(IF(G370&lt;=18000,15000,(IF(G370&lt;=40000,20000,10000)))))))))</f>
        <v>8000</v>
      </c>
      <c r="V370" s="912">
        <f>IF(X370=200,17150,(IF(X370=225,18150,(IF(X370=250,18900,(IF(X370=280,19150,(IF(X370=315,19650,(IF(X370=355,21900,(IF(X370=400,24400,0)))))))))))))+IF(X370=450,31000,(IF(X370=500,37450,(IF(X370=560,45650,(IF(X370=630,58900,(IF(X370=710,77950,0)))))))))+IF(X370=800,119650,(IF(X370=900,153300,(IF(X370=1000,178900,(IF(X370=1120,286500,(IF(X370=1250,394500,(IF(X370=1450,461500,0)))))))))))</f>
        <v>24400</v>
      </c>
      <c r="W370" s="913">
        <f>IF(E371=0.5,16600,(IF(E371=1,19050,(IF(E371=1.5,21750,(IF(E371=2,23600,(IF(E371=3,30000,(IF(E371=5,38000,0)))))))))))*1.2+IF(E371=7.5,52300,(IF(E371=10,59600,0)))*1.2+IF(E371=12.5,100350,(IF(E371=15,106000,(IF(E371=20,129150,(IF(E371=25,146050,(IF(E371=30,173600,(IF(E371=40,233900,(IF(E371=50,304650)))))))))))))*1.2</f>
        <v>45600</v>
      </c>
      <c r="X370" s="912">
        <f>IF(G370&lt;=5250,Z370,Y370)</f>
        <v>400</v>
      </c>
      <c r="Y370" s="912">
        <f>IF(G370&lt;=6750,450,(IF(G370&lt;=8500,500,(IF(G370&lt;=10750,560,(IF(G370&lt;=13500,630,(IF(G370&lt;=17000,710,(IF(G370&lt;=21500,800,(IF(G370&lt;=27000,900,(IF(G370&lt;=34000,1000,0)))))))))))))))</f>
        <v>450</v>
      </c>
      <c r="Z370" s="912">
        <f>IF(G370&lt;=1300,200,(IF(G370&lt;=1600,225,(IF(G370&lt;=2100,250,(IF(G370&lt;=2700,280,(IF(G370&lt;=3450,315,(IF(G370&lt;=4250,355,(IF(G370&lt;=5250,400,(IF(G370&lt;=6750,450,0)))))))))))))))</f>
        <v>400</v>
      </c>
      <c r="AA370" s="912">
        <f>IF(G370&lt;=2000,5000,(IF(G370&lt;=5000,8000,(IF(G370&lt;=10000,10000,(IF(G370&lt;=18000,15000,(IF(G370&lt;=40000,20000,10000)))))))))</f>
        <v>8000</v>
      </c>
      <c r="AB370" s="912">
        <f>IF(D370=950,2,(IF(D370=1150,3,(IF(D370=1550,4,(IF(D370=1750,5,(IF(D370=2050,6,(IF(D370=2900,8,(IF(D370=3600,10,1)))))))))))))</f>
        <v>4</v>
      </c>
      <c r="AC370" s="912">
        <f>IF(E370=950,2,(IF(E370=1100,2,(IF(E370=1250,3,(IF(E370=1550,4,(IF(E370=1750,5,(IF(E370=2050,6,(IF(E370=2900,8,(IF(E370=3600,10,1)))))))))))))))</f>
        <v>3</v>
      </c>
      <c r="AD370" s="912">
        <f>AC370*AB370</f>
        <v>12</v>
      </c>
      <c r="AE370" s="912">
        <v>150</v>
      </c>
      <c r="AF370" s="912">
        <f>CEILING((SQRT(G370/1000))*4*2*AE370*1.25*K370,100)</f>
        <v>3200</v>
      </c>
      <c r="AG370" s="912">
        <f>AB370*AC370</f>
        <v>12</v>
      </c>
      <c r="AH370" s="912">
        <f>AC370*AB370</f>
        <v>12</v>
      </c>
      <c r="AI370" s="912">
        <f>AC370*AB370</f>
        <v>12</v>
      </c>
      <c r="AJ370" s="912">
        <f>AC370*AB370</f>
        <v>12</v>
      </c>
      <c r="AK370" s="912"/>
      <c r="AL370" s="912"/>
      <c r="AM370" s="915">
        <f>(G370*2.2/1100)</f>
        <v>8.9</v>
      </c>
      <c r="AN370" s="915">
        <f>(G370*1/1100)</f>
        <v>4.0454545454545459</v>
      </c>
      <c r="AX370" s="912"/>
    </row>
    <row r="371" spans="3:50">
      <c r="C371" s="928"/>
      <c r="D371" s="58">
        <f>IF(G370&lt;=5250,Z370,Y370)</f>
        <v>400</v>
      </c>
      <c r="E371" s="58">
        <v>5</v>
      </c>
      <c r="F371" s="58">
        <v>0</v>
      </c>
      <c r="G371" s="58">
        <f>IF(I371=4,600,(IF(I371=6,800,(IF(I371=8,1000,1200)))))</f>
        <v>1200</v>
      </c>
      <c r="H371" s="58">
        <v>3</v>
      </c>
      <c r="I371" s="58">
        <v>0</v>
      </c>
      <c r="J371" s="929"/>
      <c r="K371" s="929"/>
      <c r="L371" s="930"/>
      <c r="M371" s="930"/>
      <c r="N371" s="930"/>
      <c r="O371" s="940"/>
      <c r="P371" s="940"/>
      <c r="Q371" s="913"/>
      <c r="R371" s="913"/>
      <c r="S371" s="913"/>
      <c r="T371" s="913"/>
      <c r="U371" s="912"/>
      <c r="V371" s="912"/>
      <c r="W371" s="913"/>
      <c r="X371" s="912"/>
      <c r="Y371" s="912"/>
      <c r="Z371" s="912"/>
      <c r="AA371" s="912"/>
      <c r="AB371" s="912"/>
      <c r="AC371" s="912"/>
      <c r="AD371" s="912"/>
      <c r="AE371" s="912"/>
      <c r="AF371" s="912"/>
      <c r="AG371" s="912"/>
      <c r="AH371" s="912"/>
      <c r="AI371" s="912"/>
      <c r="AJ371" s="912"/>
      <c r="AK371" s="912"/>
      <c r="AL371" s="912"/>
      <c r="AM371" s="915"/>
      <c r="AN371" s="915"/>
      <c r="AX371" s="912"/>
    </row>
    <row r="372" spans="3:50" ht="14.1">
      <c r="C372" s="72"/>
      <c r="D372" s="937" t="s">
        <v>319</v>
      </c>
      <c r="E372" s="938"/>
      <c r="F372" s="938"/>
      <c r="G372" s="938"/>
      <c r="H372" s="938"/>
      <c r="I372" s="939"/>
      <c r="J372" s="52"/>
      <c r="K372" s="52"/>
      <c r="L372" s="53"/>
      <c r="M372" s="53"/>
      <c r="N372" s="53"/>
      <c r="O372" s="54"/>
      <c r="P372" s="54"/>
      <c r="Q372" s="55"/>
      <c r="R372" s="55"/>
      <c r="S372" s="55"/>
      <c r="T372" s="55"/>
      <c r="U372" s="45"/>
      <c r="V372" s="45"/>
      <c r="W372" s="55"/>
      <c r="X372" s="45"/>
      <c r="Y372" s="45"/>
      <c r="Z372" s="45"/>
      <c r="AA372" s="45"/>
      <c r="AB372" s="45"/>
      <c r="AC372" s="45"/>
      <c r="AD372" s="45"/>
      <c r="AE372" s="45"/>
      <c r="AF372" s="45"/>
      <c r="AG372" s="45"/>
      <c r="AH372" s="45"/>
      <c r="AI372" s="45"/>
      <c r="AJ372" s="45"/>
      <c r="AK372" s="45"/>
      <c r="AL372" s="45"/>
      <c r="AM372" s="63"/>
      <c r="AN372" s="63"/>
    </row>
    <row r="373" spans="3:50" ht="12.95">
      <c r="C373" s="927" t="s">
        <v>320</v>
      </c>
      <c r="D373" s="58">
        <f>IF(G373&lt;=2000,950,(IF(G373&lt;=3000,1150,(IF(G373&lt;=8000,1550,(IF(G373&lt;=10000,1750,(IF(G373&lt;=18000,2050,(IF(G373&lt;=32000,2900,(IF(G373&lt;=40000,3600,4000)))))))))))))</f>
        <v>1750</v>
      </c>
      <c r="E373" s="58">
        <f>IF(G373&lt;=2000,950,(IF(G373&lt;=4000,1100,(IF(G373&lt;=6000,1250,(IF(G373&lt;=10000,1550,(IF(G373&lt;=15000,1750,(IF(G373&lt;=24000,2050,(IF(G373&lt;=40000,2900,3600)))))))))))))</f>
        <v>1550</v>
      </c>
      <c r="F373" s="58">
        <f>H373+I373+G374+300</f>
        <v>5600</v>
      </c>
      <c r="G373" s="59">
        <v>9000</v>
      </c>
      <c r="H373" s="58">
        <f>IF(D374&lt;=315,1600,(IF(D374=355,1650,(IF(D374=400,1650,(IF(D374=450,1700,(IF(D374=500,1700,(IF(D374=560,1800,(IF(D374=630,2000,(IF(D374=710,2200,2500)))))))))))))))</f>
        <v>1800</v>
      </c>
      <c r="I373" s="58">
        <f>IF(H374=2,1800,(IF(H374=3,2300,(IF(H374=4,3300,0)))))</f>
        <v>2300</v>
      </c>
      <c r="J373" s="929" t="s">
        <v>277</v>
      </c>
      <c r="K373" s="929">
        <v>2</v>
      </c>
      <c r="L373" s="930">
        <f>Q373*0.9</f>
        <v>364275</v>
      </c>
      <c r="M373" s="930">
        <f>L373*K373</f>
        <v>728550</v>
      </c>
      <c r="N373" s="930">
        <f>Q373*0.1</f>
        <v>40475</v>
      </c>
      <c r="O373" s="940">
        <f>N373*K373</f>
        <v>80950</v>
      </c>
      <c r="P373" s="940">
        <v>404750</v>
      </c>
      <c r="Q373" s="913">
        <f>CEILING((S373+T373+U373+V373+W373),250)</f>
        <v>404750</v>
      </c>
      <c r="R373" s="913">
        <v>625</v>
      </c>
      <c r="S373" s="913">
        <f>(D373*E373*3*10.76+D373*F373*2*10.76+E373*F373*2*10.76)*R373/(1000*1000)</f>
        <v>303280.6875</v>
      </c>
      <c r="T373" s="913">
        <f>F374*4*1050</f>
        <v>0</v>
      </c>
      <c r="U373" s="912">
        <f>IF(G373&lt;=2000,5000,(IF(G373&lt;=5000,8000,(IF(G373&lt;=10000,10000,(IF(G373&lt;=18000,15000,(IF(G373&lt;=40000,20000,10000)))))))))</f>
        <v>10000</v>
      </c>
      <c r="V373" s="912">
        <f>IF(X373=200,17150,(IF(X373=225,18150,(IF(X373=250,18900,(IF(X373=280,19150,(IF(X373=315,19650,(IF(X373=355,21900,(IF(X373=400,24400,0)))))))))))))+IF(X373=450,31000,(IF(X373=500,37450,(IF(X373=560,45650,(IF(X373=630,58900,(IF(X373=710,77950,0)))))))))+IF(X373=800,119650,(IF(X373=900,153300,(IF(X373=1000,178900,(IF(X373=1120,286500,(IF(X373=1250,394500,(IF(X373=1450,461500,0)))))))))))</f>
        <v>45650</v>
      </c>
      <c r="W373" s="913">
        <f>IF(E374=0.5,16600,(IF(E374=1,19050,(IF(E374=1.5,21750,(IF(E374=2,23600,(IF(E374=3,30000,(IF(E374=5,38000,0)))))))))))*1.2+IF(E374=7.5,52300,(IF(E374=10,59600,0)))*1.2+IF(E374=12.5,100350,(IF(E374=15,106000,(IF(E374=20,129150,(IF(E374=25,146050,(IF(E374=30,173600,(IF(E374=40,233900,(IF(E374=50,304650)))))))))))))*1.2</f>
        <v>45600</v>
      </c>
      <c r="X373" s="912">
        <f>IF(G373&lt;=5250,Z373,Y373)</f>
        <v>560</v>
      </c>
      <c r="Y373" s="912">
        <f>IF(G373&lt;=6750,450,(IF(G373&lt;=8500,500,(IF(G373&lt;=10750,560,(IF(G373&lt;=13500,630,(IF(G373&lt;=17000,710,(IF(G373&lt;=21500,800,(IF(G373&lt;=27000,900,(IF(G373&lt;=34000,1000,0)))))))))))))))</f>
        <v>560</v>
      </c>
      <c r="Z373" s="912">
        <f>IF(G373&lt;=1300,200,(IF(G373&lt;=1600,225,(IF(G373&lt;=2100,250,(IF(G373&lt;=2700,280,(IF(G373&lt;=3450,315,(IF(G373&lt;=4250,355,(IF(G373&lt;=5250,400,(IF(G373&lt;=6750,450,0)))))))))))))))</f>
        <v>0</v>
      </c>
      <c r="AA373" s="912">
        <f>IF(G373&lt;=2000,5000,(IF(G373&lt;=5000,8000,(IF(G373&lt;=10000,10000,(IF(G373&lt;=18000,15000,(IF(G373&lt;=40000,20000,10000)))))))))</f>
        <v>10000</v>
      </c>
      <c r="AB373" s="912">
        <f>IF(D373=950,2,(IF(D373=1150,3,(IF(D373=1550,4,(IF(D373=1750,5,(IF(D373=2050,6,(IF(D373=2900,8,(IF(D373=3600,10,1)))))))))))))</f>
        <v>5</v>
      </c>
      <c r="AC373" s="912">
        <f>IF(E373=950,2,(IF(E373=1100,2,(IF(E373=1250,3,(IF(E373=1550,4,(IF(E373=1750,5,(IF(E373=2050,6,(IF(E373=2900,8,(IF(E373=3600,10,1)))))))))))))))</f>
        <v>4</v>
      </c>
      <c r="AD373" s="912">
        <f>AC373*AB373</f>
        <v>20</v>
      </c>
      <c r="AE373" s="912">
        <v>150</v>
      </c>
      <c r="AF373" s="912">
        <f>CEILING((SQRT(G373/1000))*4*2*AE373*1.25*K373,100)</f>
        <v>9000</v>
      </c>
      <c r="AG373" s="912">
        <f>AB373*AC373</f>
        <v>20</v>
      </c>
      <c r="AH373" s="912">
        <f>AC373*AB373</f>
        <v>20</v>
      </c>
      <c r="AI373" s="912">
        <f>AC373*AB373</f>
        <v>20</v>
      </c>
      <c r="AJ373" s="912">
        <f>AC373*AB373</f>
        <v>20</v>
      </c>
      <c r="AK373" s="912"/>
      <c r="AL373" s="912"/>
      <c r="AM373" s="915">
        <f>(G373*2.2/1100)</f>
        <v>18</v>
      </c>
      <c r="AN373" s="915">
        <f>(G373*1/1100)</f>
        <v>8.1818181818181817</v>
      </c>
      <c r="AX373" s="912"/>
    </row>
    <row r="374" spans="3:50">
      <c r="C374" s="928"/>
      <c r="D374" s="58">
        <f>IF(G373&lt;=5250,Z373,Y373)</f>
        <v>560</v>
      </c>
      <c r="E374" s="58">
        <v>5</v>
      </c>
      <c r="F374" s="58">
        <v>0</v>
      </c>
      <c r="G374" s="58">
        <f>IF(I374=4,600,(IF(I374=6,800,(IF(I374=8,1000,1200)))))</f>
        <v>1200</v>
      </c>
      <c r="H374" s="58">
        <v>3</v>
      </c>
      <c r="I374" s="58">
        <v>0</v>
      </c>
      <c r="J374" s="929"/>
      <c r="K374" s="929"/>
      <c r="L374" s="930"/>
      <c r="M374" s="930"/>
      <c r="N374" s="930"/>
      <c r="O374" s="940"/>
      <c r="P374" s="940"/>
      <c r="Q374" s="913"/>
      <c r="R374" s="913"/>
      <c r="S374" s="913"/>
      <c r="T374" s="913"/>
      <c r="U374" s="912"/>
      <c r="V374" s="912"/>
      <c r="W374" s="913"/>
      <c r="X374" s="912"/>
      <c r="Y374" s="912"/>
      <c r="Z374" s="912"/>
      <c r="AA374" s="912"/>
      <c r="AB374" s="912"/>
      <c r="AC374" s="912"/>
      <c r="AD374" s="912"/>
      <c r="AE374" s="912"/>
      <c r="AF374" s="912"/>
      <c r="AG374" s="912"/>
      <c r="AH374" s="912"/>
      <c r="AI374" s="912"/>
      <c r="AJ374" s="912"/>
      <c r="AK374" s="912"/>
      <c r="AL374" s="912"/>
      <c r="AM374" s="915"/>
      <c r="AN374" s="915"/>
      <c r="AX374" s="912"/>
    </row>
    <row r="375" spans="3:50" ht="12.95">
      <c r="C375" s="927" t="s">
        <v>321</v>
      </c>
      <c r="D375" s="58">
        <f>IF(G375&lt;=2000,950,(IF(G375&lt;=3000,1150,(IF(G375&lt;=8000,1550,(IF(G375&lt;=10000,1750,(IF(G375&lt;=18000,2050,(IF(G375&lt;=32000,2900,(IF(G375&lt;=40000,3600,4000)))))))))))))</f>
        <v>1750</v>
      </c>
      <c r="E375" s="58">
        <f>IF(G375&lt;=2000,950,(IF(G375&lt;=4000,1100,(IF(G375&lt;=6000,1250,(IF(G375&lt;=10000,1550,(IF(G375&lt;=15000,1750,(IF(G375&lt;=24000,2050,(IF(G375&lt;=40000,2900,3600)))))))))))))</f>
        <v>1550</v>
      </c>
      <c r="F375" s="58">
        <f>H375+I375+G376+300</f>
        <v>5600</v>
      </c>
      <c r="G375" s="59">
        <v>10000</v>
      </c>
      <c r="H375" s="58">
        <f>IF(D376&lt;=315,1600,(IF(D376=355,1650,(IF(D376=400,1650,(IF(D376=450,1700,(IF(D376=500,1700,(IF(D376=560,1800,(IF(D376=630,2000,(IF(D376=710,2200,2500)))))))))))))))</f>
        <v>1800</v>
      </c>
      <c r="I375" s="58">
        <f>IF(H376=2,1800,(IF(H376=3,2300,(IF(H376=4,3300,0)))))</f>
        <v>2300</v>
      </c>
      <c r="J375" s="929" t="s">
        <v>277</v>
      </c>
      <c r="K375" s="929">
        <v>2</v>
      </c>
      <c r="L375" s="930">
        <f>Q375*0.9</f>
        <v>364275</v>
      </c>
      <c r="M375" s="930">
        <f>L375*K375</f>
        <v>728550</v>
      </c>
      <c r="N375" s="930">
        <f>Q375*0.1</f>
        <v>40475</v>
      </c>
      <c r="O375" s="940">
        <f>N375*K375</f>
        <v>80950</v>
      </c>
      <c r="P375" s="940">
        <v>404750</v>
      </c>
      <c r="Q375" s="913">
        <f>CEILING((S375+T375+U375+V375+W375),250)</f>
        <v>404750</v>
      </c>
      <c r="R375" s="913">
        <v>625</v>
      </c>
      <c r="S375" s="913">
        <f>(D375*E375*3*10.76+D375*F375*2*10.76+E375*F375*2*10.76)*R375/(1000*1000)</f>
        <v>303280.6875</v>
      </c>
      <c r="T375" s="913">
        <f>F376*4*1050</f>
        <v>0</v>
      </c>
      <c r="U375" s="912">
        <f>IF(G375&lt;=2000,5000,(IF(G375&lt;=5000,8000,(IF(G375&lt;=10000,10000,(IF(G375&lt;=18000,15000,(IF(G375&lt;=40000,20000,10000)))))))))</f>
        <v>10000</v>
      </c>
      <c r="V375" s="912">
        <f>IF(X375=200,17150,(IF(X375=225,18150,(IF(X375=250,18900,(IF(X375=280,19150,(IF(X375=315,19650,(IF(X375=355,21900,(IF(X375=400,24400,0)))))))))))))+IF(X375=450,31000,(IF(X375=500,37450,(IF(X375=560,45650,(IF(X375=630,58900,(IF(X375=710,77950,0)))))))))+IF(X375=800,119650,(IF(X375=900,153300,(IF(X375=1000,178900,(IF(X375=1120,286500,(IF(X375=1250,394500,(IF(X375=1450,461500,0)))))))))))</f>
        <v>45650</v>
      </c>
      <c r="W375" s="913">
        <f>IF(E376=0.5,16600,(IF(E376=1,19050,(IF(E376=1.5,21750,(IF(E376=2,23600,(IF(E376=3,30000,(IF(E376=5,38000,0)))))))))))*1.2+IF(E376=7.5,52300,(IF(E376=10,59600,0)))*1.2+IF(E376=12.5,100350,(IF(E376=15,106000,(IF(E376=20,129150,(IF(E376=25,146050,(IF(E376=30,173600,(IF(E376=40,233900,(IF(E376=50,304650)))))))))))))*1.2</f>
        <v>45600</v>
      </c>
      <c r="X375" s="912">
        <f>IF(G375&lt;=5250,Z375,Y375)</f>
        <v>560</v>
      </c>
      <c r="Y375" s="912">
        <f>IF(G375&lt;=6750,450,(IF(G375&lt;=8500,500,(IF(G375&lt;=10750,560,(IF(G375&lt;=13500,630,(IF(G375&lt;=17000,710,(IF(G375&lt;=21500,800,(IF(G375&lt;=27000,900,(IF(G375&lt;=34000,1000,0)))))))))))))))</f>
        <v>560</v>
      </c>
      <c r="Z375" s="912">
        <f>IF(G375&lt;=1300,200,(IF(G375&lt;=1600,225,(IF(G375&lt;=2100,250,(IF(G375&lt;=2700,280,(IF(G375&lt;=3450,315,(IF(G375&lt;=4250,355,(IF(G375&lt;=5250,400,(IF(G375&lt;=6750,450,0)))))))))))))))</f>
        <v>0</v>
      </c>
      <c r="AA375" s="912">
        <f>IF(G375&lt;=2000,5000,(IF(G375&lt;=5000,8000,(IF(G375&lt;=10000,10000,(IF(G375&lt;=18000,15000,(IF(G375&lt;=40000,20000,10000)))))))))</f>
        <v>10000</v>
      </c>
      <c r="AB375" s="912">
        <f>IF(D375=950,2,(IF(D375=1150,3,(IF(D375=1550,4,(IF(D375=1750,5,(IF(D375=2050,6,(IF(D375=2900,8,(IF(D375=3600,10,1)))))))))))))</f>
        <v>5</v>
      </c>
      <c r="AC375" s="912">
        <f>IF(E375=950,2,(IF(E375=1100,2,(IF(E375=1250,3,(IF(E375=1550,4,(IF(E375=1750,5,(IF(E375=2050,6,(IF(E375=2900,8,(IF(E375=3600,10,1)))))))))))))))</f>
        <v>4</v>
      </c>
      <c r="AD375" s="912">
        <f>AC375*AB375</f>
        <v>20</v>
      </c>
      <c r="AE375" s="912">
        <v>150</v>
      </c>
      <c r="AF375" s="912">
        <f>CEILING((SQRT(G375/1000))*4*2*AE375*1.25*K375,100)</f>
        <v>9500</v>
      </c>
      <c r="AG375" s="912">
        <f>AB375*AC375</f>
        <v>20</v>
      </c>
      <c r="AH375" s="912">
        <f>AC375*AB375</f>
        <v>20</v>
      </c>
      <c r="AI375" s="912">
        <f>AC375*AB375</f>
        <v>20</v>
      </c>
      <c r="AJ375" s="912">
        <f>AC375*AB375</f>
        <v>20</v>
      </c>
      <c r="AK375" s="912"/>
      <c r="AL375" s="912"/>
      <c r="AM375" s="915">
        <f>(G375*2.2/1100)</f>
        <v>20</v>
      </c>
      <c r="AN375" s="915">
        <f>(G375*1/1100)</f>
        <v>9.0909090909090917</v>
      </c>
      <c r="AX375" s="912"/>
    </row>
    <row r="376" spans="3:50">
      <c r="C376" s="928"/>
      <c r="D376" s="58">
        <f>IF(G375&lt;=5250,Z375,Y375)</f>
        <v>560</v>
      </c>
      <c r="E376" s="58">
        <v>5</v>
      </c>
      <c r="F376" s="58">
        <v>0</v>
      </c>
      <c r="G376" s="58">
        <f>IF(I376=4,600,(IF(I376=6,800,(IF(I376=8,1000,1200)))))</f>
        <v>1200</v>
      </c>
      <c r="H376" s="58">
        <v>3</v>
      </c>
      <c r="I376" s="58">
        <v>0</v>
      </c>
      <c r="J376" s="929"/>
      <c r="K376" s="929"/>
      <c r="L376" s="930"/>
      <c r="M376" s="930"/>
      <c r="N376" s="930"/>
      <c r="O376" s="940"/>
      <c r="P376" s="940"/>
      <c r="Q376" s="913"/>
      <c r="R376" s="913"/>
      <c r="S376" s="913"/>
      <c r="T376" s="913"/>
      <c r="U376" s="912"/>
      <c r="V376" s="912"/>
      <c r="W376" s="913"/>
      <c r="X376" s="912"/>
      <c r="Y376" s="912"/>
      <c r="Z376" s="912"/>
      <c r="AA376" s="912"/>
      <c r="AB376" s="912"/>
      <c r="AC376" s="912"/>
      <c r="AD376" s="912"/>
      <c r="AE376" s="912"/>
      <c r="AF376" s="912"/>
      <c r="AG376" s="912"/>
      <c r="AH376" s="912"/>
      <c r="AI376" s="912"/>
      <c r="AJ376" s="912"/>
      <c r="AK376" s="912"/>
      <c r="AL376" s="912"/>
      <c r="AM376" s="915"/>
      <c r="AN376" s="915"/>
      <c r="AX376" s="912"/>
    </row>
    <row r="377" spans="3:50">
      <c r="C377" s="72"/>
      <c r="D377" s="73"/>
      <c r="E377" s="74"/>
      <c r="F377" s="74"/>
      <c r="G377" s="74"/>
      <c r="H377" s="74"/>
      <c r="I377" s="75"/>
      <c r="J377" s="52"/>
      <c r="K377" s="52"/>
      <c r="L377" s="53"/>
      <c r="M377" s="53"/>
      <c r="N377" s="53"/>
      <c r="O377" s="54"/>
      <c r="P377" s="54"/>
      <c r="Q377" s="55"/>
      <c r="R377" s="55"/>
      <c r="S377" s="55"/>
      <c r="T377" s="55"/>
      <c r="U377" s="45"/>
      <c r="V377" s="45"/>
      <c r="W377" s="55"/>
      <c r="X377" s="45"/>
      <c r="Y377" s="45"/>
      <c r="Z377" s="45"/>
      <c r="AA377" s="45"/>
      <c r="AB377" s="45"/>
      <c r="AC377" s="45"/>
      <c r="AD377" s="45"/>
      <c r="AE377" s="45"/>
      <c r="AF377" s="45"/>
      <c r="AG377" s="45"/>
      <c r="AH377" s="45"/>
      <c r="AI377" s="45"/>
      <c r="AJ377" s="45"/>
      <c r="AK377" s="45"/>
      <c r="AL377" s="45"/>
      <c r="AM377" s="63"/>
      <c r="AN377" s="63"/>
    </row>
    <row r="378" spans="3:50" ht="12.95">
      <c r="C378" s="948" t="s">
        <v>84</v>
      </c>
      <c r="D378" s="895" t="s">
        <v>322</v>
      </c>
      <c r="E378" s="896"/>
      <c r="F378" s="896"/>
      <c r="G378" s="896"/>
      <c r="H378" s="896"/>
      <c r="I378" s="897"/>
      <c r="J378" s="52"/>
      <c r="K378" s="52"/>
      <c r="L378" s="52"/>
      <c r="M378" s="52"/>
      <c r="N378" s="52"/>
      <c r="O378" s="76"/>
      <c r="P378" s="76"/>
      <c r="AM378" s="56"/>
      <c r="AN378" s="56"/>
    </row>
    <row r="379" spans="3:50">
      <c r="C379" s="948"/>
      <c r="D379" s="950" t="s">
        <v>323</v>
      </c>
      <c r="E379" s="951"/>
      <c r="F379" s="951"/>
      <c r="G379" s="951"/>
      <c r="H379" s="951"/>
      <c r="I379" s="952"/>
      <c r="J379" s="944"/>
      <c r="K379" s="944"/>
      <c r="L379" s="944"/>
      <c r="M379" s="944"/>
      <c r="N379" s="944"/>
      <c r="O379" s="946"/>
      <c r="P379" s="946"/>
      <c r="AM379" s="56"/>
      <c r="AN379" s="56"/>
    </row>
    <row r="380" spans="3:50">
      <c r="C380" s="948"/>
      <c r="D380" s="950"/>
      <c r="E380" s="951"/>
      <c r="F380" s="951"/>
      <c r="G380" s="951"/>
      <c r="H380" s="951"/>
      <c r="I380" s="952"/>
      <c r="J380" s="945"/>
      <c r="K380" s="945"/>
      <c r="L380" s="945"/>
      <c r="M380" s="945"/>
      <c r="N380" s="945"/>
      <c r="O380" s="947"/>
      <c r="P380" s="947"/>
      <c r="AM380" s="56"/>
      <c r="AN380" s="56"/>
    </row>
    <row r="381" spans="3:50">
      <c r="C381" s="948"/>
      <c r="D381" s="950"/>
      <c r="E381" s="951"/>
      <c r="F381" s="951"/>
      <c r="G381" s="951"/>
      <c r="H381" s="951"/>
      <c r="I381" s="952"/>
      <c r="J381" s="945"/>
      <c r="K381" s="945"/>
      <c r="L381" s="945"/>
      <c r="M381" s="945"/>
      <c r="N381" s="945"/>
      <c r="O381" s="947"/>
      <c r="P381" s="947"/>
      <c r="AM381" s="56"/>
      <c r="AN381" s="56"/>
    </row>
    <row r="382" spans="3:50">
      <c r="C382" s="948"/>
      <c r="D382" s="950"/>
      <c r="E382" s="951"/>
      <c r="F382" s="951"/>
      <c r="G382" s="951"/>
      <c r="H382" s="951"/>
      <c r="I382" s="952"/>
      <c r="J382" s="945"/>
      <c r="K382" s="945"/>
      <c r="L382" s="945"/>
      <c r="M382" s="945"/>
      <c r="N382" s="945"/>
      <c r="O382" s="947"/>
      <c r="P382" s="947"/>
      <c r="AM382" s="56"/>
      <c r="AN382" s="56"/>
    </row>
    <row r="383" spans="3:50">
      <c r="C383" s="948"/>
      <c r="D383" s="950"/>
      <c r="E383" s="951"/>
      <c r="F383" s="951"/>
      <c r="G383" s="951"/>
      <c r="H383" s="951"/>
      <c r="I383" s="952"/>
      <c r="J383" s="945"/>
      <c r="K383" s="945"/>
      <c r="L383" s="945"/>
      <c r="M383" s="945"/>
      <c r="N383" s="945"/>
      <c r="O383" s="947"/>
      <c r="P383" s="947"/>
      <c r="AM383" s="56"/>
      <c r="AN383" s="56"/>
    </row>
    <row r="384" spans="3:50">
      <c r="C384" s="948"/>
      <c r="D384" s="950"/>
      <c r="E384" s="951"/>
      <c r="F384" s="951"/>
      <c r="G384" s="951"/>
      <c r="H384" s="951"/>
      <c r="I384" s="952"/>
      <c r="J384" s="945"/>
      <c r="K384" s="945"/>
      <c r="L384" s="945"/>
      <c r="M384" s="945"/>
      <c r="N384" s="945"/>
      <c r="O384" s="947"/>
      <c r="P384" s="947"/>
      <c r="AM384" s="56"/>
      <c r="AN384" s="56"/>
    </row>
    <row r="385" spans="3:50">
      <c r="C385" s="948"/>
      <c r="D385" s="950"/>
      <c r="E385" s="951"/>
      <c r="F385" s="951"/>
      <c r="G385" s="951"/>
      <c r="H385" s="951"/>
      <c r="I385" s="952"/>
      <c r="J385" s="945"/>
      <c r="K385" s="945"/>
      <c r="L385" s="945"/>
      <c r="M385" s="945"/>
      <c r="N385" s="945"/>
      <c r="O385" s="947"/>
      <c r="P385" s="947"/>
      <c r="AM385" s="56"/>
      <c r="AN385" s="56"/>
    </row>
    <row r="386" spans="3:50">
      <c r="C386" s="948"/>
      <c r="D386" s="950"/>
      <c r="E386" s="951"/>
      <c r="F386" s="951"/>
      <c r="G386" s="951"/>
      <c r="H386" s="951"/>
      <c r="I386" s="952"/>
      <c r="J386" s="945"/>
      <c r="K386" s="945"/>
      <c r="L386" s="945"/>
      <c r="M386" s="945"/>
      <c r="N386" s="945"/>
      <c r="O386" s="947"/>
      <c r="P386" s="947"/>
      <c r="AM386" s="56"/>
      <c r="AN386" s="56"/>
    </row>
    <row r="387" spans="3:50">
      <c r="C387" s="948"/>
      <c r="D387" s="950"/>
      <c r="E387" s="951"/>
      <c r="F387" s="951"/>
      <c r="G387" s="951"/>
      <c r="H387" s="951"/>
      <c r="I387" s="952"/>
      <c r="J387" s="945"/>
      <c r="K387" s="945"/>
      <c r="L387" s="945"/>
      <c r="M387" s="945"/>
      <c r="N387" s="945"/>
      <c r="O387" s="947"/>
      <c r="P387" s="947"/>
      <c r="AM387" s="56"/>
      <c r="AN387" s="56"/>
    </row>
    <row r="388" spans="3:50" ht="12.75" hidden="1" customHeight="1">
      <c r="C388" s="948"/>
      <c r="D388" s="950"/>
      <c r="E388" s="951"/>
      <c r="F388" s="951"/>
      <c r="G388" s="951"/>
      <c r="H388" s="951"/>
      <c r="I388" s="952"/>
      <c r="J388" s="945"/>
      <c r="K388" s="945"/>
      <c r="L388" s="945"/>
      <c r="M388" s="945"/>
      <c r="N388" s="945"/>
      <c r="O388" s="947"/>
      <c r="P388" s="947"/>
      <c r="AM388" s="56"/>
      <c r="AN388" s="56"/>
    </row>
    <row r="389" spans="3:50" ht="12.75" hidden="1" customHeight="1">
      <c r="C389" s="948"/>
      <c r="D389" s="950"/>
      <c r="E389" s="951"/>
      <c r="F389" s="951"/>
      <c r="G389" s="951"/>
      <c r="H389" s="951"/>
      <c r="I389" s="952"/>
      <c r="J389" s="945"/>
      <c r="K389" s="945"/>
      <c r="L389" s="945"/>
      <c r="M389" s="945"/>
      <c r="N389" s="945"/>
      <c r="O389" s="947"/>
      <c r="P389" s="947"/>
      <c r="AM389" s="56"/>
      <c r="AN389" s="56"/>
    </row>
    <row r="390" spans="3:50" ht="12.75" hidden="1" customHeight="1">
      <c r="C390" s="948"/>
      <c r="D390" s="950"/>
      <c r="E390" s="951"/>
      <c r="F390" s="951"/>
      <c r="G390" s="951"/>
      <c r="H390" s="951"/>
      <c r="I390" s="952"/>
      <c r="J390" s="945"/>
      <c r="K390" s="945"/>
      <c r="L390" s="945"/>
      <c r="M390" s="945"/>
      <c r="N390" s="945"/>
      <c r="O390" s="947"/>
      <c r="P390" s="947"/>
      <c r="AM390" s="56"/>
      <c r="AN390" s="56"/>
    </row>
    <row r="391" spans="3:50" ht="12.75" hidden="1" customHeight="1">
      <c r="C391" s="948"/>
      <c r="D391" s="950"/>
      <c r="E391" s="951"/>
      <c r="F391" s="951"/>
      <c r="G391" s="951"/>
      <c r="H391" s="951"/>
      <c r="I391" s="952"/>
      <c r="J391" s="945"/>
      <c r="K391" s="945"/>
      <c r="L391" s="945"/>
      <c r="M391" s="945"/>
      <c r="N391" s="945"/>
      <c r="O391" s="947"/>
      <c r="P391" s="947"/>
      <c r="AM391" s="56"/>
      <c r="AN391" s="56"/>
    </row>
    <row r="392" spans="3:50" ht="12.75" hidden="1" customHeight="1">
      <c r="C392" s="948"/>
      <c r="D392" s="950"/>
      <c r="E392" s="951"/>
      <c r="F392" s="951"/>
      <c r="G392" s="951"/>
      <c r="H392" s="951"/>
      <c r="I392" s="952"/>
      <c r="J392" s="945"/>
      <c r="K392" s="945"/>
      <c r="L392" s="945"/>
      <c r="M392" s="945"/>
      <c r="N392" s="945"/>
      <c r="O392" s="947"/>
      <c r="P392" s="947"/>
      <c r="AM392" s="56"/>
      <c r="AN392" s="56"/>
    </row>
    <row r="393" spans="3:50" ht="12.75" hidden="1" customHeight="1">
      <c r="C393" s="949"/>
      <c r="D393" s="953"/>
      <c r="E393" s="954"/>
      <c r="F393" s="954"/>
      <c r="G393" s="954"/>
      <c r="H393" s="954"/>
      <c r="I393" s="955"/>
      <c r="J393" s="945"/>
      <c r="K393" s="945"/>
      <c r="L393" s="945"/>
      <c r="M393" s="945"/>
      <c r="N393" s="945"/>
      <c r="O393" s="947"/>
      <c r="P393" s="947"/>
      <c r="AM393" s="56"/>
      <c r="AN393" s="56"/>
    </row>
    <row r="394" spans="3:50" ht="12.75" customHeight="1">
      <c r="C394" s="80"/>
      <c r="D394" s="937" t="s">
        <v>314</v>
      </c>
      <c r="E394" s="938"/>
      <c r="F394" s="938"/>
      <c r="G394" s="938"/>
      <c r="H394" s="938"/>
      <c r="I394" s="939"/>
      <c r="J394" s="78"/>
      <c r="K394" s="78"/>
      <c r="L394" s="78"/>
      <c r="M394" s="78"/>
      <c r="N394" s="78"/>
      <c r="O394" s="79"/>
      <c r="P394" s="79"/>
      <c r="AM394" s="56"/>
      <c r="AN394" s="56"/>
    </row>
    <row r="395" spans="3:50" ht="24.95">
      <c r="C395" s="81"/>
      <c r="D395" s="58" t="s">
        <v>299</v>
      </c>
      <c r="E395" s="58" t="s">
        <v>300</v>
      </c>
      <c r="F395" s="58" t="s">
        <v>301</v>
      </c>
      <c r="G395" s="58" t="s">
        <v>302</v>
      </c>
      <c r="H395" s="58" t="s">
        <v>303</v>
      </c>
      <c r="I395" s="58" t="s">
        <v>304</v>
      </c>
      <c r="J395" s="82"/>
      <c r="K395" s="82"/>
      <c r="L395" s="82"/>
      <c r="M395" s="82"/>
      <c r="N395" s="82"/>
      <c r="O395" s="83"/>
      <c r="P395" s="83"/>
      <c r="AM395" s="56"/>
      <c r="AN395" s="56"/>
    </row>
    <row r="396" spans="3:50" ht="12.95">
      <c r="C396" s="927" t="s">
        <v>324</v>
      </c>
      <c r="D396" s="58">
        <f>IF(G396&lt;=2000,950,(IF(G396&lt;=3000,1150,(IF(G396&lt;=8000,1550,(IF(G396&lt;=10000,1750,(IF(G396&lt;=18000,2050,(IF(G396&lt;=32000,2900,(IF(G396&lt;=40000,3600,4000)))))))))))))</f>
        <v>950</v>
      </c>
      <c r="E396" s="58">
        <f>IF(G396&lt;=2000,950,(IF(G396&lt;=4000,1100,(IF(G396&lt;=6000,1250,(IF(G396&lt;=10000,1550,(IF(G396&lt;=15000,1750,(IF(G396&lt;=24000,2050,(IF(G396&lt;=40000,2900,3600)))))))))))))</f>
        <v>950</v>
      </c>
      <c r="F396" s="58">
        <f>H396+I396+G397</f>
        <v>2100</v>
      </c>
      <c r="G396" s="59">
        <v>1750</v>
      </c>
      <c r="H396" s="58">
        <f>IF(D397&lt;=315,1600,(IF(D397=355,1650,(IF(D397=400,1650,(IF(D397=450,1700,(IF(D397=500,1700,(IF(D397=560,1800,(IF(D397=630,2000,(IF(D397=710,2200,2500)))))))))))))))</f>
        <v>1600</v>
      </c>
      <c r="I396" s="58">
        <f>IF(H397=2,1500,(IF(H397=1,500,0)))</f>
        <v>500</v>
      </c>
      <c r="J396" s="929" t="s">
        <v>277</v>
      </c>
      <c r="K396" s="929">
        <v>1</v>
      </c>
      <c r="L396" s="930">
        <f>Q396*0.9</f>
        <v>91575</v>
      </c>
      <c r="M396" s="930">
        <f>L396*K396</f>
        <v>91575</v>
      </c>
      <c r="N396" s="930">
        <f>Q396*0.1</f>
        <v>10175</v>
      </c>
      <c r="O396" s="940">
        <f>N396*K396</f>
        <v>10175</v>
      </c>
      <c r="P396" s="940">
        <v>101750</v>
      </c>
      <c r="Q396" s="913">
        <f>CEILING((S396+T396+U396+V396+W396),250)</f>
        <v>101750</v>
      </c>
      <c r="R396" s="913">
        <v>450</v>
      </c>
      <c r="S396" s="913">
        <f>(D396*E396*3*10.76+D396*F396*2*10.76+E396*F396*2*10.76)*R396/(1000*1000)</f>
        <v>51748.875</v>
      </c>
      <c r="T396" s="913">
        <f>F397*4*1050</f>
        <v>0</v>
      </c>
      <c r="U396" s="912">
        <f>IF(G396&lt;=2000,5000,(IF(G396&lt;=5000,8000,(IF(G396&lt;=10000,10000,(IF(G396&lt;=18000,15000,(IF(G396&lt;=40000,20000,10000)))))))))</f>
        <v>5000</v>
      </c>
      <c r="V396" s="912">
        <f>IF(X396=200,17150,(IF(X396=225,18150,(IF(X396=250,18900,(IF(X396=280,19150,(IF(X396=315,19650,(IF(X396=355,21900,(IF(X396=400,24400,0)))))))))))))+IF(X396=450,31000,(IF(X396=500,37450,(IF(X396=560,45650,(IF(X396=630,58900,(IF(X396=710,77950,0)))))))))+IF(X396=800,119650,(IF(X396=900,153300,(IF(X396=1000,178900,(IF(X396=1120,286500,(IF(X396=1250,394500,(IF(X396=1450,461500,0)))))))))))</f>
        <v>18900</v>
      </c>
      <c r="W396" s="913">
        <f>IF(E397=0.5,16600,(IF(E397=1,19050,(IF(E397=1.5,21750,(IF(E397=2,23600,(IF(E397=3,30000,(IF(E397=5,38000,0)))))))))))*1.2+IF(E397=7.5,52300,(IF(E397=10,59600,0)))*1.2+IF(E397=12.5,100350,(IF(E397=15,106000,(IF(E397=20,129150,(IF(E397=25,146050,(IF(E397=30,173600,(IF(E397=40,233900,(IF(E397=50,304650)))))))))))))*1.2</f>
        <v>26100</v>
      </c>
      <c r="X396" s="912">
        <f>IF(G396&lt;=5250,Z396,Y396)</f>
        <v>250</v>
      </c>
      <c r="Y396" s="912">
        <f>IF(G396&lt;=6750,450,(IF(G396&lt;=8500,500,(IF(G396&lt;=10750,560,(IF(G396&lt;=13500,630,(IF(G396&lt;=17000,710,(IF(G396&lt;=21500,800,(IF(G396&lt;=27000,900,(IF(G396&lt;=34000,1000,0)))))))))))))))</f>
        <v>450</v>
      </c>
      <c r="Z396" s="912">
        <f>IF(G396&lt;=1300,200,(IF(G396&lt;=1600,225,(IF(G396&lt;=2100,250,(IF(G396&lt;=2700,280,(IF(G396&lt;=3450,315,(IF(G396&lt;=4250,355,(IF(G396&lt;=5250,400,(IF(G396&lt;=6750,450,0)))))))))))))))</f>
        <v>250</v>
      </c>
      <c r="AA396" s="912">
        <f>IF(G396&lt;=2000,5000,(IF(G396&lt;=5000,8000,(IF(G396&lt;=10000,10000,(IF(G396&lt;=18000,15000,(IF(G396&lt;=40000,20000,10000)))))))))</f>
        <v>5000</v>
      </c>
      <c r="AB396" s="912">
        <f>IF(D396=950,2,(IF(D396=1150,3,(IF(D396=1550,4,(IF(D396=1750,5,(IF(D396=2050,6,(IF(D396=2900,8,(IF(D396=3600,10,1)))))))))))))</f>
        <v>2</v>
      </c>
      <c r="AC396" s="912">
        <f>IF(E396=950,2,(IF(E396=1100,2,(IF(E396=1250,3,(IF(E396=1550,4,(IF(E396=1750,5,(IF(E396=2050,6,(IF(E396=2900,8,(IF(E396=3600,10,1)))))))))))))))</f>
        <v>2</v>
      </c>
      <c r="AD396" s="912">
        <f>AC396*AB396</f>
        <v>4</v>
      </c>
      <c r="AE396" s="912">
        <v>150</v>
      </c>
      <c r="AF396" s="912">
        <f>CEILING((SQRT(G396/1000))*4*2*AE396*1.25*K396,100)</f>
        <v>2000</v>
      </c>
      <c r="AG396" s="912"/>
      <c r="AH396" s="912"/>
      <c r="AI396" s="912"/>
      <c r="AJ396" s="912"/>
      <c r="AK396" s="912"/>
      <c r="AL396" s="912">
        <f>AB396*AC396</f>
        <v>4</v>
      </c>
      <c r="AM396" s="915">
        <f>(G396*2/1300)</f>
        <v>2.6923076923076925</v>
      </c>
      <c r="AN396" s="915">
        <f>(G396*1/1100)</f>
        <v>1.5909090909090908</v>
      </c>
      <c r="AX396" s="912"/>
    </row>
    <row r="397" spans="3:50">
      <c r="C397" s="928"/>
      <c r="D397" s="58">
        <f>IF(G396&lt;=5250,Z396,Y396)</f>
        <v>250</v>
      </c>
      <c r="E397" s="58">
        <v>1.5</v>
      </c>
      <c r="F397" s="58">
        <v>0</v>
      </c>
      <c r="G397" s="58">
        <v>0</v>
      </c>
      <c r="H397" s="58">
        <v>1</v>
      </c>
      <c r="I397" s="58">
        <v>0</v>
      </c>
      <c r="J397" s="929"/>
      <c r="K397" s="929"/>
      <c r="L397" s="930"/>
      <c r="M397" s="930"/>
      <c r="N397" s="930"/>
      <c r="O397" s="940"/>
      <c r="P397" s="940"/>
      <c r="Q397" s="913"/>
      <c r="R397" s="913"/>
      <c r="S397" s="913"/>
      <c r="T397" s="913"/>
      <c r="U397" s="912"/>
      <c r="V397" s="912"/>
      <c r="W397" s="913"/>
      <c r="X397" s="912"/>
      <c r="Y397" s="912"/>
      <c r="Z397" s="912"/>
      <c r="AA397" s="912"/>
      <c r="AB397" s="912"/>
      <c r="AC397" s="912"/>
      <c r="AD397" s="912"/>
      <c r="AE397" s="912"/>
      <c r="AF397" s="912"/>
      <c r="AG397" s="912"/>
      <c r="AH397" s="912"/>
      <c r="AI397" s="912"/>
      <c r="AJ397" s="912"/>
      <c r="AK397" s="912"/>
      <c r="AL397" s="912"/>
      <c r="AM397" s="915"/>
      <c r="AN397" s="915"/>
      <c r="AX397" s="912"/>
    </row>
    <row r="398" spans="3:50" ht="12.95">
      <c r="C398" s="927" t="s">
        <v>325</v>
      </c>
      <c r="D398" s="58">
        <f>IF(G398&lt;=2000,950,(IF(G398&lt;=3000,1150,(IF(G398&lt;=8000,1550,(IF(G398&lt;=10000,1750,(IF(G398&lt;=18000,2050,(IF(G398&lt;=32000,2900,(IF(G398&lt;=40000,3600,4000)))))))))))))</f>
        <v>950</v>
      </c>
      <c r="E398" s="58">
        <f>IF(G398&lt;=2000,950,(IF(G398&lt;=4000,1100,(IF(G398&lt;=6000,1250,(IF(G398&lt;=10000,1550,(IF(G398&lt;=15000,1750,(IF(G398&lt;=24000,2050,(IF(G398&lt;=40000,2900,3600)))))))))))))</f>
        <v>950</v>
      </c>
      <c r="F398" s="58">
        <f>H398+I398+G399</f>
        <v>2100</v>
      </c>
      <c r="G398" s="59">
        <v>1825</v>
      </c>
      <c r="H398" s="58">
        <f>IF(D399&lt;=315,1600,(IF(D399=355,1650,(IF(D399=400,1650,(IF(D399=450,1700,(IF(D399=500,1700,(IF(D399=560,1800,(IF(D399=630,2000,(IF(D399=710,2200,2500)))))))))))))))</f>
        <v>1600</v>
      </c>
      <c r="I398" s="58">
        <f>IF(H399=2,1500,(IF(H399=1,500,0)))</f>
        <v>500</v>
      </c>
      <c r="J398" s="929" t="s">
        <v>277</v>
      </c>
      <c r="K398" s="929">
        <v>1</v>
      </c>
      <c r="L398" s="930">
        <f>Q398*0.9</f>
        <v>91575</v>
      </c>
      <c r="M398" s="930">
        <f>L398*K398</f>
        <v>91575</v>
      </c>
      <c r="N398" s="930">
        <f>Q398*0.1</f>
        <v>10175</v>
      </c>
      <c r="O398" s="940">
        <f>N398*K398</f>
        <v>10175</v>
      </c>
      <c r="P398" s="940">
        <v>101750</v>
      </c>
      <c r="Q398" s="913">
        <f>CEILING((S398+T398+U398+V398+W398),250)</f>
        <v>101750</v>
      </c>
      <c r="R398" s="913">
        <v>450</v>
      </c>
      <c r="S398" s="913">
        <f>(D398*E398*3*10.76+D398*F398*2*10.76+E398*F398*2*10.76)*R398/(1000*1000)</f>
        <v>51748.875</v>
      </c>
      <c r="T398" s="913">
        <f>F399*4*1050</f>
        <v>0</v>
      </c>
      <c r="U398" s="912">
        <f>IF(G398&lt;=2000,5000,(IF(G398&lt;=5000,8000,(IF(G398&lt;=10000,10000,(IF(G398&lt;=18000,15000,(IF(G398&lt;=40000,20000,10000)))))))))</f>
        <v>5000</v>
      </c>
      <c r="V398" s="912">
        <f>IF(X398=200,17150,(IF(X398=225,18150,(IF(X398=250,18900,(IF(X398=280,19150,(IF(X398=315,19650,(IF(X398=355,21900,(IF(X398=400,24400,0)))))))))))))+IF(X398=450,31000,(IF(X398=500,37450,(IF(X398=560,45650,(IF(X398=630,58900,(IF(X398=710,77950,0)))))))))+IF(X398=800,119650,(IF(X398=900,153300,(IF(X398=1000,178900,(IF(X398=1120,286500,(IF(X398=1250,394500,(IF(X398=1450,461500,0)))))))))))</f>
        <v>18900</v>
      </c>
      <c r="W398" s="913">
        <f>IF(E399=0.5,16600,(IF(E399=1,19050,(IF(E399=1.5,21750,(IF(E399=2,23600,(IF(E399=3,30000,(IF(E399=5,38000,0)))))))))))*1.2+IF(E399=7.5,52300,(IF(E399=10,59600,0)))*1.2+IF(E399=12.5,100350,(IF(E399=15,106000,(IF(E399=20,129150,(IF(E399=25,146050,(IF(E399=30,173600,(IF(E399=40,233900,(IF(E399=50,304650)))))))))))))*1.2</f>
        <v>26100</v>
      </c>
      <c r="X398" s="912">
        <f>IF(G398&lt;=5250,Z398,Y398)</f>
        <v>250</v>
      </c>
      <c r="Y398" s="912">
        <f>IF(G398&lt;=6750,450,(IF(G398&lt;=8500,500,(IF(G398&lt;=10750,560,(IF(G398&lt;=13500,630,(IF(G398&lt;=17000,710,(IF(G398&lt;=21500,800,(IF(G398&lt;=27000,900,(IF(G398&lt;=34000,1000,0)))))))))))))))</f>
        <v>450</v>
      </c>
      <c r="Z398" s="912">
        <f>IF(G398&lt;=1300,200,(IF(G398&lt;=1600,225,(IF(G398&lt;=2100,250,(IF(G398&lt;=2700,280,(IF(G398&lt;=3450,315,(IF(G398&lt;=4250,355,(IF(G398&lt;=5250,400,(IF(G398&lt;=6750,450,0)))))))))))))))</f>
        <v>250</v>
      </c>
      <c r="AA398" s="912">
        <f>IF(G398&lt;=2000,5000,(IF(G398&lt;=5000,8000,(IF(G398&lt;=10000,10000,(IF(G398&lt;=18000,15000,(IF(G398&lt;=40000,20000,10000)))))))))</f>
        <v>5000</v>
      </c>
      <c r="AB398" s="912">
        <f>IF(D398=950,2,(IF(D398=1150,3,(IF(D398=1550,4,(IF(D398=1750,5,(IF(D398=2050,6,(IF(D398=2900,8,(IF(D398=3600,10,1)))))))))))))</f>
        <v>2</v>
      </c>
      <c r="AC398" s="912">
        <f>IF(E398=950,2,(IF(E398=1100,2,(IF(E398=1250,3,(IF(E398=1550,4,(IF(E398=1750,5,(IF(E398=2050,6,(IF(E398=2900,8,(IF(E398=3600,10,1)))))))))))))))</f>
        <v>2</v>
      </c>
      <c r="AD398" s="912">
        <f>AC398*AB398</f>
        <v>4</v>
      </c>
      <c r="AE398" s="912">
        <v>150</v>
      </c>
      <c r="AF398" s="912">
        <f>CEILING((SQRT(G398/1000))*4*2*AE398*1.25*K398,100)</f>
        <v>2100</v>
      </c>
      <c r="AG398" s="912"/>
      <c r="AH398" s="912"/>
      <c r="AI398" s="912"/>
      <c r="AJ398" s="912"/>
      <c r="AK398" s="912"/>
      <c r="AL398" s="912">
        <f>AB398*AC398</f>
        <v>4</v>
      </c>
      <c r="AM398" s="915">
        <f>(G398*2/1300)</f>
        <v>2.8076923076923075</v>
      </c>
      <c r="AN398" s="915">
        <f>(G398*1/1100)</f>
        <v>1.6590909090909092</v>
      </c>
    </row>
    <row r="399" spans="3:50">
      <c r="C399" s="928"/>
      <c r="D399" s="58">
        <f>IF(G398&lt;=5250,Z398,Y398)</f>
        <v>250</v>
      </c>
      <c r="E399" s="58">
        <v>1.5</v>
      </c>
      <c r="F399" s="58">
        <v>0</v>
      </c>
      <c r="G399" s="58">
        <v>0</v>
      </c>
      <c r="H399" s="58">
        <v>1</v>
      </c>
      <c r="I399" s="58">
        <v>0</v>
      </c>
      <c r="J399" s="929"/>
      <c r="K399" s="929"/>
      <c r="L399" s="930"/>
      <c r="M399" s="930"/>
      <c r="N399" s="930"/>
      <c r="O399" s="940"/>
      <c r="P399" s="940"/>
      <c r="Q399" s="913"/>
      <c r="R399" s="913"/>
      <c r="S399" s="913"/>
      <c r="T399" s="913"/>
      <c r="U399" s="912"/>
      <c r="V399" s="912"/>
      <c r="W399" s="913"/>
      <c r="X399" s="912"/>
      <c r="Y399" s="912"/>
      <c r="Z399" s="912"/>
      <c r="AA399" s="912"/>
      <c r="AB399" s="912"/>
      <c r="AC399" s="912"/>
      <c r="AD399" s="912"/>
      <c r="AE399" s="912"/>
      <c r="AF399" s="912"/>
      <c r="AG399" s="912"/>
      <c r="AH399" s="912"/>
      <c r="AI399" s="912"/>
      <c r="AJ399" s="912"/>
      <c r="AK399" s="912"/>
      <c r="AL399" s="912"/>
      <c r="AM399" s="915"/>
      <c r="AN399" s="915"/>
    </row>
    <row r="400" spans="3:50" ht="25.5" thickBot="1">
      <c r="C400" s="84"/>
      <c r="D400" s="64" t="s">
        <v>306</v>
      </c>
      <c r="E400" s="64" t="s">
        <v>307</v>
      </c>
      <c r="F400" s="64" t="s">
        <v>308</v>
      </c>
      <c r="G400" s="64" t="s">
        <v>309</v>
      </c>
      <c r="H400" s="64" t="s">
        <v>310</v>
      </c>
      <c r="I400" s="64" t="s">
        <v>311</v>
      </c>
      <c r="J400" s="46"/>
      <c r="K400" s="46"/>
      <c r="L400" s="85"/>
      <c r="M400" s="85"/>
      <c r="N400" s="85"/>
      <c r="O400" s="86"/>
      <c r="P400" s="86"/>
      <c r="AM400" s="56"/>
      <c r="AN400" s="56"/>
    </row>
    <row r="401" spans="3:50" ht="12.95">
      <c r="C401" s="927" t="s">
        <v>326</v>
      </c>
      <c r="D401" s="58">
        <f>IF(G401&lt;=2000,950,(IF(G401&lt;=3000,1150,(IF(G401&lt;=8000,1550,(IF(G401&lt;=10000,1750,(IF(G401&lt;=18000,2050,(IF(G401&lt;=32000,2900,(IF(G401&lt;=40000,3600,4000)))))))))))))</f>
        <v>1750</v>
      </c>
      <c r="E401" s="58">
        <f>IF(G401&lt;=2000,950,(IF(G401&lt;=4000,1100,(IF(G401&lt;=6000,1250,(IF(G401&lt;=10000,1550,(IF(G401&lt;=15000,1750,(IF(G401&lt;=24000,2050,(IF(G401&lt;=40000,2900,3600)))))))))))))</f>
        <v>1550</v>
      </c>
      <c r="F401" s="58">
        <f>H401+I401+G402</f>
        <v>2300</v>
      </c>
      <c r="G401" s="59">
        <v>8575</v>
      </c>
      <c r="H401" s="58">
        <f>IF(D402&lt;=315,1600,(IF(D402=355,1650,(IF(D402=400,1650,(IF(D402=450,1700,(IF(D402=500,1700,(IF(D402=560,1800,(IF(D402=630,2000,(IF(D402=710,2200,2500)))))))))))))))</f>
        <v>1800</v>
      </c>
      <c r="I401" s="58">
        <f>IF(H402=2,1500,(IF(H402=1,500,0)))</f>
        <v>500</v>
      </c>
      <c r="J401" s="929" t="s">
        <v>277</v>
      </c>
      <c r="K401" s="929">
        <v>1</v>
      </c>
      <c r="L401" s="930">
        <f>Q401*0.9</f>
        <v>192825</v>
      </c>
      <c r="M401" s="930">
        <f>L401*K401</f>
        <v>192825</v>
      </c>
      <c r="N401" s="930">
        <f>Q401*0.1</f>
        <v>21425</v>
      </c>
      <c r="O401" s="940">
        <f>N401*K401</f>
        <v>21425</v>
      </c>
      <c r="P401" s="940">
        <v>214250</v>
      </c>
      <c r="Q401" s="913">
        <f>CEILING((S401+T401+U401+V401+W401),250)</f>
        <v>214250</v>
      </c>
      <c r="R401" s="913">
        <v>450</v>
      </c>
      <c r="S401" s="913">
        <f>(D401*E401*3*10.76+D401*F401*2*10.76+E401*F401*2*10.76)*R401/(1000*1000)</f>
        <v>112903.33500000001</v>
      </c>
      <c r="T401" s="913">
        <f>F402*4*1050</f>
        <v>0</v>
      </c>
      <c r="U401" s="912">
        <f>IF(G401&lt;=2000,5000,(IF(G401&lt;=5000,8000,(IF(G401&lt;=10000,10000,(IF(G401&lt;=18000,15000,(IF(G401&lt;=40000,20000,10000)))))))))</f>
        <v>10000</v>
      </c>
      <c r="V401" s="912">
        <f>IF(X401=200,17150,(IF(X401=225,18150,(IF(X401=250,18900,(IF(X401=280,19150,(IF(X401=315,19650,(IF(X401=355,21900,(IF(X401=400,24400,0)))))))))))))+IF(X401=450,31000,(IF(X401=500,37450,(IF(X401=560,45650,(IF(X401=630,58900,(IF(X401=710,77950,0)))))))))+IF(X401=800,119650,(IF(X401=900,153300,(IF(X401=1000,178900,(IF(X401=1120,286500,(IF(X401=1250,394500,(IF(X401=1450,461500,0)))))))))))</f>
        <v>45650</v>
      </c>
      <c r="W401" s="913">
        <f>IF(E402=0.5,16600,(IF(E402=1,19050,(IF(E402=1.5,21750,(IF(E402=2,23600,(IF(E402=3,30000,(IF(E402=5,38000,0)))))))))))*1.2+IF(E402=7.5,52300,(IF(E402=10,59600,0)))*1.2+IF(E402=12.5,100350,(IF(E402=15,106000,(IF(E402=20,129150,(IF(E402=25,146050,(IF(E402=30,173600,(IF(E402=40,233900,(IF(E402=50,304650)))))))))))))*1.2</f>
        <v>45600</v>
      </c>
      <c r="X401" s="912">
        <f>IF(G401&lt;=5250,Z401,Y401)</f>
        <v>560</v>
      </c>
      <c r="Y401" s="912">
        <f>IF(G401&lt;=6750,450,(IF(G401&lt;=8500,500,(IF(G401&lt;=10750,560,(IF(G401&lt;=13500,630,(IF(G401&lt;=17000,710,(IF(G401&lt;=21500,800,(IF(G401&lt;=27000,900,(IF(G401&lt;=34000,1000,0)))))))))))))))</f>
        <v>560</v>
      </c>
      <c r="Z401" s="912">
        <f>IF(G401&lt;=1300,200,(IF(G401&lt;=1600,225,(IF(G401&lt;=2100,250,(IF(G401&lt;=2700,280,(IF(G401&lt;=3450,315,(IF(G401&lt;=4250,355,(IF(G401&lt;=5250,400,(IF(G401&lt;=6750,450,0)))))))))))))))</f>
        <v>0</v>
      </c>
      <c r="AA401" s="912">
        <f>IF(G401&lt;=2000,5000,(IF(G401&lt;=5000,8000,(IF(G401&lt;=10000,10000,(IF(G401&lt;=18000,15000,(IF(G401&lt;=40000,20000,10000)))))))))</f>
        <v>10000</v>
      </c>
      <c r="AB401" s="912">
        <f>IF(D401=950,2,(IF(D401=1150,3,(IF(D401=1550,4,(IF(D401=1750,5,(IF(D401=2050,6,(IF(D401=2900,8,(IF(D401=3600,10,1)))))))))))))</f>
        <v>5</v>
      </c>
      <c r="AC401" s="912">
        <f>IF(E401=950,2,(IF(E401=1100,2,(IF(E401=1250,3,(IF(E401=1550,4,(IF(E401=1750,5,(IF(E401=2050,6,(IF(E401=2900,8,(IF(E401=3600,10,1)))))))))))))))</f>
        <v>4</v>
      </c>
      <c r="AD401" s="912">
        <f>AC401*AB401</f>
        <v>20</v>
      </c>
      <c r="AE401" s="912">
        <v>150</v>
      </c>
      <c r="AF401" s="912">
        <f>CEILING((SQRT(G401/1000))*4*2*AE401*1.25*K401,100)</f>
        <v>4400</v>
      </c>
      <c r="AG401" s="912"/>
      <c r="AH401" s="912"/>
      <c r="AI401" s="912"/>
      <c r="AJ401" s="912"/>
      <c r="AK401" s="912"/>
      <c r="AL401" s="912">
        <f>AB401*AC401</f>
        <v>20</v>
      </c>
      <c r="AM401" s="915">
        <f>(G401*2/1300)</f>
        <v>13.192307692307692</v>
      </c>
      <c r="AN401" s="915">
        <f>(G401*1/1100)</f>
        <v>7.7954545454545459</v>
      </c>
      <c r="AX401" s="912"/>
    </row>
    <row r="402" spans="3:50">
      <c r="C402" s="928"/>
      <c r="D402" s="58">
        <f>IF(G401&lt;=5250,Z401,Y401)</f>
        <v>560</v>
      </c>
      <c r="E402" s="58">
        <v>5</v>
      </c>
      <c r="F402" s="58">
        <v>0</v>
      </c>
      <c r="G402" s="58">
        <v>0</v>
      </c>
      <c r="H402" s="58">
        <v>1</v>
      </c>
      <c r="I402" s="58">
        <v>0</v>
      </c>
      <c r="J402" s="929"/>
      <c r="K402" s="929"/>
      <c r="L402" s="930"/>
      <c r="M402" s="930"/>
      <c r="N402" s="930"/>
      <c r="O402" s="940"/>
      <c r="P402" s="940"/>
      <c r="Q402" s="913"/>
      <c r="R402" s="913"/>
      <c r="S402" s="913"/>
      <c r="T402" s="913"/>
      <c r="U402" s="912"/>
      <c r="V402" s="912"/>
      <c r="W402" s="913"/>
      <c r="X402" s="912"/>
      <c r="Y402" s="912"/>
      <c r="Z402" s="912"/>
      <c r="AA402" s="912"/>
      <c r="AB402" s="912"/>
      <c r="AC402" s="912"/>
      <c r="AD402" s="912"/>
      <c r="AE402" s="912"/>
      <c r="AF402" s="912"/>
      <c r="AG402" s="912"/>
      <c r="AH402" s="912"/>
      <c r="AI402" s="912"/>
      <c r="AJ402" s="912"/>
      <c r="AK402" s="912"/>
      <c r="AL402" s="912"/>
      <c r="AM402" s="915"/>
      <c r="AN402" s="915"/>
      <c r="AX402" s="912"/>
    </row>
    <row r="403" spans="3:50" ht="12.95">
      <c r="C403" s="927" t="s">
        <v>327</v>
      </c>
      <c r="D403" s="58">
        <f>IF(G403&lt;=2000,950,(IF(G403&lt;=3000,1150,(IF(G403&lt;=8000,1550,(IF(G403&lt;=10000,1750,(IF(G403&lt;=18000,2050,(IF(G403&lt;=32000,2900,(IF(G403&lt;=40000,3600,4000)))))))))))))</f>
        <v>1550</v>
      </c>
      <c r="E403" s="58">
        <f>IF(G403&lt;=2000,950,(IF(G403&lt;=4000,1100,(IF(G403&lt;=6000,1250,(IF(G403&lt;=10000,1550,(IF(G403&lt;=15000,1750,(IF(G403&lt;=24000,2050,(IF(G403&lt;=40000,2900,3600)))))))))))))</f>
        <v>1100</v>
      </c>
      <c r="F403" s="58">
        <f>H403+I403+G404</f>
        <v>2150</v>
      </c>
      <c r="G403" s="59">
        <v>3700</v>
      </c>
      <c r="H403" s="58">
        <f>IF(D404&lt;=315,1600,(IF(D404=355,1650,(IF(D404=400,1650,(IF(D404=450,1700,(IF(D404=500,1700,(IF(D404=560,1800,(IF(D404=630,2000,(IF(D404=710,2200,2500)))))))))))))))</f>
        <v>1650</v>
      </c>
      <c r="I403" s="58">
        <f>IF(H404=2,1500,(IF(H404=1,500,0)))</f>
        <v>500</v>
      </c>
      <c r="J403" s="929" t="s">
        <v>277</v>
      </c>
      <c r="K403" s="929">
        <v>1</v>
      </c>
      <c r="L403" s="930">
        <f>Q403*0.9</f>
        <v>131400</v>
      </c>
      <c r="M403" s="930">
        <f>L403*K403</f>
        <v>131400</v>
      </c>
      <c r="N403" s="930">
        <f>Q403*0.1</f>
        <v>14600</v>
      </c>
      <c r="O403" s="940">
        <f>N403*K403</f>
        <v>14600</v>
      </c>
      <c r="P403" s="940">
        <v>146000</v>
      </c>
      <c r="Q403" s="913">
        <f>CEILING((S403+T403+U403+V403+W403),250)</f>
        <v>146000</v>
      </c>
      <c r="R403" s="913">
        <v>450</v>
      </c>
      <c r="S403" s="913">
        <f>(D403*E403*3*10.76+D403*F403*2*10.76+E403*F403*2*10.76)*R403/(1000*1000)</f>
        <v>79941.42</v>
      </c>
      <c r="T403" s="913">
        <f>F404*4*1050</f>
        <v>0</v>
      </c>
      <c r="U403" s="912">
        <f>IF(G403&lt;=2000,5000,(IF(G403&lt;=5000,8000,(IF(G403&lt;=10000,10000,(IF(G403&lt;=18000,15000,(IF(G403&lt;=40000,20000,10000)))))))))</f>
        <v>8000</v>
      </c>
      <c r="V403" s="912">
        <f>IF(X403=200,17150,(IF(X403=225,18150,(IF(X403=250,18900,(IF(X403=280,19150,(IF(X403=315,19650,(IF(X403=355,21900,(IF(X403=400,24400,0)))))))))))))+IF(X403=450,31000,(IF(X403=500,37450,(IF(X403=560,45650,(IF(X403=630,58900,(IF(X403=710,77950,0)))))))))+IF(X403=800,119650,(IF(X403=900,153300,(IF(X403=1000,178900,(IF(X403=1120,286500,(IF(X403=1250,394500,(IF(X403=1450,461500,0)))))))))))</f>
        <v>21900</v>
      </c>
      <c r="W403" s="913">
        <f>IF(E404=0.5,16600,(IF(E404=1,19050,(IF(E404=1.5,21750,(IF(E404=2,23600,(IF(E404=3,30000,(IF(E404=5,38000,0)))))))))))*1.2+IF(E404=7.5,52300,(IF(E404=10,59600,0)))*1.2+IF(E404=12.5,100350,(IF(E404=15,106000,(IF(E404=20,129150,(IF(E404=25,146050,(IF(E404=30,173600,(IF(E404=40,233900,(IF(E404=50,304650)))))))))))))*1.2</f>
        <v>36000</v>
      </c>
      <c r="X403" s="912">
        <f>IF(G403&lt;=5250,Z403,Y403)</f>
        <v>355</v>
      </c>
      <c r="Y403" s="912">
        <f>IF(G403&lt;=6750,450,(IF(G403&lt;=8500,500,(IF(G403&lt;=10750,560,(IF(G403&lt;=13500,630,(IF(G403&lt;=17000,710,(IF(G403&lt;=21500,800,(IF(G403&lt;=27000,900,(IF(G403&lt;=34000,1000,0)))))))))))))))</f>
        <v>450</v>
      </c>
      <c r="Z403" s="912">
        <f>IF(G403&lt;=1300,200,(IF(G403&lt;=1600,225,(IF(G403&lt;=2100,250,(IF(G403&lt;=2700,280,(IF(G403&lt;=3450,315,(IF(G403&lt;=4250,355,(IF(G403&lt;=5250,400,(IF(G403&lt;=6750,450,0)))))))))))))))</f>
        <v>355</v>
      </c>
      <c r="AA403" s="912">
        <f>IF(G403&lt;=2000,5000,(IF(G403&lt;=5000,8000,(IF(G403&lt;=10000,10000,(IF(G403&lt;=18000,15000,(IF(G403&lt;=40000,20000,10000)))))))))</f>
        <v>8000</v>
      </c>
      <c r="AB403" s="912">
        <f>IF(D403=950,2,(IF(D403=1150,3,(IF(D403=1550,4,(IF(D403=1750,5,(IF(D403=2050,6,(IF(D403=2900,8,(IF(D403=3600,10,1)))))))))))))</f>
        <v>4</v>
      </c>
      <c r="AC403" s="912">
        <f>IF(E403=950,2,(IF(E403=1100,2,(IF(E403=1250,3,(IF(E403=1550,4,(IF(E403=1750,5,(IF(E403=2050,6,(IF(E403=2900,8,(IF(E403=3600,10,1)))))))))))))))</f>
        <v>2</v>
      </c>
      <c r="AD403" s="912">
        <f>AC403*AB403</f>
        <v>8</v>
      </c>
      <c r="AE403" s="912">
        <v>150</v>
      </c>
      <c r="AF403" s="912">
        <f>CEILING((SQRT(G403/1000))*4*2*AE403*1.25*K403,100)</f>
        <v>2900</v>
      </c>
      <c r="AG403" s="912"/>
      <c r="AH403" s="912"/>
      <c r="AI403" s="912"/>
      <c r="AJ403" s="912"/>
      <c r="AK403" s="912"/>
      <c r="AL403" s="912">
        <f>AB403*AC403</f>
        <v>8</v>
      </c>
      <c r="AM403" s="915">
        <f>(G403*2/1300)</f>
        <v>5.6923076923076925</v>
      </c>
      <c r="AN403" s="915">
        <f>(G403*1/1100)</f>
        <v>3.3636363636363638</v>
      </c>
    </row>
    <row r="404" spans="3:50">
      <c r="C404" s="928"/>
      <c r="D404" s="58">
        <f>IF(G403&lt;=5250,Z403,Y403)</f>
        <v>355</v>
      </c>
      <c r="E404" s="58">
        <v>3</v>
      </c>
      <c r="F404" s="58">
        <v>0</v>
      </c>
      <c r="G404" s="58">
        <v>0</v>
      </c>
      <c r="H404" s="58">
        <v>1</v>
      </c>
      <c r="I404" s="58">
        <v>0</v>
      </c>
      <c r="J404" s="929"/>
      <c r="K404" s="929"/>
      <c r="L404" s="930"/>
      <c r="M404" s="930"/>
      <c r="N404" s="930"/>
      <c r="O404" s="940"/>
      <c r="P404" s="940"/>
      <c r="Q404" s="913"/>
      <c r="R404" s="913"/>
      <c r="S404" s="913"/>
      <c r="T404" s="913"/>
      <c r="U404" s="912"/>
      <c r="V404" s="912"/>
      <c r="W404" s="913"/>
      <c r="X404" s="912"/>
      <c r="Y404" s="912"/>
      <c r="Z404" s="912"/>
      <c r="AA404" s="912"/>
      <c r="AB404" s="912"/>
      <c r="AC404" s="912"/>
      <c r="AD404" s="912"/>
      <c r="AE404" s="912"/>
      <c r="AF404" s="912"/>
      <c r="AG404" s="912"/>
      <c r="AH404" s="912"/>
      <c r="AI404" s="912"/>
      <c r="AJ404" s="912"/>
      <c r="AK404" s="912"/>
      <c r="AL404" s="912"/>
      <c r="AM404" s="915"/>
      <c r="AN404" s="915"/>
    </row>
    <row r="405" spans="3:50" ht="12.95">
      <c r="C405" s="927" t="s">
        <v>328</v>
      </c>
      <c r="D405" s="58">
        <f>IF(G405&lt;=2000,950,(IF(G405&lt;=3000,1150,(IF(G405&lt;=8000,1550,(IF(G405&lt;=10000,1750,(IF(G405&lt;=18000,2050,(IF(G405&lt;=32000,2900,(IF(G405&lt;=40000,3600,4000)))))))))))))</f>
        <v>1550</v>
      </c>
      <c r="E405" s="58">
        <f>IF(G405&lt;=2000,950,(IF(G405&lt;=4000,1100,(IF(G405&lt;=6000,1250,(IF(G405&lt;=10000,1550,(IF(G405&lt;=15000,1750,(IF(G405&lt;=24000,2050,(IF(G405&lt;=40000,2900,3600)))))))))))))</f>
        <v>1250</v>
      </c>
      <c r="F405" s="58">
        <f>H405+I405+G406</f>
        <v>2150</v>
      </c>
      <c r="G405" s="59">
        <v>4200</v>
      </c>
      <c r="H405" s="58">
        <f>IF(D406&lt;=315,1600,(IF(D406=355,1650,(IF(D406=400,1650,(IF(D406=450,1700,(IF(D406=500,1700,(IF(D406=560,1800,(IF(D406=630,2000,(IF(D406=710,2200,2500)))))))))))))))</f>
        <v>1650</v>
      </c>
      <c r="I405" s="58">
        <f>IF(H406=2,1500,(IF(H406=1,500,0)))</f>
        <v>500</v>
      </c>
      <c r="J405" s="929" t="s">
        <v>277</v>
      </c>
      <c r="K405" s="929">
        <v>1</v>
      </c>
      <c r="L405" s="930">
        <f>Q405*0.9</f>
        <v>137250</v>
      </c>
      <c r="M405" s="930">
        <f>L405*K405</f>
        <v>137250</v>
      </c>
      <c r="N405" s="930">
        <f>Q405*0.1</f>
        <v>15250</v>
      </c>
      <c r="O405" s="940">
        <f>N405*K405</f>
        <v>15250</v>
      </c>
      <c r="P405" s="940">
        <v>152500</v>
      </c>
      <c r="Q405" s="913">
        <f>CEILING((S405+T405+U405+V405+W405),250)</f>
        <v>152500</v>
      </c>
      <c r="R405" s="913">
        <v>450</v>
      </c>
      <c r="S405" s="913">
        <f>(D405*E405*3*10.76+D405*F405*2*10.76+E405*F405*2*10.76)*R405/(1000*1000)</f>
        <v>86441.804999999993</v>
      </c>
      <c r="T405" s="913">
        <f>F406*4*1050</f>
        <v>0</v>
      </c>
      <c r="U405" s="912">
        <f>IF(G405&lt;=2000,5000,(IF(G405&lt;=5000,8000,(IF(G405&lt;=10000,10000,(IF(G405&lt;=18000,15000,(IF(G405&lt;=40000,20000,10000)))))))))</f>
        <v>8000</v>
      </c>
      <c r="V405" s="912">
        <f>IF(X405=200,17150,(IF(X405=225,18150,(IF(X405=250,18900,(IF(X405=280,19150,(IF(X405=315,19650,(IF(X405=355,21900,(IF(X405=400,24400,0)))))))))))))+IF(X405=450,31000,(IF(X405=500,37450,(IF(X405=560,45650,(IF(X405=630,58900,(IF(X405=710,77950,0)))))))))+IF(X405=800,119650,(IF(X405=900,153300,(IF(X405=1000,178900,(IF(X405=1120,286500,(IF(X405=1250,394500,(IF(X405=1450,461500,0)))))))))))</f>
        <v>21900</v>
      </c>
      <c r="W405" s="913">
        <f>IF(E406=0.5,16600,(IF(E406=1,19050,(IF(E406=1.5,21750,(IF(E406=2,23600,(IF(E406=3,30000,(IF(E406=5,38000,0)))))))))))*1.2+IF(E406=7.5,52300,(IF(E406=10,59600,0)))*1.2+IF(E406=12.5,100350,(IF(E406=15,106000,(IF(E406=20,129150,(IF(E406=25,146050,(IF(E406=30,173600,(IF(E406=40,233900,(IF(E406=50,304650)))))))))))))*1.2</f>
        <v>36000</v>
      </c>
      <c r="X405" s="912">
        <f>IF(G405&lt;=5250,Z405,Y405)</f>
        <v>355</v>
      </c>
      <c r="Y405" s="912">
        <f>IF(G405&lt;=6750,450,(IF(G405&lt;=8500,500,(IF(G405&lt;=10750,560,(IF(G405&lt;=13500,630,(IF(G405&lt;=17000,710,(IF(G405&lt;=21500,800,(IF(G405&lt;=27000,900,(IF(G405&lt;=34000,1000,0)))))))))))))))</f>
        <v>450</v>
      </c>
      <c r="Z405" s="912">
        <f>IF(G405&lt;=1300,200,(IF(G405&lt;=1600,225,(IF(G405&lt;=2100,250,(IF(G405&lt;=2700,280,(IF(G405&lt;=3450,315,(IF(G405&lt;=4250,355,(IF(G405&lt;=5250,400,(IF(G405&lt;=6750,450,0)))))))))))))))</f>
        <v>355</v>
      </c>
      <c r="AA405" s="912">
        <f>IF(G405&lt;=2000,5000,(IF(G405&lt;=5000,8000,(IF(G405&lt;=10000,10000,(IF(G405&lt;=18000,15000,(IF(G405&lt;=40000,20000,10000)))))))))</f>
        <v>8000</v>
      </c>
      <c r="AB405" s="912">
        <f>IF(D405=950,2,(IF(D405=1150,3,(IF(D405=1550,4,(IF(D405=1750,5,(IF(D405=2050,6,(IF(D405=2900,8,(IF(D405=3600,10,1)))))))))))))</f>
        <v>4</v>
      </c>
      <c r="AC405" s="912">
        <f>IF(E405=950,2,(IF(E405=1100,2,(IF(E405=1250,3,(IF(E405=1550,4,(IF(E405=1750,5,(IF(E405=2050,6,(IF(E405=2900,8,(IF(E405=3600,10,1)))))))))))))))</f>
        <v>3</v>
      </c>
      <c r="AD405" s="912">
        <f>AC405*AB405</f>
        <v>12</v>
      </c>
      <c r="AE405" s="912">
        <v>150</v>
      </c>
      <c r="AF405" s="912">
        <f>CEILING((SQRT(G405/1000))*4*2*AE405*1.25*K405,100)</f>
        <v>3100</v>
      </c>
      <c r="AG405" s="912"/>
      <c r="AH405" s="912"/>
      <c r="AI405" s="912"/>
      <c r="AJ405" s="912"/>
      <c r="AK405" s="912"/>
      <c r="AL405" s="912">
        <f>AB405*AC405</f>
        <v>12</v>
      </c>
      <c r="AM405" s="915">
        <f>(G405*2/1300)</f>
        <v>6.4615384615384617</v>
      </c>
      <c r="AN405" s="915">
        <f>(G405*1/1100)</f>
        <v>3.8181818181818183</v>
      </c>
    </row>
    <row r="406" spans="3:50">
      <c r="C406" s="928"/>
      <c r="D406" s="58">
        <f>IF(G405&lt;=5250,Z405,Y405)</f>
        <v>355</v>
      </c>
      <c r="E406" s="58">
        <v>3</v>
      </c>
      <c r="F406" s="58">
        <v>0</v>
      </c>
      <c r="G406" s="58">
        <v>0</v>
      </c>
      <c r="H406" s="58">
        <v>1</v>
      </c>
      <c r="I406" s="58">
        <v>0</v>
      </c>
      <c r="J406" s="929"/>
      <c r="K406" s="929"/>
      <c r="L406" s="930"/>
      <c r="M406" s="930"/>
      <c r="N406" s="930"/>
      <c r="O406" s="940"/>
      <c r="P406" s="940"/>
      <c r="Q406" s="913"/>
      <c r="R406" s="913"/>
      <c r="S406" s="913"/>
      <c r="T406" s="913"/>
      <c r="U406" s="912"/>
      <c r="V406" s="912"/>
      <c r="W406" s="913"/>
      <c r="X406" s="912"/>
      <c r="Y406" s="912"/>
      <c r="Z406" s="912"/>
      <c r="AA406" s="912"/>
      <c r="AB406" s="912"/>
      <c r="AC406" s="912"/>
      <c r="AD406" s="912"/>
      <c r="AE406" s="912"/>
      <c r="AF406" s="912"/>
      <c r="AG406" s="912"/>
      <c r="AH406" s="912"/>
      <c r="AI406" s="912"/>
      <c r="AJ406" s="912"/>
      <c r="AK406" s="912"/>
      <c r="AL406" s="912"/>
      <c r="AM406" s="915"/>
      <c r="AN406" s="915"/>
    </row>
    <row r="407" spans="3:50" ht="25.5" thickBot="1">
      <c r="C407" s="84"/>
      <c r="D407" s="64" t="s">
        <v>306</v>
      </c>
      <c r="E407" s="64" t="s">
        <v>307</v>
      </c>
      <c r="F407" s="64" t="s">
        <v>308</v>
      </c>
      <c r="G407" s="64" t="s">
        <v>309</v>
      </c>
      <c r="H407" s="64" t="s">
        <v>310</v>
      </c>
      <c r="I407" s="64" t="s">
        <v>311</v>
      </c>
      <c r="J407" s="46"/>
      <c r="K407" s="46"/>
      <c r="L407" s="85"/>
      <c r="M407" s="85"/>
      <c r="N407" s="85"/>
      <c r="O407" s="86"/>
      <c r="P407" s="86"/>
      <c r="AM407" s="56"/>
      <c r="AN407" s="56"/>
    </row>
    <row r="408" spans="3:50" ht="14.1">
      <c r="C408" s="72"/>
      <c r="D408" s="937" t="s">
        <v>319</v>
      </c>
      <c r="E408" s="938"/>
      <c r="F408" s="938"/>
      <c r="G408" s="938"/>
      <c r="H408" s="938"/>
      <c r="I408" s="939"/>
      <c r="J408" s="52"/>
      <c r="K408" s="87"/>
      <c r="L408" s="88"/>
      <c r="M408" s="88"/>
      <c r="N408" s="88"/>
      <c r="O408" s="89"/>
      <c r="P408" s="89"/>
      <c r="Q408" s="55"/>
      <c r="R408" s="55"/>
      <c r="S408" s="55"/>
      <c r="T408" s="55"/>
      <c r="U408" s="45"/>
      <c r="V408" s="45"/>
      <c r="W408" s="55"/>
      <c r="X408" s="45"/>
      <c r="Y408" s="45"/>
      <c r="Z408" s="45"/>
      <c r="AA408" s="45"/>
      <c r="AB408" s="45"/>
      <c r="AC408" s="45"/>
      <c r="AD408" s="45"/>
      <c r="AE408" s="45"/>
      <c r="AF408" s="45"/>
      <c r="AG408" s="45"/>
      <c r="AH408" s="45"/>
      <c r="AI408" s="45"/>
      <c r="AJ408" s="45"/>
      <c r="AK408" s="45"/>
      <c r="AL408" s="45"/>
      <c r="AM408" s="63"/>
      <c r="AN408" s="63"/>
    </row>
    <row r="409" spans="3:50" ht="12.95">
      <c r="C409" s="927" t="s">
        <v>329</v>
      </c>
      <c r="D409" s="58">
        <f>IF(G409&lt;=2000,950,(IF(G409&lt;=3000,1150,(IF(G409&lt;=8000,1550,(IF(G409&lt;=10000,1750,(IF(G409&lt;=18000,2050,(IF(G409&lt;=32000,2900,(IF(G409&lt;=40000,3600,4000)))))))))))))</f>
        <v>1750</v>
      </c>
      <c r="E409" s="58">
        <f>IF(G409&lt;=2000,950,(IF(G409&lt;=4000,1100,(IF(G409&lt;=6000,1250,(IF(G409&lt;=10000,1550,(IF(G409&lt;=15000,1750,(IF(G409&lt;=24000,2050,(IF(G409&lt;=40000,2900,3600)))))))))))))</f>
        <v>1550</v>
      </c>
      <c r="F409" s="58">
        <f>H409+I409+G410</f>
        <v>2200</v>
      </c>
      <c r="G409" s="59">
        <v>8250</v>
      </c>
      <c r="H409" s="58">
        <f>IF(D410&lt;=315,1600,(IF(D410=355,1650,(IF(D410=400,1650,(IF(D410=450,1700,(IF(D410=500,1700,(IF(D410=560,1800,(IF(D410=630,2000,(IF(D410=710,2200,2500)))))))))))))))</f>
        <v>1700</v>
      </c>
      <c r="I409" s="58">
        <f>IF(H410=2,1500,(IF(H410=1,500,0)))</f>
        <v>500</v>
      </c>
      <c r="J409" s="929" t="s">
        <v>277</v>
      </c>
      <c r="K409" s="929">
        <v>2</v>
      </c>
      <c r="L409" s="930">
        <f>Q409*0.9</f>
        <v>182700</v>
      </c>
      <c r="M409" s="930">
        <f>L409*K409</f>
        <v>365400</v>
      </c>
      <c r="N409" s="930">
        <f>Q409*0.1</f>
        <v>20300</v>
      </c>
      <c r="O409" s="940">
        <f>N409*K409</f>
        <v>40600</v>
      </c>
      <c r="P409" s="940">
        <v>203000</v>
      </c>
      <c r="Q409" s="913">
        <f>CEILING((S409+T409+U409+V409+W409),250)</f>
        <v>203000</v>
      </c>
      <c r="R409" s="913">
        <v>450</v>
      </c>
      <c r="S409" s="913">
        <f>(D409*E409*3*10.76+D409*F409*2*10.76+E409*F409*2*10.76)*R409/(1000*1000)</f>
        <v>109707.61500000001</v>
      </c>
      <c r="T409" s="913">
        <f>F410*4*1050</f>
        <v>0</v>
      </c>
      <c r="U409" s="912">
        <f>IF(G409&lt;=2000,5000,(IF(G409&lt;=5000,8000,(IF(G409&lt;=10000,10000,(IF(G409&lt;=18000,15000,(IF(G409&lt;=40000,20000,10000)))))))))</f>
        <v>10000</v>
      </c>
      <c r="V409" s="912">
        <f>IF(X409=200,17150,(IF(X409=225,18150,(IF(X409=250,18900,(IF(X409=280,19150,(IF(X409=315,19650,(IF(X409=355,21900,(IF(X409=400,24400,0)))))))))))))+IF(X409=450,31000,(IF(X409=500,37450,(IF(X409=560,45650,(IF(X409=630,58900,(IF(X409=710,77950,0)))))))))+IF(X409=800,119650,(IF(X409=900,153300,(IF(X409=1000,178900,(IF(X409=1120,286500,(IF(X409=1250,394500,(IF(X409=1450,461500,0)))))))))))</f>
        <v>37450</v>
      </c>
      <c r="W409" s="913">
        <f>IF(E410=0.5,16600,(IF(E410=1,19050,(IF(E410=1.5,21750,(IF(E410=2,23600,(IF(E410=3,30000,(IF(E410=5,38000,0)))))))))))*1.2+IF(E410=7.5,52300,(IF(E410=10,59600,0)))*1.2+IF(E410=12.5,100350,(IF(E410=15,106000,(IF(E410=20,129150,(IF(E410=25,146050,(IF(E410=30,173600,(IF(E410=40,233900,(IF(E410=50,304650)))))))))))))*1.2</f>
        <v>45600</v>
      </c>
      <c r="X409" s="912">
        <f>IF(G409&lt;=5250,Z409,Y409)</f>
        <v>500</v>
      </c>
      <c r="Y409" s="912">
        <f>IF(G409&lt;=6750,450,(IF(G409&lt;=8500,500,(IF(G409&lt;=10750,560,(IF(G409&lt;=13500,630,(IF(G409&lt;=17000,710,(IF(G409&lt;=21500,800,(IF(G409&lt;=27000,900,(IF(G409&lt;=34000,1000,0)))))))))))))))</f>
        <v>500</v>
      </c>
      <c r="Z409" s="912">
        <f>IF(G409&lt;=1300,200,(IF(G409&lt;=1600,225,(IF(G409&lt;=2100,250,(IF(G409&lt;=2700,280,(IF(G409&lt;=3450,315,(IF(G409&lt;=4250,355,(IF(G409&lt;=5250,400,(IF(G409&lt;=6750,450,0)))))))))))))))</f>
        <v>0</v>
      </c>
      <c r="AA409" s="912">
        <f>IF(G409&lt;=2000,5000,(IF(G409&lt;=5000,8000,(IF(G409&lt;=10000,10000,(IF(G409&lt;=18000,15000,(IF(G409&lt;=40000,20000,10000)))))))))</f>
        <v>10000</v>
      </c>
      <c r="AB409" s="912">
        <f>IF(D409=950,2,(IF(D409=1150,3,(IF(D409=1550,4,(IF(D409=1750,5,(IF(D409=2050,6,(IF(D409=2900,8,(IF(D409=3600,10,1)))))))))))))</f>
        <v>5</v>
      </c>
      <c r="AC409" s="912">
        <f>IF(E409=950,2,(IF(E409=1100,2,(IF(E409=1250,3,(IF(E409=1550,4,(IF(E409=1750,5,(IF(E409=2050,6,(IF(E409=2900,8,(IF(E409=3600,10,1)))))))))))))))</f>
        <v>4</v>
      </c>
      <c r="AD409" s="912">
        <f>AC409*AB409</f>
        <v>20</v>
      </c>
      <c r="AE409" s="912">
        <v>150</v>
      </c>
      <c r="AF409" s="912">
        <f>CEILING((SQRT(G409/1000))*4*2*AE409*1.25*K409,100)</f>
        <v>8700</v>
      </c>
      <c r="AG409" s="912"/>
      <c r="AH409" s="912"/>
      <c r="AI409" s="912"/>
      <c r="AJ409" s="912"/>
      <c r="AK409" s="912"/>
      <c r="AL409" s="912">
        <f>AB409*AC409</f>
        <v>20</v>
      </c>
      <c r="AM409" s="915">
        <f>(G409*2/1300)</f>
        <v>12.692307692307692</v>
      </c>
      <c r="AN409" s="915">
        <f>(G409*1/1100)</f>
        <v>7.5</v>
      </c>
      <c r="AX409" s="912"/>
    </row>
    <row r="410" spans="3:50">
      <c r="C410" s="928"/>
      <c r="D410" s="58">
        <f>IF(G409&lt;=5250,Z409,Y409)</f>
        <v>500</v>
      </c>
      <c r="E410" s="58">
        <v>5</v>
      </c>
      <c r="F410" s="58">
        <v>0</v>
      </c>
      <c r="G410" s="58">
        <v>0</v>
      </c>
      <c r="H410" s="58">
        <v>1</v>
      </c>
      <c r="I410" s="58">
        <v>0</v>
      </c>
      <c r="J410" s="929"/>
      <c r="K410" s="929"/>
      <c r="L410" s="930"/>
      <c r="M410" s="930"/>
      <c r="N410" s="930"/>
      <c r="O410" s="940"/>
      <c r="P410" s="940"/>
      <c r="Q410" s="913"/>
      <c r="R410" s="913"/>
      <c r="S410" s="913"/>
      <c r="T410" s="913"/>
      <c r="U410" s="912"/>
      <c r="V410" s="912"/>
      <c r="W410" s="913"/>
      <c r="X410" s="912"/>
      <c r="Y410" s="912"/>
      <c r="Z410" s="912"/>
      <c r="AA410" s="912"/>
      <c r="AB410" s="912"/>
      <c r="AC410" s="912"/>
      <c r="AD410" s="912"/>
      <c r="AE410" s="912"/>
      <c r="AF410" s="912"/>
      <c r="AG410" s="912"/>
      <c r="AH410" s="912"/>
      <c r="AI410" s="912"/>
      <c r="AJ410" s="912"/>
      <c r="AK410" s="912"/>
      <c r="AL410" s="912"/>
      <c r="AM410" s="915"/>
      <c r="AN410" s="915"/>
      <c r="AX410" s="912"/>
    </row>
    <row r="411" spans="3:50" ht="12.95">
      <c r="C411" s="927" t="s">
        <v>330</v>
      </c>
      <c r="D411" s="58">
        <f>IF(G411&lt;=2000,950,(IF(G411&lt;=3000,1150,(IF(G411&lt;=8000,1550,(IF(G411&lt;=10000,1750,(IF(G411&lt;=18000,2050,(IF(G411&lt;=32000,2900,(IF(G411&lt;=40000,3600,4000)))))))))))))</f>
        <v>1750</v>
      </c>
      <c r="E411" s="58">
        <f>IF(G411&lt;=2000,950,(IF(G411&lt;=4000,1100,(IF(G411&lt;=6000,1250,(IF(G411&lt;=10000,1550,(IF(G411&lt;=15000,1750,(IF(G411&lt;=24000,2050,(IF(G411&lt;=40000,2900,3600)))))))))))))</f>
        <v>1550</v>
      </c>
      <c r="F411" s="58">
        <f>H411+I411+G412</f>
        <v>2300</v>
      </c>
      <c r="G411" s="59">
        <v>9250</v>
      </c>
      <c r="H411" s="58">
        <f>IF(D412&lt;=315,1600,(IF(D412=355,1650,(IF(D412=400,1650,(IF(D412=450,1700,(IF(D412=500,1700,(IF(D412=560,1800,(IF(D412=630,2000,(IF(D412=710,2200,2500)))))))))))))))</f>
        <v>1800</v>
      </c>
      <c r="I411" s="58">
        <f>IF(H412=2,1500,(IF(H412=1,500,0)))</f>
        <v>500</v>
      </c>
      <c r="J411" s="929" t="s">
        <v>277</v>
      </c>
      <c r="K411" s="929">
        <v>2</v>
      </c>
      <c r="L411" s="930">
        <f>Q411*0.9</f>
        <v>192825</v>
      </c>
      <c r="M411" s="930">
        <f>L411*K411</f>
        <v>385650</v>
      </c>
      <c r="N411" s="930">
        <f>Q411*0.1</f>
        <v>21425</v>
      </c>
      <c r="O411" s="940">
        <f>N411*K411</f>
        <v>42850</v>
      </c>
      <c r="P411" s="940">
        <v>214250</v>
      </c>
      <c r="Q411" s="913">
        <f>CEILING((S411+T411+U411+V411+W411),250)</f>
        <v>214250</v>
      </c>
      <c r="R411" s="913">
        <v>450</v>
      </c>
      <c r="S411" s="913">
        <f>(D411*E411*3*10.76+D411*F411*2*10.76+E411*F411*2*10.76)*R411/(1000*1000)</f>
        <v>112903.33500000001</v>
      </c>
      <c r="T411" s="913">
        <f>F412*4*1050</f>
        <v>0</v>
      </c>
      <c r="U411" s="912">
        <f>IF(G411&lt;=2000,5000,(IF(G411&lt;=5000,8000,(IF(G411&lt;=10000,10000,(IF(G411&lt;=18000,15000,(IF(G411&lt;=40000,20000,10000)))))))))</f>
        <v>10000</v>
      </c>
      <c r="V411" s="912">
        <f>IF(X411=200,17150,(IF(X411=225,18150,(IF(X411=250,18900,(IF(X411=280,19150,(IF(X411=315,19650,(IF(X411=355,21900,(IF(X411=400,24400,0)))))))))))))+IF(X411=450,31000,(IF(X411=500,37450,(IF(X411=560,45650,(IF(X411=630,58900,(IF(X411=710,77950,0)))))))))+IF(X411=800,119650,(IF(X411=900,153300,(IF(X411=1000,178900,(IF(X411=1120,286500,(IF(X411=1250,394500,(IF(X411=1450,461500,0)))))))))))</f>
        <v>45650</v>
      </c>
      <c r="W411" s="913">
        <f>IF(E412=0.5,16600,(IF(E412=1,19050,(IF(E412=1.5,21750,(IF(E412=2,23600,(IF(E412=3,30000,(IF(E412=5,38000,0)))))))))))*1.2+IF(E412=7.5,52300,(IF(E412=10,59600,0)))*1.2+IF(E412=12.5,100350,(IF(E412=15,106000,(IF(E412=20,129150,(IF(E412=25,146050,(IF(E412=30,173600,(IF(E412=40,233900,(IF(E412=50,304650)))))))))))))*1.2</f>
        <v>45600</v>
      </c>
      <c r="X411" s="912">
        <f>IF(G411&lt;=5250,Z411,Y411)</f>
        <v>560</v>
      </c>
      <c r="Y411" s="912">
        <f>IF(G411&lt;=6750,450,(IF(G411&lt;=8500,500,(IF(G411&lt;=10750,560,(IF(G411&lt;=13500,630,(IF(G411&lt;=17000,710,(IF(G411&lt;=21500,800,(IF(G411&lt;=27000,900,(IF(G411&lt;=34000,1000,0)))))))))))))))</f>
        <v>560</v>
      </c>
      <c r="Z411" s="912">
        <f>IF(G411&lt;=1300,200,(IF(G411&lt;=1600,225,(IF(G411&lt;=2100,250,(IF(G411&lt;=2700,280,(IF(G411&lt;=3450,315,(IF(G411&lt;=4250,355,(IF(G411&lt;=5250,400,(IF(G411&lt;=6750,450,0)))))))))))))))</f>
        <v>0</v>
      </c>
      <c r="AA411" s="912">
        <f>IF(G411&lt;=2000,5000,(IF(G411&lt;=5000,8000,(IF(G411&lt;=10000,10000,(IF(G411&lt;=18000,15000,(IF(G411&lt;=40000,20000,10000)))))))))</f>
        <v>10000</v>
      </c>
      <c r="AB411" s="912">
        <f>IF(D411=950,2,(IF(D411=1150,3,(IF(D411=1550,4,(IF(D411=1750,5,(IF(D411=2050,6,(IF(D411=2900,8,(IF(D411=3600,10,1)))))))))))))</f>
        <v>5</v>
      </c>
      <c r="AC411" s="912">
        <f>IF(E411=950,2,(IF(E411=1100,2,(IF(E411=1250,3,(IF(E411=1550,4,(IF(E411=1750,5,(IF(E411=2050,6,(IF(E411=2900,8,(IF(E411=3600,10,1)))))))))))))))</f>
        <v>4</v>
      </c>
      <c r="AD411" s="912">
        <f>AC411*AB411</f>
        <v>20</v>
      </c>
      <c r="AE411" s="912">
        <v>150</v>
      </c>
      <c r="AF411" s="912">
        <f>CEILING((SQRT(G411/1000))*4*2*AE411*1.25*K411,100)</f>
        <v>9200</v>
      </c>
      <c r="AG411" s="912"/>
      <c r="AH411" s="912"/>
      <c r="AI411" s="912"/>
      <c r="AJ411" s="912"/>
      <c r="AK411" s="912"/>
      <c r="AL411" s="912">
        <f>AB411*AC411</f>
        <v>20</v>
      </c>
      <c r="AM411" s="915">
        <f>(G411*2/1300)</f>
        <v>14.23076923076923</v>
      </c>
      <c r="AN411" s="915">
        <f>(G411*1/1100)</f>
        <v>8.4090909090909083</v>
      </c>
      <c r="AX411" s="912"/>
    </row>
    <row r="412" spans="3:50">
      <c r="C412" s="928"/>
      <c r="D412" s="58">
        <f>IF(G411&lt;=5250,Z411,Y411)</f>
        <v>560</v>
      </c>
      <c r="E412" s="58">
        <v>5</v>
      </c>
      <c r="F412" s="58">
        <v>0</v>
      </c>
      <c r="G412" s="58">
        <v>0</v>
      </c>
      <c r="H412" s="58">
        <v>1</v>
      </c>
      <c r="I412" s="58">
        <v>0</v>
      </c>
      <c r="J412" s="929"/>
      <c r="K412" s="929"/>
      <c r="L412" s="930"/>
      <c r="M412" s="930"/>
      <c r="N412" s="930"/>
      <c r="O412" s="940"/>
      <c r="P412" s="940"/>
      <c r="Q412" s="913"/>
      <c r="R412" s="913"/>
      <c r="S412" s="913"/>
      <c r="T412" s="913"/>
      <c r="U412" s="912"/>
      <c r="V412" s="912"/>
      <c r="W412" s="913"/>
      <c r="X412" s="912"/>
      <c r="Y412" s="912"/>
      <c r="Z412" s="912"/>
      <c r="AA412" s="912"/>
      <c r="AB412" s="912"/>
      <c r="AC412" s="912"/>
      <c r="AD412" s="912"/>
      <c r="AE412" s="912"/>
      <c r="AF412" s="912"/>
      <c r="AG412" s="912"/>
      <c r="AH412" s="912"/>
      <c r="AI412" s="912"/>
      <c r="AJ412" s="912"/>
      <c r="AK412" s="912"/>
      <c r="AL412" s="912"/>
      <c r="AM412" s="915"/>
      <c r="AN412" s="915"/>
      <c r="AX412" s="912"/>
    </row>
    <row r="413" spans="3:50" ht="14.1">
      <c r="C413" s="72"/>
      <c r="D413" s="937" t="s">
        <v>314</v>
      </c>
      <c r="E413" s="938"/>
      <c r="F413" s="938"/>
      <c r="G413" s="938"/>
      <c r="H413" s="938"/>
      <c r="I413" s="939"/>
      <c r="J413" s="60"/>
      <c r="K413" s="60"/>
      <c r="L413" s="61"/>
      <c r="M413" s="61"/>
      <c r="N413" s="61"/>
      <c r="O413" s="62"/>
      <c r="P413" s="62"/>
      <c r="Q413" s="55"/>
      <c r="R413" s="55"/>
      <c r="S413" s="55"/>
      <c r="T413" s="55"/>
      <c r="U413" s="45"/>
      <c r="V413" s="45"/>
      <c r="W413" s="55"/>
      <c r="X413" s="45"/>
      <c r="Y413" s="45"/>
      <c r="Z413" s="45"/>
      <c r="AA413" s="45"/>
      <c r="AB413" s="45"/>
      <c r="AC413" s="45"/>
      <c r="AD413" s="45"/>
      <c r="AE413" s="45"/>
      <c r="AF413" s="45"/>
      <c r="AG413" s="45"/>
      <c r="AH413" s="45"/>
      <c r="AI413" s="45"/>
      <c r="AJ413" s="45"/>
      <c r="AK413" s="45"/>
      <c r="AL413" s="45"/>
      <c r="AM413" s="63"/>
      <c r="AN413" s="63"/>
    </row>
    <row r="414" spans="3:50" ht="12.95">
      <c r="C414" s="927" t="s">
        <v>331</v>
      </c>
      <c r="D414" s="58">
        <f>IF(G414&lt;=600,600,(IF(G414&lt;=2000,950,(IF(G414&lt;=3000,1150,(IF(G414&lt;=8000,1550,(IF(G414&lt;=10000,1750,(IF(G414&lt;=18000,2050,(IF(G414&lt;=32000,2900,(IF(G414&lt;=40000,3600,4000)))))))))))))))</f>
        <v>600</v>
      </c>
      <c r="E414" s="58">
        <f>IF(G414&lt;=600,600,(IF(G414&lt;=2000,950,(IF(G414&lt;=3000,1150,(IF(G414&lt;=8000,1550,(IF(G414&lt;=10000,1750,(IF(G414&lt;=18000,2050,(IF(G414&lt;=32000,2900,(IF(G414&lt;=40000,3600,4000)))))))))))))))</f>
        <v>600</v>
      </c>
      <c r="F414" s="58">
        <f>H414+I414+G415</f>
        <v>2100</v>
      </c>
      <c r="G414" s="59">
        <v>575</v>
      </c>
      <c r="H414" s="58">
        <f>IF(D415&lt;=315,1600,(IF(D415=355,1650,(IF(D415=400,1650,(IF(D415=450,1700,(IF(D415=500,1700,(IF(D415=560,1800,(IF(D415=630,2000,(IF(D415=710,2200,2500)))))))))))))))</f>
        <v>1600</v>
      </c>
      <c r="I414" s="58">
        <f>IF(H415=2,1500,(IF(H415=1,500,0)))</f>
        <v>500</v>
      </c>
      <c r="J414" s="929" t="s">
        <v>277</v>
      </c>
      <c r="K414" s="929">
        <v>4</v>
      </c>
      <c r="L414" s="930">
        <f>Q414*0.9</f>
        <v>64575</v>
      </c>
      <c r="M414" s="930">
        <f>L414*K414</f>
        <v>258300</v>
      </c>
      <c r="N414" s="930">
        <f>Q414*0.1</f>
        <v>7175</v>
      </c>
      <c r="O414" s="940">
        <f>N414*K414</f>
        <v>28700</v>
      </c>
      <c r="P414" s="940">
        <v>71750</v>
      </c>
      <c r="Q414" s="913">
        <f>CEILING((S414+T414+U414+V414+W414),250)</f>
        <v>71750</v>
      </c>
      <c r="R414" s="913">
        <v>450</v>
      </c>
      <c r="S414" s="913">
        <f>(D414*E414*3*10.76+D414*F414*2*10.76+E414*F414*2*10.76)*R414/(1000*1000)</f>
        <v>29633.040000000001</v>
      </c>
      <c r="T414" s="913">
        <f>F415*4*1050</f>
        <v>0</v>
      </c>
      <c r="U414" s="912">
        <f>IF(G414&lt;=2000,5000,(IF(G414&lt;=5000,8000,(IF(G414&lt;=10000,10000,(IF(G414&lt;=18000,15000,(IF(G414&lt;=40000,20000,10000)))))))))</f>
        <v>5000</v>
      </c>
      <c r="V414" s="912">
        <f>IF(X414=200,17150,(IF(X414=225,18150,(IF(X414=250,18900,(IF(X414=280,19150,(IF(X414=315,19650,(IF(X414=355,21900,(IF(X414=400,24400,0)))))))))))))+IF(X414=450,31000,(IF(X414=500,37450,(IF(X414=560,45650,(IF(X414=630,58900,(IF(X414=710,77950,0)))))))))+IF(X414=800,119650,(IF(X414=900,153300,(IF(X414=1000,178900,(IF(X414=1120,286500,(IF(X414=1250,394500,(IF(X414=1450,461500,0)))))))))))</f>
        <v>17150</v>
      </c>
      <c r="W414" s="913">
        <f>IF(E415=0.5,16600,(IF(E415=1,19050,(IF(E415=1.5,21750,(IF(E415=2,23600,(IF(E415=3,30000,(IF(E415=5,38000,0)))))))))))*1.2+IF(E415=7.5,52300,(IF(E415=10,59600,0)))*1.2+IF(E415=12.5,100350,(IF(E415=15,106000,(IF(E415=20,129150,(IF(E415=25,146050,(IF(E415=30,173600,(IF(E415=40,233900,(IF(E415=50,304650)))))))))))))*1.2</f>
        <v>19920</v>
      </c>
      <c r="X414" s="912">
        <f>IF(G414&lt;=5250,Z414,Y414)</f>
        <v>200</v>
      </c>
      <c r="Y414" s="912">
        <f>IF(G414&lt;=6750,450,(IF(G414&lt;=8500,500,(IF(G414&lt;=10750,560,(IF(G414&lt;=13500,630,(IF(G414&lt;=17000,710,(IF(G414&lt;=21500,800,(IF(G414&lt;=27000,900,(IF(G414&lt;=34000,1000,0)))))))))))))))</f>
        <v>450</v>
      </c>
      <c r="Z414" s="912">
        <f>IF(G414&lt;=1300,200,(IF(G414&lt;=1600,225,(IF(G414&lt;=2100,250,(IF(G414&lt;=2700,280,(IF(G414&lt;=3450,315,(IF(G414&lt;=4250,355,(IF(G414&lt;=5250,400,(IF(G414&lt;=6750,450,0)))))))))))))))</f>
        <v>200</v>
      </c>
      <c r="AA414" s="912">
        <f>IF(G414&lt;=2000,5000,(IF(G414&lt;=5000,8000,(IF(G414&lt;=10000,10000,(IF(G414&lt;=18000,15000,(IF(G414&lt;=40000,20000,10000)))))))))</f>
        <v>5000</v>
      </c>
      <c r="AB414" s="912">
        <f>IF(D414=950,2,(IF(D414=1150,3,(IF(D414=1550,4,(IF(D414=1750,5,(IF(D414=2050,6,(IF(D414=2900,8,(IF(D414=3600,10,1)))))))))))))</f>
        <v>1</v>
      </c>
      <c r="AC414" s="912">
        <f>IF(E414=950,2,(IF(E414=1100,2,(IF(E414=1250,3,(IF(E414=1550,4,(IF(E414=1750,5,(IF(E414=2050,6,(IF(E414=2900,8,(IF(E414=3600,10,1)))))))))))))))</f>
        <v>1</v>
      </c>
      <c r="AD414" s="912">
        <f>AC414*AB414</f>
        <v>1</v>
      </c>
      <c r="AE414" s="912">
        <v>150</v>
      </c>
      <c r="AF414" s="912">
        <f>CEILING((SQRT(G414/1000))*4*2*AE414*1.25*K414,100)</f>
        <v>4600</v>
      </c>
      <c r="AG414" s="912"/>
      <c r="AH414" s="912"/>
      <c r="AI414" s="912"/>
      <c r="AJ414" s="912"/>
      <c r="AK414" s="912"/>
      <c r="AL414" s="912">
        <f>AB414*AC414</f>
        <v>1</v>
      </c>
      <c r="AM414" s="915">
        <f>(G414*2/1300)</f>
        <v>0.88461538461538458</v>
      </c>
      <c r="AN414" s="915">
        <f>(G414*1/1100)</f>
        <v>0.52272727272727271</v>
      </c>
    </row>
    <row r="415" spans="3:50">
      <c r="C415" s="928"/>
      <c r="D415" s="58"/>
      <c r="E415" s="58">
        <v>0.5</v>
      </c>
      <c r="F415" s="58">
        <v>0</v>
      </c>
      <c r="G415" s="58">
        <v>0</v>
      </c>
      <c r="H415" s="58">
        <v>1</v>
      </c>
      <c r="I415" s="58">
        <v>0</v>
      </c>
      <c r="J415" s="929"/>
      <c r="K415" s="929"/>
      <c r="L415" s="930"/>
      <c r="M415" s="930"/>
      <c r="N415" s="930"/>
      <c r="O415" s="940"/>
      <c r="P415" s="940"/>
      <c r="Q415" s="913"/>
      <c r="R415" s="913"/>
      <c r="S415" s="913"/>
      <c r="T415" s="913"/>
      <c r="U415" s="912"/>
      <c r="V415" s="912"/>
      <c r="W415" s="913"/>
      <c r="X415" s="912"/>
      <c r="Y415" s="912"/>
      <c r="Z415" s="912"/>
      <c r="AA415" s="912"/>
      <c r="AB415" s="912"/>
      <c r="AC415" s="912"/>
      <c r="AD415" s="912"/>
      <c r="AE415" s="912"/>
      <c r="AF415" s="912"/>
      <c r="AG415" s="912"/>
      <c r="AH415" s="912"/>
      <c r="AI415" s="912"/>
      <c r="AJ415" s="912"/>
      <c r="AK415" s="912"/>
      <c r="AL415" s="912"/>
      <c r="AM415" s="915"/>
      <c r="AN415" s="915"/>
    </row>
    <row r="416" spans="3:50" ht="12.95">
      <c r="C416" s="927" t="s">
        <v>332</v>
      </c>
      <c r="D416" s="58">
        <f>IF(G416&lt;=600,600,(IF(G416&lt;=2000,950,(IF(G416&lt;=3000,1150,(IF(G416&lt;=8000,1550,(IF(G416&lt;=10000,1750,(IF(G416&lt;=18000,2050,(IF(G416&lt;=32000,2900,(IF(G416&lt;=40000,3600,4000)))))))))))))))</f>
        <v>600</v>
      </c>
      <c r="E416" s="58">
        <f>IF(G416&lt;=600,600,(IF(G416&lt;=2000,950,(IF(G416&lt;=3000,1150,(IF(G416&lt;=8000,1550,(IF(G416&lt;=10000,1750,(IF(G416&lt;=18000,2050,(IF(G416&lt;=32000,2900,(IF(G416&lt;=40000,3600,4000)))))))))))))))</f>
        <v>600</v>
      </c>
      <c r="F416" s="58">
        <f>H416+I416+G417</f>
        <v>2100</v>
      </c>
      <c r="G416" s="59">
        <v>300</v>
      </c>
      <c r="H416" s="58">
        <f>IF(D417&lt;=315,1600,(IF(D417=355,1650,(IF(D417=400,1650,(IF(D417=450,1700,(IF(D417=500,1700,(IF(D417=560,1800,(IF(D417=630,2000,(IF(D417=710,2200,2500)))))))))))))))</f>
        <v>1600</v>
      </c>
      <c r="I416" s="58">
        <f>IF(H417=2,1500,(IF(H417=1,500,0)))</f>
        <v>500</v>
      </c>
      <c r="J416" s="929" t="s">
        <v>277</v>
      </c>
      <c r="K416" s="929">
        <v>1</v>
      </c>
      <c r="L416" s="930">
        <f>Q416*0.9</f>
        <v>64575</v>
      </c>
      <c r="M416" s="930">
        <f>L416*K416</f>
        <v>64575</v>
      </c>
      <c r="N416" s="930">
        <f>Q416*0.1</f>
        <v>7175</v>
      </c>
      <c r="O416" s="940">
        <f>N416*K416</f>
        <v>7175</v>
      </c>
      <c r="P416" s="940">
        <v>71750</v>
      </c>
      <c r="Q416" s="913">
        <f>CEILING((S416+T416+U416+V416+W416),250)</f>
        <v>71750</v>
      </c>
      <c r="R416" s="913">
        <v>450</v>
      </c>
      <c r="S416" s="913">
        <f>(D416*E416*3*10.76+D416*F416*2*10.76+E416*F416*2*10.76)*R416/(1000*1000)</f>
        <v>29633.040000000001</v>
      </c>
      <c r="T416" s="913">
        <f>F417*4*1050</f>
        <v>0</v>
      </c>
      <c r="U416" s="912">
        <f>IF(G416&lt;=2000,5000,(IF(G416&lt;=5000,8000,(IF(G416&lt;=10000,10000,(IF(G416&lt;=18000,15000,(IF(G416&lt;=40000,20000,10000)))))))))</f>
        <v>5000</v>
      </c>
      <c r="V416" s="912">
        <f>IF(X416=200,17150,(IF(X416=225,18150,(IF(X416=250,18900,(IF(X416=280,19150,(IF(X416=315,19650,(IF(X416=355,21900,(IF(X416=400,24400,0)))))))))))))+IF(X416=450,31000,(IF(X416=500,37450,(IF(X416=560,45650,(IF(X416=630,58900,(IF(X416=710,77950,0)))))))))+IF(X416=800,119650,(IF(X416=900,153300,(IF(X416=1000,178900,(IF(X416=1120,286500,(IF(X416=1250,394500,(IF(X416=1450,461500,0)))))))))))</f>
        <v>17150</v>
      </c>
      <c r="W416" s="913">
        <f>IF(E417=0.5,16600,(IF(E417=1,19050,(IF(E417=1.5,21750,(IF(E417=2,23600,(IF(E417=3,30000,(IF(E417=5,38000,0)))))))))))*1.2+IF(E417=7.5,52300,(IF(E417=10,59600,0)))*1.2+IF(E417=12.5,100350,(IF(E417=15,106000,(IF(E417=20,129150,(IF(E417=25,146050,(IF(E417=30,173600,(IF(E417=40,233900,(IF(E417=50,304650)))))))))))))*1.2</f>
        <v>19920</v>
      </c>
      <c r="X416" s="912">
        <f>IF(G416&lt;=5250,Z416,Y416)</f>
        <v>200</v>
      </c>
      <c r="Y416" s="912">
        <f>IF(G416&lt;=6750,450,(IF(G416&lt;=8500,500,(IF(G416&lt;=10750,560,(IF(G416&lt;=13500,630,(IF(G416&lt;=17000,710,(IF(G416&lt;=21500,800,(IF(G416&lt;=27000,900,(IF(G416&lt;=34000,1000,0)))))))))))))))</f>
        <v>450</v>
      </c>
      <c r="Z416" s="912">
        <f>IF(G416&lt;=1300,200,(IF(G416&lt;=1600,225,(IF(G416&lt;=2100,250,(IF(G416&lt;=2700,280,(IF(G416&lt;=3450,315,(IF(G416&lt;=4250,355,(IF(G416&lt;=5250,400,(IF(G416&lt;=6750,450,0)))))))))))))))</f>
        <v>200</v>
      </c>
      <c r="AA416" s="912">
        <f>IF(G416&lt;=2000,5000,(IF(G416&lt;=5000,8000,(IF(G416&lt;=10000,10000,(IF(G416&lt;=18000,15000,(IF(G416&lt;=40000,20000,10000)))))))))</f>
        <v>5000</v>
      </c>
      <c r="AB416" s="912">
        <f>IF(D416=950,2,(IF(D416=1150,3,(IF(D416=1550,4,(IF(D416=1750,5,(IF(D416=2050,6,(IF(D416=2900,8,(IF(D416=3600,10,1)))))))))))))</f>
        <v>1</v>
      </c>
      <c r="AC416" s="912">
        <f>IF(E416=950,2,(IF(E416=1100,2,(IF(E416=1250,3,(IF(E416=1550,4,(IF(E416=1750,5,(IF(E416=2050,6,(IF(E416=2900,8,(IF(E416=3600,10,1)))))))))))))))</f>
        <v>1</v>
      </c>
      <c r="AD416" s="912">
        <f>AC416*AB416</f>
        <v>1</v>
      </c>
      <c r="AE416" s="912">
        <v>150</v>
      </c>
      <c r="AF416" s="912">
        <f>CEILING((SQRT(G416/1000))*4*2*AE416*1.25*K416,100)</f>
        <v>900</v>
      </c>
      <c r="AG416" s="912"/>
      <c r="AH416" s="912"/>
      <c r="AI416" s="912"/>
      <c r="AJ416" s="912"/>
      <c r="AK416" s="912"/>
      <c r="AL416" s="912">
        <f>AB416*AC416</f>
        <v>1</v>
      </c>
      <c r="AM416" s="915">
        <f>(G416*2/1300)</f>
        <v>0.46153846153846156</v>
      </c>
      <c r="AN416" s="915">
        <f>(G416*1/1100)</f>
        <v>0.27272727272727271</v>
      </c>
    </row>
    <row r="417" spans="3:40">
      <c r="C417" s="928"/>
      <c r="D417" s="58"/>
      <c r="E417" s="58">
        <v>0.5</v>
      </c>
      <c r="F417" s="58">
        <v>0</v>
      </c>
      <c r="G417" s="58">
        <v>0</v>
      </c>
      <c r="H417" s="58">
        <v>1</v>
      </c>
      <c r="I417" s="58">
        <v>0</v>
      </c>
      <c r="J417" s="929"/>
      <c r="K417" s="929"/>
      <c r="L417" s="930"/>
      <c r="M417" s="930"/>
      <c r="N417" s="930"/>
      <c r="O417" s="940"/>
      <c r="P417" s="940"/>
      <c r="Q417" s="913"/>
      <c r="R417" s="913"/>
      <c r="S417" s="913"/>
      <c r="T417" s="913"/>
      <c r="U417" s="912"/>
      <c r="V417" s="912"/>
      <c r="W417" s="913"/>
      <c r="X417" s="912"/>
      <c r="Y417" s="912"/>
      <c r="Z417" s="912"/>
      <c r="AA417" s="912"/>
      <c r="AB417" s="912"/>
      <c r="AC417" s="912"/>
      <c r="AD417" s="912"/>
      <c r="AE417" s="912"/>
      <c r="AF417" s="912"/>
      <c r="AG417" s="912"/>
      <c r="AH417" s="912"/>
      <c r="AI417" s="912"/>
      <c r="AJ417" s="912"/>
      <c r="AK417" s="912"/>
      <c r="AL417" s="912"/>
      <c r="AM417" s="915"/>
      <c r="AN417" s="915"/>
    </row>
    <row r="418" spans="3:40" ht="14.1">
      <c r="C418" s="72"/>
      <c r="D418" s="937" t="s">
        <v>319</v>
      </c>
      <c r="E418" s="938"/>
      <c r="F418" s="938"/>
      <c r="G418" s="938"/>
      <c r="H418" s="938"/>
      <c r="I418" s="939"/>
      <c r="J418" s="60"/>
      <c r="K418" s="60"/>
      <c r="L418" s="61"/>
      <c r="M418" s="61"/>
      <c r="N418" s="61"/>
      <c r="O418" s="62"/>
      <c r="P418" s="62"/>
      <c r="Q418" s="55"/>
      <c r="R418" s="55"/>
      <c r="S418" s="55"/>
      <c r="T418" s="55"/>
      <c r="U418" s="45"/>
      <c r="V418" s="45"/>
      <c r="W418" s="55"/>
      <c r="X418" s="45"/>
      <c r="Y418" s="45"/>
      <c r="Z418" s="45"/>
      <c r="AA418" s="45"/>
      <c r="AB418" s="45"/>
      <c r="AC418" s="45"/>
      <c r="AD418" s="45"/>
      <c r="AE418" s="45"/>
      <c r="AF418" s="45"/>
      <c r="AG418" s="45"/>
      <c r="AH418" s="45"/>
      <c r="AI418" s="45"/>
      <c r="AJ418" s="45"/>
      <c r="AK418" s="45"/>
      <c r="AL418" s="45"/>
      <c r="AM418" s="63"/>
      <c r="AN418" s="63"/>
    </row>
    <row r="419" spans="3:40" ht="12.95">
      <c r="C419" s="927" t="s">
        <v>332</v>
      </c>
      <c r="D419" s="58">
        <f>IF(G419&lt;=600,600,(IF(G419&lt;=2000,950,(IF(G419&lt;=3000,1150,(IF(G419&lt;=8000,1550,(IF(G419&lt;=10000,1750,(IF(G419&lt;=18000,2050,(IF(G419&lt;=32000,2900,(IF(G419&lt;=40000,3600,4000)))))))))))))))</f>
        <v>600</v>
      </c>
      <c r="E419" s="58">
        <f>IF(G419&lt;=600,600,(IF(G419&lt;=2000,950,(IF(G419&lt;=3000,1150,(IF(G419&lt;=8000,1550,(IF(G419&lt;=10000,1750,(IF(G419&lt;=18000,2050,(IF(G419&lt;=32000,2900,(IF(G419&lt;=40000,3600,4000)))))))))))))))</f>
        <v>600</v>
      </c>
      <c r="F419" s="58">
        <f>H419+I419+G420</f>
        <v>2100</v>
      </c>
      <c r="G419" s="59">
        <v>300</v>
      </c>
      <c r="H419" s="58">
        <f>IF(D420&lt;=315,1600,(IF(D420=355,1650,(IF(D420=400,1650,(IF(D420=450,1700,(IF(D420=500,1700,(IF(D420=560,1800,(IF(D420=630,2000,(IF(D420=710,2200,2500)))))))))))))))</f>
        <v>1600</v>
      </c>
      <c r="I419" s="58">
        <f>IF(H420=2,1500,(IF(H420=1,500,0)))</f>
        <v>500</v>
      </c>
      <c r="J419" s="929" t="s">
        <v>277</v>
      </c>
      <c r="K419" s="929">
        <v>2</v>
      </c>
      <c r="L419" s="930">
        <f>Q419*0.9</f>
        <v>64575</v>
      </c>
      <c r="M419" s="930">
        <f>L419*K419</f>
        <v>129150</v>
      </c>
      <c r="N419" s="930">
        <f>Q419*0.1</f>
        <v>7175</v>
      </c>
      <c r="O419" s="940">
        <f>N419*K419</f>
        <v>14350</v>
      </c>
      <c r="P419" s="940">
        <v>71750</v>
      </c>
      <c r="Q419" s="913">
        <f>CEILING((S419+T419+U419+V419+W419),250)</f>
        <v>71750</v>
      </c>
      <c r="R419" s="913">
        <v>450</v>
      </c>
      <c r="S419" s="913">
        <f>(D419*E419*3*10.76+D419*F419*2*10.76+E419*F419*2*10.76)*R419/(1000*1000)</f>
        <v>29633.040000000001</v>
      </c>
      <c r="T419" s="913">
        <f>F420*4*1050</f>
        <v>0</v>
      </c>
      <c r="U419" s="912">
        <f>IF(G419&lt;=2000,5000,(IF(G419&lt;=5000,8000,(IF(G419&lt;=10000,10000,(IF(G419&lt;=18000,15000,(IF(G419&lt;=40000,20000,10000)))))))))</f>
        <v>5000</v>
      </c>
      <c r="V419" s="912">
        <f>IF(X419=200,17150,(IF(X419=225,18150,(IF(X419=250,18900,(IF(X419=280,19150,(IF(X419=315,19650,(IF(X419=355,21900,(IF(X419=400,24400,0)))))))))))))+IF(X419=450,31000,(IF(X419=500,37450,(IF(X419=560,45650,(IF(X419=630,58900,(IF(X419=710,77950,0)))))))))+IF(X419=800,119650,(IF(X419=900,153300,(IF(X419=1000,178900,(IF(X419=1120,286500,(IF(X419=1250,394500,(IF(X419=1450,461500,0)))))))))))</f>
        <v>17150</v>
      </c>
      <c r="W419" s="913">
        <f>IF(E420=0.5,16600,(IF(E420=1,19050,(IF(E420=1.5,21750,(IF(E420=2,23600,(IF(E420=3,30000,(IF(E420=5,38000,0)))))))))))*1.2+IF(E420=7.5,52300,(IF(E420=10,59600,0)))*1.2+IF(E420=12.5,100350,(IF(E420=15,106000,(IF(E420=20,129150,(IF(E420=25,146050,(IF(E420=30,173600,(IF(E420=40,233900,(IF(E420=50,304650)))))))))))))*1.2</f>
        <v>19920</v>
      </c>
      <c r="X419" s="912">
        <f>IF(G419&lt;=5250,Z419,Y419)</f>
        <v>200</v>
      </c>
      <c r="Y419" s="912">
        <f>IF(G419&lt;=6750,450,(IF(G419&lt;=8500,500,(IF(G419&lt;=10750,560,(IF(G419&lt;=13500,630,(IF(G419&lt;=17000,710,(IF(G419&lt;=21500,800,(IF(G419&lt;=27000,900,(IF(G419&lt;=34000,1000,0)))))))))))))))</f>
        <v>450</v>
      </c>
      <c r="Z419" s="912">
        <f>IF(G419&lt;=1300,200,(IF(G419&lt;=1600,225,(IF(G419&lt;=2100,250,(IF(G419&lt;=2700,280,(IF(G419&lt;=3450,315,(IF(G419&lt;=4250,355,(IF(G419&lt;=5250,400,(IF(G419&lt;=6750,450,0)))))))))))))))</f>
        <v>200</v>
      </c>
      <c r="AA419" s="912">
        <f>IF(G419&lt;=2000,5000,(IF(G419&lt;=5000,8000,(IF(G419&lt;=10000,10000,(IF(G419&lt;=18000,15000,(IF(G419&lt;=40000,20000,10000)))))))))</f>
        <v>5000</v>
      </c>
      <c r="AB419" s="912">
        <f>IF(D419=950,2,(IF(D419=1150,3,(IF(D419=1550,4,(IF(D419=1750,5,(IF(D419=2050,6,(IF(D419=2900,8,(IF(D419=3600,10,1)))))))))))))</f>
        <v>1</v>
      </c>
      <c r="AC419" s="912">
        <f>IF(E419=950,2,(IF(E419=1100,2,(IF(E419=1250,3,(IF(E419=1550,4,(IF(E419=1750,5,(IF(E419=2050,6,(IF(E419=2900,8,(IF(E419=3600,10,1)))))))))))))))</f>
        <v>1</v>
      </c>
      <c r="AD419" s="912">
        <f>AC419*AB419</f>
        <v>1</v>
      </c>
      <c r="AE419" s="912">
        <v>150</v>
      </c>
      <c r="AF419" s="912">
        <f>CEILING((SQRT(G419/1000))*4*2*AE419*1.25*K419,100)</f>
        <v>1700</v>
      </c>
      <c r="AG419" s="912"/>
      <c r="AH419" s="912"/>
      <c r="AI419" s="912"/>
      <c r="AJ419" s="912"/>
      <c r="AK419" s="912"/>
      <c r="AL419" s="912">
        <f>AB419*AC419</f>
        <v>1</v>
      </c>
      <c r="AM419" s="915">
        <f>(G419*2/1300)</f>
        <v>0.46153846153846156</v>
      </c>
      <c r="AN419" s="915">
        <f>(G419*1/1100)</f>
        <v>0.27272727272727271</v>
      </c>
    </row>
    <row r="420" spans="3:40" ht="12.95" thickBot="1">
      <c r="C420" s="928"/>
      <c r="D420" s="58"/>
      <c r="E420" s="58">
        <v>0.5</v>
      </c>
      <c r="F420" s="58">
        <v>0</v>
      </c>
      <c r="G420" s="58">
        <v>0</v>
      </c>
      <c r="H420" s="58">
        <v>1</v>
      </c>
      <c r="I420" s="58">
        <v>0</v>
      </c>
      <c r="J420" s="929"/>
      <c r="K420" s="929"/>
      <c r="L420" s="930"/>
      <c r="M420" s="930"/>
      <c r="N420" s="930"/>
      <c r="O420" s="940"/>
      <c r="P420" s="940"/>
      <c r="Q420" s="913"/>
      <c r="R420" s="913"/>
      <c r="S420" s="913"/>
      <c r="T420" s="913"/>
      <c r="U420" s="912"/>
      <c r="V420" s="912"/>
      <c r="W420" s="913"/>
      <c r="X420" s="912"/>
      <c r="Y420" s="912"/>
      <c r="Z420" s="912"/>
      <c r="AA420" s="912"/>
      <c r="AB420" s="912"/>
      <c r="AC420" s="912"/>
      <c r="AD420" s="912"/>
      <c r="AE420" s="912"/>
      <c r="AF420" s="912"/>
      <c r="AG420" s="912"/>
      <c r="AH420" s="912"/>
      <c r="AI420" s="912"/>
      <c r="AJ420" s="912"/>
      <c r="AK420" s="912"/>
      <c r="AL420" s="912"/>
      <c r="AM420" s="915"/>
      <c r="AN420" s="915"/>
    </row>
    <row r="421" spans="3:40" ht="12.75" customHeight="1">
      <c r="C421" s="90" t="s">
        <v>333</v>
      </c>
      <c r="D421" s="91" t="s">
        <v>334</v>
      </c>
      <c r="E421" s="92"/>
      <c r="F421" s="92"/>
      <c r="G421" s="92"/>
      <c r="H421" s="92"/>
      <c r="I421" s="92"/>
      <c r="J421" s="93"/>
      <c r="K421" s="94"/>
      <c r="L421" s="94"/>
      <c r="M421" s="95"/>
      <c r="N421" s="95"/>
      <c r="O421" s="96"/>
      <c r="P421" s="96"/>
      <c r="W421" s="913"/>
      <c r="AD421" s="28">
        <f>CEILING(SUM(AD29:AD406),50)</f>
        <v>2300</v>
      </c>
      <c r="AF421" s="28">
        <f>SUM(AF29:AF406)</f>
        <v>224100</v>
      </c>
    </row>
    <row r="422" spans="3:40" ht="12.75" customHeight="1">
      <c r="C422" s="829"/>
      <c r="D422" s="173" t="s">
        <v>335</v>
      </c>
      <c r="J422" s="830"/>
      <c r="K422" s="101"/>
      <c r="L422" s="101"/>
      <c r="M422" s="103"/>
      <c r="N422" s="103"/>
      <c r="O422" s="104"/>
      <c r="P422" s="104"/>
      <c r="W422" s="913"/>
    </row>
    <row r="423" spans="3:40" ht="12.75" customHeight="1">
      <c r="C423" s="97">
        <v>1</v>
      </c>
      <c r="D423" s="964" t="s">
        <v>336</v>
      </c>
      <c r="E423" s="961"/>
      <c r="F423" s="961"/>
      <c r="G423" s="961"/>
      <c r="H423" s="961"/>
      <c r="I423" s="961"/>
      <c r="J423" s="100" t="s">
        <v>337</v>
      </c>
      <c r="K423" s="101">
        <f>CEILING(AF421*0.395,500)</f>
        <v>89000</v>
      </c>
      <c r="L423" s="102">
        <f>Q423</f>
        <v>116.2</v>
      </c>
      <c r="M423" s="101">
        <f>L423*K423</f>
        <v>10341800</v>
      </c>
      <c r="N423" s="103">
        <f>Q423*0.1</f>
        <v>11.620000000000001</v>
      </c>
      <c r="O423" s="104">
        <f>N423*K423</f>
        <v>1034180.0000000001</v>
      </c>
      <c r="P423" s="104">
        <v>116.2</v>
      </c>
      <c r="Q423" s="104">
        <v>116.2</v>
      </c>
      <c r="R423" s="105"/>
      <c r="S423" s="105"/>
      <c r="T423" s="105"/>
      <c r="U423" s="105"/>
      <c r="V423" s="105"/>
      <c r="W423" s="913"/>
      <c r="AG423" s="963">
        <f t="shared" ref="AG423:AL423" si="201">CEILING(SUM(AG29:AG421),10)</f>
        <v>130</v>
      </c>
      <c r="AH423" s="963">
        <f t="shared" si="201"/>
        <v>780</v>
      </c>
      <c r="AI423" s="963">
        <f t="shared" si="201"/>
        <v>780</v>
      </c>
      <c r="AJ423" s="963">
        <f t="shared" si="201"/>
        <v>780</v>
      </c>
      <c r="AK423" s="963">
        <f t="shared" si="201"/>
        <v>100</v>
      </c>
      <c r="AL423" s="963">
        <f t="shared" si="201"/>
        <v>100</v>
      </c>
      <c r="AM423" s="962">
        <f>CEILING(SUM(AM29:AM406),10)</f>
        <v>1580</v>
      </c>
      <c r="AN423" s="962">
        <f>CEILING(SUM(AN29:AN406),10)</f>
        <v>730</v>
      </c>
    </row>
    <row r="424" spans="3:40" ht="12.75" customHeight="1">
      <c r="C424" s="97"/>
      <c r="D424" s="99" t="s">
        <v>338</v>
      </c>
      <c r="E424" s="99"/>
      <c r="F424" s="99"/>
      <c r="G424" s="99"/>
      <c r="H424" s="99"/>
      <c r="I424" s="99"/>
      <c r="J424" s="100"/>
      <c r="K424" s="101"/>
      <c r="L424" s="102"/>
      <c r="M424" s="101"/>
      <c r="N424" s="103"/>
      <c r="O424" s="104"/>
      <c r="P424" s="104"/>
      <c r="Q424" s="104"/>
      <c r="R424" s="105"/>
      <c r="S424" s="105"/>
      <c r="T424" s="105"/>
      <c r="U424" s="105"/>
      <c r="V424" s="105"/>
      <c r="AG424" s="963"/>
      <c r="AH424" s="963"/>
      <c r="AI424" s="963"/>
      <c r="AJ424" s="963"/>
      <c r="AK424" s="963"/>
      <c r="AL424" s="963"/>
      <c r="AM424" s="962"/>
      <c r="AN424" s="962"/>
    </row>
    <row r="425" spans="3:40" ht="12.75" customHeight="1">
      <c r="C425" s="97"/>
      <c r="D425" s="99" t="s">
        <v>339</v>
      </c>
      <c r="E425" s="99"/>
      <c r="F425" s="99"/>
      <c r="G425" s="99"/>
      <c r="H425" s="99"/>
      <c r="I425" s="99"/>
      <c r="J425" s="100"/>
      <c r="K425" s="101"/>
      <c r="L425" s="102"/>
      <c r="M425" s="101"/>
      <c r="N425" s="103"/>
      <c r="O425" s="104"/>
      <c r="P425" s="104"/>
      <c r="Q425" s="104"/>
      <c r="R425" s="105"/>
      <c r="S425" s="105"/>
      <c r="T425" s="105"/>
      <c r="U425" s="105"/>
      <c r="V425" s="105"/>
      <c r="AG425" s="963"/>
      <c r="AH425" s="963"/>
      <c r="AI425" s="963"/>
      <c r="AJ425" s="963"/>
      <c r="AK425" s="963"/>
      <c r="AL425" s="963"/>
      <c r="AM425" s="962"/>
      <c r="AN425" s="962"/>
    </row>
    <row r="426" spans="3:40" ht="12.75" customHeight="1">
      <c r="C426" s="97"/>
      <c r="D426" s="99" t="s">
        <v>340</v>
      </c>
      <c r="E426" s="99"/>
      <c r="F426" s="99"/>
      <c r="G426" s="99"/>
      <c r="H426" s="99"/>
      <c r="I426" s="99"/>
      <c r="J426" s="100"/>
      <c r="K426" s="101"/>
      <c r="L426" s="102"/>
      <c r="M426" s="101"/>
      <c r="N426" s="103"/>
      <c r="O426" s="104"/>
      <c r="P426" s="104"/>
      <c r="Q426" s="104"/>
      <c r="R426" s="105"/>
      <c r="S426" s="105"/>
      <c r="T426" s="105"/>
      <c r="U426" s="105"/>
      <c r="V426" s="105"/>
      <c r="AG426" s="963"/>
      <c r="AH426" s="963"/>
      <c r="AI426" s="963"/>
      <c r="AJ426" s="963"/>
      <c r="AK426" s="963"/>
      <c r="AL426" s="963"/>
      <c r="AM426" s="962"/>
      <c r="AN426" s="962"/>
    </row>
    <row r="427" spans="3:40" ht="12.75" customHeight="1">
      <c r="C427" s="97">
        <v>2</v>
      </c>
      <c r="D427" s="964" t="s">
        <v>341</v>
      </c>
      <c r="E427" s="961"/>
      <c r="F427" s="961"/>
      <c r="G427" s="961"/>
      <c r="H427" s="961"/>
      <c r="I427" s="961"/>
      <c r="J427" s="100" t="s">
        <v>337</v>
      </c>
      <c r="K427" s="101">
        <f>CEILING(AF421*0.35,500)</f>
        <v>78500</v>
      </c>
      <c r="L427" s="102">
        <f>Q427</f>
        <v>125.5</v>
      </c>
      <c r="M427" s="101">
        <f>L427*K427</f>
        <v>9851750</v>
      </c>
      <c r="N427" s="103">
        <f>Q427*0.1</f>
        <v>12.55</v>
      </c>
      <c r="O427" s="104">
        <f>N427*K427</f>
        <v>985175</v>
      </c>
      <c r="P427" s="104">
        <v>125.5</v>
      </c>
      <c r="Q427" s="104">
        <v>125.5</v>
      </c>
      <c r="R427" s="105"/>
      <c r="S427" s="105"/>
      <c r="T427" s="105"/>
      <c r="U427" s="105"/>
      <c r="V427" s="105"/>
      <c r="AG427" s="963"/>
      <c r="AH427" s="963"/>
      <c r="AI427" s="963"/>
      <c r="AJ427" s="963"/>
      <c r="AK427" s="963"/>
      <c r="AL427" s="963"/>
      <c r="AM427" s="963"/>
      <c r="AN427" s="963"/>
    </row>
    <row r="428" spans="3:40" ht="12.75" customHeight="1">
      <c r="C428" s="97"/>
      <c r="D428" s="99" t="s">
        <v>338</v>
      </c>
      <c r="E428" s="99"/>
      <c r="F428" s="99"/>
      <c r="G428" s="99"/>
      <c r="H428" s="99"/>
      <c r="I428" s="99"/>
      <c r="J428" s="100"/>
      <c r="K428" s="101"/>
      <c r="L428" s="102"/>
      <c r="M428" s="101"/>
      <c r="N428" s="103"/>
      <c r="O428" s="104"/>
      <c r="P428" s="104"/>
      <c r="Q428" s="104"/>
      <c r="R428" s="105"/>
      <c r="S428" s="105"/>
      <c r="T428" s="105"/>
      <c r="U428" s="105"/>
      <c r="V428" s="105"/>
      <c r="AG428" s="106"/>
      <c r="AH428" s="106"/>
      <c r="AI428" s="106"/>
      <c r="AJ428" s="106"/>
      <c r="AK428" s="106"/>
      <c r="AL428" s="106"/>
      <c r="AM428" s="106"/>
      <c r="AN428" s="106"/>
    </row>
    <row r="429" spans="3:40" ht="12.75" customHeight="1">
      <c r="C429" s="97"/>
      <c r="D429" s="99" t="s">
        <v>339</v>
      </c>
      <c r="E429" s="99"/>
      <c r="F429" s="99"/>
      <c r="G429" s="99"/>
      <c r="H429" s="99"/>
      <c r="I429" s="99"/>
      <c r="J429" s="100"/>
      <c r="K429" s="101"/>
      <c r="L429" s="102"/>
      <c r="M429" s="101"/>
      <c r="N429" s="103"/>
      <c r="O429" s="104"/>
      <c r="P429" s="104"/>
      <c r="Q429" s="104"/>
      <c r="R429" s="105"/>
      <c r="S429" s="105"/>
      <c r="T429" s="105"/>
      <c r="U429" s="105"/>
      <c r="V429" s="105"/>
      <c r="AG429" s="106"/>
      <c r="AH429" s="106"/>
      <c r="AI429" s="106"/>
      <c r="AJ429" s="106"/>
      <c r="AK429" s="106"/>
      <c r="AL429" s="106"/>
      <c r="AM429" s="106"/>
      <c r="AN429" s="106"/>
    </row>
    <row r="430" spans="3:40" ht="12.75" customHeight="1" thickBot="1">
      <c r="C430" s="107"/>
      <c r="D430" s="99" t="s">
        <v>340</v>
      </c>
      <c r="E430" s="99"/>
      <c r="F430" s="99"/>
      <c r="G430" s="99"/>
      <c r="H430" s="99"/>
      <c r="I430" s="99"/>
      <c r="J430" s="108"/>
      <c r="K430" s="109"/>
      <c r="L430" s="110"/>
      <c r="M430" s="109"/>
      <c r="N430" s="111"/>
      <c r="O430" s="112"/>
      <c r="P430" s="112"/>
      <c r="Q430" s="104"/>
      <c r="R430" s="105"/>
      <c r="S430" s="105"/>
      <c r="T430" s="105"/>
      <c r="U430" s="105"/>
      <c r="V430" s="105"/>
      <c r="AG430" s="106"/>
      <c r="AH430" s="106"/>
      <c r="AI430" s="106"/>
      <c r="AJ430" s="106"/>
      <c r="AK430" s="106"/>
      <c r="AL430" s="106"/>
      <c r="AM430" s="106"/>
      <c r="AN430" s="106"/>
    </row>
    <row r="431" spans="3:40" ht="12.75" customHeight="1">
      <c r="C431" s="113">
        <v>3</v>
      </c>
      <c r="D431" s="964" t="s">
        <v>342</v>
      </c>
      <c r="E431" s="961"/>
      <c r="F431" s="961"/>
      <c r="G431" s="961"/>
      <c r="H431" s="961"/>
      <c r="I431" s="961"/>
      <c r="J431" s="114" t="s">
        <v>337</v>
      </c>
      <c r="K431" s="94">
        <f>CEILING(AF421*0.265,500)</f>
        <v>59500</v>
      </c>
      <c r="L431" s="115">
        <f>Q431</f>
        <v>134.80000000000001</v>
      </c>
      <c r="M431" s="94">
        <f>L431*K431</f>
        <v>8020600.0000000009</v>
      </c>
      <c r="N431" s="95">
        <f>Q431*0.1</f>
        <v>13.480000000000002</v>
      </c>
      <c r="O431" s="96">
        <f>N431*K431</f>
        <v>802060.00000000012</v>
      </c>
      <c r="P431" s="96">
        <v>134.80000000000001</v>
      </c>
      <c r="Q431" s="104">
        <v>134.80000000000001</v>
      </c>
      <c r="R431" s="105"/>
      <c r="S431" s="105"/>
      <c r="T431" s="105"/>
      <c r="U431" s="105"/>
      <c r="V431" s="105"/>
      <c r="AG431" s="956" t="s">
        <v>343</v>
      </c>
      <c r="AH431" s="956" t="s">
        <v>344</v>
      </c>
      <c r="AI431" s="956" t="s">
        <v>345</v>
      </c>
      <c r="AJ431" s="956" t="s">
        <v>346</v>
      </c>
      <c r="AK431" s="956" t="s">
        <v>347</v>
      </c>
      <c r="AL431" s="956" t="s">
        <v>348</v>
      </c>
      <c r="AM431" s="956" t="s">
        <v>349</v>
      </c>
      <c r="AN431" s="956" t="s">
        <v>349</v>
      </c>
    </row>
    <row r="432" spans="3:40" ht="12.75" customHeight="1">
      <c r="C432" s="97"/>
      <c r="D432" s="99" t="s">
        <v>338</v>
      </c>
      <c r="E432" s="99"/>
      <c r="F432" s="99"/>
      <c r="G432" s="99"/>
      <c r="H432" s="99"/>
      <c r="I432" s="99"/>
      <c r="J432" s="100"/>
      <c r="K432" s="101"/>
      <c r="L432" s="102"/>
      <c r="M432" s="101"/>
      <c r="N432" s="103"/>
      <c r="O432" s="104"/>
      <c r="P432" s="104"/>
      <c r="Q432" s="105"/>
      <c r="R432" s="105"/>
      <c r="S432" s="105"/>
      <c r="T432" s="105"/>
      <c r="U432" s="105"/>
      <c r="V432" s="105"/>
      <c r="AG432" s="956"/>
      <c r="AH432" s="956"/>
      <c r="AI432" s="956"/>
      <c r="AJ432" s="956"/>
      <c r="AK432" s="956"/>
      <c r="AL432" s="956"/>
      <c r="AM432" s="956"/>
      <c r="AN432" s="956"/>
    </row>
    <row r="433" spans="3:40" ht="12.75" customHeight="1">
      <c r="C433" s="97"/>
      <c r="D433" s="99" t="s">
        <v>339</v>
      </c>
      <c r="E433" s="99"/>
      <c r="F433" s="99"/>
      <c r="G433" s="99"/>
      <c r="H433" s="99"/>
      <c r="I433" s="99"/>
      <c r="J433" s="100"/>
      <c r="K433" s="101"/>
      <c r="L433" s="102"/>
      <c r="M433" s="101"/>
      <c r="N433" s="103"/>
      <c r="O433" s="104"/>
      <c r="P433" s="104"/>
      <c r="Q433" s="105"/>
      <c r="R433" s="105"/>
      <c r="S433" s="105"/>
      <c r="T433" s="105"/>
      <c r="U433" s="105"/>
      <c r="V433" s="105"/>
      <c r="AG433" s="956"/>
      <c r="AH433" s="956"/>
      <c r="AI433" s="956"/>
      <c r="AJ433" s="956"/>
      <c r="AK433" s="956"/>
      <c r="AL433" s="956"/>
      <c r="AM433" s="956"/>
      <c r="AN433" s="956"/>
    </row>
    <row r="434" spans="3:40" ht="12.75" customHeight="1">
      <c r="C434" s="97"/>
      <c r="D434" s="99" t="s">
        <v>340</v>
      </c>
      <c r="E434" s="99"/>
      <c r="F434" s="99"/>
      <c r="G434" s="99"/>
      <c r="H434" s="99"/>
      <c r="I434" s="99"/>
      <c r="J434" s="100"/>
      <c r="K434" s="101"/>
      <c r="L434" s="102"/>
      <c r="M434" s="101"/>
      <c r="N434" s="103"/>
      <c r="O434" s="104"/>
      <c r="P434" s="104"/>
      <c r="Q434" s="105"/>
      <c r="R434" s="105"/>
      <c r="S434" s="105"/>
      <c r="T434" s="105"/>
      <c r="U434" s="105"/>
      <c r="V434" s="105"/>
      <c r="AG434" s="956"/>
      <c r="AH434" s="956"/>
      <c r="AI434" s="956"/>
      <c r="AJ434" s="956"/>
      <c r="AK434" s="956"/>
      <c r="AL434" s="956"/>
      <c r="AM434" s="956"/>
      <c r="AN434" s="956"/>
    </row>
    <row r="435" spans="3:40" ht="12.75" customHeight="1">
      <c r="C435" s="97"/>
      <c r="D435" s="173" t="s">
        <v>350</v>
      </c>
      <c r="E435" s="99"/>
      <c r="F435" s="99"/>
      <c r="G435" s="99"/>
      <c r="H435" s="99"/>
      <c r="I435" s="99"/>
      <c r="J435" s="100"/>
      <c r="K435" s="101"/>
      <c r="L435" s="102"/>
      <c r="M435" s="101"/>
      <c r="N435" s="103"/>
      <c r="O435" s="104"/>
      <c r="P435" s="104"/>
      <c r="Q435" s="105"/>
      <c r="R435" s="105"/>
      <c r="S435" s="105"/>
      <c r="T435" s="105"/>
      <c r="U435" s="105"/>
      <c r="V435" s="105"/>
      <c r="AG435" s="956"/>
      <c r="AH435" s="956"/>
      <c r="AI435" s="956"/>
      <c r="AJ435" s="956"/>
      <c r="AK435" s="956"/>
      <c r="AL435" s="956"/>
      <c r="AM435" s="956"/>
      <c r="AN435" s="956"/>
    </row>
    <row r="436" spans="3:40" ht="12.75" customHeight="1">
      <c r="C436" s="97">
        <v>4</v>
      </c>
      <c r="D436" s="99" t="s">
        <v>351</v>
      </c>
      <c r="E436" s="99"/>
      <c r="F436" s="99"/>
      <c r="G436" s="99"/>
      <c r="H436" s="99"/>
      <c r="I436" s="99"/>
      <c r="J436" s="100" t="s">
        <v>337</v>
      </c>
      <c r="K436" s="101">
        <f>CEILING(AF421*0.5*1,500)</f>
        <v>112500</v>
      </c>
      <c r="L436" s="102">
        <f>Q436</f>
        <v>72</v>
      </c>
      <c r="M436" s="101">
        <f>L436*K436</f>
        <v>8100000</v>
      </c>
      <c r="N436" s="103">
        <f>Q436*0.1</f>
        <v>7.2</v>
      </c>
      <c r="O436" s="104">
        <f>N436*K436</f>
        <v>810000</v>
      </c>
      <c r="P436" s="104">
        <v>72</v>
      </c>
      <c r="Q436" s="116">
        <v>72</v>
      </c>
      <c r="R436" s="105"/>
      <c r="S436" s="105"/>
      <c r="T436" s="105"/>
      <c r="U436" s="105"/>
      <c r="V436" s="105"/>
      <c r="AG436" s="956"/>
      <c r="AH436" s="956"/>
      <c r="AI436" s="956"/>
      <c r="AJ436" s="956"/>
      <c r="AK436" s="956"/>
      <c r="AL436" s="956"/>
      <c r="AM436" s="956"/>
      <c r="AN436" s="956"/>
    </row>
    <row r="437" spans="3:40" ht="12.75" customHeight="1">
      <c r="C437" s="97"/>
      <c r="D437" s="99" t="s">
        <v>352</v>
      </c>
      <c r="E437" s="99"/>
      <c r="F437" s="99"/>
      <c r="G437" s="99"/>
      <c r="H437" s="99"/>
      <c r="I437" s="99"/>
      <c r="J437" s="100"/>
      <c r="K437" s="101"/>
      <c r="L437" s="101"/>
      <c r="M437" s="101"/>
      <c r="N437" s="103"/>
      <c r="O437" s="104"/>
      <c r="P437" s="104"/>
      <c r="Q437" s="116"/>
      <c r="R437" s="105"/>
      <c r="S437" s="105"/>
      <c r="T437" s="105"/>
      <c r="U437" s="105"/>
      <c r="V437" s="105"/>
    </row>
    <row r="438" spans="3:40" ht="12.75" customHeight="1">
      <c r="C438" s="97">
        <v>5</v>
      </c>
      <c r="D438" s="99" t="s">
        <v>353</v>
      </c>
      <c r="E438" s="99"/>
      <c r="F438" s="99"/>
      <c r="G438" s="99"/>
      <c r="H438" s="99"/>
      <c r="I438" s="99"/>
      <c r="J438" s="100" t="s">
        <v>337</v>
      </c>
      <c r="K438" s="101">
        <f>CEILING(AF421*0.5*1,500)</f>
        <v>112500</v>
      </c>
      <c r="L438" s="102">
        <f>Q438</f>
        <v>80</v>
      </c>
      <c r="M438" s="101">
        <f>L438*K438</f>
        <v>9000000</v>
      </c>
      <c r="N438" s="103">
        <f>Q438*0.1</f>
        <v>8</v>
      </c>
      <c r="O438" s="104">
        <f>N438*K438</f>
        <v>900000</v>
      </c>
      <c r="P438" s="104">
        <v>80</v>
      </c>
      <c r="Q438" s="116">
        <v>80</v>
      </c>
      <c r="R438" s="105"/>
      <c r="S438" s="105"/>
      <c r="T438" s="105"/>
      <c r="U438" s="105"/>
      <c r="V438" s="105"/>
    </row>
    <row r="439" spans="3:40" ht="12.75" customHeight="1">
      <c r="C439" s="97"/>
      <c r="D439" s="99" t="s">
        <v>354</v>
      </c>
      <c r="E439" s="99"/>
      <c r="F439" s="99"/>
      <c r="G439" s="99"/>
      <c r="H439" s="99"/>
      <c r="I439" s="99"/>
      <c r="J439" s="100"/>
      <c r="K439" s="101"/>
      <c r="L439" s="101"/>
      <c r="M439" s="101"/>
      <c r="N439" s="103"/>
      <c r="O439" s="104"/>
      <c r="P439" s="104"/>
      <c r="Q439" s="116"/>
      <c r="R439" s="105"/>
      <c r="S439" s="105"/>
      <c r="T439" s="105"/>
      <c r="U439" s="105"/>
      <c r="V439" s="105"/>
    </row>
    <row r="440" spans="3:40" ht="12.75" customHeight="1">
      <c r="C440" s="97"/>
      <c r="D440" s="173" t="s">
        <v>355</v>
      </c>
      <c r="E440" s="99"/>
      <c r="F440" s="99"/>
      <c r="G440" s="99"/>
      <c r="H440" s="99"/>
      <c r="I440" s="99"/>
      <c r="J440" s="100"/>
      <c r="K440" s="101"/>
      <c r="L440" s="101"/>
      <c r="M440" s="101"/>
      <c r="N440" s="103"/>
      <c r="O440" s="104"/>
      <c r="P440" s="104"/>
      <c r="Q440" s="116"/>
      <c r="R440" s="105"/>
      <c r="S440" s="105"/>
      <c r="T440" s="105"/>
      <c r="U440" s="105"/>
      <c r="V440" s="105"/>
    </row>
    <row r="441" spans="3:40" ht="12.75" customHeight="1">
      <c r="C441" s="97">
        <v>6</v>
      </c>
      <c r="D441" s="99" t="s">
        <v>356</v>
      </c>
      <c r="E441" s="99"/>
      <c r="F441" s="99"/>
      <c r="G441" s="99"/>
      <c r="H441" s="99"/>
      <c r="I441" s="99"/>
      <c r="J441" s="100" t="s">
        <v>337</v>
      </c>
      <c r="K441"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Amb.'!AF386)*1.2*2,20)</f>
        <v>10740</v>
      </c>
      <c r="L441" s="102">
        <f>Q441</f>
        <v>1100</v>
      </c>
      <c r="M441" s="101">
        <f>L441*K441</f>
        <v>11814000</v>
      </c>
      <c r="N441" s="103">
        <f>Q441*0.1</f>
        <v>110</v>
      </c>
      <c r="O441" s="104">
        <f>K441*N441</f>
        <v>1181400</v>
      </c>
      <c r="P441" s="104">
        <v>1100</v>
      </c>
      <c r="Q441" s="116">
        <v>1100</v>
      </c>
      <c r="R441" s="105"/>
      <c r="S441" s="105"/>
      <c r="T441" s="105"/>
      <c r="U441" s="105"/>
      <c r="V441" s="105"/>
    </row>
    <row r="442" spans="3:40" ht="12.75" customHeight="1">
      <c r="C442" s="97"/>
      <c r="D442" s="99" t="s">
        <v>357</v>
      </c>
      <c r="E442" s="99"/>
      <c r="F442" s="99"/>
      <c r="G442" s="99"/>
      <c r="H442" s="99"/>
      <c r="I442" s="99"/>
      <c r="J442" s="100"/>
      <c r="K442" s="101"/>
      <c r="L442" s="101"/>
      <c r="M442" s="101"/>
      <c r="N442" s="103"/>
      <c r="O442" s="104"/>
      <c r="P442" s="104"/>
      <c r="Q442" s="116"/>
      <c r="R442" s="105"/>
      <c r="S442" s="105"/>
      <c r="T442" s="105"/>
      <c r="U442" s="105"/>
      <c r="V442" s="105"/>
    </row>
    <row r="443" spans="3:40" ht="12.75" customHeight="1">
      <c r="C443" s="97"/>
      <c r="D443" s="173" t="s">
        <v>358</v>
      </c>
      <c r="E443" s="99"/>
      <c r="F443" s="99"/>
      <c r="G443" s="99"/>
      <c r="H443" s="99"/>
      <c r="I443" s="99"/>
      <c r="J443" s="100"/>
      <c r="K443" s="101"/>
      <c r="L443" s="101"/>
      <c r="M443" s="101"/>
      <c r="N443" s="103"/>
      <c r="O443" s="104"/>
      <c r="P443" s="104"/>
      <c r="Q443" s="116"/>
      <c r="R443" s="105"/>
      <c r="S443" s="105"/>
      <c r="T443" s="105"/>
      <c r="U443" s="105"/>
      <c r="V443" s="105"/>
    </row>
    <row r="444" spans="3:40" ht="12.75" customHeight="1">
      <c r="C444" s="97">
        <v>7</v>
      </c>
      <c r="D444" s="99" t="s">
        <v>359</v>
      </c>
      <c r="E444" s="99"/>
      <c r="F444" s="99"/>
      <c r="G444" s="99"/>
      <c r="H444" s="99"/>
      <c r="I444" s="99"/>
      <c r="J444" s="100" t="s">
        <v>337</v>
      </c>
      <c r="K444" s="102">
        <f>AN423</f>
        <v>730</v>
      </c>
      <c r="L444" s="102">
        <f>Q444</f>
        <v>1400</v>
      </c>
      <c r="M444" s="101">
        <f>L444*K444</f>
        <v>1022000</v>
      </c>
      <c r="N444" s="103">
        <f>Q444*0.1</f>
        <v>140</v>
      </c>
      <c r="O444" s="104">
        <f>K444*N444</f>
        <v>102200</v>
      </c>
      <c r="P444" s="104">
        <v>1400</v>
      </c>
      <c r="Q444" s="116">
        <v>1400</v>
      </c>
      <c r="R444" s="105"/>
      <c r="S444" s="105"/>
      <c r="T444" s="105"/>
      <c r="U444" s="105"/>
      <c r="V444" s="105"/>
    </row>
    <row r="445" spans="3:40" ht="12.75" customHeight="1">
      <c r="C445" s="97"/>
      <c r="D445" s="99" t="s">
        <v>360</v>
      </c>
      <c r="E445" s="99"/>
      <c r="F445" s="99"/>
      <c r="G445" s="99"/>
      <c r="H445" s="99"/>
      <c r="I445" s="99"/>
      <c r="J445" s="100"/>
      <c r="K445" s="101"/>
      <c r="L445" s="101"/>
      <c r="M445" s="101"/>
      <c r="N445" s="103"/>
      <c r="O445" s="104"/>
      <c r="P445" s="104"/>
      <c r="Q445" s="116"/>
      <c r="R445" s="105"/>
      <c r="S445" s="105"/>
      <c r="T445" s="105"/>
      <c r="U445" s="105"/>
      <c r="V445" s="105"/>
    </row>
    <row r="446" spans="3:40" ht="12.75" customHeight="1">
      <c r="C446" s="97"/>
      <c r="D446" s="99" t="s">
        <v>361</v>
      </c>
      <c r="E446" s="99"/>
      <c r="F446" s="99"/>
      <c r="G446" s="99"/>
      <c r="H446" s="99"/>
      <c r="I446" s="99"/>
      <c r="J446" s="100"/>
      <c r="K446" s="101"/>
      <c r="L446" s="101"/>
      <c r="M446" s="101"/>
      <c r="N446" s="103"/>
      <c r="O446" s="104"/>
      <c r="P446" s="104"/>
      <c r="Q446" s="116"/>
      <c r="R446" s="105"/>
      <c r="S446" s="105"/>
      <c r="T446" s="105"/>
      <c r="U446" s="105"/>
      <c r="V446" s="105"/>
    </row>
    <row r="447" spans="3:40" ht="12.75" customHeight="1">
      <c r="C447" s="97"/>
      <c r="D447" s="173" t="s">
        <v>362</v>
      </c>
      <c r="E447" s="99"/>
      <c r="F447" s="99"/>
      <c r="G447" s="99"/>
      <c r="H447" s="99"/>
      <c r="I447" s="99"/>
      <c r="J447" s="100"/>
      <c r="K447" s="101"/>
      <c r="L447" s="101"/>
      <c r="M447" s="101"/>
      <c r="N447" s="103"/>
      <c r="O447" s="104"/>
      <c r="P447" s="104"/>
      <c r="Q447" s="116"/>
      <c r="R447" s="105"/>
      <c r="S447" s="105"/>
      <c r="T447" s="105"/>
      <c r="U447" s="105"/>
      <c r="V447" s="105"/>
    </row>
    <row r="448" spans="3:40" ht="12.75" customHeight="1">
      <c r="C448" s="97">
        <v>7</v>
      </c>
      <c r="D448" s="99" t="s">
        <v>363</v>
      </c>
      <c r="E448" s="99"/>
      <c r="F448" s="99"/>
      <c r="G448" s="99"/>
      <c r="H448" s="99"/>
      <c r="I448" s="99"/>
      <c r="J448" s="100" t="s">
        <v>337</v>
      </c>
      <c r="K448" s="101">
        <f>CEILING(AN423*0.3,10)</f>
        <v>220</v>
      </c>
      <c r="L448" s="102">
        <f>Q448</f>
        <v>750</v>
      </c>
      <c r="M448" s="101">
        <f>L448*K448</f>
        <v>165000</v>
      </c>
      <c r="N448" s="103">
        <f>Q448*0.1</f>
        <v>75</v>
      </c>
      <c r="O448" s="104">
        <f>K448*N448</f>
        <v>16500</v>
      </c>
      <c r="P448" s="104">
        <v>750</v>
      </c>
      <c r="Q448" s="116">
        <v>750</v>
      </c>
      <c r="R448" s="105"/>
      <c r="S448" s="105"/>
      <c r="T448" s="105"/>
      <c r="U448" s="105"/>
      <c r="V448" s="105"/>
    </row>
    <row r="449" spans="3:22" ht="12.75" customHeight="1">
      <c r="C449" s="97"/>
      <c r="D449" s="99" t="s">
        <v>364</v>
      </c>
      <c r="E449" s="99"/>
      <c r="F449" s="99"/>
      <c r="G449" s="99"/>
      <c r="H449" s="99"/>
      <c r="I449" s="99"/>
      <c r="J449" s="100"/>
      <c r="K449" s="101"/>
      <c r="L449" s="101"/>
      <c r="M449" s="101"/>
      <c r="N449" s="103"/>
      <c r="O449" s="104"/>
      <c r="P449" s="104"/>
      <c r="Q449" s="116"/>
      <c r="R449" s="105"/>
      <c r="S449" s="105"/>
      <c r="T449" s="105"/>
      <c r="U449" s="105"/>
      <c r="V449" s="105"/>
    </row>
    <row r="450" spans="3:22" ht="12.75" customHeight="1">
      <c r="C450" s="117"/>
      <c r="D450" s="99" t="s">
        <v>365</v>
      </c>
      <c r="E450" s="99"/>
      <c r="F450" s="99"/>
      <c r="G450" s="99"/>
      <c r="H450" s="99"/>
      <c r="I450" s="99"/>
      <c r="J450" s="100"/>
      <c r="K450" s="101"/>
      <c r="L450" s="101"/>
      <c r="M450" s="101"/>
      <c r="N450" s="103"/>
      <c r="O450" s="104"/>
      <c r="P450" s="104"/>
      <c r="Q450" s="116"/>
      <c r="R450" s="105"/>
      <c r="S450" s="105"/>
      <c r="T450" s="105"/>
      <c r="U450" s="105"/>
      <c r="V450" s="105"/>
    </row>
    <row r="451" spans="3:22" ht="12.75" customHeight="1">
      <c r="C451" s="118">
        <v>8</v>
      </c>
      <c r="D451" s="119" t="s">
        <v>366</v>
      </c>
      <c r="E451" s="119"/>
      <c r="F451" s="119"/>
      <c r="G451" s="119"/>
      <c r="H451" s="119"/>
      <c r="I451" s="119"/>
      <c r="J451" s="120" t="s">
        <v>337</v>
      </c>
      <c r="K451" s="121">
        <f>AM423+AN423</f>
        <v>2310</v>
      </c>
      <c r="L451" s="102">
        <f>Q451</f>
        <v>1500</v>
      </c>
      <c r="M451" s="101">
        <f>L451*K451</f>
        <v>3465000</v>
      </c>
      <c r="N451" s="103">
        <f>Q451*0.1</f>
        <v>150</v>
      </c>
      <c r="O451" s="104">
        <f>K451*N451</f>
        <v>346500</v>
      </c>
      <c r="P451" s="104">
        <v>1500</v>
      </c>
      <c r="Q451" s="122">
        <v>1500</v>
      </c>
      <c r="R451" s="105"/>
      <c r="S451" s="105"/>
      <c r="T451" s="105"/>
      <c r="U451" s="105"/>
      <c r="V451" s="105"/>
    </row>
    <row r="452" spans="3:22" ht="12.75" customHeight="1">
      <c r="C452" s="97"/>
      <c r="D452" s="99" t="s">
        <v>367</v>
      </c>
      <c r="E452" s="99"/>
      <c r="F452" s="99"/>
      <c r="G452" s="99"/>
      <c r="H452" s="99"/>
      <c r="I452" s="99"/>
      <c r="J452" s="100"/>
      <c r="K452" s="101"/>
      <c r="L452" s="101"/>
      <c r="M452" s="101"/>
      <c r="N452" s="103"/>
      <c r="O452" s="104"/>
      <c r="P452" s="104"/>
      <c r="Q452" s="116"/>
      <c r="R452" s="105"/>
      <c r="S452" s="105"/>
      <c r="T452" s="105"/>
      <c r="U452" s="105"/>
      <c r="V452" s="105"/>
    </row>
    <row r="453" spans="3:22" ht="12.75" customHeight="1">
      <c r="C453" s="97"/>
      <c r="D453" s="173" t="s">
        <v>368</v>
      </c>
      <c r="E453" s="99"/>
      <c r="F453" s="99"/>
      <c r="G453" s="99"/>
      <c r="H453" s="99"/>
      <c r="I453" s="99"/>
      <c r="J453" s="100"/>
      <c r="K453" s="101"/>
      <c r="L453" s="101"/>
      <c r="M453" s="101"/>
      <c r="N453" s="103"/>
      <c r="O453" s="104"/>
      <c r="P453" s="104"/>
      <c r="Q453" s="116"/>
      <c r="R453" s="105"/>
      <c r="S453" s="105"/>
      <c r="T453" s="105"/>
      <c r="U453" s="105"/>
      <c r="V453" s="105"/>
    </row>
    <row r="454" spans="3:22" ht="12.75" customHeight="1">
      <c r="C454" s="97">
        <v>9</v>
      </c>
      <c r="D454" s="99" t="s">
        <v>369</v>
      </c>
      <c r="E454" s="99"/>
      <c r="F454" s="99"/>
      <c r="G454" s="99"/>
      <c r="H454" s="99"/>
      <c r="I454" s="99"/>
      <c r="J454" s="100" t="s">
        <v>337</v>
      </c>
      <c r="K454" s="101">
        <f>('BOD-Cold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Amb.'!AF386)*2</f>
        <v>8936</v>
      </c>
      <c r="L454" s="102">
        <f>Q454</f>
        <v>2750</v>
      </c>
      <c r="M454" s="101">
        <f>L454*K454</f>
        <v>24574000</v>
      </c>
      <c r="N454" s="103">
        <f>Q454*0.1</f>
        <v>275</v>
      </c>
      <c r="O454" s="104">
        <f>K454*N454</f>
        <v>2457400</v>
      </c>
      <c r="P454" s="104">
        <v>2750</v>
      </c>
      <c r="Q454" s="116">
        <v>2750</v>
      </c>
      <c r="R454" s="105"/>
      <c r="S454" s="105"/>
      <c r="T454" s="105"/>
      <c r="U454" s="105"/>
      <c r="V454" s="105"/>
    </row>
    <row r="455" spans="3:22" ht="12.75" customHeight="1">
      <c r="C455" s="97"/>
      <c r="D455" s="99" t="s">
        <v>370</v>
      </c>
      <c r="E455" s="99"/>
      <c r="F455" s="99"/>
      <c r="G455" s="99"/>
      <c r="H455" s="99"/>
      <c r="I455" s="99"/>
      <c r="J455" s="100"/>
      <c r="K455" s="101"/>
      <c r="L455" s="101"/>
      <c r="M455" s="101"/>
      <c r="N455" s="103"/>
      <c r="O455" s="104"/>
      <c r="P455" s="104"/>
      <c r="Q455" s="116"/>
      <c r="R455" s="105"/>
      <c r="S455" s="105"/>
      <c r="T455" s="105"/>
      <c r="U455" s="105"/>
      <c r="V455" s="105"/>
    </row>
    <row r="456" spans="3:22" ht="12.75" customHeight="1">
      <c r="C456" s="97"/>
      <c r="D456" s="99" t="s">
        <v>371</v>
      </c>
      <c r="E456" s="99"/>
      <c r="F456" s="99"/>
      <c r="G456" s="99"/>
      <c r="H456" s="99"/>
      <c r="I456" s="99"/>
      <c r="J456" s="100"/>
      <c r="K456" s="101"/>
      <c r="L456" s="101"/>
      <c r="M456" s="101"/>
      <c r="N456" s="103"/>
      <c r="O456" s="104"/>
      <c r="P456" s="104"/>
      <c r="Q456" s="116"/>
      <c r="R456" s="105"/>
      <c r="S456" s="105"/>
      <c r="T456" s="105"/>
      <c r="U456" s="105"/>
      <c r="V456" s="105"/>
    </row>
    <row r="457" spans="3:22" ht="12.75" customHeight="1">
      <c r="C457" s="97"/>
      <c r="D457" s="99" t="s">
        <v>372</v>
      </c>
      <c r="E457" s="99"/>
      <c r="F457" s="99"/>
      <c r="G457" s="99"/>
      <c r="H457" s="99"/>
      <c r="I457" s="99"/>
      <c r="J457" s="100"/>
      <c r="K457" s="101"/>
      <c r="L457" s="101"/>
      <c r="M457" s="101"/>
      <c r="N457" s="103"/>
      <c r="O457" s="104"/>
      <c r="P457" s="104"/>
      <c r="Q457" s="116"/>
      <c r="R457" s="105"/>
      <c r="S457" s="105"/>
      <c r="T457" s="105"/>
      <c r="U457" s="105"/>
      <c r="V457" s="105"/>
    </row>
    <row r="458" spans="3:22" ht="12.75" customHeight="1">
      <c r="C458" s="97">
        <v>10</v>
      </c>
      <c r="D458" s="99" t="s">
        <v>373</v>
      </c>
      <c r="E458" s="99"/>
      <c r="F458" s="99"/>
      <c r="G458" s="99"/>
      <c r="H458" s="99"/>
      <c r="I458" s="99"/>
      <c r="J458" s="100" t="s">
        <v>337</v>
      </c>
      <c r="K458"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Amb.'!AF386)*2*1.1,50)</f>
        <v>9850</v>
      </c>
      <c r="L458" s="102">
        <f>Q458</f>
        <v>150</v>
      </c>
      <c r="M458" s="101">
        <f>L458*K458</f>
        <v>1477500</v>
      </c>
      <c r="N458" s="103">
        <f>Q458*0.1</f>
        <v>15</v>
      </c>
      <c r="O458" s="104">
        <f>K458*N458</f>
        <v>147750</v>
      </c>
      <c r="P458" s="104">
        <v>150</v>
      </c>
      <c r="Q458" s="116">
        <v>150</v>
      </c>
      <c r="R458" s="105"/>
      <c r="S458" s="105"/>
      <c r="T458" s="105"/>
      <c r="U458" s="105"/>
      <c r="V458" s="105"/>
    </row>
    <row r="459" spans="3:22" ht="12.75" customHeight="1">
      <c r="C459" s="117"/>
      <c r="D459" s="123" t="s">
        <v>374</v>
      </c>
      <c r="E459" s="123"/>
      <c r="F459" s="123"/>
      <c r="G459" s="123"/>
      <c r="H459" s="123"/>
      <c r="I459" s="123"/>
      <c r="J459" s="77"/>
      <c r="K459" s="124"/>
      <c r="L459" s="124"/>
      <c r="M459" s="124"/>
      <c r="N459" s="125"/>
      <c r="O459" s="126"/>
      <c r="P459" s="126"/>
      <c r="Q459" s="127"/>
      <c r="R459" s="105"/>
      <c r="S459" s="105"/>
      <c r="T459" s="105"/>
      <c r="U459" s="105"/>
      <c r="V459" s="105"/>
    </row>
    <row r="460" spans="3:22" ht="12.75" customHeight="1">
      <c r="C460" s="128" t="s">
        <v>375</v>
      </c>
      <c r="D460" s="957" t="s">
        <v>376</v>
      </c>
      <c r="E460" s="957"/>
      <c r="F460" s="957"/>
      <c r="G460" s="957"/>
      <c r="H460" s="957"/>
      <c r="I460" s="957"/>
      <c r="J460" s="120"/>
      <c r="K460" s="130"/>
      <c r="L460" s="130"/>
      <c r="M460" s="130"/>
      <c r="N460" s="131"/>
      <c r="O460" s="132"/>
      <c r="P460" s="132"/>
      <c r="Q460" s="133"/>
      <c r="R460" s="134"/>
      <c r="S460" s="134"/>
      <c r="T460" s="134"/>
      <c r="U460" s="134"/>
      <c r="V460" s="134"/>
    </row>
    <row r="461" spans="3:22" ht="12.75" customHeight="1">
      <c r="C461" s="97">
        <v>1</v>
      </c>
      <c r="D461" s="99" t="s">
        <v>377</v>
      </c>
      <c r="E461" s="135"/>
      <c r="F461" s="135"/>
      <c r="G461" s="135"/>
      <c r="H461" s="135"/>
      <c r="I461" s="135"/>
      <c r="J461" s="100" t="s">
        <v>337</v>
      </c>
      <c r="K461" s="101">
        <f>AH423</f>
        <v>780</v>
      </c>
      <c r="L461" s="102">
        <f>Q461</f>
        <v>550</v>
      </c>
      <c r="M461" s="101">
        <f>L461*K461</f>
        <v>429000</v>
      </c>
      <c r="N461" s="103">
        <f>Q461*0.1</f>
        <v>55</v>
      </c>
      <c r="O461" s="104">
        <f>K461*N461</f>
        <v>42900</v>
      </c>
      <c r="P461" s="104">
        <v>550</v>
      </c>
      <c r="Q461" s="116">
        <v>550</v>
      </c>
      <c r="R461" s="105"/>
      <c r="S461" s="105"/>
      <c r="T461" s="105"/>
      <c r="U461" s="105"/>
      <c r="V461" s="105"/>
    </row>
    <row r="462" spans="3:22" ht="12.75" customHeight="1">
      <c r="C462" s="117"/>
      <c r="D462" s="123" t="s">
        <v>378</v>
      </c>
      <c r="E462" s="136"/>
      <c r="F462" s="136"/>
      <c r="G462" s="136"/>
      <c r="H462" s="136"/>
      <c r="I462" s="136"/>
      <c r="J462" s="77"/>
      <c r="K462" s="124"/>
      <c r="L462" s="124"/>
      <c r="M462" s="124"/>
      <c r="N462" s="137"/>
      <c r="O462" s="138"/>
      <c r="P462" s="138"/>
      <c r="Q462" s="139"/>
      <c r="R462" s="134"/>
      <c r="S462" s="134"/>
      <c r="T462" s="134"/>
      <c r="U462" s="134"/>
      <c r="V462" s="134"/>
    </row>
    <row r="463" spans="3:22" ht="12.75" customHeight="1">
      <c r="C463" s="118"/>
      <c r="D463" s="119" t="s">
        <v>379</v>
      </c>
      <c r="E463" s="140"/>
      <c r="F463" s="140"/>
      <c r="G463" s="140"/>
      <c r="H463" s="140"/>
      <c r="I463" s="140"/>
      <c r="J463" s="120"/>
      <c r="K463" s="130"/>
      <c r="L463" s="130"/>
      <c r="M463" s="130"/>
      <c r="N463" s="131"/>
      <c r="O463" s="132"/>
      <c r="P463" s="132"/>
      <c r="Q463" s="133"/>
      <c r="R463" s="134"/>
      <c r="S463" s="134"/>
      <c r="T463" s="134"/>
      <c r="U463" s="134"/>
      <c r="V463" s="134"/>
    </row>
    <row r="464" spans="3:22" ht="12.75" customHeight="1">
      <c r="C464" s="97">
        <v>2</v>
      </c>
      <c r="D464" s="99" t="s">
        <v>380</v>
      </c>
      <c r="E464" s="135"/>
      <c r="F464" s="135"/>
      <c r="G464" s="135"/>
      <c r="H464" s="135"/>
      <c r="I464" s="135"/>
      <c r="J464" s="100" t="s">
        <v>337</v>
      </c>
      <c r="K464" s="101">
        <f>AI423</f>
        <v>780</v>
      </c>
      <c r="L464" s="102">
        <f>Q464</f>
        <v>750</v>
      </c>
      <c r="M464" s="101">
        <f>L464*K464</f>
        <v>585000</v>
      </c>
      <c r="N464" s="103">
        <f>Q464*0.1</f>
        <v>75</v>
      </c>
      <c r="O464" s="104">
        <f>K464*N464</f>
        <v>58500</v>
      </c>
      <c r="P464" s="104">
        <v>750</v>
      </c>
      <c r="Q464" s="122">
        <v>750</v>
      </c>
      <c r="R464" s="105"/>
      <c r="S464" s="105"/>
      <c r="T464" s="105"/>
      <c r="U464" s="105"/>
      <c r="V464" s="105"/>
    </row>
    <row r="465" spans="3:22" ht="12.75" customHeight="1">
      <c r="C465" s="97"/>
      <c r="D465" s="99" t="s">
        <v>381</v>
      </c>
      <c r="E465" s="135"/>
      <c r="F465" s="135"/>
      <c r="G465" s="135"/>
      <c r="H465" s="135"/>
      <c r="I465" s="135"/>
      <c r="J465" s="100"/>
      <c r="K465" s="101"/>
      <c r="L465" s="101"/>
      <c r="M465" s="101"/>
      <c r="N465" s="141"/>
      <c r="O465" s="142"/>
      <c r="P465" s="142"/>
      <c r="Q465" s="143"/>
      <c r="R465" s="134"/>
      <c r="S465" s="134"/>
      <c r="T465" s="134"/>
      <c r="U465" s="134"/>
      <c r="V465" s="134"/>
    </row>
    <row r="466" spans="3:22" ht="12.75" customHeight="1">
      <c r="C466" s="97"/>
      <c r="D466" s="99" t="s">
        <v>382</v>
      </c>
      <c r="E466" s="135"/>
      <c r="F466" s="135"/>
      <c r="G466" s="135"/>
      <c r="H466" s="135"/>
      <c r="I466" s="135"/>
      <c r="J466" s="100"/>
      <c r="K466" s="101"/>
      <c r="L466" s="101"/>
      <c r="M466" s="101"/>
      <c r="N466" s="141"/>
      <c r="O466" s="142"/>
      <c r="P466" s="142"/>
      <c r="Q466" s="139"/>
      <c r="R466" s="134"/>
      <c r="S466" s="134"/>
      <c r="T466" s="134"/>
      <c r="U466" s="134"/>
      <c r="V466" s="134"/>
    </row>
    <row r="467" spans="3:22" ht="12.75" customHeight="1">
      <c r="C467" s="97">
        <v>3</v>
      </c>
      <c r="D467" s="99" t="s">
        <v>383</v>
      </c>
      <c r="E467" s="135"/>
      <c r="F467" s="135"/>
      <c r="G467" s="135"/>
      <c r="H467" s="135"/>
      <c r="I467" s="135"/>
      <c r="J467" s="100" t="s">
        <v>337</v>
      </c>
      <c r="K467" s="101">
        <f>AJ423</f>
        <v>780</v>
      </c>
      <c r="L467" s="102">
        <f>Q467</f>
        <v>850</v>
      </c>
      <c r="M467" s="101">
        <f>L467*K467</f>
        <v>663000</v>
      </c>
      <c r="N467" s="103">
        <f>Q467*0.1</f>
        <v>85</v>
      </c>
      <c r="O467" s="104">
        <f>K467*N467</f>
        <v>66300</v>
      </c>
      <c r="P467" s="104">
        <v>850</v>
      </c>
      <c r="Q467" s="122">
        <v>850</v>
      </c>
      <c r="R467" s="105"/>
      <c r="S467" s="105"/>
      <c r="T467" s="105"/>
      <c r="U467" s="105"/>
      <c r="V467" s="105"/>
    </row>
    <row r="468" spans="3:22" ht="12.75" customHeight="1">
      <c r="C468" s="97"/>
      <c r="D468" s="99" t="s">
        <v>381</v>
      </c>
      <c r="E468" s="135"/>
      <c r="F468" s="135"/>
      <c r="G468" s="135"/>
      <c r="H468" s="135"/>
      <c r="I468" s="135"/>
      <c r="J468" s="100"/>
      <c r="K468" s="101"/>
      <c r="L468" s="101"/>
      <c r="M468" s="101"/>
      <c r="N468" s="141"/>
      <c r="O468" s="142"/>
      <c r="P468" s="142"/>
      <c r="Q468" s="143"/>
      <c r="R468" s="134"/>
      <c r="S468" s="134"/>
      <c r="T468" s="134"/>
      <c r="U468" s="134"/>
      <c r="V468" s="134"/>
    </row>
    <row r="469" spans="3:22" ht="12.75" customHeight="1">
      <c r="C469" s="97"/>
      <c r="D469" s="99" t="s">
        <v>384</v>
      </c>
      <c r="E469" s="135"/>
      <c r="F469" s="135"/>
      <c r="G469" s="135"/>
      <c r="H469" s="135"/>
      <c r="I469" s="135"/>
      <c r="J469" s="100"/>
      <c r="K469" s="101"/>
      <c r="L469" s="101"/>
      <c r="M469" s="101"/>
      <c r="N469" s="141"/>
      <c r="O469" s="142"/>
      <c r="P469" s="142"/>
      <c r="Q469" s="139"/>
      <c r="R469" s="134"/>
      <c r="S469" s="134"/>
      <c r="T469" s="134"/>
      <c r="U469" s="134"/>
      <c r="V469" s="134"/>
    </row>
    <row r="470" spans="3:22" ht="12.75" customHeight="1">
      <c r="C470" s="97">
        <v>4</v>
      </c>
      <c r="D470" s="99" t="s">
        <v>385</v>
      </c>
      <c r="E470" s="135"/>
      <c r="F470" s="135"/>
      <c r="G470" s="135"/>
      <c r="H470" s="135"/>
      <c r="I470" s="135"/>
      <c r="J470" s="100" t="s">
        <v>337</v>
      </c>
      <c r="K470" s="101">
        <f>AG423</f>
        <v>130</v>
      </c>
      <c r="L470" s="102">
        <f>Q470</f>
        <v>500</v>
      </c>
      <c r="M470" s="101">
        <f>L470*K470</f>
        <v>65000</v>
      </c>
      <c r="N470" s="103">
        <f>Q470*0.1</f>
        <v>50</v>
      </c>
      <c r="O470" s="104">
        <f>K470*N470</f>
        <v>6500</v>
      </c>
      <c r="P470" s="104">
        <v>500</v>
      </c>
      <c r="Q470" s="116">
        <v>500</v>
      </c>
      <c r="R470" s="105"/>
      <c r="S470" s="105"/>
      <c r="T470" s="105"/>
      <c r="U470" s="105"/>
      <c r="V470" s="105"/>
    </row>
    <row r="471" spans="3:22" ht="12.75" customHeight="1">
      <c r="C471" s="97"/>
      <c r="D471" s="99" t="s">
        <v>381</v>
      </c>
      <c r="E471" s="135"/>
      <c r="F471" s="135"/>
      <c r="G471" s="135"/>
      <c r="H471" s="135"/>
      <c r="I471" s="135"/>
      <c r="J471" s="100"/>
      <c r="K471" s="101"/>
      <c r="L471" s="101"/>
      <c r="M471" s="101"/>
      <c r="N471" s="141"/>
      <c r="O471" s="142"/>
      <c r="P471" s="142"/>
      <c r="Q471" s="143"/>
      <c r="R471" s="134"/>
      <c r="S471" s="134"/>
      <c r="T471" s="134"/>
      <c r="U471" s="134"/>
      <c r="V471" s="134"/>
    </row>
    <row r="472" spans="3:22" ht="12.75" customHeight="1">
      <c r="C472" s="97"/>
      <c r="D472" s="99" t="s">
        <v>386</v>
      </c>
      <c r="E472" s="135"/>
      <c r="F472" s="135"/>
      <c r="G472" s="135"/>
      <c r="H472" s="135"/>
      <c r="I472" s="135"/>
      <c r="J472" s="100"/>
      <c r="K472" s="101"/>
      <c r="L472" s="101"/>
      <c r="M472" s="101"/>
      <c r="N472" s="141"/>
      <c r="O472" s="142"/>
      <c r="P472" s="142"/>
      <c r="Q472" s="143"/>
      <c r="R472" s="134"/>
      <c r="S472" s="134"/>
      <c r="T472" s="134"/>
      <c r="U472" s="134"/>
      <c r="V472" s="134"/>
    </row>
    <row r="473" spans="3:22" ht="12.75" customHeight="1">
      <c r="C473" s="97">
        <v>5</v>
      </c>
      <c r="D473" s="99" t="s">
        <v>385</v>
      </c>
      <c r="E473" s="135"/>
      <c r="F473" s="135"/>
      <c r="G473" s="135"/>
      <c r="H473" s="135"/>
      <c r="I473" s="135"/>
      <c r="J473" s="100" t="s">
        <v>337</v>
      </c>
      <c r="K473" s="101">
        <f>AL423</f>
        <v>100</v>
      </c>
      <c r="L473" s="102">
        <f>Q473</f>
        <v>500</v>
      </c>
      <c r="M473" s="101">
        <f>L473*K473</f>
        <v>50000</v>
      </c>
      <c r="N473" s="103">
        <f>Q473*0.1</f>
        <v>50</v>
      </c>
      <c r="O473" s="104">
        <f>K473*N473</f>
        <v>5000</v>
      </c>
      <c r="P473" s="104">
        <v>500</v>
      </c>
      <c r="Q473" s="116">
        <v>500</v>
      </c>
      <c r="R473" s="105"/>
      <c r="S473" s="105"/>
      <c r="T473" s="105"/>
      <c r="U473" s="105"/>
      <c r="V473" s="105"/>
    </row>
    <row r="474" spans="3:22" ht="12.75" customHeight="1">
      <c r="C474" s="97"/>
      <c r="D474" s="99" t="s">
        <v>381</v>
      </c>
      <c r="E474" s="135"/>
      <c r="F474" s="135"/>
      <c r="G474" s="135"/>
      <c r="H474" s="135"/>
      <c r="I474" s="135"/>
      <c r="J474" s="100"/>
      <c r="K474" s="101"/>
      <c r="L474" s="101"/>
      <c r="M474" s="101"/>
      <c r="N474" s="141"/>
      <c r="O474" s="142"/>
      <c r="P474" s="142"/>
      <c r="Q474" s="143"/>
      <c r="R474" s="134"/>
      <c r="S474" s="134"/>
      <c r="T474" s="134"/>
      <c r="U474" s="134"/>
      <c r="V474" s="134"/>
    </row>
    <row r="475" spans="3:22" ht="12.75" customHeight="1">
      <c r="C475" s="97"/>
      <c r="D475" s="99" t="s">
        <v>387</v>
      </c>
      <c r="E475" s="135"/>
      <c r="F475" s="135"/>
      <c r="G475" s="135"/>
      <c r="H475" s="135"/>
      <c r="I475" s="135"/>
      <c r="J475" s="100"/>
      <c r="K475" s="101"/>
      <c r="L475" s="101"/>
      <c r="M475" s="101"/>
      <c r="N475" s="141"/>
      <c r="O475" s="142"/>
      <c r="P475" s="142"/>
      <c r="Q475" s="143"/>
      <c r="R475" s="134"/>
      <c r="S475" s="134"/>
      <c r="T475" s="134"/>
      <c r="U475" s="134"/>
      <c r="V475" s="134"/>
    </row>
    <row r="476" spans="3:22" ht="12.75" customHeight="1">
      <c r="C476" s="97">
        <v>6</v>
      </c>
      <c r="D476" s="99" t="s">
        <v>388</v>
      </c>
      <c r="E476" s="135"/>
      <c r="F476" s="135"/>
      <c r="G476" s="135"/>
      <c r="H476" s="135"/>
      <c r="I476" s="135"/>
      <c r="J476" s="100" t="s">
        <v>337</v>
      </c>
      <c r="K476" s="101">
        <f>AK423</f>
        <v>100</v>
      </c>
      <c r="L476" s="102">
        <f>Q476</f>
        <v>3250</v>
      </c>
      <c r="M476" s="101">
        <f>L476*K476</f>
        <v>325000</v>
      </c>
      <c r="N476" s="103">
        <f>Q476*0.3</f>
        <v>975</v>
      </c>
      <c r="O476" s="104">
        <f>K476*N476</f>
        <v>97500</v>
      </c>
      <c r="P476" s="104">
        <v>3250</v>
      </c>
      <c r="Q476" s="116">
        <v>3250</v>
      </c>
      <c r="R476" s="134"/>
      <c r="S476" s="134"/>
      <c r="T476" s="134"/>
      <c r="U476" s="134"/>
      <c r="V476" s="134"/>
    </row>
    <row r="477" spans="3:22" ht="12.75" customHeight="1">
      <c r="C477" s="97"/>
      <c r="D477" s="99" t="s">
        <v>389</v>
      </c>
      <c r="E477" s="135"/>
      <c r="F477" s="135"/>
      <c r="G477" s="135"/>
      <c r="H477" s="135"/>
      <c r="I477" s="135"/>
      <c r="J477" s="100"/>
      <c r="K477" s="101"/>
      <c r="L477" s="101"/>
      <c r="M477" s="101"/>
      <c r="N477" s="141"/>
      <c r="O477" s="142"/>
      <c r="P477" s="142"/>
      <c r="Q477" s="143"/>
      <c r="R477" s="134"/>
      <c r="S477" s="134"/>
      <c r="T477" s="134"/>
      <c r="U477" s="134"/>
      <c r="V477" s="134"/>
    </row>
    <row r="478" spans="3:22" ht="12.75" customHeight="1">
      <c r="C478" s="97">
        <v>7</v>
      </c>
      <c r="D478" s="99" t="s">
        <v>377</v>
      </c>
      <c r="E478" s="135"/>
      <c r="F478" s="135"/>
      <c r="G478" s="135"/>
      <c r="H478" s="135"/>
      <c r="I478" s="135"/>
      <c r="J478" s="100" t="s">
        <v>337</v>
      </c>
      <c r="K478"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Amb.'!AF386),50)</f>
        <v>4500</v>
      </c>
      <c r="L478" s="102">
        <f>Q478</f>
        <v>400</v>
      </c>
      <c r="M478" s="101">
        <f>L478*K478</f>
        <v>1800000</v>
      </c>
      <c r="N478" s="103">
        <f>Q478*0.1</f>
        <v>40</v>
      </c>
      <c r="O478" s="104">
        <f>K478*N478</f>
        <v>180000</v>
      </c>
      <c r="P478" s="104">
        <v>400</v>
      </c>
      <c r="Q478" s="143">
        <v>400</v>
      </c>
      <c r="R478" s="134"/>
      <c r="S478" s="134"/>
      <c r="T478" s="134"/>
      <c r="U478" s="134"/>
      <c r="V478" s="134"/>
    </row>
    <row r="479" spans="3:22" ht="12.75" customHeight="1">
      <c r="C479" s="97"/>
      <c r="D479" s="99" t="s">
        <v>381</v>
      </c>
      <c r="E479" s="135"/>
      <c r="F479" s="135"/>
      <c r="G479" s="135"/>
      <c r="H479" s="135"/>
      <c r="I479" s="135"/>
      <c r="J479" s="100"/>
      <c r="K479" s="101"/>
      <c r="L479" s="101"/>
      <c r="M479" s="101"/>
      <c r="N479" s="141"/>
      <c r="O479" s="142"/>
      <c r="P479" s="142"/>
      <c r="Q479" s="143"/>
      <c r="R479" s="134"/>
      <c r="S479" s="134"/>
      <c r="T479" s="134"/>
      <c r="U479" s="134"/>
      <c r="V479" s="134"/>
    </row>
    <row r="480" spans="3:22" ht="12.75" customHeight="1">
      <c r="C480" s="97"/>
      <c r="D480" s="99" t="s">
        <v>390</v>
      </c>
      <c r="E480" s="135"/>
      <c r="F480" s="135"/>
      <c r="G480" s="135"/>
      <c r="H480" s="135"/>
      <c r="I480" s="135"/>
      <c r="J480" s="100"/>
      <c r="K480" s="101"/>
      <c r="L480" s="101"/>
      <c r="M480" s="101"/>
      <c r="N480" s="141"/>
      <c r="O480" s="142"/>
      <c r="P480" s="142"/>
      <c r="Q480" s="143"/>
      <c r="R480" s="134"/>
      <c r="S480" s="134"/>
      <c r="T480" s="134"/>
      <c r="U480" s="134"/>
      <c r="V480" s="134"/>
    </row>
    <row r="481" spans="3:22" ht="12.75" customHeight="1">
      <c r="C481" s="97"/>
      <c r="D481" s="99" t="s">
        <v>391</v>
      </c>
      <c r="E481" s="135"/>
      <c r="F481" s="135"/>
      <c r="G481" s="135"/>
      <c r="H481" s="135"/>
      <c r="I481" s="135"/>
      <c r="J481" s="100"/>
      <c r="K481" s="101"/>
      <c r="L481" s="101"/>
      <c r="M481" s="101"/>
      <c r="N481" s="141"/>
      <c r="O481" s="142"/>
      <c r="P481" s="142"/>
      <c r="Q481" s="143"/>
      <c r="R481" s="134"/>
      <c r="S481" s="134"/>
      <c r="T481" s="134"/>
      <c r="U481" s="134"/>
      <c r="V481" s="134"/>
    </row>
    <row r="482" spans="3:22" ht="12.75" customHeight="1">
      <c r="C482" s="97">
        <v>8</v>
      </c>
      <c r="D482" s="99" t="s">
        <v>392</v>
      </c>
      <c r="E482" s="135"/>
      <c r="F482" s="135"/>
      <c r="G482" s="135"/>
      <c r="H482" s="135"/>
      <c r="I482" s="135"/>
      <c r="J482" s="100" t="s">
        <v>337</v>
      </c>
      <c r="K482" s="101">
        <f>CEILING(('BOD-Cold &amp; Amb.'!AF26+'BOD-Cold &amp; Amb.'!AF46+'BOD-Cold &amp; Amb.'!AF66+'BOD-Cold &amp; Amb.'!AF86+'BOD-Cold &amp; Amb.'!AF106+'BOD-Cold &amp; Amb.'!AF126+'BOD-Cold &amp; Amb.'!AF146+'BOD-Cold &amp; Amb.'!AF166+'BOD-Cold &amp; Amb.'!AF186+'BOD-Cold &amp; Amb.'!AF206+'BOD-Cold &amp; Amb.'!AF226+'BOD-Cold &amp; Amb.'!AF246+'BOD-Cold &amp; Amb.'!AF266+'BOD-Cold &amp; Amb.'!AF286+'BOD-Cold &amp; Amb.'!AF306+'BOD-Cold &amp; Amb.'!AF326+'BOD-Cold &amp; Amb.'!AF346+'BOD-Cold &amp; Amb.'!AF366+'BOD-Cold &amp; Amb.'!AF386),50)</f>
        <v>4500</v>
      </c>
      <c r="L482" s="102">
        <f>Q482</f>
        <v>450</v>
      </c>
      <c r="M482" s="101">
        <f>L482*K482</f>
        <v>2025000</v>
      </c>
      <c r="N482" s="103">
        <f>Q482*0.1</f>
        <v>45</v>
      </c>
      <c r="O482" s="104">
        <f>K482*N482</f>
        <v>202500</v>
      </c>
      <c r="P482" s="104">
        <v>450</v>
      </c>
      <c r="Q482" s="143">
        <v>450</v>
      </c>
      <c r="R482" s="134"/>
      <c r="S482" s="134"/>
      <c r="T482" s="134"/>
      <c r="U482" s="134"/>
      <c r="V482" s="134"/>
    </row>
    <row r="483" spans="3:22" ht="12.75" customHeight="1">
      <c r="C483" s="97"/>
      <c r="D483" s="99" t="s">
        <v>393</v>
      </c>
      <c r="E483" s="135"/>
      <c r="F483" s="135"/>
      <c r="G483" s="135"/>
      <c r="H483" s="135"/>
      <c r="I483" s="135"/>
      <c r="J483" s="100"/>
      <c r="K483" s="101"/>
      <c r="L483" s="101"/>
      <c r="M483" s="101"/>
      <c r="N483" s="141"/>
      <c r="O483" s="142"/>
      <c r="P483" s="142"/>
      <c r="Q483" s="143"/>
      <c r="R483" s="134"/>
      <c r="S483" s="134"/>
      <c r="T483" s="134"/>
      <c r="U483" s="134"/>
      <c r="V483" s="134"/>
    </row>
    <row r="484" spans="3:22" ht="12.75" customHeight="1">
      <c r="C484" s="97"/>
      <c r="D484" s="99" t="s">
        <v>394</v>
      </c>
      <c r="E484" s="135"/>
      <c r="F484" s="135"/>
      <c r="G484" s="135"/>
      <c r="H484" s="135"/>
      <c r="I484" s="135"/>
      <c r="J484" s="100"/>
      <c r="K484" s="101"/>
      <c r="L484" s="101"/>
      <c r="M484" s="101"/>
      <c r="N484" s="141"/>
      <c r="O484" s="142"/>
      <c r="P484" s="142"/>
      <c r="Q484" s="143"/>
      <c r="R484" s="134"/>
      <c r="S484" s="134"/>
      <c r="T484" s="134"/>
      <c r="U484" s="134"/>
      <c r="V484" s="134"/>
    </row>
    <row r="485" spans="3:22" ht="12.75" customHeight="1" thickBot="1">
      <c r="C485" s="107"/>
      <c r="D485" s="99" t="s">
        <v>395</v>
      </c>
      <c r="E485" s="144"/>
      <c r="F485" s="144"/>
      <c r="G485" s="144"/>
      <c r="H485" s="144"/>
      <c r="I485" s="144"/>
      <c r="J485" s="108"/>
      <c r="K485" s="109"/>
      <c r="L485" s="109"/>
      <c r="M485" s="109"/>
      <c r="N485" s="145"/>
      <c r="O485" s="146"/>
      <c r="P485" s="146"/>
      <c r="Q485" s="143"/>
      <c r="R485" s="134"/>
      <c r="S485" s="134"/>
      <c r="T485" s="134"/>
      <c r="U485" s="134"/>
      <c r="V485" s="134"/>
    </row>
    <row r="486" spans="3:22" ht="12.75" customHeight="1">
      <c r="C486" s="97">
        <v>9</v>
      </c>
      <c r="D486" s="99" t="s">
        <v>396</v>
      </c>
      <c r="E486" s="135"/>
      <c r="F486" s="135"/>
      <c r="G486" s="135"/>
      <c r="H486" s="135"/>
      <c r="I486" s="135"/>
      <c r="J486" s="100" t="s">
        <v>337</v>
      </c>
      <c r="K486" s="844">
        <f>CEILING(SUM(SUMIFS('BOD-Cold &amp; Amb.'!AF10:AF405, 'BOD-Cold &amp; Amb.'!R10:R405, {"10K","GRADE C","ISO 7"})),50)</f>
        <v>350</v>
      </c>
      <c r="L486" s="102">
        <f>Q486</f>
        <v>3250</v>
      </c>
      <c r="M486" s="101">
        <f>L486*K486</f>
        <v>1137500</v>
      </c>
      <c r="N486" s="103">
        <f>Q486*0.1</f>
        <v>325</v>
      </c>
      <c r="O486" s="104">
        <f>K486*N486</f>
        <v>113750</v>
      </c>
      <c r="P486" s="104">
        <v>450</v>
      </c>
      <c r="Q486" s="143">
        <v>3250</v>
      </c>
      <c r="R486" s="134"/>
      <c r="S486" s="134"/>
      <c r="T486" s="134"/>
      <c r="U486" s="134"/>
      <c r="V486" s="134"/>
    </row>
    <row r="487" spans="3:22" ht="12.75" customHeight="1">
      <c r="C487" s="97"/>
      <c r="D487" s="99" t="s">
        <v>397</v>
      </c>
      <c r="E487" s="135"/>
      <c r="F487" s="135"/>
      <c r="G487" s="135"/>
      <c r="H487" s="135"/>
      <c r="I487" s="135"/>
      <c r="J487" s="100"/>
      <c r="K487" s="844"/>
      <c r="L487" s="101"/>
      <c r="M487" s="101"/>
      <c r="N487" s="141"/>
      <c r="O487" s="142"/>
      <c r="P487" s="142"/>
      <c r="Q487" s="143"/>
      <c r="R487" s="134"/>
      <c r="S487" s="134"/>
      <c r="T487" s="134"/>
      <c r="U487" s="134"/>
      <c r="V487" s="134"/>
    </row>
    <row r="488" spans="3:22" ht="12.75" customHeight="1">
      <c r="C488" s="97">
        <v>10</v>
      </c>
      <c r="D488" s="99" t="s">
        <v>398</v>
      </c>
      <c r="E488" s="135"/>
      <c r="F488" s="135"/>
      <c r="G488" s="135"/>
      <c r="H488" s="135"/>
      <c r="I488" s="135"/>
      <c r="J488" s="100" t="s">
        <v>337</v>
      </c>
      <c r="K488" s="101">
        <f>CEILING(SUM(SUMIFS('BOD-Cold &amp; Amb.'!AF10:AF405, 'BOD-Cold &amp; Amb.'!R10:R405, {"1K","100","GRADE B","GRADE A","ISO 5","ISO 6"})),50)</f>
        <v>3950</v>
      </c>
      <c r="L488" s="102">
        <f>Q488</f>
        <v>3250</v>
      </c>
      <c r="M488" s="101">
        <f>L488*K488</f>
        <v>12837500</v>
      </c>
      <c r="N488" s="103">
        <f>Q488*0.1</f>
        <v>325</v>
      </c>
      <c r="O488" s="104">
        <f>K488*N488</f>
        <v>1283750</v>
      </c>
      <c r="P488" s="104">
        <v>450</v>
      </c>
      <c r="Q488" s="143">
        <v>3250</v>
      </c>
      <c r="R488" s="134"/>
      <c r="S488" s="134"/>
      <c r="T488" s="134"/>
      <c r="U488" s="134"/>
      <c r="V488" s="134"/>
    </row>
    <row r="489" spans="3:22" ht="12.75" customHeight="1">
      <c r="C489" s="97"/>
      <c r="D489" s="99" t="s">
        <v>399</v>
      </c>
      <c r="E489" s="135"/>
      <c r="F489" s="135"/>
      <c r="G489" s="135"/>
      <c r="H489" s="135"/>
      <c r="I489" s="135"/>
      <c r="J489" s="100"/>
      <c r="K489" s="101"/>
      <c r="L489" s="101"/>
      <c r="M489" s="101"/>
      <c r="N489" s="141"/>
      <c r="O489" s="142"/>
      <c r="P489" s="142"/>
      <c r="Q489" s="143"/>
      <c r="R489" s="134"/>
      <c r="S489" s="134"/>
      <c r="T489" s="134"/>
      <c r="U489" s="134"/>
      <c r="V489" s="134"/>
    </row>
    <row r="490" spans="3:22" ht="12.75" customHeight="1">
      <c r="C490" s="97">
        <v>11</v>
      </c>
      <c r="D490" s="99" t="s">
        <v>400</v>
      </c>
      <c r="E490" s="135"/>
      <c r="F490" s="135"/>
      <c r="G490" s="135"/>
      <c r="H490" s="135"/>
      <c r="I490" s="135"/>
      <c r="J490" s="100" t="s">
        <v>337</v>
      </c>
      <c r="K490" s="101">
        <f>CEILING(SUM(SUMIFS('BOD-Cold &amp; Amb.'!AF10:AF405, 'BOD-Cold &amp; Amb.'!R10:R405, {"10","1","100","GRADE A","ISO 5","ISO 4","ISO 3","ISO 2"})),50)</f>
        <v>950</v>
      </c>
      <c r="L490" s="102">
        <f>Q490</f>
        <v>3250</v>
      </c>
      <c r="M490" s="101">
        <f>L490*K490</f>
        <v>3087500</v>
      </c>
      <c r="N490" s="103">
        <f>Q490*0.1</f>
        <v>325</v>
      </c>
      <c r="O490" s="104">
        <f>K490*N490</f>
        <v>308750</v>
      </c>
      <c r="P490" s="104">
        <v>450</v>
      </c>
      <c r="Q490" s="143">
        <v>3250</v>
      </c>
      <c r="R490" s="134"/>
      <c r="S490" s="134"/>
      <c r="T490" s="134"/>
      <c r="U490" s="134"/>
      <c r="V490" s="134"/>
    </row>
    <row r="491" spans="3:22" ht="12.75" customHeight="1">
      <c r="C491" s="97"/>
      <c r="D491" s="99" t="s">
        <v>401</v>
      </c>
      <c r="E491" s="135"/>
      <c r="F491" s="135"/>
      <c r="G491" s="135"/>
      <c r="H491" s="135"/>
      <c r="I491" s="135"/>
      <c r="J491" s="100"/>
      <c r="K491" s="101"/>
      <c r="L491" s="101"/>
      <c r="M491" s="101"/>
      <c r="N491" s="141"/>
      <c r="O491" s="142"/>
      <c r="P491" s="142"/>
      <c r="Q491" s="143"/>
      <c r="R491" s="134"/>
      <c r="S491" s="134"/>
      <c r="T491" s="134"/>
      <c r="U491" s="134"/>
      <c r="V491" s="134"/>
    </row>
    <row r="492" spans="3:22" ht="12.75" customHeight="1">
      <c r="C492" s="97"/>
      <c r="D492" s="99"/>
      <c r="E492" s="135"/>
      <c r="F492" s="135"/>
      <c r="G492" s="135"/>
      <c r="H492" s="135"/>
      <c r="I492" s="135"/>
      <c r="J492" s="100"/>
      <c r="K492" s="101"/>
      <c r="L492" s="101"/>
      <c r="M492" s="101"/>
      <c r="N492" s="141"/>
      <c r="O492" s="142"/>
      <c r="P492" s="142"/>
      <c r="Q492" s="143"/>
      <c r="R492" s="134"/>
      <c r="S492" s="134"/>
      <c r="T492" s="134"/>
      <c r="U492" s="134"/>
      <c r="V492" s="134"/>
    </row>
    <row r="493" spans="3:22" ht="12.75" customHeight="1" thickBot="1">
      <c r="C493" s="97"/>
      <c r="D493" s="99"/>
      <c r="E493" s="135"/>
      <c r="F493" s="135"/>
      <c r="G493" s="135"/>
      <c r="H493" s="135"/>
      <c r="I493" s="135"/>
      <c r="J493" s="100"/>
      <c r="K493" s="101"/>
      <c r="L493" s="101"/>
      <c r="M493" s="101"/>
      <c r="N493" s="141"/>
      <c r="O493" s="142"/>
      <c r="P493" s="142"/>
      <c r="Q493" s="143"/>
      <c r="R493" s="134"/>
      <c r="S493" s="134"/>
      <c r="T493" s="134"/>
      <c r="U493" s="134"/>
      <c r="V493" s="134"/>
    </row>
    <row r="494" spans="3:22" ht="12.75" customHeight="1">
      <c r="C494" s="90" t="s">
        <v>402</v>
      </c>
      <c r="D494" s="91" t="s">
        <v>403</v>
      </c>
      <c r="E494" s="91"/>
      <c r="F494" s="91"/>
      <c r="G494" s="91"/>
      <c r="H494" s="91"/>
      <c r="I494" s="91"/>
      <c r="J494" s="114"/>
      <c r="K494" s="94"/>
      <c r="L494" s="94"/>
      <c r="M494" s="94"/>
      <c r="N494" s="147"/>
      <c r="O494" s="148"/>
      <c r="P494" s="148"/>
      <c r="Q494" s="133"/>
      <c r="R494" s="134"/>
      <c r="S494" s="134"/>
      <c r="T494" s="134"/>
      <c r="U494" s="134"/>
      <c r="V494" s="134"/>
    </row>
    <row r="495" spans="3:22" ht="12.75" customHeight="1">
      <c r="C495" s="97">
        <v>1</v>
      </c>
      <c r="D495" s="99" t="s">
        <v>404</v>
      </c>
      <c r="E495" s="99"/>
      <c r="F495" s="99"/>
      <c r="G495" s="99"/>
      <c r="H495" s="99"/>
      <c r="I495" s="149"/>
      <c r="J495" s="101" t="s">
        <v>277</v>
      </c>
      <c r="K495" s="101">
        <f>COUNT('BOD-Cold &amp; Amb.'!E10:E405)</f>
        <v>320</v>
      </c>
      <c r="L495" s="150">
        <f>Q495*0.9</f>
        <v>6750</v>
      </c>
      <c r="M495" s="101">
        <f>L495*K495</f>
        <v>2160000</v>
      </c>
      <c r="N495" s="103">
        <f>Q495*0.1</f>
        <v>750</v>
      </c>
      <c r="O495" s="104">
        <f>K495*N495</f>
        <v>240000</v>
      </c>
      <c r="P495" s="104">
        <v>7500</v>
      </c>
      <c r="Q495" s="151">
        <v>7500</v>
      </c>
      <c r="R495" s="831" t="s">
        <v>405</v>
      </c>
      <c r="S495" s="134">
        <f>COUNT('BOD-Cold &amp; Amb.'!N10:N225)</f>
        <v>176</v>
      </c>
      <c r="T495" s="134"/>
      <c r="U495" s="134"/>
      <c r="V495" s="134"/>
    </row>
    <row r="496" spans="3:22" ht="12.75" customHeight="1">
      <c r="C496" s="97"/>
      <c r="D496" s="99" t="s">
        <v>406</v>
      </c>
      <c r="E496" s="99"/>
      <c r="F496" s="99"/>
      <c r="G496" s="99"/>
      <c r="H496" s="99"/>
      <c r="I496" s="149"/>
      <c r="J496" s="101"/>
      <c r="K496" s="101"/>
      <c r="L496" s="100"/>
      <c r="M496" s="101"/>
      <c r="N496" s="103"/>
      <c r="O496" s="104"/>
      <c r="P496" s="104"/>
      <c r="R496" s="134"/>
      <c r="S496" s="134"/>
      <c r="T496" s="134"/>
      <c r="U496" s="134"/>
      <c r="V496" s="134"/>
    </row>
    <row r="497" spans="3:22" ht="12.75" customHeight="1">
      <c r="C497" s="97">
        <v>2</v>
      </c>
      <c r="D497" s="99" t="s">
        <v>407</v>
      </c>
      <c r="E497" s="99"/>
      <c r="F497" s="99"/>
      <c r="G497" s="99"/>
      <c r="H497" s="99"/>
      <c r="I497" s="149"/>
      <c r="J497" s="101" t="s">
        <v>277</v>
      </c>
      <c r="K497" s="101">
        <f>E39+E66+E81+E96+E111+E126+E141+E156+E171+E186+E201+E216+E231+E246+E261+E276+E291+E306+E321</f>
        <v>59</v>
      </c>
      <c r="L497" s="150">
        <f>Q497*0.9</f>
        <v>6750</v>
      </c>
      <c r="M497" s="101">
        <f>L497*K497</f>
        <v>398250</v>
      </c>
      <c r="N497" s="103">
        <f>Q497*0.1</f>
        <v>750</v>
      </c>
      <c r="O497" s="104">
        <f>K497*N497</f>
        <v>44250</v>
      </c>
      <c r="P497" s="104">
        <v>7500</v>
      </c>
      <c r="Q497" s="151">
        <v>7500</v>
      </c>
      <c r="R497" s="134"/>
      <c r="S497" s="134"/>
      <c r="T497" s="134"/>
      <c r="U497" s="134"/>
      <c r="V497" s="134"/>
    </row>
    <row r="498" spans="3:22" ht="12.75" customHeight="1">
      <c r="C498" s="97"/>
      <c r="D498" s="99" t="s">
        <v>408</v>
      </c>
      <c r="E498" s="99"/>
      <c r="F498" s="99"/>
      <c r="G498" s="99"/>
      <c r="H498" s="99"/>
      <c r="I498" s="149"/>
      <c r="J498" s="101"/>
      <c r="K498" s="101"/>
      <c r="L498" s="100"/>
      <c r="M498" s="101"/>
      <c r="N498" s="103"/>
      <c r="O498" s="104"/>
      <c r="P498" s="104"/>
      <c r="R498" s="134"/>
      <c r="S498" s="134"/>
      <c r="T498" s="134"/>
      <c r="U498" s="134"/>
      <c r="V498" s="134"/>
    </row>
    <row r="499" spans="3:22" ht="12.75" customHeight="1">
      <c r="C499" s="97">
        <v>3</v>
      </c>
      <c r="D499" s="99" t="s">
        <v>409</v>
      </c>
      <c r="E499" s="99"/>
      <c r="F499" s="99"/>
      <c r="G499" s="99"/>
      <c r="H499" s="99"/>
      <c r="I499" s="149"/>
      <c r="J499" s="101" t="s">
        <v>277</v>
      </c>
      <c r="K499" s="101">
        <f>K497+K495</f>
        <v>379</v>
      </c>
      <c r="L499" s="150">
        <f>Q499*0.9</f>
        <v>3600</v>
      </c>
      <c r="M499" s="101">
        <f>L499*K499</f>
        <v>1364400</v>
      </c>
      <c r="N499" s="103">
        <f>Q499*0.1</f>
        <v>400</v>
      </c>
      <c r="O499" s="104">
        <f>K499*N499</f>
        <v>151600</v>
      </c>
      <c r="P499" s="104">
        <v>4000</v>
      </c>
      <c r="Q499" s="151">
        <v>4000</v>
      </c>
      <c r="R499" s="134"/>
      <c r="S499" s="134"/>
      <c r="T499" s="134"/>
      <c r="U499" s="134"/>
      <c r="V499" s="134"/>
    </row>
    <row r="500" spans="3:22" ht="12.75" customHeight="1" thickBot="1">
      <c r="C500" s="107"/>
      <c r="D500" s="152" t="s">
        <v>410</v>
      </c>
      <c r="E500" s="152"/>
      <c r="F500" s="152"/>
      <c r="G500" s="152"/>
      <c r="H500" s="152"/>
      <c r="I500" s="153"/>
      <c r="J500" s="109"/>
      <c r="K500" s="109"/>
      <c r="L500" s="108"/>
      <c r="M500" s="109"/>
      <c r="N500" s="111"/>
      <c r="O500" s="112"/>
      <c r="P500" s="112"/>
      <c r="Q500" s="151">
        <v>4000</v>
      </c>
      <c r="R500" s="134"/>
      <c r="S500" s="134"/>
      <c r="T500" s="134"/>
      <c r="U500" s="134"/>
      <c r="V500" s="134"/>
    </row>
    <row r="501" spans="3:22" ht="12.75" customHeight="1">
      <c r="C501" s="97">
        <v>4</v>
      </c>
      <c r="D501" s="151" t="s">
        <v>411</v>
      </c>
      <c r="E501" s="99"/>
      <c r="F501" s="99"/>
      <c r="G501" s="99"/>
      <c r="H501" s="99"/>
      <c r="I501" s="99"/>
      <c r="J501" s="100" t="s">
        <v>277</v>
      </c>
      <c r="K501" s="101">
        <f>COUNT('BOD-Cold &amp; Amb.'!N10:N405)</f>
        <v>304</v>
      </c>
      <c r="L501" s="102">
        <f>Q501*0.9</f>
        <v>67500</v>
      </c>
      <c r="M501" s="101">
        <f>L501*K501</f>
        <v>20520000</v>
      </c>
      <c r="N501" s="103">
        <f>Q501*0.1</f>
        <v>7500</v>
      </c>
      <c r="O501" s="104">
        <f>K501*N501</f>
        <v>2280000</v>
      </c>
      <c r="P501" s="104">
        <v>75000</v>
      </c>
      <c r="Q501" s="116">
        <v>75000</v>
      </c>
      <c r="R501" s="105"/>
      <c r="S501" s="105"/>
      <c r="T501" s="105"/>
      <c r="U501" s="105"/>
      <c r="V501" s="105"/>
    </row>
    <row r="502" spans="3:22" ht="12.75" customHeight="1">
      <c r="C502" s="97"/>
      <c r="D502" s="151" t="s">
        <v>412</v>
      </c>
      <c r="E502" s="99"/>
      <c r="F502" s="99"/>
      <c r="G502" s="99"/>
      <c r="H502" s="99"/>
      <c r="I502" s="99"/>
      <c r="J502" s="100"/>
      <c r="K502" s="101"/>
      <c r="L502" s="102"/>
      <c r="M502" s="101"/>
      <c r="N502" s="103"/>
      <c r="O502" s="104"/>
      <c r="P502" s="104"/>
      <c r="Q502" s="116"/>
      <c r="R502" s="105"/>
      <c r="S502" s="105"/>
      <c r="T502" s="105"/>
      <c r="U502" s="105"/>
      <c r="V502" s="105"/>
    </row>
    <row r="503" spans="3:22" ht="12.75" customHeight="1">
      <c r="C503" s="97"/>
      <c r="D503" s="151" t="s">
        <v>413</v>
      </c>
      <c r="E503" s="99"/>
      <c r="F503" s="99"/>
      <c r="G503" s="99"/>
      <c r="H503" s="99"/>
      <c r="I503" s="99"/>
      <c r="J503" s="100"/>
      <c r="K503" s="101"/>
      <c r="L503" s="102"/>
      <c r="M503" s="101"/>
      <c r="N503" s="103"/>
      <c r="O503" s="104"/>
      <c r="P503" s="104"/>
      <c r="Q503" s="116"/>
      <c r="R503" s="105"/>
      <c r="S503" s="151"/>
      <c r="T503" s="105"/>
      <c r="U503" s="105"/>
      <c r="V503" s="105"/>
    </row>
    <row r="504" spans="3:22" ht="12.75" customHeight="1">
      <c r="C504" s="97"/>
      <c r="D504" s="151" t="s">
        <v>414</v>
      </c>
      <c r="E504" s="99"/>
      <c r="F504" s="99"/>
      <c r="G504" s="99"/>
      <c r="H504" s="99"/>
      <c r="I504" s="99"/>
      <c r="J504" s="100"/>
      <c r="K504" s="101"/>
      <c r="L504" s="102"/>
      <c r="M504" s="101"/>
      <c r="N504" s="103"/>
      <c r="O504" s="104"/>
      <c r="P504" s="104"/>
      <c r="Q504" s="116"/>
      <c r="R504" s="105"/>
      <c r="S504" s="151"/>
      <c r="T504" s="105"/>
      <c r="U504" s="105"/>
      <c r="V504" s="105"/>
    </row>
    <row r="505" spans="3:22" ht="12.75" customHeight="1">
      <c r="C505" s="97"/>
      <c r="D505" s="151" t="s">
        <v>415</v>
      </c>
      <c r="E505" s="99"/>
      <c r="F505" s="99"/>
      <c r="G505" s="99"/>
      <c r="H505" s="99"/>
      <c r="I505" s="99"/>
      <c r="J505" s="100"/>
      <c r="K505" s="101"/>
      <c r="L505" s="102"/>
      <c r="M505" s="101"/>
      <c r="N505" s="103"/>
      <c r="O505" s="104"/>
      <c r="P505" s="104"/>
      <c r="Q505" s="116"/>
      <c r="R505" s="105"/>
      <c r="S505" s="151"/>
      <c r="T505" s="105"/>
      <c r="U505" s="105"/>
      <c r="V505" s="105"/>
    </row>
    <row r="506" spans="3:22" ht="12.75" customHeight="1">
      <c r="C506" s="97"/>
      <c r="D506" s="151" t="s">
        <v>416</v>
      </c>
      <c r="E506" s="99"/>
      <c r="F506" s="99"/>
      <c r="G506" s="99"/>
      <c r="H506" s="99"/>
      <c r="I506" s="99"/>
      <c r="J506" s="100"/>
      <c r="K506" s="101"/>
      <c r="L506" s="102"/>
      <c r="M506" s="101"/>
      <c r="N506" s="103"/>
      <c r="O506" s="104"/>
      <c r="P506" s="104"/>
      <c r="Q506" s="116"/>
      <c r="R506" s="105"/>
      <c r="S506" s="151"/>
      <c r="T506" s="105"/>
      <c r="U506" s="105"/>
      <c r="V506" s="105"/>
    </row>
    <row r="507" spans="3:22" ht="12.75" customHeight="1">
      <c r="C507" s="97"/>
      <c r="D507" s="151" t="s">
        <v>417</v>
      </c>
      <c r="E507" s="99"/>
      <c r="F507" s="99"/>
      <c r="G507" s="99"/>
      <c r="H507" s="99"/>
      <c r="I507" s="99"/>
      <c r="J507" s="100"/>
      <c r="K507" s="101"/>
      <c r="L507" s="102"/>
      <c r="M507" s="101"/>
      <c r="N507" s="103"/>
      <c r="O507" s="104"/>
      <c r="P507" s="104"/>
      <c r="Q507" s="116"/>
      <c r="R507" s="105"/>
      <c r="S507" s="151"/>
      <c r="T507" s="105"/>
      <c r="U507" s="105"/>
      <c r="V507" s="105"/>
    </row>
    <row r="508" spans="3:22" ht="12.75" customHeight="1">
      <c r="C508" s="97"/>
      <c r="D508" s="151" t="s">
        <v>418</v>
      </c>
      <c r="E508" s="99"/>
      <c r="F508" s="99"/>
      <c r="G508" s="99"/>
      <c r="H508" s="99"/>
      <c r="I508" s="99"/>
      <c r="J508" s="100"/>
      <c r="K508" s="101"/>
      <c r="L508" s="102"/>
      <c r="M508" s="101"/>
      <c r="N508" s="103"/>
      <c r="O508" s="104"/>
      <c r="P508" s="104"/>
      <c r="Q508" s="116"/>
      <c r="R508" s="105"/>
      <c r="S508" s="151"/>
      <c r="T508" s="105"/>
      <c r="U508" s="105"/>
      <c r="V508" s="105"/>
    </row>
    <row r="509" spans="3:22" ht="12.75" customHeight="1">
      <c r="C509" s="97"/>
      <c r="D509" s="151" t="s">
        <v>419</v>
      </c>
      <c r="E509" s="99"/>
      <c r="F509" s="99"/>
      <c r="G509" s="99"/>
      <c r="H509" s="99"/>
      <c r="I509" s="99"/>
      <c r="J509" s="100"/>
      <c r="K509" s="101"/>
      <c r="L509" s="102"/>
      <c r="M509" s="101"/>
      <c r="N509" s="103"/>
      <c r="O509" s="104"/>
      <c r="P509" s="104"/>
      <c r="Q509" s="116"/>
      <c r="R509" s="105"/>
      <c r="S509" s="151"/>
      <c r="T509" s="105"/>
      <c r="U509" s="105"/>
      <c r="V509" s="105"/>
    </row>
    <row r="510" spans="3:22" ht="12.75" customHeight="1">
      <c r="C510" s="97"/>
      <c r="D510" s="151" t="s">
        <v>420</v>
      </c>
      <c r="E510" s="99"/>
      <c r="F510" s="99"/>
      <c r="G510" s="99"/>
      <c r="H510" s="99"/>
      <c r="I510" s="99"/>
      <c r="J510" s="100"/>
      <c r="K510" s="101"/>
      <c r="L510" s="102"/>
      <c r="M510" s="101"/>
      <c r="N510" s="103"/>
      <c r="O510" s="104"/>
      <c r="P510" s="104"/>
      <c r="Q510" s="116"/>
      <c r="R510" s="105"/>
      <c r="S510" s="151"/>
      <c r="T510" s="105"/>
      <c r="U510" s="105"/>
      <c r="V510" s="105"/>
    </row>
    <row r="511" spans="3:22" ht="12.75" customHeight="1">
      <c r="C511" s="97"/>
      <c r="D511" s="151" t="s">
        <v>421</v>
      </c>
      <c r="E511" s="99"/>
      <c r="F511" s="99"/>
      <c r="G511" s="99"/>
      <c r="H511" s="99"/>
      <c r="I511" s="99"/>
      <c r="J511" s="100"/>
      <c r="K511" s="101"/>
      <c r="L511" s="102"/>
      <c r="M511" s="101"/>
      <c r="N511" s="103"/>
      <c r="O511" s="104"/>
      <c r="P511" s="104"/>
      <c r="Q511" s="116"/>
      <c r="R511" s="105"/>
      <c r="S511" s="151"/>
      <c r="T511" s="105"/>
      <c r="U511" s="105"/>
      <c r="V511" s="105"/>
    </row>
    <row r="512" spans="3:22" ht="12.75" customHeight="1">
      <c r="C512" s="97"/>
      <c r="D512" s="151" t="s">
        <v>422</v>
      </c>
      <c r="E512" s="99"/>
      <c r="F512" s="99"/>
      <c r="G512" s="99"/>
      <c r="H512" s="99"/>
      <c r="I512" s="99"/>
      <c r="J512" s="100"/>
      <c r="K512" s="101"/>
      <c r="L512" s="102"/>
      <c r="M512" s="101"/>
      <c r="N512" s="103"/>
      <c r="O512" s="104"/>
      <c r="P512" s="104"/>
      <c r="Q512" s="116"/>
      <c r="R512" s="105"/>
      <c r="S512" s="151"/>
      <c r="T512" s="105"/>
      <c r="U512" s="105"/>
      <c r="V512" s="105"/>
    </row>
    <row r="513" spans="3:22" ht="12.75" customHeight="1">
      <c r="C513" s="97"/>
      <c r="D513" s="151" t="s">
        <v>423</v>
      </c>
      <c r="E513" s="99"/>
      <c r="F513" s="99"/>
      <c r="G513" s="99"/>
      <c r="H513" s="99"/>
      <c r="I513" s="99"/>
      <c r="J513" s="100"/>
      <c r="K513" s="101"/>
      <c r="L513" s="102"/>
      <c r="M513" s="101"/>
      <c r="N513" s="103"/>
      <c r="O513" s="104"/>
      <c r="P513" s="104"/>
      <c r="Q513" s="116"/>
      <c r="R513" s="105"/>
      <c r="S513" s="151"/>
      <c r="T513" s="105"/>
      <c r="U513" s="105"/>
      <c r="V513" s="105"/>
    </row>
    <row r="514" spans="3:22" ht="12.75" customHeight="1">
      <c r="C514" s="97"/>
      <c r="D514" s="151" t="s">
        <v>424</v>
      </c>
      <c r="E514" s="99"/>
      <c r="F514" s="99"/>
      <c r="G514" s="99"/>
      <c r="H514" s="99"/>
      <c r="I514" s="99"/>
      <c r="J514" s="100"/>
      <c r="K514" s="101"/>
      <c r="L514" s="102"/>
      <c r="M514" s="101"/>
      <c r="N514" s="103"/>
      <c r="O514" s="104"/>
      <c r="P514" s="104"/>
      <c r="Q514" s="116"/>
      <c r="R514" s="105"/>
      <c r="S514" s="151"/>
      <c r="T514" s="105"/>
      <c r="U514" s="105"/>
      <c r="V514" s="105"/>
    </row>
    <row r="515" spans="3:22" ht="12.75" customHeight="1">
      <c r="C515" s="97"/>
      <c r="D515" s="151" t="s">
        <v>425</v>
      </c>
      <c r="E515" s="99"/>
      <c r="F515" s="99"/>
      <c r="G515" s="99"/>
      <c r="H515" s="99"/>
      <c r="I515" s="99"/>
      <c r="J515" s="100"/>
      <c r="K515" s="101"/>
      <c r="L515" s="102"/>
      <c r="M515" s="101"/>
      <c r="N515" s="103"/>
      <c r="O515" s="104"/>
      <c r="P515" s="104"/>
      <c r="Q515" s="116"/>
      <c r="R515" s="105"/>
      <c r="S515" s="151"/>
      <c r="T515" s="105"/>
      <c r="U515" s="105"/>
      <c r="V515" s="105"/>
    </row>
    <row r="516" spans="3:22" ht="12.75" customHeight="1">
      <c r="C516" s="97"/>
      <c r="D516" s="151" t="s">
        <v>426</v>
      </c>
      <c r="E516" s="99"/>
      <c r="F516" s="99"/>
      <c r="G516" s="99"/>
      <c r="H516" s="99"/>
      <c r="I516" s="99"/>
      <c r="J516" s="100"/>
      <c r="K516" s="101"/>
      <c r="L516" s="102"/>
      <c r="M516" s="101"/>
      <c r="N516" s="103"/>
      <c r="O516" s="104"/>
      <c r="P516" s="104"/>
      <c r="Q516" s="116"/>
      <c r="R516" s="105"/>
      <c r="S516" s="151"/>
      <c r="T516" s="105"/>
      <c r="U516" s="105"/>
      <c r="V516" s="105"/>
    </row>
    <row r="517" spans="3:22" ht="12.75" customHeight="1">
      <c r="C517" s="97"/>
      <c r="D517" s="151" t="s">
        <v>427</v>
      </c>
      <c r="E517" s="99"/>
      <c r="F517" s="99"/>
      <c r="G517" s="99"/>
      <c r="H517" s="99"/>
      <c r="I517" s="99"/>
      <c r="J517" s="100"/>
      <c r="K517" s="101"/>
      <c r="L517" s="102"/>
      <c r="M517" s="101"/>
      <c r="N517" s="103"/>
      <c r="O517" s="104"/>
      <c r="P517" s="104"/>
      <c r="Q517" s="116"/>
      <c r="R517" s="105"/>
      <c r="S517" s="151"/>
      <c r="T517" s="105"/>
      <c r="U517" s="105"/>
      <c r="V517" s="105"/>
    </row>
    <row r="518" spans="3:22" ht="12.75" customHeight="1">
      <c r="C518" s="97"/>
      <c r="D518" s="151" t="s">
        <v>428</v>
      </c>
      <c r="E518" s="99"/>
      <c r="F518" s="99"/>
      <c r="G518" s="99"/>
      <c r="H518" s="99"/>
      <c r="I518" s="99"/>
      <c r="J518" s="100"/>
      <c r="K518" s="101"/>
      <c r="L518" s="102"/>
      <c r="M518" s="101"/>
      <c r="N518" s="103"/>
      <c r="O518" s="104"/>
      <c r="P518" s="104"/>
      <c r="Q518" s="116"/>
      <c r="R518" s="105"/>
      <c r="S518" s="151"/>
      <c r="T518" s="105"/>
      <c r="U518" s="105"/>
      <c r="V518" s="105"/>
    </row>
    <row r="519" spans="3:22" ht="12.75" customHeight="1">
      <c r="C519" s="97">
        <v>5</v>
      </c>
      <c r="D519" s="154" t="s">
        <v>429</v>
      </c>
      <c r="E519" s="99"/>
      <c r="F519" s="99"/>
      <c r="G519" s="99"/>
      <c r="H519" s="99"/>
      <c r="I519" s="99"/>
      <c r="J519" s="100" t="s">
        <v>277</v>
      </c>
      <c r="K519" s="101">
        <f>COUNT('BOD-Cold &amp; Amb.'!N10:N405)</f>
        <v>304</v>
      </c>
      <c r="L519" s="102">
        <f>Q519*0.9</f>
        <v>45000</v>
      </c>
      <c r="M519" s="101">
        <v>0</v>
      </c>
      <c r="N519" s="103">
        <f>Q519*0.1</f>
        <v>5000</v>
      </c>
      <c r="O519" s="104">
        <v>0</v>
      </c>
      <c r="P519" s="104">
        <v>50000</v>
      </c>
      <c r="Q519" s="116">
        <v>50000</v>
      </c>
      <c r="R519" s="105"/>
      <c r="S519" s="151"/>
      <c r="T519" s="105"/>
      <c r="U519" s="105"/>
      <c r="V519" s="105"/>
    </row>
    <row r="520" spans="3:22" ht="12.75" customHeight="1">
      <c r="C520" s="97"/>
      <c r="D520" s="154" t="s">
        <v>412</v>
      </c>
      <c r="E520" s="99"/>
      <c r="F520" s="99"/>
      <c r="G520" s="99"/>
      <c r="H520" s="99"/>
      <c r="I520" s="99"/>
      <c r="J520" s="100"/>
      <c r="K520" s="101"/>
      <c r="L520" s="102"/>
      <c r="M520" s="101"/>
      <c r="N520" s="103"/>
      <c r="O520" s="104"/>
      <c r="P520" s="104"/>
      <c r="Q520" s="116"/>
      <c r="R520" s="105"/>
      <c r="S520" s="151"/>
      <c r="T520" s="105"/>
      <c r="U520" s="105"/>
      <c r="V520" s="105"/>
    </row>
    <row r="521" spans="3:22" ht="12.75" customHeight="1">
      <c r="C521" s="97"/>
      <c r="D521" s="154" t="s">
        <v>430</v>
      </c>
      <c r="E521" s="99"/>
      <c r="F521" s="99"/>
      <c r="G521" s="99"/>
      <c r="H521" s="99"/>
      <c r="I521" s="99"/>
      <c r="J521" s="100"/>
      <c r="K521" s="101"/>
      <c r="L521" s="102"/>
      <c r="M521" s="101"/>
      <c r="N521" s="103"/>
      <c r="O521" s="104"/>
      <c r="P521" s="104"/>
      <c r="Q521" s="116"/>
      <c r="R521" s="105"/>
      <c r="S521" s="154"/>
      <c r="T521" s="105"/>
      <c r="U521" s="105"/>
      <c r="V521" s="105"/>
    </row>
    <row r="522" spans="3:22" ht="12.75" customHeight="1">
      <c r="C522" s="97"/>
      <c r="D522" s="154" t="s">
        <v>413</v>
      </c>
      <c r="E522" s="99"/>
      <c r="F522" s="99"/>
      <c r="G522" s="99"/>
      <c r="H522" s="99"/>
      <c r="I522" s="99"/>
      <c r="J522" s="100"/>
      <c r="K522" s="101"/>
      <c r="L522" s="102"/>
      <c r="M522" s="101"/>
      <c r="N522" s="103"/>
      <c r="O522" s="104"/>
      <c r="P522" s="104"/>
      <c r="Q522" s="116"/>
      <c r="R522" s="105"/>
      <c r="S522" s="154"/>
      <c r="T522" s="105"/>
      <c r="U522" s="105"/>
      <c r="V522" s="105"/>
    </row>
    <row r="523" spans="3:22" ht="12.75" customHeight="1">
      <c r="C523" s="97"/>
      <c r="D523" s="154" t="s">
        <v>431</v>
      </c>
      <c r="E523" s="99"/>
      <c r="F523" s="99"/>
      <c r="G523" s="99"/>
      <c r="H523" s="99"/>
      <c r="I523" s="99"/>
      <c r="J523" s="100"/>
      <c r="K523" s="101"/>
      <c r="L523" s="102"/>
      <c r="M523" s="101"/>
      <c r="N523" s="103"/>
      <c r="O523" s="104"/>
      <c r="P523" s="104"/>
      <c r="Q523" s="116"/>
      <c r="R523" s="105"/>
      <c r="S523" s="154"/>
      <c r="T523" s="105"/>
      <c r="U523" s="105"/>
      <c r="V523" s="105"/>
    </row>
    <row r="524" spans="3:22" ht="12.75" customHeight="1">
      <c r="C524" s="97"/>
      <c r="D524" s="154" t="s">
        <v>432</v>
      </c>
      <c r="E524" s="99"/>
      <c r="F524" s="99"/>
      <c r="G524" s="99"/>
      <c r="H524" s="99"/>
      <c r="I524" s="99"/>
      <c r="J524" s="100"/>
      <c r="K524" s="101"/>
      <c r="L524" s="102"/>
      <c r="M524" s="101"/>
      <c r="N524" s="103"/>
      <c r="O524" s="104"/>
      <c r="P524" s="104"/>
      <c r="Q524" s="116"/>
      <c r="R524" s="105"/>
      <c r="S524" s="154"/>
      <c r="T524" s="105"/>
      <c r="U524" s="105"/>
      <c r="V524" s="105"/>
    </row>
    <row r="525" spans="3:22" ht="12.75" customHeight="1">
      <c r="C525" s="97"/>
      <c r="D525" s="154" t="s">
        <v>433</v>
      </c>
      <c r="E525" s="99"/>
      <c r="F525" s="99"/>
      <c r="G525" s="99"/>
      <c r="H525" s="99"/>
      <c r="I525" s="99"/>
      <c r="J525" s="100"/>
      <c r="K525" s="101"/>
      <c r="L525" s="102"/>
      <c r="M525" s="101"/>
      <c r="N525" s="103"/>
      <c r="O525" s="104"/>
      <c r="P525" s="104"/>
      <c r="Q525" s="116"/>
      <c r="R525" s="105"/>
      <c r="S525" s="154"/>
      <c r="T525" s="105"/>
      <c r="U525" s="105"/>
      <c r="V525" s="105"/>
    </row>
    <row r="526" spans="3:22" ht="12.75" customHeight="1">
      <c r="C526" s="97"/>
      <c r="D526" s="154" t="s">
        <v>434</v>
      </c>
      <c r="E526" s="99"/>
      <c r="F526" s="99"/>
      <c r="G526" s="99"/>
      <c r="H526" s="99"/>
      <c r="I526" s="99"/>
      <c r="J526" s="100"/>
      <c r="K526" s="101"/>
      <c r="L526" s="102"/>
      <c r="M526" s="101"/>
      <c r="N526" s="103"/>
      <c r="O526" s="104"/>
      <c r="P526" s="104"/>
      <c r="Q526" s="116"/>
      <c r="R526" s="105"/>
      <c r="S526" s="154"/>
      <c r="T526" s="105"/>
      <c r="U526" s="105"/>
      <c r="V526" s="105"/>
    </row>
    <row r="527" spans="3:22" ht="12.75" customHeight="1">
      <c r="C527" s="97"/>
      <c r="D527" s="154" t="s">
        <v>435</v>
      </c>
      <c r="E527" s="99"/>
      <c r="F527" s="99"/>
      <c r="G527" s="99"/>
      <c r="H527" s="99"/>
      <c r="I527" s="99"/>
      <c r="J527" s="100"/>
      <c r="K527" s="101"/>
      <c r="L527" s="102"/>
      <c r="M527" s="101"/>
      <c r="N527" s="103"/>
      <c r="O527" s="104"/>
      <c r="P527" s="104"/>
      <c r="Q527" s="116"/>
      <c r="R527" s="105"/>
      <c r="S527" s="154"/>
      <c r="T527" s="105"/>
      <c r="U527" s="105"/>
      <c r="V527" s="105"/>
    </row>
    <row r="528" spans="3:22" ht="12.75" customHeight="1">
      <c r="C528" s="97"/>
      <c r="D528" s="154" t="s">
        <v>436</v>
      </c>
      <c r="E528" s="99"/>
      <c r="F528" s="99"/>
      <c r="G528" s="99"/>
      <c r="H528" s="99"/>
      <c r="I528" s="99"/>
      <c r="J528" s="100"/>
      <c r="K528" s="101"/>
      <c r="L528" s="102"/>
      <c r="M528" s="101"/>
      <c r="N528" s="103"/>
      <c r="O528" s="104"/>
      <c r="P528" s="104"/>
      <c r="Q528" s="116"/>
      <c r="R528" s="105"/>
      <c r="S528" s="154"/>
      <c r="T528" s="105"/>
      <c r="U528" s="105"/>
      <c r="V528" s="105"/>
    </row>
    <row r="529" spans="3:22" ht="12.75" customHeight="1">
      <c r="C529" s="97"/>
      <c r="D529" s="154" t="s">
        <v>437</v>
      </c>
      <c r="E529" s="99"/>
      <c r="F529" s="99"/>
      <c r="G529" s="99"/>
      <c r="H529" s="99"/>
      <c r="I529" s="99"/>
      <c r="J529" s="100"/>
      <c r="K529" s="101"/>
      <c r="L529" s="102"/>
      <c r="M529" s="101"/>
      <c r="N529" s="103"/>
      <c r="O529" s="104"/>
      <c r="P529" s="104"/>
      <c r="Q529" s="116"/>
      <c r="R529" s="105"/>
      <c r="S529" s="154"/>
      <c r="T529" s="105"/>
      <c r="U529" s="105"/>
      <c r="V529" s="105"/>
    </row>
    <row r="530" spans="3:22" ht="12.75" customHeight="1">
      <c r="C530" s="97"/>
      <c r="D530" s="154" t="s">
        <v>438</v>
      </c>
      <c r="E530" s="99"/>
      <c r="F530" s="99"/>
      <c r="G530" s="99"/>
      <c r="H530" s="99"/>
      <c r="I530" s="99"/>
      <c r="J530" s="100"/>
      <c r="K530" s="101"/>
      <c r="L530" s="102"/>
      <c r="M530" s="101"/>
      <c r="N530" s="103"/>
      <c r="O530" s="104"/>
      <c r="P530" s="104"/>
      <c r="Q530" s="116"/>
      <c r="R530" s="105"/>
      <c r="T530" s="105"/>
      <c r="U530" s="105"/>
      <c r="V530" s="105"/>
    </row>
    <row r="531" spans="3:22" ht="12.75" customHeight="1">
      <c r="C531" s="97"/>
      <c r="D531" s="154" t="s">
        <v>439</v>
      </c>
      <c r="E531" s="99"/>
      <c r="F531" s="99"/>
      <c r="G531" s="99"/>
      <c r="H531" s="99"/>
      <c r="I531" s="99"/>
      <c r="J531" s="100"/>
      <c r="K531" s="101"/>
      <c r="L531" s="102"/>
      <c r="M531" s="101"/>
      <c r="N531" s="103"/>
      <c r="O531" s="104"/>
      <c r="P531" s="104"/>
      <c r="Q531" s="116"/>
      <c r="R531" s="105"/>
      <c r="T531" s="105"/>
      <c r="U531" s="105"/>
      <c r="V531" s="105"/>
    </row>
    <row r="532" spans="3:22" ht="12.75" customHeight="1">
      <c r="C532" s="97">
        <v>6</v>
      </c>
      <c r="D532" s="154" t="s">
        <v>440</v>
      </c>
      <c r="E532" s="99"/>
      <c r="F532" s="99"/>
      <c r="G532" s="99"/>
      <c r="H532" s="99"/>
      <c r="I532" s="99"/>
      <c r="J532" s="100" t="s">
        <v>277</v>
      </c>
      <c r="K532" s="101">
        <f>COUNT('BOD-Cold &amp; Amb.'!N10:N405)</f>
        <v>304</v>
      </c>
      <c r="L532" s="102">
        <f>Q532*0.9</f>
        <v>2700</v>
      </c>
      <c r="M532" s="101">
        <f>L532*K532</f>
        <v>820800</v>
      </c>
      <c r="N532" s="103">
        <f>Q532*0.1</f>
        <v>300</v>
      </c>
      <c r="O532" s="104">
        <f>K532*N532</f>
        <v>91200</v>
      </c>
      <c r="P532" s="104">
        <v>3000</v>
      </c>
      <c r="Q532" s="116">
        <v>3000</v>
      </c>
      <c r="R532" s="105"/>
      <c r="T532" s="105"/>
      <c r="U532" s="105"/>
      <c r="V532" s="105"/>
    </row>
    <row r="533" spans="3:22" ht="12.75" customHeight="1">
      <c r="C533" s="97"/>
      <c r="D533" s="99" t="s">
        <v>441</v>
      </c>
      <c r="E533" s="99"/>
      <c r="F533" s="99"/>
      <c r="G533" s="99"/>
      <c r="H533" s="99"/>
      <c r="I533" s="99"/>
      <c r="J533" s="100"/>
      <c r="K533" s="101"/>
      <c r="L533" s="102"/>
      <c r="M533" s="101"/>
      <c r="N533" s="103"/>
      <c r="O533" s="104"/>
      <c r="P533" s="104"/>
      <c r="Q533" s="116"/>
      <c r="R533" s="105"/>
      <c r="T533" s="105"/>
      <c r="U533" s="105"/>
      <c r="V533" s="105"/>
    </row>
    <row r="534" spans="3:22" ht="12.75" customHeight="1">
      <c r="C534" s="97"/>
      <c r="D534" s="154" t="s">
        <v>442</v>
      </c>
      <c r="E534" s="99"/>
      <c r="F534" s="99"/>
      <c r="G534" s="99"/>
      <c r="H534" s="99"/>
      <c r="I534" s="99"/>
      <c r="J534" s="100"/>
      <c r="K534" s="101"/>
      <c r="L534" s="102"/>
      <c r="M534" s="101"/>
      <c r="N534" s="103"/>
      <c r="O534" s="104"/>
      <c r="P534" s="104"/>
      <c r="Q534" s="116"/>
      <c r="R534" s="105"/>
      <c r="T534" s="105"/>
      <c r="U534" s="105"/>
      <c r="V534" s="105"/>
    </row>
    <row r="535" spans="3:22" ht="12.75" customHeight="1">
      <c r="C535" s="155" t="s">
        <v>443</v>
      </c>
      <c r="D535" s="156" t="s">
        <v>444</v>
      </c>
      <c r="E535" s="129"/>
      <c r="F535" s="129"/>
      <c r="G535" s="129"/>
      <c r="H535" s="129"/>
      <c r="I535" s="157"/>
      <c r="J535" s="120"/>
      <c r="K535" s="130"/>
      <c r="L535" s="130"/>
      <c r="M535" s="130"/>
      <c r="N535" s="131"/>
      <c r="O535" s="132"/>
      <c r="P535" s="132"/>
      <c r="Q535" s="143"/>
      <c r="R535" s="134"/>
      <c r="T535" s="134"/>
      <c r="U535" s="134"/>
      <c r="V535" s="134"/>
    </row>
    <row r="536" spans="3:22" ht="12.75" customHeight="1">
      <c r="C536" s="158">
        <v>1</v>
      </c>
      <c r="D536" s="98" t="s">
        <v>445</v>
      </c>
      <c r="E536" s="99"/>
      <c r="F536" s="99"/>
      <c r="G536" s="99"/>
      <c r="H536" s="99"/>
      <c r="I536" s="149"/>
      <c r="J536" s="100" t="s">
        <v>446</v>
      </c>
      <c r="K536" s="101">
        <v>1</v>
      </c>
      <c r="L536" s="101">
        <v>0</v>
      </c>
      <c r="M536" s="101">
        <f>L536*K536</f>
        <v>0</v>
      </c>
      <c r="N536" s="103">
        <f>Q536*1</f>
        <v>600000</v>
      </c>
      <c r="O536" s="104">
        <f>K536*N536</f>
        <v>600000</v>
      </c>
      <c r="P536" s="104">
        <v>600000</v>
      </c>
      <c r="Q536" s="116">
        <v>600000</v>
      </c>
      <c r="R536" s="105"/>
      <c r="T536" s="105"/>
      <c r="U536" s="105"/>
      <c r="V536" s="105"/>
    </row>
    <row r="537" spans="3:22" ht="12.75" customHeight="1">
      <c r="C537" s="158"/>
      <c r="D537" s="98" t="s">
        <v>447</v>
      </c>
      <c r="E537" s="99"/>
      <c r="F537" s="99"/>
      <c r="G537" s="99"/>
      <c r="H537" s="99"/>
      <c r="I537" s="149"/>
      <c r="J537" s="100"/>
      <c r="K537" s="101"/>
      <c r="L537" s="101"/>
      <c r="M537" s="103"/>
      <c r="N537" s="141"/>
      <c r="O537" s="104" t="s">
        <v>448</v>
      </c>
      <c r="P537" s="104"/>
      <c r="Q537" s="116" t="s">
        <v>448</v>
      </c>
      <c r="R537" s="105"/>
      <c r="S537" s="105"/>
      <c r="T537" s="105"/>
      <c r="U537" s="105"/>
      <c r="V537" s="105"/>
    </row>
    <row r="538" spans="3:22" ht="12.75" customHeight="1">
      <c r="C538" s="158"/>
      <c r="D538" s="98" t="s">
        <v>449</v>
      </c>
      <c r="E538" s="99"/>
      <c r="F538" s="99"/>
      <c r="G538" s="99"/>
      <c r="H538" s="99"/>
      <c r="I538" s="149"/>
      <c r="J538" s="100"/>
      <c r="K538" s="101"/>
      <c r="L538" s="101"/>
      <c r="M538" s="101"/>
      <c r="N538" s="141"/>
      <c r="O538" s="104"/>
      <c r="P538" s="104"/>
      <c r="Q538" s="116"/>
      <c r="R538" s="105"/>
      <c r="S538" s="105"/>
      <c r="T538" s="105"/>
      <c r="U538" s="105"/>
      <c r="V538" s="105"/>
    </row>
    <row r="539" spans="3:22" ht="12.75" customHeight="1">
      <c r="C539" s="159"/>
      <c r="D539" s="160" t="s">
        <v>450</v>
      </c>
      <c r="E539" s="161"/>
      <c r="F539" s="161"/>
      <c r="G539" s="161"/>
      <c r="H539" s="161"/>
      <c r="I539" s="137"/>
      <c r="J539" s="162"/>
      <c r="K539" s="137"/>
      <c r="L539" s="137"/>
      <c r="M539" s="137"/>
      <c r="N539" s="137"/>
      <c r="O539" s="163"/>
      <c r="P539" s="163"/>
      <c r="Q539" s="137"/>
    </row>
    <row r="540" spans="3:22" ht="12.75" customHeight="1">
      <c r="C540" s="164"/>
      <c r="D540" s="164"/>
      <c r="E540" s="164"/>
      <c r="F540" s="164"/>
      <c r="G540" s="164"/>
      <c r="H540" s="164"/>
      <c r="I540" s="164"/>
      <c r="J540" s="164"/>
      <c r="K540" s="164"/>
      <c r="L540" s="164"/>
      <c r="M540" s="165">
        <f>SUM(M29:M539)</f>
        <v>176837125</v>
      </c>
      <c r="N540" s="166"/>
      <c r="O540" s="165">
        <f>SUM(O29:O539)</f>
        <v>15081390</v>
      </c>
      <c r="P540" s="165"/>
    </row>
    <row r="541" spans="3:22" ht="12.75" customHeight="1">
      <c r="C541" s="161"/>
      <c r="D541" s="161"/>
      <c r="E541" s="161"/>
      <c r="F541" s="161"/>
      <c r="G541" s="161"/>
      <c r="H541" s="161"/>
      <c r="I541" s="161"/>
      <c r="J541" s="161"/>
      <c r="K541" s="161"/>
      <c r="L541" s="161"/>
      <c r="M541" s="958">
        <f>M540+O540</f>
        <v>191918515</v>
      </c>
      <c r="N541" s="959"/>
      <c r="O541" s="161"/>
    </row>
    <row r="542" spans="3:22" ht="12.75" customHeight="1">
      <c r="D542" s="960"/>
      <c r="E542" s="960"/>
      <c r="F542" s="960"/>
      <c r="G542" s="960"/>
      <c r="H542" s="960"/>
      <c r="I542" s="960"/>
      <c r="J542" s="960"/>
      <c r="K542" s="960"/>
      <c r="L542" s="960"/>
      <c r="M542" s="960"/>
      <c r="N542" s="960"/>
      <c r="O542" s="960"/>
    </row>
    <row r="543" spans="3:22" ht="12.75" customHeight="1">
      <c r="D543" s="961"/>
      <c r="E543" s="961"/>
      <c r="F543" s="961"/>
      <c r="M543" s="167"/>
      <c r="N543" s="168"/>
    </row>
    <row r="544" spans="3:22" ht="12.75" customHeight="1">
      <c r="M544" s="167"/>
      <c r="N544" s="168"/>
    </row>
    <row r="545" spans="3:14" ht="12.75" customHeight="1">
      <c r="D545" s="169"/>
      <c r="M545" s="167"/>
      <c r="N545" s="168"/>
    </row>
    <row r="546" spans="3:14" ht="12.75" customHeight="1">
      <c r="D546" s="169" t="s">
        <v>451</v>
      </c>
      <c r="M546" s="167"/>
      <c r="N546" s="168"/>
    </row>
    <row r="547" spans="3:14" ht="12.75" customHeight="1">
      <c r="C547" s="29">
        <v>1</v>
      </c>
      <c r="D547" s="99" t="s">
        <v>452</v>
      </c>
    </row>
    <row r="548" spans="3:14">
      <c r="C548" s="29">
        <v>2</v>
      </c>
      <c r="D548" s="99" t="s">
        <v>453</v>
      </c>
    </row>
    <row r="549" spans="3:14">
      <c r="C549" s="29">
        <v>3</v>
      </c>
      <c r="D549" s="99" t="s">
        <v>454</v>
      </c>
    </row>
    <row r="550" spans="3:14">
      <c r="C550" s="29">
        <v>4</v>
      </c>
      <c r="D550" s="170" t="s">
        <v>455</v>
      </c>
    </row>
    <row r="551" spans="3:14">
      <c r="C551" s="29">
        <v>7</v>
      </c>
      <c r="D551" s="99" t="s">
        <v>456</v>
      </c>
    </row>
    <row r="552" spans="3:14">
      <c r="C552" s="29">
        <v>8</v>
      </c>
      <c r="D552" s="99" t="s">
        <v>457</v>
      </c>
    </row>
    <row r="553" spans="3:14">
      <c r="C553" s="29">
        <v>9</v>
      </c>
      <c r="D553" s="99" t="s">
        <v>458</v>
      </c>
    </row>
    <row r="554" spans="3:14">
      <c r="C554" s="29">
        <v>10</v>
      </c>
      <c r="D554" s="99" t="s">
        <v>459</v>
      </c>
    </row>
    <row r="555" spans="3:14">
      <c r="C555" s="29">
        <v>11</v>
      </c>
      <c r="D555" s="99" t="s">
        <v>460</v>
      </c>
    </row>
    <row r="556" spans="3:14">
      <c r="C556" s="29">
        <v>12</v>
      </c>
      <c r="D556" s="99" t="s">
        <v>461</v>
      </c>
    </row>
    <row r="557" spans="3:14">
      <c r="C557" s="29"/>
      <c r="D557" s="99" t="s">
        <v>462</v>
      </c>
    </row>
    <row r="558" spans="3:14">
      <c r="C558" s="29">
        <v>13</v>
      </c>
      <c r="D558" s="99" t="s">
        <v>463</v>
      </c>
    </row>
    <row r="559" spans="3:14">
      <c r="C559" s="29">
        <v>14</v>
      </c>
      <c r="D559" s="99" t="s">
        <v>464</v>
      </c>
    </row>
    <row r="560" spans="3:14">
      <c r="C560" s="29">
        <v>15</v>
      </c>
      <c r="D560" s="99" t="s">
        <v>465</v>
      </c>
    </row>
    <row r="561" spans="3:5">
      <c r="C561" s="29"/>
      <c r="D561" s="99" t="s">
        <v>466</v>
      </c>
    </row>
    <row r="562" spans="3:5">
      <c r="C562" s="29">
        <v>16</v>
      </c>
      <c r="D562" s="99" t="s">
        <v>467</v>
      </c>
    </row>
    <row r="563" spans="3:5">
      <c r="C563" s="29">
        <v>17</v>
      </c>
      <c r="D563" s="99" t="s">
        <v>468</v>
      </c>
    </row>
    <row r="564" spans="3:5">
      <c r="C564" s="29">
        <v>18</v>
      </c>
      <c r="D564" s="99" t="s">
        <v>469</v>
      </c>
    </row>
    <row r="565" spans="3:5">
      <c r="C565" s="29"/>
      <c r="D565" s="99" t="s">
        <v>470</v>
      </c>
    </row>
    <row r="566" spans="3:5" ht="14.1">
      <c r="C566" s="29">
        <v>18</v>
      </c>
      <c r="D566" s="99" t="s">
        <v>471</v>
      </c>
      <c r="E566" s="171"/>
    </row>
    <row r="567" spans="3:5" ht="14.1">
      <c r="C567" s="29"/>
      <c r="D567" s="99" t="s">
        <v>472</v>
      </c>
      <c r="E567" s="171"/>
    </row>
    <row r="568" spans="3:5" ht="14.1">
      <c r="C568" s="29"/>
      <c r="D568" s="99" t="s">
        <v>473</v>
      </c>
      <c r="E568" s="171"/>
    </row>
    <row r="569" spans="3:5" ht="12.95">
      <c r="C569" s="29">
        <v>19</v>
      </c>
      <c r="D569" s="99" t="s">
        <v>474</v>
      </c>
    </row>
    <row r="570" spans="3:5">
      <c r="C570" s="29"/>
      <c r="D570" s="99" t="s">
        <v>475</v>
      </c>
    </row>
    <row r="571" spans="3:5">
      <c r="C571" s="29">
        <v>20</v>
      </c>
      <c r="D571" s="99" t="s">
        <v>476</v>
      </c>
    </row>
    <row r="572" spans="3:5">
      <c r="C572" s="29">
        <v>21</v>
      </c>
      <c r="D572" s="99" t="s">
        <v>477</v>
      </c>
    </row>
    <row r="573" spans="3:5">
      <c r="C573" s="29">
        <v>22</v>
      </c>
      <c r="D573" s="99" t="s">
        <v>478</v>
      </c>
    </row>
    <row r="574" spans="3:5">
      <c r="C574" s="29">
        <v>23</v>
      </c>
      <c r="D574" s="99" t="s">
        <v>479</v>
      </c>
    </row>
    <row r="575" spans="3:5">
      <c r="C575" s="29"/>
      <c r="D575" s="99"/>
    </row>
    <row r="576" spans="3:5">
      <c r="D576" s="99" t="s">
        <v>480</v>
      </c>
    </row>
    <row r="577" spans="4:6">
      <c r="D577" s="99" t="s">
        <v>481</v>
      </c>
    </row>
    <row r="578" spans="4:6">
      <c r="D578" s="99"/>
    </row>
    <row r="579" spans="4:6">
      <c r="F579" s="99"/>
    </row>
    <row r="580" spans="4:6">
      <c r="D580" s="99"/>
    </row>
    <row r="581" spans="4:6">
      <c r="D581" s="99"/>
    </row>
    <row r="582" spans="4:6" ht="20.100000000000001">
      <c r="D582" s="99"/>
      <c r="E582" s="172"/>
    </row>
    <row r="583" spans="4:6" ht="20.100000000000001">
      <c r="D583" s="99"/>
      <c r="E583" s="172"/>
    </row>
    <row r="584" spans="4:6" ht="20.100000000000001">
      <c r="D584" s="173"/>
      <c r="E584" s="172"/>
    </row>
    <row r="585" spans="4:6">
      <c r="D585" s="99"/>
    </row>
    <row r="586" spans="4:6" ht="12.95">
      <c r="D586" s="173"/>
    </row>
  </sheetData>
  <mergeCells count="3546">
    <mergeCell ref="AL419:AL420"/>
    <mergeCell ref="AM419:AM420"/>
    <mergeCell ref="AN419:AN420"/>
    <mergeCell ref="D543:F543"/>
    <mergeCell ref="AL431:AL436"/>
    <mergeCell ref="AM431:AM436"/>
    <mergeCell ref="AN431:AN436"/>
    <mergeCell ref="D460:I460"/>
    <mergeCell ref="M541:N541"/>
    <mergeCell ref="D542:O542"/>
    <mergeCell ref="AL423:AL427"/>
    <mergeCell ref="AM423:AM427"/>
    <mergeCell ref="AN423:AN427"/>
    <mergeCell ref="D427:I427"/>
    <mergeCell ref="D431:I431"/>
    <mergeCell ref="AG431:AG436"/>
    <mergeCell ref="AH431:AH436"/>
    <mergeCell ref="AI431:AI436"/>
    <mergeCell ref="AJ431:AJ436"/>
    <mergeCell ref="AK431:AK436"/>
    <mergeCell ref="W421:W423"/>
    <mergeCell ref="D423:I423"/>
    <mergeCell ref="AG423:AG427"/>
    <mergeCell ref="AH423:AH427"/>
    <mergeCell ref="AI423:AI427"/>
    <mergeCell ref="AJ423:AJ427"/>
    <mergeCell ref="AK423:AK427"/>
    <mergeCell ref="AF419:AF420"/>
    <mergeCell ref="AG419:AG420"/>
    <mergeCell ref="AH419:AH420"/>
    <mergeCell ref="AI419:AI420"/>
    <mergeCell ref="AJ419:AJ420"/>
    <mergeCell ref="AK419:AK420"/>
    <mergeCell ref="Z419:Z420"/>
    <mergeCell ref="AA419:AA420"/>
    <mergeCell ref="AB419:AB420"/>
    <mergeCell ref="AC419:AC420"/>
    <mergeCell ref="AD419:AD420"/>
    <mergeCell ref="AE419:AE420"/>
    <mergeCell ref="T419:T420"/>
    <mergeCell ref="U419:U420"/>
    <mergeCell ref="V419:V420"/>
    <mergeCell ref="W419:W420"/>
    <mergeCell ref="X419:X420"/>
    <mergeCell ref="Y419:Y420"/>
    <mergeCell ref="N419:N420"/>
    <mergeCell ref="O419:O420"/>
    <mergeCell ref="P419:P420"/>
    <mergeCell ref="Q419:Q420"/>
    <mergeCell ref="R419:R420"/>
    <mergeCell ref="S419:S420"/>
    <mergeCell ref="U414:U415"/>
    <mergeCell ref="V414:V415"/>
    <mergeCell ref="AL416:AL417"/>
    <mergeCell ref="AM416:AM417"/>
    <mergeCell ref="AN416:AN417"/>
    <mergeCell ref="AC416:AC417"/>
    <mergeCell ref="AD416:AD417"/>
    <mergeCell ref="AE416:AE417"/>
    <mergeCell ref="AF416:AF417"/>
    <mergeCell ref="AG416:AG417"/>
    <mergeCell ref="AH416:AH417"/>
    <mergeCell ref="D418:I418"/>
    <mergeCell ref="C419:C420"/>
    <mergeCell ref="J419:J420"/>
    <mergeCell ref="K419:K420"/>
    <mergeCell ref="L419:L420"/>
    <mergeCell ref="M419:M420"/>
    <mergeCell ref="AI416:AI417"/>
    <mergeCell ref="AJ416:AJ417"/>
    <mergeCell ref="AK416:AK417"/>
    <mergeCell ref="W416:W417"/>
    <mergeCell ref="X416:X417"/>
    <mergeCell ref="Y416:Y417"/>
    <mergeCell ref="Z416:Z417"/>
    <mergeCell ref="AA416:AA417"/>
    <mergeCell ref="AB416:AB417"/>
    <mergeCell ref="Q416:Q417"/>
    <mergeCell ref="R416:R417"/>
    <mergeCell ref="S416:S417"/>
    <mergeCell ref="T416:T417"/>
    <mergeCell ref="U416:U417"/>
    <mergeCell ref="V416:V417"/>
    <mergeCell ref="W414:W415"/>
    <mergeCell ref="X414:X415"/>
    <mergeCell ref="Y414:Y415"/>
    <mergeCell ref="Z414:Z415"/>
    <mergeCell ref="O414:O415"/>
    <mergeCell ref="P414:P415"/>
    <mergeCell ref="Q414:Q415"/>
    <mergeCell ref="R414:R415"/>
    <mergeCell ref="S414:S415"/>
    <mergeCell ref="T414:T415"/>
    <mergeCell ref="AM414:AM415"/>
    <mergeCell ref="AN414:AN415"/>
    <mergeCell ref="C416:C417"/>
    <mergeCell ref="J416:J417"/>
    <mergeCell ref="K416:K417"/>
    <mergeCell ref="L416:L417"/>
    <mergeCell ref="M416:M417"/>
    <mergeCell ref="N416:N417"/>
    <mergeCell ref="O416:O417"/>
    <mergeCell ref="P416:P417"/>
    <mergeCell ref="AG414:AG415"/>
    <mergeCell ref="AH414:AH415"/>
    <mergeCell ref="AI414:AI415"/>
    <mergeCell ref="AJ414:AJ415"/>
    <mergeCell ref="AK414:AK415"/>
    <mergeCell ref="AL414:AL415"/>
    <mergeCell ref="AA414:AA415"/>
    <mergeCell ref="AB414:AB415"/>
    <mergeCell ref="AC414:AC415"/>
    <mergeCell ref="AD414:AD415"/>
    <mergeCell ref="AE414:AE415"/>
    <mergeCell ref="AF414:AF415"/>
    <mergeCell ref="Y411:Y412"/>
    <mergeCell ref="Z411:Z412"/>
    <mergeCell ref="O411:O412"/>
    <mergeCell ref="P411:P412"/>
    <mergeCell ref="Q411:Q412"/>
    <mergeCell ref="R411:R412"/>
    <mergeCell ref="S411:S412"/>
    <mergeCell ref="T411:T412"/>
    <mergeCell ref="AM411:AM412"/>
    <mergeCell ref="AN411:AN412"/>
    <mergeCell ref="AX411:AX412"/>
    <mergeCell ref="D413:I413"/>
    <mergeCell ref="C414:C415"/>
    <mergeCell ref="J414:J415"/>
    <mergeCell ref="K414:K415"/>
    <mergeCell ref="L414:L415"/>
    <mergeCell ref="M414:M415"/>
    <mergeCell ref="N414:N415"/>
    <mergeCell ref="AG411:AG412"/>
    <mergeCell ref="AH411:AH412"/>
    <mergeCell ref="AI411:AI412"/>
    <mergeCell ref="AJ411:AJ412"/>
    <mergeCell ref="AK411:AK412"/>
    <mergeCell ref="AL411:AL412"/>
    <mergeCell ref="AA411:AA412"/>
    <mergeCell ref="AB411:AB412"/>
    <mergeCell ref="AC411:AC412"/>
    <mergeCell ref="AD411:AD412"/>
    <mergeCell ref="AE411:AE412"/>
    <mergeCell ref="AF411:AF412"/>
    <mergeCell ref="U411:U412"/>
    <mergeCell ref="V411:V412"/>
    <mergeCell ref="N409:N410"/>
    <mergeCell ref="O409:O410"/>
    <mergeCell ref="P409:P410"/>
    <mergeCell ref="Q409:Q410"/>
    <mergeCell ref="R409:R410"/>
    <mergeCell ref="S409:S410"/>
    <mergeCell ref="AL409:AL410"/>
    <mergeCell ref="AM409:AM410"/>
    <mergeCell ref="AN409:AN410"/>
    <mergeCell ref="AX409:AX410"/>
    <mergeCell ref="C411:C412"/>
    <mergeCell ref="J411:J412"/>
    <mergeCell ref="K411:K412"/>
    <mergeCell ref="L411:L412"/>
    <mergeCell ref="M411:M412"/>
    <mergeCell ref="N411:N412"/>
    <mergeCell ref="AF409:AF410"/>
    <mergeCell ref="AG409:AG410"/>
    <mergeCell ref="AH409:AH410"/>
    <mergeCell ref="AI409:AI410"/>
    <mergeCell ref="AJ409:AJ410"/>
    <mergeCell ref="AK409:AK410"/>
    <mergeCell ref="Z409:Z410"/>
    <mergeCell ref="AA409:AA410"/>
    <mergeCell ref="AB409:AB410"/>
    <mergeCell ref="AC409:AC410"/>
    <mergeCell ref="AD409:AD410"/>
    <mergeCell ref="AE409:AE410"/>
    <mergeCell ref="T409:T410"/>
    <mergeCell ref="U409:U410"/>
    <mergeCell ref="W411:W412"/>
    <mergeCell ref="X411:X412"/>
    <mergeCell ref="AN405:AN406"/>
    <mergeCell ref="AC405:AC406"/>
    <mergeCell ref="AD405:AD406"/>
    <mergeCell ref="AE405:AE406"/>
    <mergeCell ref="AF405:AF406"/>
    <mergeCell ref="AG405:AG406"/>
    <mergeCell ref="AH405:AH406"/>
    <mergeCell ref="D408:I408"/>
    <mergeCell ref="C409:C410"/>
    <mergeCell ref="J409:J410"/>
    <mergeCell ref="K409:K410"/>
    <mergeCell ref="L409:L410"/>
    <mergeCell ref="M409:M410"/>
    <mergeCell ref="AI405:AI406"/>
    <mergeCell ref="AJ405:AJ406"/>
    <mergeCell ref="AK405:AK406"/>
    <mergeCell ref="W405:W406"/>
    <mergeCell ref="X405:X406"/>
    <mergeCell ref="Y405:Y406"/>
    <mergeCell ref="Z405:Z406"/>
    <mergeCell ref="AA405:AA406"/>
    <mergeCell ref="AB405:AB406"/>
    <mergeCell ref="Q405:Q406"/>
    <mergeCell ref="R405:R406"/>
    <mergeCell ref="S405:S406"/>
    <mergeCell ref="T405:T406"/>
    <mergeCell ref="U405:U406"/>
    <mergeCell ref="V405:V406"/>
    <mergeCell ref="V409:V410"/>
    <mergeCell ref="W409:W410"/>
    <mergeCell ref="X409:X410"/>
    <mergeCell ref="Y409:Y410"/>
    <mergeCell ref="O403:O404"/>
    <mergeCell ref="P403:P404"/>
    <mergeCell ref="Q403:Q404"/>
    <mergeCell ref="R403:R404"/>
    <mergeCell ref="S403:S404"/>
    <mergeCell ref="T403:T404"/>
    <mergeCell ref="AM403:AM404"/>
    <mergeCell ref="AN403:AN404"/>
    <mergeCell ref="C405:C406"/>
    <mergeCell ref="J405:J406"/>
    <mergeCell ref="K405:K406"/>
    <mergeCell ref="L405:L406"/>
    <mergeCell ref="M405:M406"/>
    <mergeCell ref="N405:N406"/>
    <mergeCell ref="O405:O406"/>
    <mergeCell ref="P405:P406"/>
    <mergeCell ref="AG403:AG404"/>
    <mergeCell ref="AH403:AH404"/>
    <mergeCell ref="AI403:AI404"/>
    <mergeCell ref="AJ403:AJ404"/>
    <mergeCell ref="AK403:AK404"/>
    <mergeCell ref="AL403:AL404"/>
    <mergeCell ref="AA403:AA404"/>
    <mergeCell ref="AB403:AB404"/>
    <mergeCell ref="AC403:AC404"/>
    <mergeCell ref="AD403:AD404"/>
    <mergeCell ref="AE403:AE404"/>
    <mergeCell ref="AF403:AF404"/>
    <mergeCell ref="U403:U404"/>
    <mergeCell ref="V403:V404"/>
    <mergeCell ref="AL405:AL406"/>
    <mergeCell ref="AM405:AM406"/>
    <mergeCell ref="AX401:AX402"/>
    <mergeCell ref="AD401:AD402"/>
    <mergeCell ref="AE401:AE402"/>
    <mergeCell ref="AF401:AF402"/>
    <mergeCell ref="AG401:AG402"/>
    <mergeCell ref="AH401:AH402"/>
    <mergeCell ref="AI401:AI402"/>
    <mergeCell ref="C403:C404"/>
    <mergeCell ref="J403:J404"/>
    <mergeCell ref="K403:K404"/>
    <mergeCell ref="L403:L404"/>
    <mergeCell ref="M403:M404"/>
    <mergeCell ref="N403:N404"/>
    <mergeCell ref="AJ401:AJ402"/>
    <mergeCell ref="AK401:AK402"/>
    <mergeCell ref="AL401:AL402"/>
    <mergeCell ref="X401:X402"/>
    <mergeCell ref="Y401:Y402"/>
    <mergeCell ref="Z401:Z402"/>
    <mergeCell ref="AA401:AA402"/>
    <mergeCell ref="AB401:AB402"/>
    <mergeCell ref="AC401:AC402"/>
    <mergeCell ref="R401:R402"/>
    <mergeCell ref="S401:S402"/>
    <mergeCell ref="T401:T402"/>
    <mergeCell ref="U401:U402"/>
    <mergeCell ref="V401:V402"/>
    <mergeCell ref="W401:W402"/>
    <mergeCell ref="W403:W404"/>
    <mergeCell ref="X403:X404"/>
    <mergeCell ref="Y403:Y404"/>
    <mergeCell ref="Z403:Z404"/>
    <mergeCell ref="T398:T399"/>
    <mergeCell ref="U398:U399"/>
    <mergeCell ref="AN398:AN399"/>
    <mergeCell ref="C401:C402"/>
    <mergeCell ref="J401:J402"/>
    <mergeCell ref="K401:K402"/>
    <mergeCell ref="L401:L402"/>
    <mergeCell ref="M401:M402"/>
    <mergeCell ref="N401:N402"/>
    <mergeCell ref="O401:O402"/>
    <mergeCell ref="P401:P402"/>
    <mergeCell ref="Q401:Q402"/>
    <mergeCell ref="AH398:AH399"/>
    <mergeCell ref="AI398:AI399"/>
    <mergeCell ref="AJ398:AJ399"/>
    <mergeCell ref="AK398:AK399"/>
    <mergeCell ref="AL398:AL399"/>
    <mergeCell ref="AM398:AM399"/>
    <mergeCell ref="AB398:AB399"/>
    <mergeCell ref="AC398:AC399"/>
    <mergeCell ref="AD398:AD399"/>
    <mergeCell ref="AE398:AE399"/>
    <mergeCell ref="AF398:AF399"/>
    <mergeCell ref="AG398:AG399"/>
    <mergeCell ref="V398:V399"/>
    <mergeCell ref="W398:W399"/>
    <mergeCell ref="AM401:AM402"/>
    <mergeCell ref="AN401:AN402"/>
    <mergeCell ref="AM396:AM397"/>
    <mergeCell ref="AN396:AN397"/>
    <mergeCell ref="AX396:AX397"/>
    <mergeCell ref="C398:C399"/>
    <mergeCell ref="J398:J399"/>
    <mergeCell ref="K398:K399"/>
    <mergeCell ref="L398:L399"/>
    <mergeCell ref="M398:M399"/>
    <mergeCell ref="N398:N399"/>
    <mergeCell ref="O398:O399"/>
    <mergeCell ref="AG396:AG397"/>
    <mergeCell ref="AH396:AH397"/>
    <mergeCell ref="AI396:AI397"/>
    <mergeCell ref="AJ396:AJ397"/>
    <mergeCell ref="AK396:AK397"/>
    <mergeCell ref="AL396:AL397"/>
    <mergeCell ref="AA396:AA397"/>
    <mergeCell ref="AB396:AB397"/>
    <mergeCell ref="AC396:AC397"/>
    <mergeCell ref="AD396:AD397"/>
    <mergeCell ref="AE396:AE397"/>
    <mergeCell ref="AF396:AF397"/>
    <mergeCell ref="U396:U397"/>
    <mergeCell ref="V396:V397"/>
    <mergeCell ref="X398:X399"/>
    <mergeCell ref="Y398:Y399"/>
    <mergeCell ref="Z398:Z399"/>
    <mergeCell ref="AA398:AA399"/>
    <mergeCell ref="P398:P399"/>
    <mergeCell ref="Q398:Q399"/>
    <mergeCell ref="R398:R399"/>
    <mergeCell ref="S398:S399"/>
    <mergeCell ref="AD375:AD376"/>
    <mergeCell ref="AE375:AE376"/>
    <mergeCell ref="AF375:AF376"/>
    <mergeCell ref="U375:U376"/>
    <mergeCell ref="V375:V376"/>
    <mergeCell ref="N379:N393"/>
    <mergeCell ref="O379:O393"/>
    <mergeCell ref="P379:P393"/>
    <mergeCell ref="D394:I394"/>
    <mergeCell ref="C396:C397"/>
    <mergeCell ref="J396:J397"/>
    <mergeCell ref="K396:K397"/>
    <mergeCell ref="L396:L397"/>
    <mergeCell ref="M396:M397"/>
    <mergeCell ref="N396:N397"/>
    <mergeCell ref="W396:W397"/>
    <mergeCell ref="X396:X397"/>
    <mergeCell ref="Y396:Y397"/>
    <mergeCell ref="Z396:Z397"/>
    <mergeCell ref="O396:O397"/>
    <mergeCell ref="P396:P397"/>
    <mergeCell ref="Q396:Q397"/>
    <mergeCell ref="R396:R397"/>
    <mergeCell ref="S396:S397"/>
    <mergeCell ref="T396:T397"/>
    <mergeCell ref="AE373:AE374"/>
    <mergeCell ref="T373:T374"/>
    <mergeCell ref="U373:U374"/>
    <mergeCell ref="W375:W376"/>
    <mergeCell ref="X375:X376"/>
    <mergeCell ref="Y375:Y376"/>
    <mergeCell ref="Z375:Z376"/>
    <mergeCell ref="O375:O376"/>
    <mergeCell ref="P375:P376"/>
    <mergeCell ref="Q375:Q376"/>
    <mergeCell ref="R375:R376"/>
    <mergeCell ref="S375:S376"/>
    <mergeCell ref="T375:T376"/>
    <mergeCell ref="AM375:AM376"/>
    <mergeCell ref="AN375:AN376"/>
    <mergeCell ref="AX375:AX376"/>
    <mergeCell ref="C378:C393"/>
    <mergeCell ref="D378:I378"/>
    <mergeCell ref="D379:I393"/>
    <mergeCell ref="J379:J393"/>
    <mergeCell ref="K379:K393"/>
    <mergeCell ref="L379:L393"/>
    <mergeCell ref="M379:M393"/>
    <mergeCell ref="AG375:AG376"/>
    <mergeCell ref="AH375:AH376"/>
    <mergeCell ref="AI375:AI376"/>
    <mergeCell ref="AJ375:AJ376"/>
    <mergeCell ref="AK375:AK376"/>
    <mergeCell ref="AL375:AL376"/>
    <mergeCell ref="AA375:AA376"/>
    <mergeCell ref="AB375:AB376"/>
    <mergeCell ref="AC375:AC376"/>
    <mergeCell ref="W370:W371"/>
    <mergeCell ref="V373:V374"/>
    <mergeCell ref="W373:W374"/>
    <mergeCell ref="X373:X374"/>
    <mergeCell ref="Y373:Y374"/>
    <mergeCell ref="N373:N374"/>
    <mergeCell ref="O373:O374"/>
    <mergeCell ref="P373:P374"/>
    <mergeCell ref="Q373:Q374"/>
    <mergeCell ref="R373:R374"/>
    <mergeCell ref="S373:S374"/>
    <mergeCell ref="AL373:AL374"/>
    <mergeCell ref="AM373:AM374"/>
    <mergeCell ref="AN373:AN374"/>
    <mergeCell ref="AX373:AX374"/>
    <mergeCell ref="C375:C376"/>
    <mergeCell ref="J375:J376"/>
    <mergeCell ref="K375:K376"/>
    <mergeCell ref="L375:L376"/>
    <mergeCell ref="M375:M376"/>
    <mergeCell ref="N375:N376"/>
    <mergeCell ref="AF373:AF374"/>
    <mergeCell ref="AG373:AG374"/>
    <mergeCell ref="AH373:AH374"/>
    <mergeCell ref="AI373:AI374"/>
    <mergeCell ref="AJ373:AJ374"/>
    <mergeCell ref="AK373:AK374"/>
    <mergeCell ref="Z373:Z374"/>
    <mergeCell ref="AA373:AA374"/>
    <mergeCell ref="AB373:AB374"/>
    <mergeCell ref="AC373:AC374"/>
    <mergeCell ref="AD373:AD374"/>
    <mergeCell ref="AH368:AH369"/>
    <mergeCell ref="W368:W369"/>
    <mergeCell ref="X368:X369"/>
    <mergeCell ref="AM370:AM371"/>
    <mergeCell ref="AN370:AN371"/>
    <mergeCell ref="AX370:AX371"/>
    <mergeCell ref="AD370:AD371"/>
    <mergeCell ref="AE370:AE371"/>
    <mergeCell ref="AF370:AF371"/>
    <mergeCell ref="AG370:AG371"/>
    <mergeCell ref="AH370:AH371"/>
    <mergeCell ref="AI370:AI371"/>
    <mergeCell ref="D372:I372"/>
    <mergeCell ref="C373:C374"/>
    <mergeCell ref="J373:J374"/>
    <mergeCell ref="K373:K374"/>
    <mergeCell ref="L373:L374"/>
    <mergeCell ref="M373:M374"/>
    <mergeCell ref="AJ370:AJ371"/>
    <mergeCell ref="AK370:AK371"/>
    <mergeCell ref="AL370:AL371"/>
    <mergeCell ref="X370:X371"/>
    <mergeCell ref="Y370:Y371"/>
    <mergeCell ref="Z370:Z371"/>
    <mergeCell ref="AA370:AA371"/>
    <mergeCell ref="AB370:AB371"/>
    <mergeCell ref="AC370:AC371"/>
    <mergeCell ref="R370:R371"/>
    <mergeCell ref="S370:S371"/>
    <mergeCell ref="T370:T371"/>
    <mergeCell ref="U370:U371"/>
    <mergeCell ref="V370:V371"/>
    <mergeCell ref="V365:V366"/>
    <mergeCell ref="Y368:Y369"/>
    <mergeCell ref="Z368:Z369"/>
    <mergeCell ref="AA368:AA369"/>
    <mergeCell ref="AB368:AB369"/>
    <mergeCell ref="Q368:Q369"/>
    <mergeCell ref="R368:R369"/>
    <mergeCell ref="S368:S369"/>
    <mergeCell ref="T368:T369"/>
    <mergeCell ref="U368:U369"/>
    <mergeCell ref="V368:V369"/>
    <mergeCell ref="AX368:AX369"/>
    <mergeCell ref="C370:C371"/>
    <mergeCell ref="J370:J371"/>
    <mergeCell ref="K370:K371"/>
    <mergeCell ref="L370:L371"/>
    <mergeCell ref="M370:M371"/>
    <mergeCell ref="N370:N371"/>
    <mergeCell ref="O370:O371"/>
    <mergeCell ref="P370:P371"/>
    <mergeCell ref="Q370:Q371"/>
    <mergeCell ref="AI368:AI369"/>
    <mergeCell ref="AJ368:AJ369"/>
    <mergeCell ref="AK368:AK369"/>
    <mergeCell ref="AL368:AL369"/>
    <mergeCell ref="AM368:AM369"/>
    <mergeCell ref="AN368:AN369"/>
    <mergeCell ref="AC368:AC369"/>
    <mergeCell ref="AD368:AD369"/>
    <mergeCell ref="AE368:AE369"/>
    <mergeCell ref="AF368:AF369"/>
    <mergeCell ref="AG368:AG369"/>
    <mergeCell ref="X365:X366"/>
    <mergeCell ref="Y365:Y366"/>
    <mergeCell ref="Z365:Z366"/>
    <mergeCell ref="O365:O366"/>
    <mergeCell ref="P365:P366"/>
    <mergeCell ref="Q365:Q366"/>
    <mergeCell ref="R365:R366"/>
    <mergeCell ref="S365:S366"/>
    <mergeCell ref="T365:T366"/>
    <mergeCell ref="AM365:AM366"/>
    <mergeCell ref="AN365:AN366"/>
    <mergeCell ref="C368:C369"/>
    <mergeCell ref="J368:J369"/>
    <mergeCell ref="K368:K369"/>
    <mergeCell ref="L368:L369"/>
    <mergeCell ref="M368:M369"/>
    <mergeCell ref="N368:N369"/>
    <mergeCell ref="O368:O369"/>
    <mergeCell ref="P368:P369"/>
    <mergeCell ref="AG365:AG366"/>
    <mergeCell ref="AH365:AH366"/>
    <mergeCell ref="AI365:AI366"/>
    <mergeCell ref="AJ365:AJ366"/>
    <mergeCell ref="AK365:AK366"/>
    <mergeCell ref="AL365:AL366"/>
    <mergeCell ref="AA365:AA366"/>
    <mergeCell ref="AB365:AB366"/>
    <mergeCell ref="AC365:AC366"/>
    <mergeCell ref="AD365:AD366"/>
    <mergeCell ref="AE365:AE366"/>
    <mergeCell ref="AF365:AF366"/>
    <mergeCell ref="U365:U366"/>
    <mergeCell ref="Y363:Y364"/>
    <mergeCell ref="N363:N364"/>
    <mergeCell ref="O363:O364"/>
    <mergeCell ref="P363:P364"/>
    <mergeCell ref="Q363:Q364"/>
    <mergeCell ref="R363:R364"/>
    <mergeCell ref="S363:S364"/>
    <mergeCell ref="AL363:AL364"/>
    <mergeCell ref="AM363:AM364"/>
    <mergeCell ref="AN363:AN364"/>
    <mergeCell ref="AX363:AX364"/>
    <mergeCell ref="C365:C366"/>
    <mergeCell ref="J365:J366"/>
    <mergeCell ref="K365:K366"/>
    <mergeCell ref="L365:L366"/>
    <mergeCell ref="M365:M366"/>
    <mergeCell ref="N365:N366"/>
    <mergeCell ref="AF363:AF364"/>
    <mergeCell ref="AG363:AG364"/>
    <mergeCell ref="AH363:AH364"/>
    <mergeCell ref="AI363:AI364"/>
    <mergeCell ref="AJ363:AJ364"/>
    <mergeCell ref="AK363:AK364"/>
    <mergeCell ref="Z363:Z364"/>
    <mergeCell ref="AA363:AA364"/>
    <mergeCell ref="AB363:AB364"/>
    <mergeCell ref="AC363:AC364"/>
    <mergeCell ref="AD363:AD364"/>
    <mergeCell ref="AE363:AE364"/>
    <mergeCell ref="T363:T364"/>
    <mergeCell ref="U363:U364"/>
    <mergeCell ref="W365:W366"/>
    <mergeCell ref="X81:X82"/>
    <mergeCell ref="X346:X347"/>
    <mergeCell ref="Y346:Y347"/>
    <mergeCell ref="Z346:Z347"/>
    <mergeCell ref="AA346:AA347"/>
    <mergeCell ref="AN346:AN347"/>
    <mergeCell ref="AX346:AX347"/>
    <mergeCell ref="D349:I349"/>
    <mergeCell ref="D350:I360"/>
    <mergeCell ref="D361:I361"/>
    <mergeCell ref="C363:C364"/>
    <mergeCell ref="J363:J364"/>
    <mergeCell ref="K363:K364"/>
    <mergeCell ref="L363:L364"/>
    <mergeCell ref="M363:M364"/>
    <mergeCell ref="AH346:AH347"/>
    <mergeCell ref="AI346:AI347"/>
    <mergeCell ref="AJ346:AJ347"/>
    <mergeCell ref="AK346:AK347"/>
    <mergeCell ref="AL346:AL347"/>
    <mergeCell ref="AM346:AM347"/>
    <mergeCell ref="AB346:AB347"/>
    <mergeCell ref="AC346:AC347"/>
    <mergeCell ref="AD346:AD347"/>
    <mergeCell ref="AE346:AE347"/>
    <mergeCell ref="AF346:AF347"/>
    <mergeCell ref="AG346:AG347"/>
    <mergeCell ref="V346:V347"/>
    <mergeCell ref="W346:W347"/>
    <mergeCell ref="V363:V364"/>
    <mergeCell ref="W363:W364"/>
    <mergeCell ref="X363:X364"/>
    <mergeCell ref="S81:S82"/>
    <mergeCell ref="T81:T82"/>
    <mergeCell ref="U81:U82"/>
    <mergeCell ref="V81:V82"/>
    <mergeCell ref="D333:I333"/>
    <mergeCell ref="D334:I344"/>
    <mergeCell ref="C346:C347"/>
    <mergeCell ref="J346:J347"/>
    <mergeCell ref="K346:K347"/>
    <mergeCell ref="L346:L347"/>
    <mergeCell ref="M346:M347"/>
    <mergeCell ref="N346:N347"/>
    <mergeCell ref="O346:O347"/>
    <mergeCell ref="P346:P347"/>
    <mergeCell ref="Q346:Q347"/>
    <mergeCell ref="R346:R347"/>
    <mergeCell ref="S346:S347"/>
    <mergeCell ref="T346:T347"/>
    <mergeCell ref="U346:U347"/>
    <mergeCell ref="G216:I216"/>
    <mergeCell ref="Q88:Q89"/>
    <mergeCell ref="R88:R89"/>
    <mergeCell ref="S88:S89"/>
    <mergeCell ref="T88:T89"/>
    <mergeCell ref="U88:U89"/>
    <mergeCell ref="V88:V89"/>
    <mergeCell ref="D97:I97"/>
    <mergeCell ref="Q98:Q99"/>
    <mergeCell ref="R98:R99"/>
    <mergeCell ref="S98:S99"/>
    <mergeCell ref="T98:T99"/>
    <mergeCell ref="U98:U99"/>
    <mergeCell ref="AN79:AN80"/>
    <mergeCell ref="AH79:AH80"/>
    <mergeCell ref="AI79:AI80"/>
    <mergeCell ref="AJ79:AJ80"/>
    <mergeCell ref="AK79:AK80"/>
    <mergeCell ref="AL79:AL80"/>
    <mergeCell ref="AM79:AM80"/>
    <mergeCell ref="AB79:AB80"/>
    <mergeCell ref="AC79:AC80"/>
    <mergeCell ref="AD79:AD80"/>
    <mergeCell ref="AE79:AE80"/>
    <mergeCell ref="AF79:AF80"/>
    <mergeCell ref="AG79:AG80"/>
    <mergeCell ref="V79:V80"/>
    <mergeCell ref="W79:W80"/>
    <mergeCell ref="Y81:Y82"/>
    <mergeCell ref="Z81:Z82"/>
    <mergeCell ref="AA81:AA82"/>
    <mergeCell ref="AB81:AB82"/>
    <mergeCell ref="AI81:AI82"/>
    <mergeCell ref="AJ81:AJ82"/>
    <mergeCell ref="AK81:AK82"/>
    <mergeCell ref="AL81:AL82"/>
    <mergeCell ref="AM81:AM82"/>
    <mergeCell ref="AN81:AN82"/>
    <mergeCell ref="AC81:AC82"/>
    <mergeCell ref="AD81:AD82"/>
    <mergeCell ref="AE81:AE82"/>
    <mergeCell ref="AF81:AF82"/>
    <mergeCell ref="AG81:AG82"/>
    <mergeCell ref="AH81:AH82"/>
    <mergeCell ref="W81:W82"/>
    <mergeCell ref="D40:I40"/>
    <mergeCell ref="D30:I30"/>
    <mergeCell ref="J35:J47"/>
    <mergeCell ref="K35:K47"/>
    <mergeCell ref="L35:L47"/>
    <mergeCell ref="M35:M47"/>
    <mergeCell ref="D28:I28"/>
    <mergeCell ref="D29:I29"/>
    <mergeCell ref="D34:I34"/>
    <mergeCell ref="N35:N47"/>
    <mergeCell ref="O35:O47"/>
    <mergeCell ref="P35:P47"/>
    <mergeCell ref="Q41:Q42"/>
    <mergeCell ref="R41:R42"/>
    <mergeCell ref="S41:S42"/>
    <mergeCell ref="T41:T42"/>
    <mergeCell ref="AD71:AD72"/>
    <mergeCell ref="X71:X72"/>
    <mergeCell ref="Y71:Y72"/>
    <mergeCell ref="Z71:Z72"/>
    <mergeCell ref="AA71:AA72"/>
    <mergeCell ref="AB71:AB72"/>
    <mergeCell ref="AC71:AC72"/>
    <mergeCell ref="R71:R72"/>
    <mergeCell ref="S71:S72"/>
    <mergeCell ref="T71:T72"/>
    <mergeCell ref="U71:U72"/>
    <mergeCell ref="V71:V72"/>
    <mergeCell ref="W71:W72"/>
    <mergeCell ref="Z41:Z42"/>
    <mergeCell ref="AA41:AA42"/>
    <mergeCell ref="AB41:AB42"/>
    <mergeCell ref="AE35:AE36"/>
    <mergeCell ref="AF35:AF36"/>
    <mergeCell ref="AG35:AG36"/>
    <mergeCell ref="Q35:Q36"/>
    <mergeCell ref="R35:R36"/>
    <mergeCell ref="S35:S36"/>
    <mergeCell ref="T35:T36"/>
    <mergeCell ref="U35:U36"/>
    <mergeCell ref="V35:V36"/>
    <mergeCell ref="W35:W36"/>
    <mergeCell ref="X35:X36"/>
    <mergeCell ref="C17:O18"/>
    <mergeCell ref="C21:M21"/>
    <mergeCell ref="C23:M23"/>
    <mergeCell ref="C26:C27"/>
    <mergeCell ref="D26:I27"/>
    <mergeCell ref="J26:J27"/>
    <mergeCell ref="K26:K27"/>
    <mergeCell ref="L26:M26"/>
    <mergeCell ref="N26:O26"/>
    <mergeCell ref="AM39:AM40"/>
    <mergeCell ref="AN39:AN40"/>
    <mergeCell ref="AH35:AH36"/>
    <mergeCell ref="AI35:AI36"/>
    <mergeCell ref="AJ35:AJ36"/>
    <mergeCell ref="AK35:AK36"/>
    <mergeCell ref="AL35:AL36"/>
    <mergeCell ref="AM35:AM36"/>
    <mergeCell ref="AN35:AN36"/>
    <mergeCell ref="Q37:Q38"/>
    <mergeCell ref="R37:R38"/>
    <mergeCell ref="S37:S38"/>
    <mergeCell ref="T37:T38"/>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Y35:Y36"/>
    <mergeCell ref="Z35:Z36"/>
    <mergeCell ref="AA35:AA36"/>
    <mergeCell ref="AB35:AB36"/>
    <mergeCell ref="AC35:AC36"/>
    <mergeCell ref="AD35:AD36"/>
    <mergeCell ref="AH37:AH38"/>
    <mergeCell ref="AI37:AI38"/>
    <mergeCell ref="AJ37:AJ38"/>
    <mergeCell ref="AK37:AK38"/>
    <mergeCell ref="AL37:AL38"/>
    <mergeCell ref="AL41:AL42"/>
    <mergeCell ref="AM41:AM42"/>
    <mergeCell ref="AN41:AN42"/>
    <mergeCell ref="AM37:AM38"/>
    <mergeCell ref="AN37:AN38"/>
    <mergeCell ref="Q39:Q40"/>
    <mergeCell ref="R39:R40"/>
    <mergeCell ref="S39:S40"/>
    <mergeCell ref="T39:T40"/>
    <mergeCell ref="U39:U40"/>
    <mergeCell ref="V39:V40"/>
    <mergeCell ref="W39:W40"/>
    <mergeCell ref="X39:X40"/>
    <mergeCell ref="Y39:Y40"/>
    <mergeCell ref="Z39:Z40"/>
    <mergeCell ref="AA39:AA40"/>
    <mergeCell ref="AB39:AB40"/>
    <mergeCell ref="AC39:AC40"/>
    <mergeCell ref="AD39:AD40"/>
    <mergeCell ref="AE39:AE40"/>
    <mergeCell ref="AF39:AF40"/>
    <mergeCell ref="AG39:AG40"/>
    <mergeCell ref="AH39:AH40"/>
    <mergeCell ref="AI39:AI40"/>
    <mergeCell ref="AJ39:AJ40"/>
    <mergeCell ref="AK39:AK40"/>
    <mergeCell ref="AL39:AL40"/>
    <mergeCell ref="Q44:Q45"/>
    <mergeCell ref="R44:R45"/>
    <mergeCell ref="S44:S45"/>
    <mergeCell ref="T44:T45"/>
    <mergeCell ref="U44:U45"/>
    <mergeCell ref="V44:V45"/>
    <mergeCell ref="W44:W45"/>
    <mergeCell ref="X44:X45"/>
    <mergeCell ref="Y44:Y45"/>
    <mergeCell ref="Z44:Z45"/>
    <mergeCell ref="AA44:AA45"/>
    <mergeCell ref="AB44:AB45"/>
    <mergeCell ref="AC44:AC45"/>
    <mergeCell ref="AD44:AD45"/>
    <mergeCell ref="AE44:AE45"/>
    <mergeCell ref="AF44:AF45"/>
    <mergeCell ref="AG44:AG45"/>
    <mergeCell ref="AH44:AH45"/>
    <mergeCell ref="AI44:AI45"/>
    <mergeCell ref="AJ44:AJ45"/>
    <mergeCell ref="AK44:AK45"/>
    <mergeCell ref="AL44:AL45"/>
    <mergeCell ref="AM44:AM45"/>
    <mergeCell ref="AN44:AN45"/>
    <mergeCell ref="U41:U42"/>
    <mergeCell ref="V41:V42"/>
    <mergeCell ref="W41:W42"/>
    <mergeCell ref="X41:X42"/>
    <mergeCell ref="Y41:Y42"/>
    <mergeCell ref="AH46:AH47"/>
    <mergeCell ref="AI46:AI47"/>
    <mergeCell ref="AJ46:AJ47"/>
    <mergeCell ref="AK46:AK47"/>
    <mergeCell ref="AL46:AL47"/>
    <mergeCell ref="AM46:AM47"/>
    <mergeCell ref="AN46:AN47"/>
    <mergeCell ref="AG46:AG47"/>
    <mergeCell ref="AC41:AC42"/>
    <mergeCell ref="AD41:AD42"/>
    <mergeCell ref="AE41:AE42"/>
    <mergeCell ref="AF41:AF42"/>
    <mergeCell ref="AG41:AG42"/>
    <mergeCell ref="AH41:AH42"/>
    <mergeCell ref="AI41:AI42"/>
    <mergeCell ref="AJ41:AJ42"/>
    <mergeCell ref="AK41:AK42"/>
    <mergeCell ref="Z62:Z63"/>
    <mergeCell ref="AA62:AA63"/>
    <mergeCell ref="AB62:AB63"/>
    <mergeCell ref="AC62:AC63"/>
    <mergeCell ref="AD62:AD63"/>
    <mergeCell ref="AE62:AE63"/>
    <mergeCell ref="AF62:AF63"/>
    <mergeCell ref="Q71:Q72"/>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E71:AE72"/>
    <mergeCell ref="AF71:AF72"/>
    <mergeCell ref="V66:V67"/>
    <mergeCell ref="W66:W67"/>
    <mergeCell ref="X66:X67"/>
    <mergeCell ref="Y66:Y67"/>
    <mergeCell ref="Z66:Z67"/>
    <mergeCell ref="AA66:AA67"/>
    <mergeCell ref="AL52:AL53"/>
    <mergeCell ref="AM52:AM53"/>
    <mergeCell ref="AN52:AN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52:AJ53"/>
    <mergeCell ref="AK52:AK53"/>
    <mergeCell ref="AK77:AK78"/>
    <mergeCell ref="D76:I76"/>
    <mergeCell ref="J77:J89"/>
    <mergeCell ref="K77:K89"/>
    <mergeCell ref="L77:L89"/>
    <mergeCell ref="M77:M89"/>
    <mergeCell ref="N77:N89"/>
    <mergeCell ref="O77:O89"/>
    <mergeCell ref="P77:P89"/>
    <mergeCell ref="Q77:Q78"/>
    <mergeCell ref="R77:R78"/>
    <mergeCell ref="S77:S78"/>
    <mergeCell ref="T77:T78"/>
    <mergeCell ref="U77:U78"/>
    <mergeCell ref="V77:V78"/>
    <mergeCell ref="W77:W78"/>
    <mergeCell ref="X77:X78"/>
    <mergeCell ref="Y77:Y78"/>
    <mergeCell ref="Z77:Z78"/>
    <mergeCell ref="AA77:AA78"/>
    <mergeCell ref="AB77:AB78"/>
    <mergeCell ref="X79:X80"/>
    <mergeCell ref="Y79:Y80"/>
    <mergeCell ref="Z79:Z80"/>
    <mergeCell ref="AA79:AA80"/>
    <mergeCell ref="Q79:Q80"/>
    <mergeCell ref="R79:R80"/>
    <mergeCell ref="S79:S80"/>
    <mergeCell ref="T79:T80"/>
    <mergeCell ref="U79:U80"/>
    <mergeCell ref="Q81:Q82"/>
    <mergeCell ref="R81:R82"/>
    <mergeCell ref="AL77:AL78"/>
    <mergeCell ref="AM77:AM78"/>
    <mergeCell ref="AN77:AN78"/>
    <mergeCell ref="D82:I82"/>
    <mergeCell ref="Q83:Q84"/>
    <mergeCell ref="R83:R84"/>
    <mergeCell ref="S83:S84"/>
    <mergeCell ref="T83:T84"/>
    <mergeCell ref="U83:U84"/>
    <mergeCell ref="V83:V84"/>
    <mergeCell ref="W83:W84"/>
    <mergeCell ref="X83:X84"/>
    <mergeCell ref="Y83:Y84"/>
    <mergeCell ref="Z83:Z84"/>
    <mergeCell ref="AA83:AA84"/>
    <mergeCell ref="AB83:AB84"/>
    <mergeCell ref="AC83:AC84"/>
    <mergeCell ref="AD83:AD84"/>
    <mergeCell ref="AE83:AE84"/>
    <mergeCell ref="AF83:AF84"/>
    <mergeCell ref="AG83:AG84"/>
    <mergeCell ref="AH83:AH84"/>
    <mergeCell ref="AI83:AI84"/>
    <mergeCell ref="AJ83:AJ84"/>
    <mergeCell ref="AC77:AC78"/>
    <mergeCell ref="AD77:AD78"/>
    <mergeCell ref="AE77:AE78"/>
    <mergeCell ref="AF77:AF78"/>
    <mergeCell ref="AG77:AG78"/>
    <mergeCell ref="AH77:AH78"/>
    <mergeCell ref="AI77:AI78"/>
    <mergeCell ref="AJ77:AJ78"/>
    <mergeCell ref="AK83:AK84"/>
    <mergeCell ref="AL83:AL84"/>
    <mergeCell ref="AM83:AM84"/>
    <mergeCell ref="AN83:AN84"/>
    <mergeCell ref="Q86:Q87"/>
    <mergeCell ref="R86:R87"/>
    <mergeCell ref="S86:S87"/>
    <mergeCell ref="T86:T87"/>
    <mergeCell ref="U86:U87"/>
    <mergeCell ref="V86:V87"/>
    <mergeCell ref="W86:W87"/>
    <mergeCell ref="X86:X87"/>
    <mergeCell ref="Y86:Y87"/>
    <mergeCell ref="Z86:Z87"/>
    <mergeCell ref="AA86:AA87"/>
    <mergeCell ref="AB86:AB87"/>
    <mergeCell ref="AC86:AC87"/>
    <mergeCell ref="AD86:AD87"/>
    <mergeCell ref="AE86:AE87"/>
    <mergeCell ref="AF86:AF87"/>
    <mergeCell ref="AG86:AG87"/>
    <mergeCell ref="AH86:AH87"/>
    <mergeCell ref="AI86:AI87"/>
    <mergeCell ref="AJ86:AJ87"/>
    <mergeCell ref="AK86:AK87"/>
    <mergeCell ref="AL86:AL87"/>
    <mergeCell ref="AM86:AM87"/>
    <mergeCell ref="AN86:AN87"/>
    <mergeCell ref="W88:W89"/>
    <mergeCell ref="X88:X89"/>
    <mergeCell ref="Y88:Y89"/>
    <mergeCell ref="Z88:Z89"/>
    <mergeCell ref="AA88:AA89"/>
    <mergeCell ref="AB88:AB89"/>
    <mergeCell ref="AC88:AC89"/>
    <mergeCell ref="AD88:AD89"/>
    <mergeCell ref="AE88:AE89"/>
    <mergeCell ref="AF88:AF89"/>
    <mergeCell ref="AG88:AG89"/>
    <mergeCell ref="AH88:AH89"/>
    <mergeCell ref="AI88:AI89"/>
    <mergeCell ref="AJ88:AJ89"/>
    <mergeCell ref="AK92:AK93"/>
    <mergeCell ref="AK88:AK89"/>
    <mergeCell ref="AL88:AL89"/>
    <mergeCell ref="AM88:AM89"/>
    <mergeCell ref="AN88:AN89"/>
    <mergeCell ref="D91:I91"/>
    <mergeCell ref="J92:J104"/>
    <mergeCell ref="K92:K104"/>
    <mergeCell ref="L92:L104"/>
    <mergeCell ref="M92:M104"/>
    <mergeCell ref="N92:N104"/>
    <mergeCell ref="O92:O104"/>
    <mergeCell ref="P92:P104"/>
    <mergeCell ref="Q92:Q93"/>
    <mergeCell ref="R92:R93"/>
    <mergeCell ref="S92:S93"/>
    <mergeCell ref="T92:T93"/>
    <mergeCell ref="U92:U93"/>
    <mergeCell ref="V92:V93"/>
    <mergeCell ref="W92:W93"/>
    <mergeCell ref="X92:X93"/>
    <mergeCell ref="Y92:Y93"/>
    <mergeCell ref="Z92:Z93"/>
    <mergeCell ref="AA92:AA93"/>
    <mergeCell ref="AB92:AB93"/>
    <mergeCell ref="AL92:AL93"/>
    <mergeCell ref="AM92:AM93"/>
    <mergeCell ref="AN92:AN93"/>
    <mergeCell ref="Q94:Q95"/>
    <mergeCell ref="R94:R95"/>
    <mergeCell ref="S94:S95"/>
    <mergeCell ref="T94:T95"/>
    <mergeCell ref="U94:U95"/>
    <mergeCell ref="V94:V95"/>
    <mergeCell ref="W94:W95"/>
    <mergeCell ref="AN96:AN97"/>
    <mergeCell ref="X94:X95"/>
    <mergeCell ref="Y94:Y95"/>
    <mergeCell ref="Z94:Z95"/>
    <mergeCell ref="AA94:AA95"/>
    <mergeCell ref="AB94:AB95"/>
    <mergeCell ref="AC94:AC95"/>
    <mergeCell ref="AD94:AD95"/>
    <mergeCell ref="AE94:AE95"/>
    <mergeCell ref="AF94:AF95"/>
    <mergeCell ref="AG94:AG95"/>
    <mergeCell ref="AH94:AH95"/>
    <mergeCell ref="AI94:AI95"/>
    <mergeCell ref="AJ94:AJ95"/>
    <mergeCell ref="AK94:AK95"/>
    <mergeCell ref="AC92:AC93"/>
    <mergeCell ref="AD92:AD93"/>
    <mergeCell ref="AE92:AE93"/>
    <mergeCell ref="AF92:AF93"/>
    <mergeCell ref="AG92:AG93"/>
    <mergeCell ref="AH92:AH93"/>
    <mergeCell ref="AI92:AI93"/>
    <mergeCell ref="AJ92:AJ93"/>
    <mergeCell ref="AB98:AB99"/>
    <mergeCell ref="AC98:AC99"/>
    <mergeCell ref="AD98:AD99"/>
    <mergeCell ref="AE98:AE99"/>
    <mergeCell ref="AF98:AF99"/>
    <mergeCell ref="AG98:AG99"/>
    <mergeCell ref="AH98:AH99"/>
    <mergeCell ref="AI98:AI99"/>
    <mergeCell ref="AJ98:AJ99"/>
    <mergeCell ref="AK98:AK99"/>
    <mergeCell ref="AL98:AL99"/>
    <mergeCell ref="AL94:AL95"/>
    <mergeCell ref="AM94:AM95"/>
    <mergeCell ref="AN94:AN95"/>
    <mergeCell ref="Q96:Q97"/>
    <mergeCell ref="R96:R97"/>
    <mergeCell ref="S96:S97"/>
    <mergeCell ref="T96:T97"/>
    <mergeCell ref="U96:U97"/>
    <mergeCell ref="V96:V97"/>
    <mergeCell ref="W96:W97"/>
    <mergeCell ref="X96:X97"/>
    <mergeCell ref="Y96:Y97"/>
    <mergeCell ref="Z96:Z97"/>
    <mergeCell ref="AA96:AA97"/>
    <mergeCell ref="AB96:AB97"/>
    <mergeCell ref="AC96:AC97"/>
    <mergeCell ref="AD96:AD97"/>
    <mergeCell ref="AE96:AE97"/>
    <mergeCell ref="AF96:AF97"/>
    <mergeCell ref="AG96:AG97"/>
    <mergeCell ref="AH96:AH97"/>
    <mergeCell ref="AM98:AM99"/>
    <mergeCell ref="AN98:AN99"/>
    <mergeCell ref="V101:V102"/>
    <mergeCell ref="W101:W102"/>
    <mergeCell ref="X101:X102"/>
    <mergeCell ref="Y101:Y102"/>
    <mergeCell ref="Z101:Z102"/>
    <mergeCell ref="AA101:AA102"/>
    <mergeCell ref="AB101:AB102"/>
    <mergeCell ref="AC101:AC102"/>
    <mergeCell ref="AD101:AD102"/>
    <mergeCell ref="AE101:AE102"/>
    <mergeCell ref="AF101:AF102"/>
    <mergeCell ref="AG101:AG102"/>
    <mergeCell ref="AI96:AI97"/>
    <mergeCell ref="AJ96:AJ97"/>
    <mergeCell ref="AK96:AK97"/>
    <mergeCell ref="AL96:AL97"/>
    <mergeCell ref="AM96:AM97"/>
    <mergeCell ref="AH101:AH102"/>
    <mergeCell ref="AI101:AI102"/>
    <mergeCell ref="AJ101:AJ102"/>
    <mergeCell ref="AK101:AK102"/>
    <mergeCell ref="AL101:AL102"/>
    <mergeCell ref="AM101:AM102"/>
    <mergeCell ref="AN101:AN102"/>
    <mergeCell ref="V98:V99"/>
    <mergeCell ref="W98:W99"/>
    <mergeCell ref="X98:X99"/>
    <mergeCell ref="Y98:Y99"/>
    <mergeCell ref="Z98:Z99"/>
    <mergeCell ref="AA98:AA99"/>
    <mergeCell ref="Q103:Q104"/>
    <mergeCell ref="R103:R104"/>
    <mergeCell ref="S103:S104"/>
    <mergeCell ref="T103:T104"/>
    <mergeCell ref="U103:U104"/>
    <mergeCell ref="V103:V104"/>
    <mergeCell ref="W103:W104"/>
    <mergeCell ref="X103:X104"/>
    <mergeCell ref="Y103:Y104"/>
    <mergeCell ref="Z103:Z104"/>
    <mergeCell ref="AA103:AA104"/>
    <mergeCell ref="AB103:AB104"/>
    <mergeCell ref="AC103:AC104"/>
    <mergeCell ref="AD103:AD104"/>
    <mergeCell ref="AE103:AE104"/>
    <mergeCell ref="AF103:AF104"/>
    <mergeCell ref="AG103:AG104"/>
    <mergeCell ref="AH103:AH104"/>
    <mergeCell ref="AI103:AI104"/>
    <mergeCell ref="AJ103:AJ104"/>
    <mergeCell ref="Q101:Q102"/>
    <mergeCell ref="R101:R102"/>
    <mergeCell ref="S101:S102"/>
    <mergeCell ref="T101:T102"/>
    <mergeCell ref="U101:U102"/>
    <mergeCell ref="AK103:AK104"/>
    <mergeCell ref="AL103:AL104"/>
    <mergeCell ref="AM103:AM104"/>
    <mergeCell ref="AN103:AN104"/>
    <mergeCell ref="D106:I106"/>
    <mergeCell ref="J107:J119"/>
    <mergeCell ref="K107:K119"/>
    <mergeCell ref="L107:L119"/>
    <mergeCell ref="M107:M119"/>
    <mergeCell ref="N107:N119"/>
    <mergeCell ref="O107:O119"/>
    <mergeCell ref="P107:P119"/>
    <mergeCell ref="Q107:Q108"/>
    <mergeCell ref="R107:R108"/>
    <mergeCell ref="S107:S108"/>
    <mergeCell ref="T107:T108"/>
    <mergeCell ref="U107:U108"/>
    <mergeCell ref="V107:V108"/>
    <mergeCell ref="W107:W108"/>
    <mergeCell ref="X107:X108"/>
    <mergeCell ref="Y107:Y108"/>
    <mergeCell ref="Z107:Z108"/>
    <mergeCell ref="AA107:AA108"/>
    <mergeCell ref="AB107:AB108"/>
    <mergeCell ref="Q109:Q110"/>
    <mergeCell ref="R109:R110"/>
    <mergeCell ref="S109:S110"/>
    <mergeCell ref="T109:T110"/>
    <mergeCell ref="U109:U110"/>
    <mergeCell ref="V109:V110"/>
    <mergeCell ref="W109:W110"/>
    <mergeCell ref="X109:X110"/>
    <mergeCell ref="Y109:Y110"/>
    <mergeCell ref="Z109:Z110"/>
    <mergeCell ref="AA109:AA110"/>
    <mergeCell ref="AB109:AB110"/>
    <mergeCell ref="AC109:AC110"/>
    <mergeCell ref="AD109:AD110"/>
    <mergeCell ref="AE109:AE110"/>
    <mergeCell ref="AF109:AF110"/>
    <mergeCell ref="AG109:AG110"/>
    <mergeCell ref="Q111:Q112"/>
    <mergeCell ref="R111:R112"/>
    <mergeCell ref="S111:S112"/>
    <mergeCell ref="T111:T112"/>
    <mergeCell ref="U111:U112"/>
    <mergeCell ref="V111:V112"/>
    <mergeCell ref="W111:W112"/>
    <mergeCell ref="X111:X112"/>
    <mergeCell ref="Y111:Y112"/>
    <mergeCell ref="Z111:Z112"/>
    <mergeCell ref="AA111:AA112"/>
    <mergeCell ref="AB111:AB112"/>
    <mergeCell ref="AC111:AC112"/>
    <mergeCell ref="AD111:AD112"/>
    <mergeCell ref="AE111:AE112"/>
    <mergeCell ref="AF111:AF112"/>
    <mergeCell ref="AG111:AG112"/>
    <mergeCell ref="AG113:AG114"/>
    <mergeCell ref="AH113:AH114"/>
    <mergeCell ref="AI113:AI114"/>
    <mergeCell ref="AJ113:AJ114"/>
    <mergeCell ref="AK113:AK114"/>
    <mergeCell ref="AL113:AL114"/>
    <mergeCell ref="AM113:AM114"/>
    <mergeCell ref="AN113:AN114"/>
    <mergeCell ref="AC107:AC108"/>
    <mergeCell ref="AD107:AD108"/>
    <mergeCell ref="AE107:AE108"/>
    <mergeCell ref="AF107:AF108"/>
    <mergeCell ref="AG107:AG108"/>
    <mergeCell ref="AH107:AH108"/>
    <mergeCell ref="AI107:AI108"/>
    <mergeCell ref="AJ107:AJ108"/>
    <mergeCell ref="AL109:AL110"/>
    <mergeCell ref="AM109:AM110"/>
    <mergeCell ref="AN109:AN110"/>
    <mergeCell ref="AH111:AH112"/>
    <mergeCell ref="AI111:AI112"/>
    <mergeCell ref="AJ111:AJ112"/>
    <mergeCell ref="AK111:AK112"/>
    <mergeCell ref="AK107:AK108"/>
    <mergeCell ref="AL107:AL108"/>
    <mergeCell ref="AM107:AM108"/>
    <mergeCell ref="AN107:AN108"/>
    <mergeCell ref="AH109:AH110"/>
    <mergeCell ref="AI109:AI110"/>
    <mergeCell ref="AJ109:AJ110"/>
    <mergeCell ref="AK109:AK110"/>
    <mergeCell ref="V116:V117"/>
    <mergeCell ref="W116:W117"/>
    <mergeCell ref="X116:X117"/>
    <mergeCell ref="Y116:Y117"/>
    <mergeCell ref="Z116:Z117"/>
    <mergeCell ref="AA116:AA117"/>
    <mergeCell ref="AB116:AB117"/>
    <mergeCell ref="AC116:AC117"/>
    <mergeCell ref="AD116:AD117"/>
    <mergeCell ref="AE116:AE117"/>
    <mergeCell ref="AF116:AF117"/>
    <mergeCell ref="AG116:AG117"/>
    <mergeCell ref="AL111:AL112"/>
    <mergeCell ref="AM111:AM112"/>
    <mergeCell ref="AN111:AN112"/>
    <mergeCell ref="D112:I112"/>
    <mergeCell ref="Q113:Q114"/>
    <mergeCell ref="R113:R114"/>
    <mergeCell ref="S113:S114"/>
    <mergeCell ref="T113:T114"/>
    <mergeCell ref="U113:U114"/>
    <mergeCell ref="V113:V114"/>
    <mergeCell ref="W113:W114"/>
    <mergeCell ref="X113:X114"/>
    <mergeCell ref="Y113:Y114"/>
    <mergeCell ref="Z113:Z114"/>
    <mergeCell ref="AA113:AA114"/>
    <mergeCell ref="AB113:AB114"/>
    <mergeCell ref="AC113:AC114"/>
    <mergeCell ref="AD113:AD114"/>
    <mergeCell ref="AE113:AE114"/>
    <mergeCell ref="AF113:AF114"/>
    <mergeCell ref="AH116:AH117"/>
    <mergeCell ref="AI116:AI117"/>
    <mergeCell ref="AJ116:AJ117"/>
    <mergeCell ref="AK116:AK117"/>
    <mergeCell ref="AL116:AL117"/>
    <mergeCell ref="AM116:AM117"/>
    <mergeCell ref="AN116:AN117"/>
    <mergeCell ref="Q118:Q119"/>
    <mergeCell ref="R118:R119"/>
    <mergeCell ref="S118:S119"/>
    <mergeCell ref="T118:T119"/>
    <mergeCell ref="U118:U119"/>
    <mergeCell ref="V118:V119"/>
    <mergeCell ref="W118:W119"/>
    <mergeCell ref="X118:X119"/>
    <mergeCell ref="Y118:Y119"/>
    <mergeCell ref="Z118:Z119"/>
    <mergeCell ref="AA118:AA119"/>
    <mergeCell ref="AB118:AB119"/>
    <mergeCell ref="AC118:AC119"/>
    <mergeCell ref="AD118:AD119"/>
    <mergeCell ref="AE118:AE119"/>
    <mergeCell ref="AF118:AF119"/>
    <mergeCell ref="AG118:AG119"/>
    <mergeCell ref="AH118:AH119"/>
    <mergeCell ref="AI118:AI119"/>
    <mergeCell ref="AJ118:AJ119"/>
    <mergeCell ref="Q116:Q117"/>
    <mergeCell ref="R116:R117"/>
    <mergeCell ref="S116:S117"/>
    <mergeCell ref="T116:T117"/>
    <mergeCell ref="U116:U117"/>
    <mergeCell ref="AK118:AK119"/>
    <mergeCell ref="AL118:AL119"/>
    <mergeCell ref="AM118:AM119"/>
    <mergeCell ref="AN118:AN119"/>
    <mergeCell ref="D121:I121"/>
    <mergeCell ref="J122:J134"/>
    <mergeCell ref="K122:K134"/>
    <mergeCell ref="L122:L134"/>
    <mergeCell ref="M122:M134"/>
    <mergeCell ref="N122:N134"/>
    <mergeCell ref="O122:O134"/>
    <mergeCell ref="P122:P134"/>
    <mergeCell ref="Q122:Q123"/>
    <mergeCell ref="R122:R123"/>
    <mergeCell ref="S122:S123"/>
    <mergeCell ref="T122:T123"/>
    <mergeCell ref="U122:U123"/>
    <mergeCell ref="V122:V123"/>
    <mergeCell ref="W122:W123"/>
    <mergeCell ref="X122:X123"/>
    <mergeCell ref="Y122:Y123"/>
    <mergeCell ref="Z122:Z123"/>
    <mergeCell ref="AA122:AA123"/>
    <mergeCell ref="AB122:AB123"/>
    <mergeCell ref="AL122:AL123"/>
    <mergeCell ref="AM122:AM123"/>
    <mergeCell ref="AN122:AN123"/>
    <mergeCell ref="Q124:Q125"/>
    <mergeCell ref="R124:R125"/>
    <mergeCell ref="S124:S125"/>
    <mergeCell ref="T124:T125"/>
    <mergeCell ref="U124:U125"/>
    <mergeCell ref="V124:V125"/>
    <mergeCell ref="W124:W125"/>
    <mergeCell ref="X124:X125"/>
    <mergeCell ref="Y124:Y125"/>
    <mergeCell ref="Z124:Z125"/>
    <mergeCell ref="AA124:AA125"/>
    <mergeCell ref="AB124:AB125"/>
    <mergeCell ref="AC124:AC125"/>
    <mergeCell ref="AD124:AD125"/>
    <mergeCell ref="AE124:AE125"/>
    <mergeCell ref="AF124:AF125"/>
    <mergeCell ref="AG124:AG125"/>
    <mergeCell ref="AH124:AH125"/>
    <mergeCell ref="AI124:AI125"/>
    <mergeCell ref="AJ124:AJ125"/>
    <mergeCell ref="AK124:AK125"/>
    <mergeCell ref="Q126:Q127"/>
    <mergeCell ref="R126:R127"/>
    <mergeCell ref="S126:S127"/>
    <mergeCell ref="T126:T127"/>
    <mergeCell ref="U126:U127"/>
    <mergeCell ref="V126:V127"/>
    <mergeCell ref="W126:W127"/>
    <mergeCell ref="X126:X127"/>
    <mergeCell ref="Y126:Y127"/>
    <mergeCell ref="Z126:Z127"/>
    <mergeCell ref="AA126:AA127"/>
    <mergeCell ref="AB126:AB127"/>
    <mergeCell ref="AC126:AC127"/>
    <mergeCell ref="AD126:AD127"/>
    <mergeCell ref="AE126:AE127"/>
    <mergeCell ref="AF126:AF127"/>
    <mergeCell ref="AG126:AG127"/>
    <mergeCell ref="AG128:AG129"/>
    <mergeCell ref="AH128:AH129"/>
    <mergeCell ref="AI128:AI129"/>
    <mergeCell ref="AJ128:AJ129"/>
    <mergeCell ref="AK128:AK129"/>
    <mergeCell ref="AL128:AL129"/>
    <mergeCell ref="AM128:AM129"/>
    <mergeCell ref="AN128:AN129"/>
    <mergeCell ref="AC122:AC123"/>
    <mergeCell ref="AD122:AD123"/>
    <mergeCell ref="AE122:AE123"/>
    <mergeCell ref="AF122:AF123"/>
    <mergeCell ref="AG122:AG123"/>
    <mergeCell ref="AH122:AH123"/>
    <mergeCell ref="AI122:AI123"/>
    <mergeCell ref="AJ122:AJ123"/>
    <mergeCell ref="AL124:AL125"/>
    <mergeCell ref="AM124:AM125"/>
    <mergeCell ref="AN124:AN125"/>
    <mergeCell ref="AH126:AH127"/>
    <mergeCell ref="AI126:AI127"/>
    <mergeCell ref="AJ126:AJ127"/>
    <mergeCell ref="AK126:AK127"/>
    <mergeCell ref="AK122:AK123"/>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L126:AL127"/>
    <mergeCell ref="AM126:AM127"/>
    <mergeCell ref="AN126:AN127"/>
    <mergeCell ref="D127:I127"/>
    <mergeCell ref="Q128:Q129"/>
    <mergeCell ref="R128:R129"/>
    <mergeCell ref="S128:S129"/>
    <mergeCell ref="T128:T129"/>
    <mergeCell ref="U128:U129"/>
    <mergeCell ref="V128:V129"/>
    <mergeCell ref="W128:W129"/>
    <mergeCell ref="X128:X129"/>
    <mergeCell ref="Y128:Y129"/>
    <mergeCell ref="Z128:Z129"/>
    <mergeCell ref="AA128:AA129"/>
    <mergeCell ref="AB128:AB129"/>
    <mergeCell ref="AC128:AC129"/>
    <mergeCell ref="AD128:AD129"/>
    <mergeCell ref="AE128:AE129"/>
    <mergeCell ref="AF128:AF129"/>
    <mergeCell ref="AH131:AH132"/>
    <mergeCell ref="AI131:AI132"/>
    <mergeCell ref="AJ131:AJ132"/>
    <mergeCell ref="AK131:AK132"/>
    <mergeCell ref="AL131:AL132"/>
    <mergeCell ref="AM131:AM132"/>
    <mergeCell ref="AN131:AN132"/>
    <mergeCell ref="Q133:Q134"/>
    <mergeCell ref="R133:R134"/>
    <mergeCell ref="S133:S134"/>
    <mergeCell ref="T133:T134"/>
    <mergeCell ref="U133:U134"/>
    <mergeCell ref="V133:V134"/>
    <mergeCell ref="W133:W134"/>
    <mergeCell ref="X133:X134"/>
    <mergeCell ref="Y133:Y134"/>
    <mergeCell ref="Z133:Z134"/>
    <mergeCell ref="AA133:AA134"/>
    <mergeCell ref="AB133:AB134"/>
    <mergeCell ref="AC133:AC134"/>
    <mergeCell ref="AD133:AD134"/>
    <mergeCell ref="AE133:AE134"/>
    <mergeCell ref="AF133:AF134"/>
    <mergeCell ref="AG133:AG134"/>
    <mergeCell ref="AH133:AH134"/>
    <mergeCell ref="AI133:AI134"/>
    <mergeCell ref="AJ133:AJ134"/>
    <mergeCell ref="Q131:Q132"/>
    <mergeCell ref="R131:R132"/>
    <mergeCell ref="S131:S132"/>
    <mergeCell ref="T131:T132"/>
    <mergeCell ref="U131:U132"/>
    <mergeCell ref="AK133:AK134"/>
    <mergeCell ref="AL133:AL134"/>
    <mergeCell ref="AM133:AM134"/>
    <mergeCell ref="AN133:AN134"/>
    <mergeCell ref="D136:I136"/>
    <mergeCell ref="J137:J149"/>
    <mergeCell ref="K137:K149"/>
    <mergeCell ref="L137:L149"/>
    <mergeCell ref="M137:M149"/>
    <mergeCell ref="N137:N149"/>
    <mergeCell ref="O137:O149"/>
    <mergeCell ref="P137:P149"/>
    <mergeCell ref="Q137:Q138"/>
    <mergeCell ref="R137:R138"/>
    <mergeCell ref="S137:S138"/>
    <mergeCell ref="T137:T138"/>
    <mergeCell ref="U137:U138"/>
    <mergeCell ref="V137:V138"/>
    <mergeCell ref="W137:W138"/>
    <mergeCell ref="X137:X138"/>
    <mergeCell ref="Y137:Y138"/>
    <mergeCell ref="Z137:Z138"/>
    <mergeCell ref="AA137:AA138"/>
    <mergeCell ref="AB137:AB138"/>
    <mergeCell ref="AL137:AL138"/>
    <mergeCell ref="AM137:AM138"/>
    <mergeCell ref="AN137:AN138"/>
    <mergeCell ref="Q139:Q140"/>
    <mergeCell ref="R139:R140"/>
    <mergeCell ref="S139:S140"/>
    <mergeCell ref="T139:T140"/>
    <mergeCell ref="U139:U140"/>
    <mergeCell ref="V139:V140"/>
    <mergeCell ref="W139:W140"/>
    <mergeCell ref="X139:X140"/>
    <mergeCell ref="Y139:Y140"/>
    <mergeCell ref="Z139:Z140"/>
    <mergeCell ref="AA139:AA140"/>
    <mergeCell ref="AB139:AB140"/>
    <mergeCell ref="AC139:AC140"/>
    <mergeCell ref="AD139:AD140"/>
    <mergeCell ref="AE139:AE140"/>
    <mergeCell ref="AF139:AF140"/>
    <mergeCell ref="AG139:AG140"/>
    <mergeCell ref="AH139:AH140"/>
    <mergeCell ref="AI139:AI140"/>
    <mergeCell ref="AJ139:AJ140"/>
    <mergeCell ref="AK139:AK140"/>
    <mergeCell ref="Q141:Q142"/>
    <mergeCell ref="R141:R142"/>
    <mergeCell ref="S141:S142"/>
    <mergeCell ref="T141:T142"/>
    <mergeCell ref="U141:U142"/>
    <mergeCell ref="V141:V142"/>
    <mergeCell ref="W141:W142"/>
    <mergeCell ref="X141:X142"/>
    <mergeCell ref="Y141:Y142"/>
    <mergeCell ref="Z141:Z142"/>
    <mergeCell ref="AA141:AA142"/>
    <mergeCell ref="AB141:AB142"/>
    <mergeCell ref="AC141:AC142"/>
    <mergeCell ref="AD141:AD142"/>
    <mergeCell ref="AE141:AE142"/>
    <mergeCell ref="AF141:AF142"/>
    <mergeCell ref="AG141:AG142"/>
    <mergeCell ref="AG143:AG144"/>
    <mergeCell ref="AH143:AH144"/>
    <mergeCell ref="AI143:AI144"/>
    <mergeCell ref="AJ143:AJ144"/>
    <mergeCell ref="AK143:AK144"/>
    <mergeCell ref="AL143:AL144"/>
    <mergeCell ref="AM143:AM144"/>
    <mergeCell ref="AN143:AN144"/>
    <mergeCell ref="AC137:AC138"/>
    <mergeCell ref="AD137:AD138"/>
    <mergeCell ref="AE137:AE138"/>
    <mergeCell ref="AF137:AF138"/>
    <mergeCell ref="AG137:AG138"/>
    <mergeCell ref="AH137:AH138"/>
    <mergeCell ref="AI137:AI138"/>
    <mergeCell ref="AJ137:AJ138"/>
    <mergeCell ref="AL139:AL140"/>
    <mergeCell ref="AM139:AM140"/>
    <mergeCell ref="AN139:AN140"/>
    <mergeCell ref="AH141:AH142"/>
    <mergeCell ref="AI141:AI142"/>
    <mergeCell ref="AJ141:AJ142"/>
    <mergeCell ref="AK141:AK142"/>
    <mergeCell ref="AK137:AK138"/>
    <mergeCell ref="V146:V147"/>
    <mergeCell ref="W146:W147"/>
    <mergeCell ref="X146:X147"/>
    <mergeCell ref="Y146:Y147"/>
    <mergeCell ref="Z146:Z147"/>
    <mergeCell ref="AA146:AA147"/>
    <mergeCell ref="AB146:AB147"/>
    <mergeCell ref="AC146:AC147"/>
    <mergeCell ref="AD146:AD147"/>
    <mergeCell ref="AE146:AE147"/>
    <mergeCell ref="AF146:AF147"/>
    <mergeCell ref="AG146:AG147"/>
    <mergeCell ref="AL141:AL142"/>
    <mergeCell ref="AM141:AM142"/>
    <mergeCell ref="AN141:AN142"/>
    <mergeCell ref="D142:I142"/>
    <mergeCell ref="Q143:Q144"/>
    <mergeCell ref="R143:R144"/>
    <mergeCell ref="S143:S144"/>
    <mergeCell ref="T143:T144"/>
    <mergeCell ref="U143:U144"/>
    <mergeCell ref="V143:V144"/>
    <mergeCell ref="W143:W144"/>
    <mergeCell ref="X143:X144"/>
    <mergeCell ref="Y143:Y144"/>
    <mergeCell ref="Z143:Z144"/>
    <mergeCell ref="AA143:AA144"/>
    <mergeCell ref="AB143:AB144"/>
    <mergeCell ref="AC143:AC144"/>
    <mergeCell ref="AD143:AD144"/>
    <mergeCell ref="AE143:AE144"/>
    <mergeCell ref="AF143:AF144"/>
    <mergeCell ref="AH146:AH147"/>
    <mergeCell ref="AI146:AI147"/>
    <mergeCell ref="AJ146:AJ147"/>
    <mergeCell ref="AK146:AK147"/>
    <mergeCell ref="AL146:AL147"/>
    <mergeCell ref="AM146:AM147"/>
    <mergeCell ref="AN146:AN147"/>
    <mergeCell ref="Q148:Q149"/>
    <mergeCell ref="R148:R149"/>
    <mergeCell ref="S148:S149"/>
    <mergeCell ref="T148:T149"/>
    <mergeCell ref="U148:U149"/>
    <mergeCell ref="V148:V149"/>
    <mergeCell ref="W148:W149"/>
    <mergeCell ref="X148:X149"/>
    <mergeCell ref="Y148:Y149"/>
    <mergeCell ref="Z148:Z149"/>
    <mergeCell ref="AA148:AA149"/>
    <mergeCell ref="AB148:AB149"/>
    <mergeCell ref="AC148:AC149"/>
    <mergeCell ref="AD148:AD149"/>
    <mergeCell ref="AE148:AE149"/>
    <mergeCell ref="AF148:AF149"/>
    <mergeCell ref="AG148:AG149"/>
    <mergeCell ref="AH148:AH149"/>
    <mergeCell ref="AI148:AI149"/>
    <mergeCell ref="AJ148:AJ149"/>
    <mergeCell ref="Q146:Q147"/>
    <mergeCell ref="R146:R147"/>
    <mergeCell ref="S146:S147"/>
    <mergeCell ref="T146:T147"/>
    <mergeCell ref="U146:U147"/>
    <mergeCell ref="AK148:AK149"/>
    <mergeCell ref="AL148:AL149"/>
    <mergeCell ref="AM148:AM149"/>
    <mergeCell ref="AN148:AN149"/>
    <mergeCell ref="D151:I151"/>
    <mergeCell ref="J152:J164"/>
    <mergeCell ref="K152:K164"/>
    <mergeCell ref="L152:L164"/>
    <mergeCell ref="M152:M164"/>
    <mergeCell ref="N152:N164"/>
    <mergeCell ref="O152:O164"/>
    <mergeCell ref="P152:P164"/>
    <mergeCell ref="Q152:Q153"/>
    <mergeCell ref="R152:R153"/>
    <mergeCell ref="S152:S153"/>
    <mergeCell ref="T152:T153"/>
    <mergeCell ref="U152:U153"/>
    <mergeCell ref="V152:V153"/>
    <mergeCell ref="W152:W153"/>
    <mergeCell ref="X152:X153"/>
    <mergeCell ref="Y152:Y153"/>
    <mergeCell ref="Z152:Z153"/>
    <mergeCell ref="AA152:AA153"/>
    <mergeCell ref="AB152:AB153"/>
    <mergeCell ref="AL152:AL153"/>
    <mergeCell ref="AM152:AM153"/>
    <mergeCell ref="AN152:AN153"/>
    <mergeCell ref="Q154:Q155"/>
    <mergeCell ref="R154:R155"/>
    <mergeCell ref="S154:S155"/>
    <mergeCell ref="T154:T155"/>
    <mergeCell ref="U154:U155"/>
    <mergeCell ref="V154:V155"/>
    <mergeCell ref="W154:W155"/>
    <mergeCell ref="X154:X155"/>
    <mergeCell ref="Y154:Y155"/>
    <mergeCell ref="Z154:Z155"/>
    <mergeCell ref="AA154:AA155"/>
    <mergeCell ref="AB154:AB155"/>
    <mergeCell ref="AC154:AC155"/>
    <mergeCell ref="AD154:AD155"/>
    <mergeCell ref="AE154:AE155"/>
    <mergeCell ref="AF154:AF155"/>
    <mergeCell ref="AG154:AG155"/>
    <mergeCell ref="AH154:AH155"/>
    <mergeCell ref="AI154:AI155"/>
    <mergeCell ref="AJ154:AJ155"/>
    <mergeCell ref="AK154:AK155"/>
    <mergeCell ref="Q156:Q157"/>
    <mergeCell ref="R156:R157"/>
    <mergeCell ref="S156:S157"/>
    <mergeCell ref="T156:T157"/>
    <mergeCell ref="U156:U157"/>
    <mergeCell ref="V156:V157"/>
    <mergeCell ref="W156:W157"/>
    <mergeCell ref="X156:X157"/>
    <mergeCell ref="Y156:Y157"/>
    <mergeCell ref="Z156:Z157"/>
    <mergeCell ref="AA156:AA157"/>
    <mergeCell ref="AB156:AB157"/>
    <mergeCell ref="AC156:AC157"/>
    <mergeCell ref="AD156:AD157"/>
    <mergeCell ref="AE156:AE157"/>
    <mergeCell ref="AF156:AF157"/>
    <mergeCell ref="AG156:AG157"/>
    <mergeCell ref="AG158:AG159"/>
    <mergeCell ref="AH158:AH159"/>
    <mergeCell ref="AI158:AI159"/>
    <mergeCell ref="AJ158:AJ159"/>
    <mergeCell ref="AK158:AK159"/>
    <mergeCell ref="AL158:AL159"/>
    <mergeCell ref="AM158:AM159"/>
    <mergeCell ref="AN158:AN159"/>
    <mergeCell ref="AC152:AC153"/>
    <mergeCell ref="AD152:AD153"/>
    <mergeCell ref="AE152:AE153"/>
    <mergeCell ref="AF152:AF153"/>
    <mergeCell ref="AG152:AG153"/>
    <mergeCell ref="AH152:AH153"/>
    <mergeCell ref="AI152:AI153"/>
    <mergeCell ref="AJ152:AJ153"/>
    <mergeCell ref="AL154:AL155"/>
    <mergeCell ref="AM154:AM155"/>
    <mergeCell ref="AN154:AN155"/>
    <mergeCell ref="AH156:AH157"/>
    <mergeCell ref="AI156:AI157"/>
    <mergeCell ref="AJ156:AJ157"/>
    <mergeCell ref="AK156:AK157"/>
    <mergeCell ref="AK152:AK153"/>
    <mergeCell ref="V161:V162"/>
    <mergeCell ref="W161:W162"/>
    <mergeCell ref="X161:X162"/>
    <mergeCell ref="Y161:Y162"/>
    <mergeCell ref="Z161:Z162"/>
    <mergeCell ref="AA161:AA162"/>
    <mergeCell ref="AB161:AB162"/>
    <mergeCell ref="AC161:AC162"/>
    <mergeCell ref="AD161:AD162"/>
    <mergeCell ref="AE161:AE162"/>
    <mergeCell ref="AF161:AF162"/>
    <mergeCell ref="AG161:AG162"/>
    <mergeCell ref="AL156:AL157"/>
    <mergeCell ref="AM156:AM157"/>
    <mergeCell ref="AN156:AN157"/>
    <mergeCell ref="D157:I157"/>
    <mergeCell ref="Q158:Q159"/>
    <mergeCell ref="R158:R159"/>
    <mergeCell ref="S158:S159"/>
    <mergeCell ref="T158:T159"/>
    <mergeCell ref="U158:U159"/>
    <mergeCell ref="V158:V159"/>
    <mergeCell ref="W158:W159"/>
    <mergeCell ref="X158:X159"/>
    <mergeCell ref="Y158:Y159"/>
    <mergeCell ref="Z158:Z159"/>
    <mergeCell ref="AA158:AA159"/>
    <mergeCell ref="AB158:AB159"/>
    <mergeCell ref="AC158:AC159"/>
    <mergeCell ref="AD158:AD159"/>
    <mergeCell ref="AE158:AE159"/>
    <mergeCell ref="AF158:AF159"/>
    <mergeCell ref="AH161:AH162"/>
    <mergeCell ref="AI161:AI162"/>
    <mergeCell ref="AJ161:AJ162"/>
    <mergeCell ref="AK161:AK162"/>
    <mergeCell ref="AL161:AL162"/>
    <mergeCell ref="AM161:AM162"/>
    <mergeCell ref="AN161:AN162"/>
    <mergeCell ref="Q163:Q164"/>
    <mergeCell ref="R163:R164"/>
    <mergeCell ref="S163:S164"/>
    <mergeCell ref="T163:T164"/>
    <mergeCell ref="U163:U164"/>
    <mergeCell ref="V163:V164"/>
    <mergeCell ref="W163:W164"/>
    <mergeCell ref="X163:X164"/>
    <mergeCell ref="Y163:Y164"/>
    <mergeCell ref="Z163:Z164"/>
    <mergeCell ref="AA163:AA164"/>
    <mergeCell ref="AB163:AB164"/>
    <mergeCell ref="AC163:AC164"/>
    <mergeCell ref="AD163:AD164"/>
    <mergeCell ref="AE163:AE164"/>
    <mergeCell ref="AF163:AF164"/>
    <mergeCell ref="AG163:AG164"/>
    <mergeCell ref="AH163:AH164"/>
    <mergeCell ref="AI163:AI164"/>
    <mergeCell ref="AJ163:AJ164"/>
    <mergeCell ref="Q161:Q162"/>
    <mergeCell ref="R161:R162"/>
    <mergeCell ref="S161:S162"/>
    <mergeCell ref="T161:T162"/>
    <mergeCell ref="U161:U162"/>
    <mergeCell ref="AK163:AK164"/>
    <mergeCell ref="AL163:AL164"/>
    <mergeCell ref="AM163:AM164"/>
    <mergeCell ref="AN163:AN164"/>
    <mergeCell ref="D166:I166"/>
    <mergeCell ref="J167:J179"/>
    <mergeCell ref="K167:K179"/>
    <mergeCell ref="L167:L179"/>
    <mergeCell ref="M167:M179"/>
    <mergeCell ref="N167:N179"/>
    <mergeCell ref="O167:O179"/>
    <mergeCell ref="P167:P179"/>
    <mergeCell ref="Q167:Q168"/>
    <mergeCell ref="R167:R168"/>
    <mergeCell ref="S167:S168"/>
    <mergeCell ref="T167:T168"/>
    <mergeCell ref="U167:U168"/>
    <mergeCell ref="V167:V168"/>
    <mergeCell ref="W167:W168"/>
    <mergeCell ref="X167:X168"/>
    <mergeCell ref="Y167:Y168"/>
    <mergeCell ref="Z167:Z168"/>
    <mergeCell ref="AA167:AA168"/>
    <mergeCell ref="AB167:AB168"/>
    <mergeCell ref="AL167:AL168"/>
    <mergeCell ref="AM167:AM168"/>
    <mergeCell ref="AN167:AN168"/>
    <mergeCell ref="Q169:Q170"/>
    <mergeCell ref="R169:R170"/>
    <mergeCell ref="S169:S170"/>
    <mergeCell ref="T169:T170"/>
    <mergeCell ref="U169:U170"/>
    <mergeCell ref="V169:V170"/>
    <mergeCell ref="W169:W170"/>
    <mergeCell ref="X169:X170"/>
    <mergeCell ref="Y169:Y170"/>
    <mergeCell ref="Z169:Z170"/>
    <mergeCell ref="AA169:AA170"/>
    <mergeCell ref="AB169:AB170"/>
    <mergeCell ref="AC169:AC170"/>
    <mergeCell ref="AD169:AD170"/>
    <mergeCell ref="AE169:AE170"/>
    <mergeCell ref="AF169:AF170"/>
    <mergeCell ref="AG169:AG170"/>
    <mergeCell ref="AH169:AH170"/>
    <mergeCell ref="AI169:AI170"/>
    <mergeCell ref="AJ169:AJ170"/>
    <mergeCell ref="AK169:AK170"/>
    <mergeCell ref="Q171:Q172"/>
    <mergeCell ref="R171:R172"/>
    <mergeCell ref="S171:S172"/>
    <mergeCell ref="T171:T172"/>
    <mergeCell ref="U171:U172"/>
    <mergeCell ref="V171:V172"/>
    <mergeCell ref="W171:W172"/>
    <mergeCell ref="X171:X172"/>
    <mergeCell ref="Y171:Y172"/>
    <mergeCell ref="Z171:Z172"/>
    <mergeCell ref="AA171:AA172"/>
    <mergeCell ref="AB171:AB172"/>
    <mergeCell ref="AC171:AC172"/>
    <mergeCell ref="AD171:AD172"/>
    <mergeCell ref="AE171:AE172"/>
    <mergeCell ref="AF171:AF172"/>
    <mergeCell ref="AG171:AG172"/>
    <mergeCell ref="AG173:AG174"/>
    <mergeCell ref="AH173:AH174"/>
    <mergeCell ref="AI173:AI174"/>
    <mergeCell ref="AJ173:AJ174"/>
    <mergeCell ref="AK173:AK174"/>
    <mergeCell ref="AL173:AL174"/>
    <mergeCell ref="AM173:AM174"/>
    <mergeCell ref="AN173:AN174"/>
    <mergeCell ref="AC167:AC168"/>
    <mergeCell ref="AD167:AD168"/>
    <mergeCell ref="AE167:AE168"/>
    <mergeCell ref="AF167:AF168"/>
    <mergeCell ref="AG167:AG168"/>
    <mergeCell ref="AH167:AH168"/>
    <mergeCell ref="AI167:AI168"/>
    <mergeCell ref="AJ167:AJ168"/>
    <mergeCell ref="AL169:AL170"/>
    <mergeCell ref="AM169:AM170"/>
    <mergeCell ref="AN169:AN170"/>
    <mergeCell ref="AH171:AH172"/>
    <mergeCell ref="AI171:AI172"/>
    <mergeCell ref="AJ171:AJ172"/>
    <mergeCell ref="AK171:AK172"/>
    <mergeCell ref="AK167:AK168"/>
    <mergeCell ref="V176:V177"/>
    <mergeCell ref="W176:W177"/>
    <mergeCell ref="X176:X177"/>
    <mergeCell ref="Y176:Y177"/>
    <mergeCell ref="Z176:Z177"/>
    <mergeCell ref="AA176:AA177"/>
    <mergeCell ref="AB176:AB177"/>
    <mergeCell ref="AC176:AC177"/>
    <mergeCell ref="AD176:AD177"/>
    <mergeCell ref="AE176:AE177"/>
    <mergeCell ref="AF176:AF177"/>
    <mergeCell ref="AG176:AG177"/>
    <mergeCell ref="AL171:AL172"/>
    <mergeCell ref="AM171:AM172"/>
    <mergeCell ref="AN171:AN172"/>
    <mergeCell ref="D172:I172"/>
    <mergeCell ref="Q173:Q174"/>
    <mergeCell ref="R173:R174"/>
    <mergeCell ref="S173:S174"/>
    <mergeCell ref="T173:T174"/>
    <mergeCell ref="U173:U174"/>
    <mergeCell ref="V173:V174"/>
    <mergeCell ref="W173:W174"/>
    <mergeCell ref="X173:X174"/>
    <mergeCell ref="Y173:Y174"/>
    <mergeCell ref="Z173:Z174"/>
    <mergeCell ref="AA173:AA174"/>
    <mergeCell ref="AB173:AB174"/>
    <mergeCell ref="AC173:AC174"/>
    <mergeCell ref="AD173:AD174"/>
    <mergeCell ref="AE173:AE174"/>
    <mergeCell ref="AF173:AF174"/>
    <mergeCell ref="AH176:AH177"/>
    <mergeCell ref="AI176:AI177"/>
    <mergeCell ref="AJ176:AJ177"/>
    <mergeCell ref="AK176:AK177"/>
    <mergeCell ref="AL176:AL177"/>
    <mergeCell ref="AM176:AM177"/>
    <mergeCell ref="AN176:AN177"/>
    <mergeCell ref="Q178:Q179"/>
    <mergeCell ref="R178:R179"/>
    <mergeCell ref="S178:S179"/>
    <mergeCell ref="T178:T179"/>
    <mergeCell ref="U178:U179"/>
    <mergeCell ref="V178:V179"/>
    <mergeCell ref="W178:W179"/>
    <mergeCell ref="X178:X179"/>
    <mergeCell ref="Y178:Y179"/>
    <mergeCell ref="Z178:Z179"/>
    <mergeCell ref="AA178:AA179"/>
    <mergeCell ref="AB178:AB179"/>
    <mergeCell ref="AC178:AC179"/>
    <mergeCell ref="AD178:AD179"/>
    <mergeCell ref="AE178:AE179"/>
    <mergeCell ref="AF178:AF179"/>
    <mergeCell ref="AG178:AG179"/>
    <mergeCell ref="AH178:AH179"/>
    <mergeCell ref="AI178:AI179"/>
    <mergeCell ref="AJ178:AJ179"/>
    <mergeCell ref="Q176:Q177"/>
    <mergeCell ref="R176:R177"/>
    <mergeCell ref="S176:S177"/>
    <mergeCell ref="T176:T177"/>
    <mergeCell ref="U176:U177"/>
    <mergeCell ref="AK178:AK179"/>
    <mergeCell ref="AL178:AL179"/>
    <mergeCell ref="AM178:AM179"/>
    <mergeCell ref="AN178:AN179"/>
    <mergeCell ref="D181:I181"/>
    <mergeCell ref="J182:J194"/>
    <mergeCell ref="K182:K194"/>
    <mergeCell ref="L182:L194"/>
    <mergeCell ref="M182:M194"/>
    <mergeCell ref="N182:N194"/>
    <mergeCell ref="O182:O194"/>
    <mergeCell ref="P182:P194"/>
    <mergeCell ref="Q182:Q183"/>
    <mergeCell ref="R182:R183"/>
    <mergeCell ref="S182:S183"/>
    <mergeCell ref="T182:T183"/>
    <mergeCell ref="U182:U183"/>
    <mergeCell ref="V182:V183"/>
    <mergeCell ref="W182:W183"/>
    <mergeCell ref="X182:X183"/>
    <mergeCell ref="Y182:Y183"/>
    <mergeCell ref="Z182:Z183"/>
    <mergeCell ref="AA182:AA183"/>
    <mergeCell ref="AB182:AB183"/>
    <mergeCell ref="AL182:AL183"/>
    <mergeCell ref="AM182:AM183"/>
    <mergeCell ref="AN182:AN183"/>
    <mergeCell ref="Q184:Q185"/>
    <mergeCell ref="R184:R185"/>
    <mergeCell ref="S184:S185"/>
    <mergeCell ref="T184:T185"/>
    <mergeCell ref="U184:U185"/>
    <mergeCell ref="V184:V185"/>
    <mergeCell ref="W184:W185"/>
    <mergeCell ref="X184:X185"/>
    <mergeCell ref="Y184:Y185"/>
    <mergeCell ref="Z184:Z185"/>
    <mergeCell ref="AA184:AA185"/>
    <mergeCell ref="AB184:AB185"/>
    <mergeCell ref="AC184:AC185"/>
    <mergeCell ref="AD184:AD185"/>
    <mergeCell ref="AE184:AE185"/>
    <mergeCell ref="AF184:AF185"/>
    <mergeCell ref="AG184:AG185"/>
    <mergeCell ref="AH184:AH185"/>
    <mergeCell ref="AI184:AI185"/>
    <mergeCell ref="AJ184:AJ185"/>
    <mergeCell ref="AK184:AK185"/>
    <mergeCell ref="Q186:Q187"/>
    <mergeCell ref="R186:R187"/>
    <mergeCell ref="S186:S187"/>
    <mergeCell ref="T186:T187"/>
    <mergeCell ref="U186:U187"/>
    <mergeCell ref="V186:V187"/>
    <mergeCell ref="W186:W187"/>
    <mergeCell ref="X186:X187"/>
    <mergeCell ref="Y186:Y187"/>
    <mergeCell ref="Z186:Z187"/>
    <mergeCell ref="AA186:AA187"/>
    <mergeCell ref="AB186:AB187"/>
    <mergeCell ref="AC186:AC187"/>
    <mergeCell ref="AD186:AD187"/>
    <mergeCell ref="AE186:AE187"/>
    <mergeCell ref="AF186:AF187"/>
    <mergeCell ref="AG186:AG187"/>
    <mergeCell ref="AG188:AG189"/>
    <mergeCell ref="AH188:AH189"/>
    <mergeCell ref="AI188:AI189"/>
    <mergeCell ref="AJ188:AJ189"/>
    <mergeCell ref="AK188:AK189"/>
    <mergeCell ref="AL188:AL189"/>
    <mergeCell ref="AM188:AM189"/>
    <mergeCell ref="AN188:AN189"/>
    <mergeCell ref="AC182:AC183"/>
    <mergeCell ref="AD182:AD183"/>
    <mergeCell ref="AE182:AE183"/>
    <mergeCell ref="AF182:AF183"/>
    <mergeCell ref="AG182:AG183"/>
    <mergeCell ref="AH182:AH183"/>
    <mergeCell ref="AI182:AI183"/>
    <mergeCell ref="AJ182:AJ183"/>
    <mergeCell ref="AL184:AL185"/>
    <mergeCell ref="AM184:AM185"/>
    <mergeCell ref="AN184:AN185"/>
    <mergeCell ref="AH186:AH187"/>
    <mergeCell ref="AI186:AI187"/>
    <mergeCell ref="AJ186:AJ187"/>
    <mergeCell ref="AK186:AK187"/>
    <mergeCell ref="AK182:AK183"/>
    <mergeCell ref="V191:V192"/>
    <mergeCell ref="W191:W192"/>
    <mergeCell ref="X191:X192"/>
    <mergeCell ref="Y191:Y192"/>
    <mergeCell ref="Z191:Z192"/>
    <mergeCell ref="AA191:AA192"/>
    <mergeCell ref="AB191:AB192"/>
    <mergeCell ref="AC191:AC192"/>
    <mergeCell ref="AD191:AD192"/>
    <mergeCell ref="AE191:AE192"/>
    <mergeCell ref="AF191:AF192"/>
    <mergeCell ref="AG191:AG192"/>
    <mergeCell ref="AL186:AL187"/>
    <mergeCell ref="AM186:AM187"/>
    <mergeCell ref="AN186:AN187"/>
    <mergeCell ref="D187:I187"/>
    <mergeCell ref="Q188:Q189"/>
    <mergeCell ref="R188:R189"/>
    <mergeCell ref="S188:S189"/>
    <mergeCell ref="T188:T189"/>
    <mergeCell ref="U188:U189"/>
    <mergeCell ref="V188:V189"/>
    <mergeCell ref="W188:W189"/>
    <mergeCell ref="X188:X189"/>
    <mergeCell ref="Y188:Y189"/>
    <mergeCell ref="Z188:Z189"/>
    <mergeCell ref="AA188:AA189"/>
    <mergeCell ref="AB188:AB189"/>
    <mergeCell ref="AC188:AC189"/>
    <mergeCell ref="AD188:AD189"/>
    <mergeCell ref="AE188:AE189"/>
    <mergeCell ref="AF188:AF189"/>
    <mergeCell ref="AH191:AH192"/>
    <mergeCell ref="AI191:AI192"/>
    <mergeCell ref="AJ191:AJ192"/>
    <mergeCell ref="AK191:AK192"/>
    <mergeCell ref="AL191:AL192"/>
    <mergeCell ref="AM191:AM192"/>
    <mergeCell ref="AN191:AN192"/>
    <mergeCell ref="Q193:Q194"/>
    <mergeCell ref="R193:R194"/>
    <mergeCell ref="S193:S194"/>
    <mergeCell ref="T193:T194"/>
    <mergeCell ref="U193:U194"/>
    <mergeCell ref="V193:V194"/>
    <mergeCell ref="W193:W194"/>
    <mergeCell ref="X193:X194"/>
    <mergeCell ref="Y193:Y194"/>
    <mergeCell ref="Z193:Z194"/>
    <mergeCell ref="AA193:AA194"/>
    <mergeCell ref="AB193:AB194"/>
    <mergeCell ref="AC193:AC194"/>
    <mergeCell ref="AD193:AD194"/>
    <mergeCell ref="AE193:AE194"/>
    <mergeCell ref="AF193:AF194"/>
    <mergeCell ref="AG193:AG194"/>
    <mergeCell ref="AH193:AH194"/>
    <mergeCell ref="AI193:AI194"/>
    <mergeCell ref="AJ193:AJ194"/>
    <mergeCell ref="Q191:Q192"/>
    <mergeCell ref="R191:R192"/>
    <mergeCell ref="S191:S192"/>
    <mergeCell ref="T191:T192"/>
    <mergeCell ref="U191:U192"/>
    <mergeCell ref="AK193:AK194"/>
    <mergeCell ref="AL193:AL194"/>
    <mergeCell ref="AM193:AM194"/>
    <mergeCell ref="AN193:AN194"/>
    <mergeCell ref="D196:I196"/>
    <mergeCell ref="J197:J209"/>
    <mergeCell ref="K197:K209"/>
    <mergeCell ref="L197:L209"/>
    <mergeCell ref="M197:M209"/>
    <mergeCell ref="N197:N209"/>
    <mergeCell ref="O197:O209"/>
    <mergeCell ref="P197:P209"/>
    <mergeCell ref="Q197:Q198"/>
    <mergeCell ref="R197:R198"/>
    <mergeCell ref="S197:S198"/>
    <mergeCell ref="T197:T198"/>
    <mergeCell ref="U197:U198"/>
    <mergeCell ref="V197:V198"/>
    <mergeCell ref="W197:W198"/>
    <mergeCell ref="X197:X198"/>
    <mergeCell ref="Y197:Y198"/>
    <mergeCell ref="Z197:Z198"/>
    <mergeCell ref="AA197:AA198"/>
    <mergeCell ref="AB197:AB198"/>
    <mergeCell ref="AL197:AL198"/>
    <mergeCell ref="AM197:AM198"/>
    <mergeCell ref="AN197:AN198"/>
    <mergeCell ref="Q199:Q200"/>
    <mergeCell ref="R199:R200"/>
    <mergeCell ref="S199:S200"/>
    <mergeCell ref="T199:T200"/>
    <mergeCell ref="U199:U200"/>
    <mergeCell ref="V199:V200"/>
    <mergeCell ref="W199:W200"/>
    <mergeCell ref="X199:X200"/>
    <mergeCell ref="Y199:Y200"/>
    <mergeCell ref="Z199:Z200"/>
    <mergeCell ref="AA199:AA200"/>
    <mergeCell ref="AB199:AB200"/>
    <mergeCell ref="AC199:AC200"/>
    <mergeCell ref="AD199:AD200"/>
    <mergeCell ref="AE199:AE200"/>
    <mergeCell ref="AF199:AF200"/>
    <mergeCell ref="AG199:AG200"/>
    <mergeCell ref="AH199:AH200"/>
    <mergeCell ref="AI199:AI200"/>
    <mergeCell ref="AJ199:AJ200"/>
    <mergeCell ref="AK199:AK200"/>
    <mergeCell ref="Q201:Q202"/>
    <mergeCell ref="R201:R202"/>
    <mergeCell ref="S201:S202"/>
    <mergeCell ref="T201:T202"/>
    <mergeCell ref="U201:U202"/>
    <mergeCell ref="V201:V202"/>
    <mergeCell ref="W201:W202"/>
    <mergeCell ref="X201:X202"/>
    <mergeCell ref="Y201:Y202"/>
    <mergeCell ref="Z201:Z202"/>
    <mergeCell ref="AA201:AA202"/>
    <mergeCell ref="AB201:AB202"/>
    <mergeCell ref="AC201:AC202"/>
    <mergeCell ref="AD201:AD202"/>
    <mergeCell ref="AE201:AE202"/>
    <mergeCell ref="AF201:AF202"/>
    <mergeCell ref="AG201:AG202"/>
    <mergeCell ref="AG203:AG204"/>
    <mergeCell ref="AH203:AH204"/>
    <mergeCell ref="AI203:AI204"/>
    <mergeCell ref="AJ203:AJ204"/>
    <mergeCell ref="AK203:AK204"/>
    <mergeCell ref="AL203:AL204"/>
    <mergeCell ref="AM203:AM204"/>
    <mergeCell ref="AN203:AN204"/>
    <mergeCell ref="AC197:AC198"/>
    <mergeCell ref="AD197:AD198"/>
    <mergeCell ref="AE197:AE198"/>
    <mergeCell ref="AF197:AF198"/>
    <mergeCell ref="AG197:AG198"/>
    <mergeCell ref="AH197:AH198"/>
    <mergeCell ref="AI197:AI198"/>
    <mergeCell ref="AJ197:AJ198"/>
    <mergeCell ref="AL199:AL200"/>
    <mergeCell ref="AM199:AM200"/>
    <mergeCell ref="AN199:AN200"/>
    <mergeCell ref="AH201:AH202"/>
    <mergeCell ref="AI201:AI202"/>
    <mergeCell ref="AJ201:AJ202"/>
    <mergeCell ref="AK201:AK202"/>
    <mergeCell ref="AK197:AK198"/>
    <mergeCell ref="V206:V207"/>
    <mergeCell ref="W206:W207"/>
    <mergeCell ref="X206:X207"/>
    <mergeCell ref="Y206:Y207"/>
    <mergeCell ref="Z206:Z207"/>
    <mergeCell ref="AA206:AA207"/>
    <mergeCell ref="AB206:AB207"/>
    <mergeCell ref="AC206:AC207"/>
    <mergeCell ref="AD206:AD207"/>
    <mergeCell ref="AE206:AE207"/>
    <mergeCell ref="AF206:AF207"/>
    <mergeCell ref="AG206:AG207"/>
    <mergeCell ref="AL201:AL202"/>
    <mergeCell ref="AM201:AM202"/>
    <mergeCell ref="AN201:AN202"/>
    <mergeCell ref="D202:I202"/>
    <mergeCell ref="Q203:Q204"/>
    <mergeCell ref="R203:R204"/>
    <mergeCell ref="S203:S204"/>
    <mergeCell ref="T203:T204"/>
    <mergeCell ref="U203:U204"/>
    <mergeCell ref="V203:V204"/>
    <mergeCell ref="W203:W204"/>
    <mergeCell ref="X203:X204"/>
    <mergeCell ref="Y203:Y204"/>
    <mergeCell ref="Z203:Z204"/>
    <mergeCell ref="AA203:AA204"/>
    <mergeCell ref="AB203:AB204"/>
    <mergeCell ref="AC203:AC204"/>
    <mergeCell ref="AD203:AD204"/>
    <mergeCell ref="AE203:AE204"/>
    <mergeCell ref="AF203:AF204"/>
    <mergeCell ref="AH206:AH207"/>
    <mergeCell ref="AI206:AI207"/>
    <mergeCell ref="AJ206:AJ207"/>
    <mergeCell ref="AK206:AK207"/>
    <mergeCell ref="AL206:AL207"/>
    <mergeCell ref="AM206:AM207"/>
    <mergeCell ref="AN206:AN207"/>
    <mergeCell ref="Q208:Q209"/>
    <mergeCell ref="R208:R209"/>
    <mergeCell ref="S208:S209"/>
    <mergeCell ref="T208:T209"/>
    <mergeCell ref="U208:U209"/>
    <mergeCell ref="V208:V209"/>
    <mergeCell ref="W208:W209"/>
    <mergeCell ref="X208:X209"/>
    <mergeCell ref="Y208:Y209"/>
    <mergeCell ref="Z208:Z209"/>
    <mergeCell ref="AA208:AA209"/>
    <mergeCell ref="AB208:AB209"/>
    <mergeCell ref="AC208:AC209"/>
    <mergeCell ref="AD208:AD209"/>
    <mergeCell ref="AE208:AE209"/>
    <mergeCell ref="AF208:AF209"/>
    <mergeCell ref="AG208:AG209"/>
    <mergeCell ref="AH208:AH209"/>
    <mergeCell ref="AI208:AI209"/>
    <mergeCell ref="AJ208:AJ209"/>
    <mergeCell ref="Q206:Q207"/>
    <mergeCell ref="R206:R207"/>
    <mergeCell ref="S206:S207"/>
    <mergeCell ref="T206:T207"/>
    <mergeCell ref="U206:U207"/>
    <mergeCell ref="AK208:AK209"/>
    <mergeCell ref="AL208:AL209"/>
    <mergeCell ref="AM208:AM209"/>
    <mergeCell ref="AN208:AN209"/>
    <mergeCell ref="D211:I211"/>
    <mergeCell ref="J212:J224"/>
    <mergeCell ref="K212:K224"/>
    <mergeCell ref="L212:L224"/>
    <mergeCell ref="M212:M224"/>
    <mergeCell ref="N212:N224"/>
    <mergeCell ref="O212:O224"/>
    <mergeCell ref="P212:P224"/>
    <mergeCell ref="Q212:Q213"/>
    <mergeCell ref="R212:R213"/>
    <mergeCell ref="S212:S213"/>
    <mergeCell ref="T212:T213"/>
    <mergeCell ref="U212:U213"/>
    <mergeCell ref="V212:V213"/>
    <mergeCell ref="W212:W213"/>
    <mergeCell ref="X212:X213"/>
    <mergeCell ref="Y212:Y213"/>
    <mergeCell ref="Z212:Z213"/>
    <mergeCell ref="AA212:AA213"/>
    <mergeCell ref="AB212:AB213"/>
    <mergeCell ref="AL212:AL213"/>
    <mergeCell ref="AM212:AM213"/>
    <mergeCell ref="AN212:AN213"/>
    <mergeCell ref="Q214:Q215"/>
    <mergeCell ref="R214:R215"/>
    <mergeCell ref="S214:S215"/>
    <mergeCell ref="T214:T215"/>
    <mergeCell ref="U214:U215"/>
    <mergeCell ref="V214:V215"/>
    <mergeCell ref="W214:W215"/>
    <mergeCell ref="X214:X215"/>
    <mergeCell ref="Y214:Y215"/>
    <mergeCell ref="Z214:Z215"/>
    <mergeCell ref="AA214:AA215"/>
    <mergeCell ref="AB214:AB215"/>
    <mergeCell ref="AC214:AC215"/>
    <mergeCell ref="AD214:AD215"/>
    <mergeCell ref="AE214:AE215"/>
    <mergeCell ref="AF214:AF215"/>
    <mergeCell ref="AG214:AG215"/>
    <mergeCell ref="AH214:AH215"/>
    <mergeCell ref="AI214:AI215"/>
    <mergeCell ref="AJ214:AJ215"/>
    <mergeCell ref="AK214:AK215"/>
    <mergeCell ref="Q216:Q217"/>
    <mergeCell ref="R216:R217"/>
    <mergeCell ref="S216:S217"/>
    <mergeCell ref="T216:T217"/>
    <mergeCell ref="U216:U217"/>
    <mergeCell ref="V216:V217"/>
    <mergeCell ref="W216:W217"/>
    <mergeCell ref="X216:X217"/>
    <mergeCell ref="Y216:Y217"/>
    <mergeCell ref="Z216:Z217"/>
    <mergeCell ref="AA216:AA217"/>
    <mergeCell ref="AB216:AB217"/>
    <mergeCell ref="AC216:AC217"/>
    <mergeCell ref="AD216:AD217"/>
    <mergeCell ref="AE216:AE217"/>
    <mergeCell ref="AF216:AF217"/>
    <mergeCell ref="AG216:AG217"/>
    <mergeCell ref="AG218:AG219"/>
    <mergeCell ref="AH218:AH219"/>
    <mergeCell ref="AI218:AI219"/>
    <mergeCell ref="AJ218:AJ219"/>
    <mergeCell ref="AK218:AK219"/>
    <mergeCell ref="AL218:AL219"/>
    <mergeCell ref="AM218:AM219"/>
    <mergeCell ref="AN218:AN219"/>
    <mergeCell ref="AC212:AC213"/>
    <mergeCell ref="AD212:AD213"/>
    <mergeCell ref="AE212:AE213"/>
    <mergeCell ref="AF212:AF213"/>
    <mergeCell ref="AG212:AG213"/>
    <mergeCell ref="AH212:AH213"/>
    <mergeCell ref="AI212:AI213"/>
    <mergeCell ref="AJ212:AJ213"/>
    <mergeCell ref="AL214:AL215"/>
    <mergeCell ref="AM214:AM215"/>
    <mergeCell ref="AN214:AN215"/>
    <mergeCell ref="AH216:AH217"/>
    <mergeCell ref="AI216:AI217"/>
    <mergeCell ref="AJ216:AJ217"/>
    <mergeCell ref="AK216:AK217"/>
    <mergeCell ref="AK212:AK213"/>
    <mergeCell ref="V221:V222"/>
    <mergeCell ref="W221:W222"/>
    <mergeCell ref="X221:X222"/>
    <mergeCell ref="Y221:Y222"/>
    <mergeCell ref="Z221:Z222"/>
    <mergeCell ref="AA221:AA222"/>
    <mergeCell ref="AB221:AB222"/>
    <mergeCell ref="AC221:AC222"/>
    <mergeCell ref="AD221:AD222"/>
    <mergeCell ref="AE221:AE222"/>
    <mergeCell ref="AF221:AF222"/>
    <mergeCell ref="AG221:AG222"/>
    <mergeCell ref="AL216:AL217"/>
    <mergeCell ref="AM216:AM217"/>
    <mergeCell ref="AN216:AN217"/>
    <mergeCell ref="D217:I217"/>
    <mergeCell ref="Q218:Q219"/>
    <mergeCell ref="R218:R219"/>
    <mergeCell ref="S218:S219"/>
    <mergeCell ref="T218:T219"/>
    <mergeCell ref="U218:U219"/>
    <mergeCell ref="V218:V219"/>
    <mergeCell ref="W218:W219"/>
    <mergeCell ref="X218:X219"/>
    <mergeCell ref="Y218:Y219"/>
    <mergeCell ref="Z218:Z219"/>
    <mergeCell ref="AA218:AA219"/>
    <mergeCell ref="AB218:AB219"/>
    <mergeCell ref="AC218:AC219"/>
    <mergeCell ref="AD218:AD219"/>
    <mergeCell ref="AE218:AE219"/>
    <mergeCell ref="AF218:AF219"/>
    <mergeCell ref="AH221:AH222"/>
    <mergeCell ref="AI221:AI222"/>
    <mergeCell ref="AJ221:AJ222"/>
    <mergeCell ref="AK221:AK222"/>
    <mergeCell ref="AL221:AL222"/>
    <mergeCell ref="AM221:AM222"/>
    <mergeCell ref="AN221:AN222"/>
    <mergeCell ref="Q223:Q224"/>
    <mergeCell ref="R223:R224"/>
    <mergeCell ref="S223:S224"/>
    <mergeCell ref="T223:T224"/>
    <mergeCell ref="U223:U224"/>
    <mergeCell ref="V223:V224"/>
    <mergeCell ref="W223:W224"/>
    <mergeCell ref="X223:X224"/>
    <mergeCell ref="Y223:Y224"/>
    <mergeCell ref="Z223:Z224"/>
    <mergeCell ref="AA223:AA224"/>
    <mergeCell ref="AB223:AB224"/>
    <mergeCell ref="AC223:AC224"/>
    <mergeCell ref="AD223:AD224"/>
    <mergeCell ref="AE223:AE224"/>
    <mergeCell ref="AF223:AF224"/>
    <mergeCell ref="AG223:AG224"/>
    <mergeCell ref="AH223:AH224"/>
    <mergeCell ref="AI223:AI224"/>
    <mergeCell ref="AJ223:AJ224"/>
    <mergeCell ref="Q221:Q222"/>
    <mergeCell ref="R221:R222"/>
    <mergeCell ref="S221:S222"/>
    <mergeCell ref="T221:T222"/>
    <mergeCell ref="U221:U222"/>
    <mergeCell ref="AK223:AK224"/>
    <mergeCell ref="AL223:AL224"/>
    <mergeCell ref="AM223:AM224"/>
    <mergeCell ref="AN223:AN224"/>
    <mergeCell ref="D226:I226"/>
    <mergeCell ref="J227:J239"/>
    <mergeCell ref="K227:K239"/>
    <mergeCell ref="L227:L239"/>
    <mergeCell ref="M227:M239"/>
    <mergeCell ref="N227:N239"/>
    <mergeCell ref="O227:O239"/>
    <mergeCell ref="P227:P239"/>
    <mergeCell ref="Q227:Q228"/>
    <mergeCell ref="R227:R228"/>
    <mergeCell ref="S227:S228"/>
    <mergeCell ref="T227:T228"/>
    <mergeCell ref="U227:U228"/>
    <mergeCell ref="V227:V228"/>
    <mergeCell ref="W227:W228"/>
    <mergeCell ref="X227:X228"/>
    <mergeCell ref="Y227:Y228"/>
    <mergeCell ref="Z227:Z228"/>
    <mergeCell ref="AA227:AA228"/>
    <mergeCell ref="AB227:AB228"/>
    <mergeCell ref="AL227:AL228"/>
    <mergeCell ref="AM227:AM228"/>
    <mergeCell ref="AN227:AN228"/>
    <mergeCell ref="Q229:Q230"/>
    <mergeCell ref="R229:R230"/>
    <mergeCell ref="S229:S230"/>
    <mergeCell ref="T229:T230"/>
    <mergeCell ref="U229:U230"/>
    <mergeCell ref="V229:V230"/>
    <mergeCell ref="W229:W230"/>
    <mergeCell ref="X229:X230"/>
    <mergeCell ref="Y229:Y230"/>
    <mergeCell ref="Z229:Z230"/>
    <mergeCell ref="AA229:AA230"/>
    <mergeCell ref="AB229:AB230"/>
    <mergeCell ref="AC229:AC230"/>
    <mergeCell ref="AD229:AD230"/>
    <mergeCell ref="AE229:AE230"/>
    <mergeCell ref="AF229:AF230"/>
    <mergeCell ref="AG229:AG230"/>
    <mergeCell ref="AH229:AH230"/>
    <mergeCell ref="AI229:AI230"/>
    <mergeCell ref="AJ229:AJ230"/>
    <mergeCell ref="AK229:AK230"/>
    <mergeCell ref="Q231:Q232"/>
    <mergeCell ref="R231:R232"/>
    <mergeCell ref="S231:S232"/>
    <mergeCell ref="T231:T232"/>
    <mergeCell ref="U231:U232"/>
    <mergeCell ref="V231:V232"/>
    <mergeCell ref="W231:W232"/>
    <mergeCell ref="X231:X232"/>
    <mergeCell ref="Y231:Y232"/>
    <mergeCell ref="Z231:Z232"/>
    <mergeCell ref="AA231:AA232"/>
    <mergeCell ref="AB231:AB232"/>
    <mergeCell ref="AC231:AC232"/>
    <mergeCell ref="AD231:AD232"/>
    <mergeCell ref="AE231:AE232"/>
    <mergeCell ref="AF231:AF232"/>
    <mergeCell ref="AG231:AG232"/>
    <mergeCell ref="AG233:AG234"/>
    <mergeCell ref="AH233:AH234"/>
    <mergeCell ref="AI233:AI234"/>
    <mergeCell ref="AJ233:AJ234"/>
    <mergeCell ref="AK233:AK234"/>
    <mergeCell ref="AL233:AL234"/>
    <mergeCell ref="AM233:AM234"/>
    <mergeCell ref="AN233:AN234"/>
    <mergeCell ref="AC227:AC228"/>
    <mergeCell ref="AD227:AD228"/>
    <mergeCell ref="AE227:AE228"/>
    <mergeCell ref="AF227:AF228"/>
    <mergeCell ref="AG227:AG228"/>
    <mergeCell ref="AH227:AH228"/>
    <mergeCell ref="AI227:AI228"/>
    <mergeCell ref="AJ227:AJ228"/>
    <mergeCell ref="AL229:AL230"/>
    <mergeCell ref="AM229:AM230"/>
    <mergeCell ref="AN229:AN230"/>
    <mergeCell ref="AH231:AH232"/>
    <mergeCell ref="AI231:AI232"/>
    <mergeCell ref="AJ231:AJ232"/>
    <mergeCell ref="AK231:AK232"/>
    <mergeCell ref="AK227:AK228"/>
    <mergeCell ref="V236:V237"/>
    <mergeCell ref="W236:W237"/>
    <mergeCell ref="X236:X237"/>
    <mergeCell ref="Y236:Y237"/>
    <mergeCell ref="Z236:Z237"/>
    <mergeCell ref="AA236:AA237"/>
    <mergeCell ref="AB236:AB237"/>
    <mergeCell ref="AC236:AC237"/>
    <mergeCell ref="AD236:AD237"/>
    <mergeCell ref="AE236:AE237"/>
    <mergeCell ref="AF236:AF237"/>
    <mergeCell ref="AG236:AG237"/>
    <mergeCell ref="AL231:AL232"/>
    <mergeCell ref="AM231:AM232"/>
    <mergeCell ref="AN231:AN232"/>
    <mergeCell ref="D232:I232"/>
    <mergeCell ref="Q233:Q234"/>
    <mergeCell ref="R233:R234"/>
    <mergeCell ref="S233:S234"/>
    <mergeCell ref="T233:T234"/>
    <mergeCell ref="U233:U234"/>
    <mergeCell ref="V233:V234"/>
    <mergeCell ref="W233:W234"/>
    <mergeCell ref="X233:X234"/>
    <mergeCell ref="Y233:Y234"/>
    <mergeCell ref="Z233:Z234"/>
    <mergeCell ref="AA233:AA234"/>
    <mergeCell ref="AB233:AB234"/>
    <mergeCell ref="AC233:AC234"/>
    <mergeCell ref="AD233:AD234"/>
    <mergeCell ref="AE233:AE234"/>
    <mergeCell ref="AF233:AF234"/>
    <mergeCell ref="AH236:AH237"/>
    <mergeCell ref="AI236:AI237"/>
    <mergeCell ref="AJ236:AJ237"/>
    <mergeCell ref="AK236:AK237"/>
    <mergeCell ref="AL236:AL237"/>
    <mergeCell ref="AM236:AM237"/>
    <mergeCell ref="AN236:AN237"/>
    <mergeCell ref="Q238:Q239"/>
    <mergeCell ref="R238:R239"/>
    <mergeCell ref="S238:S239"/>
    <mergeCell ref="T238:T239"/>
    <mergeCell ref="U238:U239"/>
    <mergeCell ref="V238:V239"/>
    <mergeCell ref="W238:W239"/>
    <mergeCell ref="X238:X239"/>
    <mergeCell ref="Y238:Y239"/>
    <mergeCell ref="Z238:Z239"/>
    <mergeCell ref="AA238:AA239"/>
    <mergeCell ref="AB238:AB239"/>
    <mergeCell ref="AC238:AC239"/>
    <mergeCell ref="AD238:AD239"/>
    <mergeCell ref="AE238:AE239"/>
    <mergeCell ref="AF238:AF239"/>
    <mergeCell ref="AG238:AG239"/>
    <mergeCell ref="AH238:AH239"/>
    <mergeCell ref="AI238:AI239"/>
    <mergeCell ref="AJ238:AJ239"/>
    <mergeCell ref="Q236:Q237"/>
    <mergeCell ref="R236:R237"/>
    <mergeCell ref="S236:S237"/>
    <mergeCell ref="T236:T237"/>
    <mergeCell ref="U236:U237"/>
    <mergeCell ref="AK238:AK239"/>
    <mergeCell ref="AL238:AL239"/>
    <mergeCell ref="AM238:AM239"/>
    <mergeCell ref="AN238:AN239"/>
    <mergeCell ref="D241:I241"/>
    <mergeCell ref="J242:J254"/>
    <mergeCell ref="K242:K254"/>
    <mergeCell ref="L242:L254"/>
    <mergeCell ref="M242:M254"/>
    <mergeCell ref="N242:N254"/>
    <mergeCell ref="O242:O254"/>
    <mergeCell ref="P242:P254"/>
    <mergeCell ref="Q242:Q243"/>
    <mergeCell ref="R242:R243"/>
    <mergeCell ref="S242:S243"/>
    <mergeCell ref="T242:T243"/>
    <mergeCell ref="U242:U243"/>
    <mergeCell ref="V242:V243"/>
    <mergeCell ref="W242:W243"/>
    <mergeCell ref="X242:X243"/>
    <mergeCell ref="Y242:Y243"/>
    <mergeCell ref="Z242:Z243"/>
    <mergeCell ref="AA242:AA243"/>
    <mergeCell ref="AB242:AB243"/>
    <mergeCell ref="AL242:AL243"/>
    <mergeCell ref="AM242:AM243"/>
    <mergeCell ref="AN242:AN243"/>
    <mergeCell ref="Q244:Q245"/>
    <mergeCell ref="R244:R245"/>
    <mergeCell ref="S244:S245"/>
    <mergeCell ref="T244:T245"/>
    <mergeCell ref="U244:U245"/>
    <mergeCell ref="V244:V245"/>
    <mergeCell ref="W244:W245"/>
    <mergeCell ref="X244:X245"/>
    <mergeCell ref="Y244:Y245"/>
    <mergeCell ref="Z244:Z245"/>
    <mergeCell ref="AA244:AA245"/>
    <mergeCell ref="AB244:AB245"/>
    <mergeCell ref="AC244:AC245"/>
    <mergeCell ref="AD244:AD245"/>
    <mergeCell ref="AE244:AE245"/>
    <mergeCell ref="AF244:AF245"/>
    <mergeCell ref="AG244:AG245"/>
    <mergeCell ref="AH244:AH245"/>
    <mergeCell ref="AI244:AI245"/>
    <mergeCell ref="AJ244:AJ245"/>
    <mergeCell ref="AK244:AK245"/>
    <mergeCell ref="Q246:Q247"/>
    <mergeCell ref="R246:R247"/>
    <mergeCell ref="S246:S247"/>
    <mergeCell ref="T246:T247"/>
    <mergeCell ref="U246:U247"/>
    <mergeCell ref="V246:V247"/>
    <mergeCell ref="W246:W247"/>
    <mergeCell ref="X246:X247"/>
    <mergeCell ref="Y246:Y247"/>
    <mergeCell ref="Z246:Z247"/>
    <mergeCell ref="AA246:AA247"/>
    <mergeCell ref="AB246:AB247"/>
    <mergeCell ref="AC246:AC247"/>
    <mergeCell ref="AD246:AD247"/>
    <mergeCell ref="AE246:AE247"/>
    <mergeCell ref="AF246:AF247"/>
    <mergeCell ref="AG246:AG247"/>
    <mergeCell ref="AG248:AG249"/>
    <mergeCell ref="AH248:AH249"/>
    <mergeCell ref="AI248:AI249"/>
    <mergeCell ref="AJ248:AJ249"/>
    <mergeCell ref="AK248:AK249"/>
    <mergeCell ref="AL248:AL249"/>
    <mergeCell ref="AM248:AM249"/>
    <mergeCell ref="AN248:AN249"/>
    <mergeCell ref="AC242:AC243"/>
    <mergeCell ref="AD242:AD243"/>
    <mergeCell ref="AE242:AE243"/>
    <mergeCell ref="AF242:AF243"/>
    <mergeCell ref="AG242:AG243"/>
    <mergeCell ref="AH242:AH243"/>
    <mergeCell ref="AI242:AI243"/>
    <mergeCell ref="AJ242:AJ243"/>
    <mergeCell ref="AL244:AL245"/>
    <mergeCell ref="AM244:AM245"/>
    <mergeCell ref="AN244:AN245"/>
    <mergeCell ref="AH246:AH247"/>
    <mergeCell ref="AI246:AI247"/>
    <mergeCell ref="AJ246:AJ247"/>
    <mergeCell ref="AK246:AK247"/>
    <mergeCell ref="AK242:AK243"/>
    <mergeCell ref="V251:V252"/>
    <mergeCell ref="W251:W252"/>
    <mergeCell ref="X251:X252"/>
    <mergeCell ref="Y251:Y252"/>
    <mergeCell ref="Z251:Z252"/>
    <mergeCell ref="AA251:AA252"/>
    <mergeCell ref="AB251:AB252"/>
    <mergeCell ref="AC251:AC252"/>
    <mergeCell ref="AD251:AD252"/>
    <mergeCell ref="AE251:AE252"/>
    <mergeCell ref="AF251:AF252"/>
    <mergeCell ref="AG251:AG252"/>
    <mergeCell ref="AL246:AL247"/>
    <mergeCell ref="AM246:AM247"/>
    <mergeCell ref="AN246:AN247"/>
    <mergeCell ref="D247:I247"/>
    <mergeCell ref="Q248:Q249"/>
    <mergeCell ref="R248:R249"/>
    <mergeCell ref="S248:S249"/>
    <mergeCell ref="T248:T249"/>
    <mergeCell ref="U248:U249"/>
    <mergeCell ref="V248:V249"/>
    <mergeCell ref="W248:W249"/>
    <mergeCell ref="X248:X249"/>
    <mergeCell ref="Y248:Y249"/>
    <mergeCell ref="Z248:Z249"/>
    <mergeCell ref="AA248:AA249"/>
    <mergeCell ref="AB248:AB249"/>
    <mergeCell ref="AC248:AC249"/>
    <mergeCell ref="AD248:AD249"/>
    <mergeCell ref="AE248:AE249"/>
    <mergeCell ref="AF248:AF249"/>
    <mergeCell ref="AH251:AH252"/>
    <mergeCell ref="AI251:AI252"/>
    <mergeCell ref="AJ251:AJ252"/>
    <mergeCell ref="AK251:AK252"/>
    <mergeCell ref="AL251:AL252"/>
    <mergeCell ref="AM251:AM252"/>
    <mergeCell ref="AN251:AN252"/>
    <mergeCell ref="Q253:Q254"/>
    <mergeCell ref="R253:R254"/>
    <mergeCell ref="S253:S254"/>
    <mergeCell ref="T253:T254"/>
    <mergeCell ref="U253:U254"/>
    <mergeCell ref="V253:V254"/>
    <mergeCell ref="W253:W254"/>
    <mergeCell ref="X253:X254"/>
    <mergeCell ref="Y253:Y254"/>
    <mergeCell ref="Z253:Z254"/>
    <mergeCell ref="AA253:AA254"/>
    <mergeCell ref="AB253:AB254"/>
    <mergeCell ref="AC253:AC254"/>
    <mergeCell ref="AD253:AD254"/>
    <mergeCell ref="AE253:AE254"/>
    <mergeCell ref="AF253:AF254"/>
    <mergeCell ref="AG253:AG254"/>
    <mergeCell ref="AH253:AH254"/>
    <mergeCell ref="AI253:AI254"/>
    <mergeCell ref="AJ253:AJ254"/>
    <mergeCell ref="Q251:Q252"/>
    <mergeCell ref="R251:R252"/>
    <mergeCell ref="S251:S252"/>
    <mergeCell ref="T251:T252"/>
    <mergeCell ref="U251:U252"/>
    <mergeCell ref="AK253:AK254"/>
    <mergeCell ref="AL253:AL254"/>
    <mergeCell ref="AM253:AM254"/>
    <mergeCell ref="AN253:AN254"/>
    <mergeCell ref="D256:I256"/>
    <mergeCell ref="J257:J269"/>
    <mergeCell ref="K257:K269"/>
    <mergeCell ref="L257:L269"/>
    <mergeCell ref="M257:M269"/>
    <mergeCell ref="N257:N269"/>
    <mergeCell ref="O257:O269"/>
    <mergeCell ref="P257:P269"/>
    <mergeCell ref="Q257:Q258"/>
    <mergeCell ref="R257:R258"/>
    <mergeCell ref="S257:S258"/>
    <mergeCell ref="T257:T258"/>
    <mergeCell ref="U257:U258"/>
    <mergeCell ref="V257:V258"/>
    <mergeCell ref="W257:W258"/>
    <mergeCell ref="X257:X258"/>
    <mergeCell ref="Y257:Y258"/>
    <mergeCell ref="Z257:Z258"/>
    <mergeCell ref="AA257:AA258"/>
    <mergeCell ref="AB257:AB258"/>
    <mergeCell ref="AL257:AL258"/>
    <mergeCell ref="AM257:AM258"/>
    <mergeCell ref="AN257:AN258"/>
    <mergeCell ref="Q259:Q260"/>
    <mergeCell ref="R259:R260"/>
    <mergeCell ref="S259:S260"/>
    <mergeCell ref="T259:T260"/>
    <mergeCell ref="U259:U260"/>
    <mergeCell ref="V259:V260"/>
    <mergeCell ref="W259:W260"/>
    <mergeCell ref="X259:X260"/>
    <mergeCell ref="Y259:Y260"/>
    <mergeCell ref="Z259:Z260"/>
    <mergeCell ref="AA259:AA260"/>
    <mergeCell ref="AB259:AB260"/>
    <mergeCell ref="AC259:AC260"/>
    <mergeCell ref="AD259:AD260"/>
    <mergeCell ref="AE259:AE260"/>
    <mergeCell ref="AF259:AF260"/>
    <mergeCell ref="AG259:AG260"/>
    <mergeCell ref="AH259:AH260"/>
    <mergeCell ref="AI259:AI260"/>
    <mergeCell ref="AJ259:AJ260"/>
    <mergeCell ref="AK259:AK260"/>
    <mergeCell ref="Q261:Q262"/>
    <mergeCell ref="R261:R262"/>
    <mergeCell ref="S261:S262"/>
    <mergeCell ref="T261:T262"/>
    <mergeCell ref="U261:U262"/>
    <mergeCell ref="V261:V262"/>
    <mergeCell ref="W261:W262"/>
    <mergeCell ref="X261:X262"/>
    <mergeCell ref="Y261:Y262"/>
    <mergeCell ref="Z261:Z262"/>
    <mergeCell ref="AA261:AA262"/>
    <mergeCell ref="AB261:AB262"/>
    <mergeCell ref="AC261:AC262"/>
    <mergeCell ref="AD261:AD262"/>
    <mergeCell ref="AE261:AE262"/>
    <mergeCell ref="AF261:AF262"/>
    <mergeCell ref="AG261:AG262"/>
    <mergeCell ref="AG263:AG264"/>
    <mergeCell ref="AH263:AH264"/>
    <mergeCell ref="AI263:AI264"/>
    <mergeCell ref="AJ263:AJ264"/>
    <mergeCell ref="AK263:AK264"/>
    <mergeCell ref="AL263:AL264"/>
    <mergeCell ref="AM263:AM264"/>
    <mergeCell ref="AN263:AN264"/>
    <mergeCell ref="AC257:AC258"/>
    <mergeCell ref="AD257:AD258"/>
    <mergeCell ref="AE257:AE258"/>
    <mergeCell ref="AF257:AF258"/>
    <mergeCell ref="AG257:AG258"/>
    <mergeCell ref="AH257:AH258"/>
    <mergeCell ref="AI257:AI258"/>
    <mergeCell ref="AJ257:AJ258"/>
    <mergeCell ref="AL259:AL260"/>
    <mergeCell ref="AM259:AM260"/>
    <mergeCell ref="AN259:AN260"/>
    <mergeCell ref="AH261:AH262"/>
    <mergeCell ref="AI261:AI262"/>
    <mergeCell ref="AJ261:AJ262"/>
    <mergeCell ref="AK261:AK262"/>
    <mergeCell ref="AK257:AK258"/>
    <mergeCell ref="V266:V267"/>
    <mergeCell ref="W266:W267"/>
    <mergeCell ref="X266:X267"/>
    <mergeCell ref="Y266:Y267"/>
    <mergeCell ref="Z266:Z267"/>
    <mergeCell ref="AA266:AA267"/>
    <mergeCell ref="AB266:AB267"/>
    <mergeCell ref="AC266:AC267"/>
    <mergeCell ref="AD266:AD267"/>
    <mergeCell ref="AE266:AE267"/>
    <mergeCell ref="AF266:AF267"/>
    <mergeCell ref="AG266:AG267"/>
    <mergeCell ref="AL261:AL262"/>
    <mergeCell ref="AM261:AM262"/>
    <mergeCell ref="AN261:AN262"/>
    <mergeCell ref="D262:I262"/>
    <mergeCell ref="Q263:Q264"/>
    <mergeCell ref="R263:R264"/>
    <mergeCell ref="S263:S264"/>
    <mergeCell ref="T263:T264"/>
    <mergeCell ref="U263:U264"/>
    <mergeCell ref="V263:V264"/>
    <mergeCell ref="W263:W264"/>
    <mergeCell ref="X263:X264"/>
    <mergeCell ref="Y263:Y264"/>
    <mergeCell ref="Z263:Z264"/>
    <mergeCell ref="AA263:AA264"/>
    <mergeCell ref="AB263:AB264"/>
    <mergeCell ref="AC263:AC264"/>
    <mergeCell ref="AD263:AD264"/>
    <mergeCell ref="AE263:AE264"/>
    <mergeCell ref="AF263:AF264"/>
    <mergeCell ref="AH266:AH267"/>
    <mergeCell ref="AI266:AI267"/>
    <mergeCell ref="AJ266:AJ267"/>
    <mergeCell ref="AK266:AK267"/>
    <mergeCell ref="AL266:AL267"/>
    <mergeCell ref="AM266:AM267"/>
    <mergeCell ref="AN266:AN267"/>
    <mergeCell ref="Q268:Q269"/>
    <mergeCell ref="R268:R269"/>
    <mergeCell ref="S268:S269"/>
    <mergeCell ref="T268:T269"/>
    <mergeCell ref="U268:U269"/>
    <mergeCell ref="V268:V269"/>
    <mergeCell ref="W268:W269"/>
    <mergeCell ref="X268:X269"/>
    <mergeCell ref="Y268:Y269"/>
    <mergeCell ref="Z268:Z269"/>
    <mergeCell ref="AA268:AA269"/>
    <mergeCell ref="AB268:AB269"/>
    <mergeCell ref="AC268:AC269"/>
    <mergeCell ref="AD268:AD269"/>
    <mergeCell ref="AE268:AE269"/>
    <mergeCell ref="AF268:AF269"/>
    <mergeCell ref="AG268:AG269"/>
    <mergeCell ref="AH268:AH269"/>
    <mergeCell ref="AI268:AI269"/>
    <mergeCell ref="AJ268:AJ269"/>
    <mergeCell ref="Q266:Q267"/>
    <mergeCell ref="R266:R267"/>
    <mergeCell ref="S266:S267"/>
    <mergeCell ref="T266:T267"/>
    <mergeCell ref="U266:U267"/>
    <mergeCell ref="AK268:AK269"/>
    <mergeCell ref="AL268:AL269"/>
    <mergeCell ref="AM268:AM269"/>
    <mergeCell ref="AN268:AN269"/>
    <mergeCell ref="D271:I271"/>
    <mergeCell ref="J272:J284"/>
    <mergeCell ref="K272:K284"/>
    <mergeCell ref="L272:L284"/>
    <mergeCell ref="M272:M284"/>
    <mergeCell ref="N272:N284"/>
    <mergeCell ref="O272:O284"/>
    <mergeCell ref="P272:P284"/>
    <mergeCell ref="Q272:Q273"/>
    <mergeCell ref="R272:R273"/>
    <mergeCell ref="S272:S273"/>
    <mergeCell ref="T272:T273"/>
    <mergeCell ref="U272:U273"/>
    <mergeCell ref="V272:V273"/>
    <mergeCell ref="W272:W273"/>
    <mergeCell ref="X272:X273"/>
    <mergeCell ref="Y272:Y273"/>
    <mergeCell ref="Z272:Z273"/>
    <mergeCell ref="AA272:AA273"/>
    <mergeCell ref="AB272:AB273"/>
    <mergeCell ref="AL272:AL273"/>
    <mergeCell ref="AM272:AM273"/>
    <mergeCell ref="AN272:AN273"/>
    <mergeCell ref="Q274:Q275"/>
    <mergeCell ref="R274:R275"/>
    <mergeCell ref="S274:S275"/>
    <mergeCell ref="T274:T275"/>
    <mergeCell ref="U274:U275"/>
    <mergeCell ref="V274:V275"/>
    <mergeCell ref="W274:W275"/>
    <mergeCell ref="X274:X275"/>
    <mergeCell ref="Y274:Y275"/>
    <mergeCell ref="Z274:Z275"/>
    <mergeCell ref="AA274:AA275"/>
    <mergeCell ref="AB274:AB275"/>
    <mergeCell ref="AC274:AC275"/>
    <mergeCell ref="AD274:AD275"/>
    <mergeCell ref="AE274:AE275"/>
    <mergeCell ref="AF274:AF275"/>
    <mergeCell ref="AG274:AG275"/>
    <mergeCell ref="AH274:AH275"/>
    <mergeCell ref="AI274:AI275"/>
    <mergeCell ref="AJ274:AJ275"/>
    <mergeCell ref="AK274:AK275"/>
    <mergeCell ref="Q276:Q277"/>
    <mergeCell ref="R276:R277"/>
    <mergeCell ref="S276:S277"/>
    <mergeCell ref="T276:T277"/>
    <mergeCell ref="U276:U277"/>
    <mergeCell ref="V276:V277"/>
    <mergeCell ref="W276:W277"/>
    <mergeCell ref="X276:X277"/>
    <mergeCell ref="Y276:Y277"/>
    <mergeCell ref="Z276:Z277"/>
    <mergeCell ref="AA276:AA277"/>
    <mergeCell ref="AB276:AB277"/>
    <mergeCell ref="AC276:AC277"/>
    <mergeCell ref="AD276:AD277"/>
    <mergeCell ref="AE276:AE277"/>
    <mergeCell ref="AF276:AF277"/>
    <mergeCell ref="AG276:AG277"/>
    <mergeCell ref="AG278:AG279"/>
    <mergeCell ref="AH278:AH279"/>
    <mergeCell ref="AI278:AI279"/>
    <mergeCell ref="AJ278:AJ279"/>
    <mergeCell ref="AK278:AK279"/>
    <mergeCell ref="AL278:AL279"/>
    <mergeCell ref="AM278:AM279"/>
    <mergeCell ref="AN278:AN279"/>
    <mergeCell ref="AC272:AC273"/>
    <mergeCell ref="AD272:AD273"/>
    <mergeCell ref="AE272:AE273"/>
    <mergeCell ref="AF272:AF273"/>
    <mergeCell ref="AG272:AG273"/>
    <mergeCell ref="AH272:AH273"/>
    <mergeCell ref="AI272:AI273"/>
    <mergeCell ref="AJ272:AJ273"/>
    <mergeCell ref="AL274:AL275"/>
    <mergeCell ref="AM274:AM275"/>
    <mergeCell ref="AN274:AN275"/>
    <mergeCell ref="AH276:AH277"/>
    <mergeCell ref="AI276:AI277"/>
    <mergeCell ref="AJ276:AJ277"/>
    <mergeCell ref="AK276:AK277"/>
    <mergeCell ref="AK272:AK273"/>
    <mergeCell ref="V281:V282"/>
    <mergeCell ref="W281:W282"/>
    <mergeCell ref="X281:X282"/>
    <mergeCell ref="Y281:Y282"/>
    <mergeCell ref="Z281:Z282"/>
    <mergeCell ref="AA281:AA282"/>
    <mergeCell ref="AB281:AB282"/>
    <mergeCell ref="AC281:AC282"/>
    <mergeCell ref="AD281:AD282"/>
    <mergeCell ref="AE281:AE282"/>
    <mergeCell ref="AF281:AF282"/>
    <mergeCell ref="AG281:AG282"/>
    <mergeCell ref="AL276:AL277"/>
    <mergeCell ref="AM276:AM277"/>
    <mergeCell ref="AN276:AN277"/>
    <mergeCell ref="D277:I277"/>
    <mergeCell ref="Q278:Q279"/>
    <mergeCell ref="R278:R279"/>
    <mergeCell ref="S278:S279"/>
    <mergeCell ref="T278:T279"/>
    <mergeCell ref="U278:U279"/>
    <mergeCell ref="V278:V279"/>
    <mergeCell ref="W278:W279"/>
    <mergeCell ref="X278:X279"/>
    <mergeCell ref="Y278:Y279"/>
    <mergeCell ref="Z278:Z279"/>
    <mergeCell ref="AA278:AA279"/>
    <mergeCell ref="AB278:AB279"/>
    <mergeCell ref="AC278:AC279"/>
    <mergeCell ref="AD278:AD279"/>
    <mergeCell ref="AE278:AE279"/>
    <mergeCell ref="AF278:AF279"/>
    <mergeCell ref="AH281:AH282"/>
    <mergeCell ref="AI281:AI282"/>
    <mergeCell ref="AJ281:AJ282"/>
    <mergeCell ref="AK281:AK282"/>
    <mergeCell ref="AL281:AL282"/>
    <mergeCell ref="AM281:AM282"/>
    <mergeCell ref="AN281:AN282"/>
    <mergeCell ref="Q283:Q284"/>
    <mergeCell ref="R283:R284"/>
    <mergeCell ref="S283:S284"/>
    <mergeCell ref="T283:T284"/>
    <mergeCell ref="U283:U284"/>
    <mergeCell ref="V283:V284"/>
    <mergeCell ref="W283:W284"/>
    <mergeCell ref="X283:X284"/>
    <mergeCell ref="Y283:Y284"/>
    <mergeCell ref="Z283:Z284"/>
    <mergeCell ref="AA283:AA284"/>
    <mergeCell ref="AB283:AB284"/>
    <mergeCell ref="AC283:AC284"/>
    <mergeCell ref="AD283:AD284"/>
    <mergeCell ref="AE283:AE284"/>
    <mergeCell ref="AF283:AF284"/>
    <mergeCell ref="AG283:AG284"/>
    <mergeCell ref="AH283:AH284"/>
    <mergeCell ref="AI283:AI284"/>
    <mergeCell ref="AJ283:AJ284"/>
    <mergeCell ref="Q281:Q282"/>
    <mergeCell ref="R281:R282"/>
    <mergeCell ref="S281:S282"/>
    <mergeCell ref="T281:T282"/>
    <mergeCell ref="U281:U282"/>
    <mergeCell ref="AK283:AK284"/>
    <mergeCell ref="AL283:AL284"/>
    <mergeCell ref="AM283:AM284"/>
    <mergeCell ref="AN283:AN284"/>
    <mergeCell ref="D286:I286"/>
    <mergeCell ref="J287:J299"/>
    <mergeCell ref="K287:K299"/>
    <mergeCell ref="L287:L299"/>
    <mergeCell ref="M287:M299"/>
    <mergeCell ref="N287:N299"/>
    <mergeCell ref="O287:O299"/>
    <mergeCell ref="P287:P299"/>
    <mergeCell ref="Q287:Q288"/>
    <mergeCell ref="R287:R288"/>
    <mergeCell ref="S287:S288"/>
    <mergeCell ref="T287:T288"/>
    <mergeCell ref="U287:U288"/>
    <mergeCell ref="V287:V288"/>
    <mergeCell ref="W287:W288"/>
    <mergeCell ref="X287:X288"/>
    <mergeCell ref="Y287:Y288"/>
    <mergeCell ref="Z287:Z288"/>
    <mergeCell ref="AA287:AA288"/>
    <mergeCell ref="AB287:AB288"/>
    <mergeCell ref="AL287:AL288"/>
    <mergeCell ref="AM287:AM288"/>
    <mergeCell ref="AN287:AN288"/>
    <mergeCell ref="Q289:Q290"/>
    <mergeCell ref="R289:R290"/>
    <mergeCell ref="S289:S290"/>
    <mergeCell ref="T289:T290"/>
    <mergeCell ref="U289:U290"/>
    <mergeCell ref="V289:V290"/>
    <mergeCell ref="W289:W290"/>
    <mergeCell ref="X289:X290"/>
    <mergeCell ref="Y289:Y290"/>
    <mergeCell ref="Z289:Z290"/>
    <mergeCell ref="AA289:AA290"/>
    <mergeCell ref="AB289:AB290"/>
    <mergeCell ref="AC289:AC290"/>
    <mergeCell ref="AD289:AD290"/>
    <mergeCell ref="AE289:AE290"/>
    <mergeCell ref="AF289:AF290"/>
    <mergeCell ref="AG289:AG290"/>
    <mergeCell ref="AH289:AH290"/>
    <mergeCell ref="AI289:AI290"/>
    <mergeCell ref="AJ289:AJ290"/>
    <mergeCell ref="AK289:AK290"/>
    <mergeCell ref="Q291:Q292"/>
    <mergeCell ref="R291:R292"/>
    <mergeCell ref="S291:S292"/>
    <mergeCell ref="T291:T292"/>
    <mergeCell ref="U291:U292"/>
    <mergeCell ref="V291:V292"/>
    <mergeCell ref="W291:W292"/>
    <mergeCell ref="X291:X292"/>
    <mergeCell ref="Y291:Y292"/>
    <mergeCell ref="Z291:Z292"/>
    <mergeCell ref="AA291:AA292"/>
    <mergeCell ref="AB291:AB292"/>
    <mergeCell ref="AC291:AC292"/>
    <mergeCell ref="AD291:AD292"/>
    <mergeCell ref="AE291:AE292"/>
    <mergeCell ref="AF291:AF292"/>
    <mergeCell ref="AG291:AG292"/>
    <mergeCell ref="AG293:AG294"/>
    <mergeCell ref="AH293:AH294"/>
    <mergeCell ref="AI293:AI294"/>
    <mergeCell ref="AJ293:AJ294"/>
    <mergeCell ref="AK293:AK294"/>
    <mergeCell ref="AL293:AL294"/>
    <mergeCell ref="AM293:AM294"/>
    <mergeCell ref="AN293:AN294"/>
    <mergeCell ref="AC287:AC288"/>
    <mergeCell ref="AD287:AD288"/>
    <mergeCell ref="AE287:AE288"/>
    <mergeCell ref="AF287:AF288"/>
    <mergeCell ref="AG287:AG288"/>
    <mergeCell ref="AH287:AH288"/>
    <mergeCell ref="AI287:AI288"/>
    <mergeCell ref="AJ287:AJ288"/>
    <mergeCell ref="AL289:AL290"/>
    <mergeCell ref="AM289:AM290"/>
    <mergeCell ref="AN289:AN290"/>
    <mergeCell ref="AH291:AH292"/>
    <mergeCell ref="AI291:AI292"/>
    <mergeCell ref="AJ291:AJ292"/>
    <mergeCell ref="AK291:AK292"/>
    <mergeCell ref="AK287:AK288"/>
    <mergeCell ref="V296:V297"/>
    <mergeCell ref="W296:W297"/>
    <mergeCell ref="X296:X297"/>
    <mergeCell ref="Y296:Y297"/>
    <mergeCell ref="Z296:Z297"/>
    <mergeCell ref="AA296:AA297"/>
    <mergeCell ref="AB296:AB297"/>
    <mergeCell ref="AC296:AC297"/>
    <mergeCell ref="AD296:AD297"/>
    <mergeCell ref="AE296:AE297"/>
    <mergeCell ref="AF296:AF297"/>
    <mergeCell ref="AG296:AG297"/>
    <mergeCell ref="AL291:AL292"/>
    <mergeCell ref="AM291:AM292"/>
    <mergeCell ref="AN291:AN292"/>
    <mergeCell ref="D292:I292"/>
    <mergeCell ref="Q293:Q294"/>
    <mergeCell ref="R293:R294"/>
    <mergeCell ref="S293:S294"/>
    <mergeCell ref="T293:T294"/>
    <mergeCell ref="U293:U294"/>
    <mergeCell ref="V293:V294"/>
    <mergeCell ref="W293:W294"/>
    <mergeCell ref="X293:X294"/>
    <mergeCell ref="Y293:Y294"/>
    <mergeCell ref="Z293:Z294"/>
    <mergeCell ref="AA293:AA294"/>
    <mergeCell ref="AB293:AB294"/>
    <mergeCell ref="AC293:AC294"/>
    <mergeCell ref="AD293:AD294"/>
    <mergeCell ref="AE293:AE294"/>
    <mergeCell ref="AF293:AF294"/>
    <mergeCell ref="AH296:AH297"/>
    <mergeCell ref="AI296:AI297"/>
    <mergeCell ref="AJ296:AJ297"/>
    <mergeCell ref="AK296:AK297"/>
    <mergeCell ref="AL296:AL297"/>
    <mergeCell ref="AM296:AM297"/>
    <mergeCell ref="AN296:AN297"/>
    <mergeCell ref="Q298:Q299"/>
    <mergeCell ref="R298:R299"/>
    <mergeCell ref="S298:S299"/>
    <mergeCell ref="T298:T299"/>
    <mergeCell ref="U298:U299"/>
    <mergeCell ref="V298:V299"/>
    <mergeCell ref="W298:W299"/>
    <mergeCell ref="X298:X299"/>
    <mergeCell ref="Y298:Y299"/>
    <mergeCell ref="Z298:Z299"/>
    <mergeCell ref="AA298:AA299"/>
    <mergeCell ref="AB298:AB299"/>
    <mergeCell ref="AC298:AC299"/>
    <mergeCell ref="AD298:AD299"/>
    <mergeCell ref="AE298:AE299"/>
    <mergeCell ref="AF298:AF299"/>
    <mergeCell ref="AG298:AG299"/>
    <mergeCell ref="AH298:AH299"/>
    <mergeCell ref="AI298:AI299"/>
    <mergeCell ref="AJ298:AJ299"/>
    <mergeCell ref="Q296:Q297"/>
    <mergeCell ref="R296:R297"/>
    <mergeCell ref="S296:S297"/>
    <mergeCell ref="T296:T297"/>
    <mergeCell ref="U296:U297"/>
    <mergeCell ref="AK298:AK299"/>
    <mergeCell ref="AL298:AL299"/>
    <mergeCell ref="AM298:AM299"/>
    <mergeCell ref="AN298:AN299"/>
    <mergeCell ref="D301:I301"/>
    <mergeCell ref="J302:J314"/>
    <mergeCell ref="K302:K314"/>
    <mergeCell ref="L302:L314"/>
    <mergeCell ref="M302:M314"/>
    <mergeCell ref="N302:N314"/>
    <mergeCell ref="O302:O314"/>
    <mergeCell ref="P302:P314"/>
    <mergeCell ref="Q302:Q303"/>
    <mergeCell ref="R302:R303"/>
    <mergeCell ref="S302:S303"/>
    <mergeCell ref="T302:T303"/>
    <mergeCell ref="U302:U303"/>
    <mergeCell ref="V302:V303"/>
    <mergeCell ref="W302:W303"/>
    <mergeCell ref="X302:X303"/>
    <mergeCell ref="Y302:Y303"/>
    <mergeCell ref="Z302:Z303"/>
    <mergeCell ref="AA302:AA303"/>
    <mergeCell ref="AB302:AB303"/>
    <mergeCell ref="AL302:AL303"/>
    <mergeCell ref="AM302:AM303"/>
    <mergeCell ref="AN302:AN303"/>
    <mergeCell ref="Q304:Q305"/>
    <mergeCell ref="R304:R305"/>
    <mergeCell ref="S304:S305"/>
    <mergeCell ref="T304:T305"/>
    <mergeCell ref="U304:U305"/>
    <mergeCell ref="V304:V305"/>
    <mergeCell ref="W304:W305"/>
    <mergeCell ref="X304:X305"/>
    <mergeCell ref="Y304:Y305"/>
    <mergeCell ref="Z304:Z305"/>
    <mergeCell ref="AA304:AA305"/>
    <mergeCell ref="AB304:AB305"/>
    <mergeCell ref="AC304:AC305"/>
    <mergeCell ref="AD304:AD305"/>
    <mergeCell ref="AE304:AE305"/>
    <mergeCell ref="AF304:AF305"/>
    <mergeCell ref="AG304:AG305"/>
    <mergeCell ref="AH304:AH305"/>
    <mergeCell ref="AI304:AI305"/>
    <mergeCell ref="AJ304:AJ305"/>
    <mergeCell ref="AK304:AK305"/>
    <mergeCell ref="Q306:Q307"/>
    <mergeCell ref="R306:R307"/>
    <mergeCell ref="S306:S307"/>
    <mergeCell ref="T306:T307"/>
    <mergeCell ref="U306:U307"/>
    <mergeCell ref="V306:V307"/>
    <mergeCell ref="W306:W307"/>
    <mergeCell ref="X306:X307"/>
    <mergeCell ref="Y306:Y307"/>
    <mergeCell ref="Z306:Z307"/>
    <mergeCell ref="AA306:AA307"/>
    <mergeCell ref="AB306:AB307"/>
    <mergeCell ref="AC306:AC307"/>
    <mergeCell ref="AD306:AD307"/>
    <mergeCell ref="AE306:AE307"/>
    <mergeCell ref="AF306:AF307"/>
    <mergeCell ref="AG306:AG307"/>
    <mergeCell ref="AG308:AG309"/>
    <mergeCell ref="AH308:AH309"/>
    <mergeCell ref="AI308:AI309"/>
    <mergeCell ref="AJ308:AJ309"/>
    <mergeCell ref="AK308:AK309"/>
    <mergeCell ref="AL308:AL309"/>
    <mergeCell ref="AM308:AM309"/>
    <mergeCell ref="AN308:AN309"/>
    <mergeCell ref="AC302:AC303"/>
    <mergeCell ref="AD302:AD303"/>
    <mergeCell ref="AE302:AE303"/>
    <mergeCell ref="AF302:AF303"/>
    <mergeCell ref="AG302:AG303"/>
    <mergeCell ref="AH302:AH303"/>
    <mergeCell ref="AI302:AI303"/>
    <mergeCell ref="AJ302:AJ303"/>
    <mergeCell ref="AL304:AL305"/>
    <mergeCell ref="AM304:AM305"/>
    <mergeCell ref="AN304:AN305"/>
    <mergeCell ref="AH306:AH307"/>
    <mergeCell ref="AI306:AI307"/>
    <mergeCell ref="AJ306:AJ307"/>
    <mergeCell ref="AK306:AK307"/>
    <mergeCell ref="AK302:AK303"/>
    <mergeCell ref="V311:V312"/>
    <mergeCell ref="W311:W312"/>
    <mergeCell ref="X311:X312"/>
    <mergeCell ref="Y311:Y312"/>
    <mergeCell ref="Z311:Z312"/>
    <mergeCell ref="AA311:AA312"/>
    <mergeCell ref="AB311:AB312"/>
    <mergeCell ref="AC311:AC312"/>
    <mergeCell ref="AD311:AD312"/>
    <mergeCell ref="AE311:AE312"/>
    <mergeCell ref="AF311:AF312"/>
    <mergeCell ref="AG311:AG312"/>
    <mergeCell ref="AL306:AL307"/>
    <mergeCell ref="AM306:AM307"/>
    <mergeCell ref="AN306:AN307"/>
    <mergeCell ref="D307:I307"/>
    <mergeCell ref="Q308:Q309"/>
    <mergeCell ref="R308:R309"/>
    <mergeCell ref="S308:S309"/>
    <mergeCell ref="T308:T309"/>
    <mergeCell ref="U308:U309"/>
    <mergeCell ref="V308:V309"/>
    <mergeCell ref="W308:W309"/>
    <mergeCell ref="X308:X309"/>
    <mergeCell ref="Y308:Y309"/>
    <mergeCell ref="Z308:Z309"/>
    <mergeCell ref="AA308:AA309"/>
    <mergeCell ref="AB308:AB309"/>
    <mergeCell ref="AC308:AC309"/>
    <mergeCell ref="AD308:AD309"/>
    <mergeCell ref="AE308:AE309"/>
    <mergeCell ref="AF308:AF309"/>
    <mergeCell ref="AH311:AH312"/>
    <mergeCell ref="AI311:AI312"/>
    <mergeCell ref="AJ311:AJ312"/>
    <mergeCell ref="AK311:AK312"/>
    <mergeCell ref="AL311:AL312"/>
    <mergeCell ref="AM311:AM312"/>
    <mergeCell ref="AN311:AN312"/>
    <mergeCell ref="Q313:Q314"/>
    <mergeCell ref="R313:R314"/>
    <mergeCell ref="S313:S314"/>
    <mergeCell ref="T313:T314"/>
    <mergeCell ref="U313:U314"/>
    <mergeCell ref="V313:V314"/>
    <mergeCell ref="W313:W314"/>
    <mergeCell ref="X313:X314"/>
    <mergeCell ref="Y313:Y314"/>
    <mergeCell ref="Z313:Z314"/>
    <mergeCell ref="AA313:AA314"/>
    <mergeCell ref="AB313:AB314"/>
    <mergeCell ref="AC313:AC314"/>
    <mergeCell ref="AD313:AD314"/>
    <mergeCell ref="AE313:AE314"/>
    <mergeCell ref="AF313:AF314"/>
    <mergeCell ref="AG313:AG314"/>
    <mergeCell ref="AH313:AH314"/>
    <mergeCell ref="AI313:AI314"/>
    <mergeCell ref="AJ313:AJ314"/>
    <mergeCell ref="Q311:Q312"/>
    <mergeCell ref="R311:R312"/>
    <mergeCell ref="S311:S312"/>
    <mergeCell ref="T311:T312"/>
    <mergeCell ref="U311:U312"/>
    <mergeCell ref="AK317:AK318"/>
    <mergeCell ref="AK313:AK314"/>
    <mergeCell ref="AL313:AL314"/>
    <mergeCell ref="AM313:AM314"/>
    <mergeCell ref="AN313:AN314"/>
    <mergeCell ref="D316:I316"/>
    <mergeCell ref="J317:J329"/>
    <mergeCell ref="K317:K329"/>
    <mergeCell ref="L317:L329"/>
    <mergeCell ref="M317:M329"/>
    <mergeCell ref="N317:N329"/>
    <mergeCell ref="O317:O329"/>
    <mergeCell ref="P317:P329"/>
    <mergeCell ref="Q317:Q318"/>
    <mergeCell ref="R317:R318"/>
    <mergeCell ref="S317:S318"/>
    <mergeCell ref="T317:T318"/>
    <mergeCell ref="U317:U318"/>
    <mergeCell ref="V317:V318"/>
    <mergeCell ref="W317:W318"/>
    <mergeCell ref="X317:X318"/>
    <mergeCell ref="Y317:Y318"/>
    <mergeCell ref="Z317:Z318"/>
    <mergeCell ref="AA317:AA318"/>
    <mergeCell ref="AB317:AB318"/>
    <mergeCell ref="AL317:AL318"/>
    <mergeCell ref="AM317:AM318"/>
    <mergeCell ref="AN317:AN318"/>
    <mergeCell ref="Q319:Q320"/>
    <mergeCell ref="R319:R320"/>
    <mergeCell ref="S319:S320"/>
    <mergeCell ref="T319:T320"/>
    <mergeCell ref="U319:U320"/>
    <mergeCell ref="V319:V320"/>
    <mergeCell ref="W319:W320"/>
    <mergeCell ref="X319:X320"/>
    <mergeCell ref="Y319:Y320"/>
    <mergeCell ref="Z319:Z320"/>
    <mergeCell ref="AA319:AA320"/>
    <mergeCell ref="AB319:AB320"/>
    <mergeCell ref="AC319:AC320"/>
    <mergeCell ref="AD319:AD320"/>
    <mergeCell ref="AE319:AE320"/>
    <mergeCell ref="AF319:AF320"/>
    <mergeCell ref="AG319:AG320"/>
    <mergeCell ref="AH319:AH320"/>
    <mergeCell ref="AI319:AI320"/>
    <mergeCell ref="AJ319:AJ320"/>
    <mergeCell ref="AK319:AK320"/>
    <mergeCell ref="AC317:AC318"/>
    <mergeCell ref="AD317:AD318"/>
    <mergeCell ref="AE317:AE318"/>
    <mergeCell ref="AF317:AF318"/>
    <mergeCell ref="AG317:AG318"/>
    <mergeCell ref="AH317:AH318"/>
    <mergeCell ref="AI317:AI318"/>
    <mergeCell ref="AJ317:AJ318"/>
    <mergeCell ref="AL319:AL320"/>
    <mergeCell ref="AM319:AM320"/>
    <mergeCell ref="AN319:AN320"/>
    <mergeCell ref="Q321:Q322"/>
    <mergeCell ref="R321:R322"/>
    <mergeCell ref="S321:S322"/>
    <mergeCell ref="T321:T322"/>
    <mergeCell ref="U321:U322"/>
    <mergeCell ref="V321:V322"/>
    <mergeCell ref="W321:W322"/>
    <mergeCell ref="X321:X322"/>
    <mergeCell ref="Y321:Y322"/>
    <mergeCell ref="Z321:Z322"/>
    <mergeCell ref="AA321:AA322"/>
    <mergeCell ref="AB321:AB322"/>
    <mergeCell ref="AC321:AC322"/>
    <mergeCell ref="AD321:AD322"/>
    <mergeCell ref="AE321:AE322"/>
    <mergeCell ref="AF321:AF322"/>
    <mergeCell ref="AG321:AG322"/>
    <mergeCell ref="AH321:AH322"/>
    <mergeCell ref="AI321:AI322"/>
    <mergeCell ref="AJ321:AJ322"/>
    <mergeCell ref="AK321:AK322"/>
    <mergeCell ref="AM321:AM322"/>
    <mergeCell ref="AN321:AN322"/>
    <mergeCell ref="D322:I322"/>
    <mergeCell ref="Q323:Q324"/>
    <mergeCell ref="R323:R324"/>
    <mergeCell ref="S323:S324"/>
    <mergeCell ref="T323:T324"/>
    <mergeCell ref="U323:U324"/>
    <mergeCell ref="V323:V324"/>
    <mergeCell ref="W323:W324"/>
    <mergeCell ref="X323:X324"/>
    <mergeCell ref="Y323:Y324"/>
    <mergeCell ref="Z323:Z324"/>
    <mergeCell ref="AA323:AA324"/>
    <mergeCell ref="AB323:AB324"/>
    <mergeCell ref="AC323:AC324"/>
    <mergeCell ref="AD323:AD324"/>
    <mergeCell ref="AE323:AE324"/>
    <mergeCell ref="AF323:AF324"/>
    <mergeCell ref="AG323:AG324"/>
    <mergeCell ref="AH323:AH324"/>
    <mergeCell ref="AI323:AI324"/>
    <mergeCell ref="AJ323:AJ324"/>
    <mergeCell ref="AK323:AK324"/>
    <mergeCell ref="AL323:AL324"/>
    <mergeCell ref="AM323:AM324"/>
    <mergeCell ref="AN323:AN324"/>
    <mergeCell ref="U326:U327"/>
    <mergeCell ref="V326:V327"/>
    <mergeCell ref="W326:W327"/>
    <mergeCell ref="X326:X327"/>
    <mergeCell ref="Y326:Y327"/>
    <mergeCell ref="Z326:Z327"/>
    <mergeCell ref="AA326:AA327"/>
    <mergeCell ref="AB326:AB327"/>
    <mergeCell ref="AC326:AC327"/>
    <mergeCell ref="AD326:AD327"/>
    <mergeCell ref="AE326:AE327"/>
    <mergeCell ref="AF326:AF327"/>
    <mergeCell ref="AG326:AG327"/>
    <mergeCell ref="AL321:AL322"/>
    <mergeCell ref="AH326:AH327"/>
    <mergeCell ref="AI326:AI327"/>
    <mergeCell ref="AJ326:AJ327"/>
    <mergeCell ref="AK328:AK329"/>
    <mergeCell ref="AL328:AL329"/>
    <mergeCell ref="AM328:AM329"/>
    <mergeCell ref="AN328:AN329"/>
    <mergeCell ref="AK326:AK327"/>
    <mergeCell ref="AL326:AL327"/>
    <mergeCell ref="AM326:AM327"/>
    <mergeCell ref="AN326:AN327"/>
    <mergeCell ref="Q328:Q329"/>
    <mergeCell ref="R328:R329"/>
    <mergeCell ref="S328:S329"/>
    <mergeCell ref="T328:T329"/>
    <mergeCell ref="U328:U329"/>
    <mergeCell ref="V328:V329"/>
    <mergeCell ref="W328:W329"/>
    <mergeCell ref="X328:X329"/>
    <mergeCell ref="Y328:Y329"/>
    <mergeCell ref="Z328:Z329"/>
    <mergeCell ref="AA328:AA329"/>
    <mergeCell ref="AB328:AB329"/>
    <mergeCell ref="AC328:AC329"/>
    <mergeCell ref="AD328:AD329"/>
    <mergeCell ref="AE328:AE329"/>
    <mergeCell ref="AF328:AF329"/>
    <mergeCell ref="AG328:AG329"/>
    <mergeCell ref="AH328:AH329"/>
    <mergeCell ref="AI328:AI329"/>
    <mergeCell ref="AJ328:AJ329"/>
    <mergeCell ref="Q326:Q327"/>
    <mergeCell ref="R326:R327"/>
    <mergeCell ref="S326:S327"/>
    <mergeCell ref="T326:T327"/>
    <mergeCell ref="D61:I61"/>
    <mergeCell ref="J62:J74"/>
    <mergeCell ref="K62:K74"/>
    <mergeCell ref="L62:L74"/>
    <mergeCell ref="M62:M74"/>
    <mergeCell ref="N62:N74"/>
    <mergeCell ref="O62:O74"/>
    <mergeCell ref="P62:P74"/>
    <mergeCell ref="Q62:Q63"/>
    <mergeCell ref="R62:R63"/>
    <mergeCell ref="S62:S63"/>
    <mergeCell ref="T62:T63"/>
    <mergeCell ref="U62:U63"/>
    <mergeCell ref="V62:V63"/>
    <mergeCell ref="W62:W63"/>
    <mergeCell ref="X62:X63"/>
    <mergeCell ref="Y62:Y63"/>
    <mergeCell ref="D67:I67"/>
    <mergeCell ref="Q68:Q69"/>
    <mergeCell ref="R68:R69"/>
    <mergeCell ref="S68:S69"/>
    <mergeCell ref="T68:T69"/>
    <mergeCell ref="U68:U69"/>
    <mergeCell ref="V68:V69"/>
    <mergeCell ref="W68:W69"/>
    <mergeCell ref="X68:X69"/>
    <mergeCell ref="Y68:Y69"/>
    <mergeCell ref="Q66:Q67"/>
    <mergeCell ref="R66:R67"/>
    <mergeCell ref="S66:S67"/>
    <mergeCell ref="T66:T67"/>
    <mergeCell ref="U66:U67"/>
    <mergeCell ref="AG62:AG63"/>
    <mergeCell ref="AH62:AH63"/>
    <mergeCell ref="AI62:AI63"/>
    <mergeCell ref="AJ62:AJ63"/>
    <mergeCell ref="AK62:AK63"/>
    <mergeCell ref="AL62:AL63"/>
    <mergeCell ref="AM62:AM63"/>
    <mergeCell ref="AN62:AN63"/>
    <mergeCell ref="Q64:Q65"/>
    <mergeCell ref="R64:R65"/>
    <mergeCell ref="S64:S65"/>
    <mergeCell ref="T64:T65"/>
    <mergeCell ref="U64:U65"/>
    <mergeCell ref="V64:V65"/>
    <mergeCell ref="W64:W65"/>
    <mergeCell ref="X64:X65"/>
    <mergeCell ref="Y64:Y65"/>
    <mergeCell ref="Z64:Z65"/>
    <mergeCell ref="AA64:AA65"/>
    <mergeCell ref="AB64:AB65"/>
    <mergeCell ref="AC64:AC65"/>
    <mergeCell ref="AD64:AD65"/>
    <mergeCell ref="AE64:AE65"/>
    <mergeCell ref="AF64:AF65"/>
    <mergeCell ref="AG64:AG65"/>
    <mergeCell ref="AH64:AH65"/>
    <mergeCell ref="AI64:AI65"/>
    <mergeCell ref="AJ64:AJ65"/>
    <mergeCell ref="AK64:AK65"/>
    <mergeCell ref="AL64:AL65"/>
    <mergeCell ref="AM64:AM65"/>
    <mergeCell ref="AN64:AN65"/>
    <mergeCell ref="AG66:AG67"/>
    <mergeCell ref="AH66:AH67"/>
    <mergeCell ref="AI66:AI67"/>
    <mergeCell ref="AJ66:AJ67"/>
    <mergeCell ref="AK66:AK67"/>
    <mergeCell ref="AL66:AL67"/>
    <mergeCell ref="AM66:AM67"/>
    <mergeCell ref="AN66:AN67"/>
    <mergeCell ref="AL73:AL74"/>
    <mergeCell ref="AM73:AM74"/>
    <mergeCell ref="AN73:AN74"/>
    <mergeCell ref="Z68:Z69"/>
    <mergeCell ref="AA68:AA69"/>
    <mergeCell ref="AB68:AB69"/>
    <mergeCell ref="AC68:AC69"/>
    <mergeCell ref="AD68:AD69"/>
    <mergeCell ref="AE68:AE69"/>
    <mergeCell ref="AF68:AF69"/>
    <mergeCell ref="AG68:AG69"/>
    <mergeCell ref="AH68:AH69"/>
    <mergeCell ref="AI68:AI69"/>
    <mergeCell ref="AJ68:AJ69"/>
    <mergeCell ref="AK68:AK69"/>
    <mergeCell ref="AL68:AL69"/>
    <mergeCell ref="AM68:AM69"/>
    <mergeCell ref="AN68:AN69"/>
    <mergeCell ref="AG71:AG72"/>
    <mergeCell ref="AB66:AB67"/>
    <mergeCell ref="AC66:AC67"/>
    <mergeCell ref="AD66:AD67"/>
    <mergeCell ref="AE66:AE67"/>
    <mergeCell ref="AF66:AF67"/>
    <mergeCell ref="J49:J58"/>
    <mergeCell ref="K49:K58"/>
    <mergeCell ref="L49:L58"/>
    <mergeCell ref="M49:M58"/>
    <mergeCell ref="AH71:AH72"/>
    <mergeCell ref="AI71:AI72"/>
    <mergeCell ref="AJ71:AJ72"/>
    <mergeCell ref="AK71:AK72"/>
    <mergeCell ref="AL71:AL72"/>
    <mergeCell ref="AM71:AM72"/>
    <mergeCell ref="AN71:AN72"/>
    <mergeCell ref="Q73:Q74"/>
    <mergeCell ref="R73:R74"/>
    <mergeCell ref="S73:S74"/>
    <mergeCell ref="T73:T74"/>
    <mergeCell ref="U73:U74"/>
    <mergeCell ref="V73:V74"/>
    <mergeCell ref="W73:W74"/>
    <mergeCell ref="X73:X74"/>
    <mergeCell ref="Y73:Y74"/>
    <mergeCell ref="Z73:Z74"/>
    <mergeCell ref="AA73:AA74"/>
    <mergeCell ref="AB73:AB74"/>
    <mergeCell ref="AC73:AC74"/>
    <mergeCell ref="AD73:AD74"/>
    <mergeCell ref="AE73:AE74"/>
    <mergeCell ref="AF73:AF74"/>
    <mergeCell ref="AG73:AG74"/>
    <mergeCell ref="AH73:AH74"/>
    <mergeCell ref="AI73:AI74"/>
    <mergeCell ref="AJ73:AJ74"/>
    <mergeCell ref="AK73:AK74"/>
  </mergeCells>
  <hyperlinks>
    <hyperlink ref="D550" r:id="rId1" xr:uid="{7DFA2EAF-A48F-49CA-B5DB-BB74A01B5F7A}"/>
  </hyperlinks>
  <printOptions horizontalCentered="1" verticalCentered="1"/>
  <pageMargins left="0.15748031496062992" right="0.15748031496062992" top="0.15748031496062992" bottom="0.15748031496062992" header="0.31496062992125984" footer="0.31496062992125984"/>
  <pageSetup paperSize="9" scale="80" orientation="portrait" r:id="rId2"/>
  <rowBreaks count="4" manualBreakCount="4">
    <brk id="332" min="2" max="12" man="1"/>
    <brk id="400" min="2" max="12" man="1"/>
    <brk id="477" min="2" max="12" man="1"/>
    <brk id="545" min="2" max="12" man="1"/>
  </rowBreaks>
  <colBreaks count="1" manualBreakCount="1">
    <brk id="1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2617-1895-4791-9600-90DE7DD55CB0}">
  <sheetPr codeName="Sheet3"/>
  <dimension ref="A1:AK316"/>
  <sheetViews>
    <sheetView showGridLines="0" view="pageBreakPreview" topLeftCell="A316" zoomScale="70" zoomScaleNormal="70" zoomScaleSheetLayoutView="70" zoomScalePageLayoutView="85" workbookViewId="0">
      <selection activeCell="B321" sqref="B321"/>
    </sheetView>
  </sheetViews>
  <sheetFormatPr defaultColWidth="9.140625" defaultRowHeight="15.6"/>
  <cols>
    <col min="1" max="1" width="7.140625" style="388" customWidth="1"/>
    <col min="2" max="2" width="83.5703125" style="388" customWidth="1"/>
    <col min="3" max="3" width="8.85546875" style="388" customWidth="1"/>
    <col min="4" max="4" width="10.42578125" style="388" customWidth="1"/>
    <col min="5" max="5" width="10.5703125" style="388" customWidth="1"/>
    <col min="6" max="6" width="15.5703125" style="390" customWidth="1"/>
    <col min="7" max="8" width="9.140625" style="388"/>
    <col min="9" max="9" width="10.140625" style="388" bestFit="1" customWidth="1"/>
    <col min="10" max="16" width="9.140625" style="388"/>
    <col min="17" max="17" width="10" style="388" bestFit="1" customWidth="1"/>
    <col min="18" max="16384" width="9.140625" style="388"/>
  </cols>
  <sheetData>
    <row r="1" spans="1:8" s="183" customFormat="1" ht="21">
      <c r="A1" s="987" t="s">
        <v>538</v>
      </c>
      <c r="B1" s="987"/>
      <c r="C1" s="987"/>
      <c r="D1" s="987"/>
      <c r="E1" s="988"/>
      <c r="F1" s="988"/>
    </row>
    <row r="2" spans="1:8" s="183" customFormat="1">
      <c r="A2" s="989" t="s">
        <v>539</v>
      </c>
      <c r="B2" s="989"/>
      <c r="C2" s="989"/>
      <c r="D2" s="989"/>
      <c r="E2" s="989"/>
      <c r="F2" s="989"/>
    </row>
    <row r="3" spans="1:8" s="183" customFormat="1">
      <c r="A3" s="990" t="s">
        <v>540</v>
      </c>
      <c r="B3" s="991"/>
      <c r="C3" s="991"/>
      <c r="D3" s="991"/>
      <c r="E3" s="991"/>
      <c r="F3" s="992"/>
    </row>
    <row r="4" spans="1:8" s="183" customFormat="1" ht="23.25" customHeight="1">
      <c r="A4" s="184"/>
      <c r="B4" s="184"/>
      <c r="C4" s="184"/>
      <c r="D4" s="186"/>
      <c r="E4" s="184"/>
      <c r="F4" s="184"/>
    </row>
    <row r="5" spans="1:8" s="183" customFormat="1" ht="23.25" customHeight="1">
      <c r="A5" s="187" t="s">
        <v>541</v>
      </c>
      <c r="B5" s="188" t="s">
        <v>542</v>
      </c>
      <c r="C5" s="188"/>
      <c r="D5" s="188"/>
      <c r="E5" s="189"/>
      <c r="F5" s="189" t="s">
        <v>543</v>
      </c>
    </row>
    <row r="6" spans="1:8" s="183" customFormat="1" ht="23.25" customHeight="1">
      <c r="A6" s="190">
        <v>1</v>
      </c>
      <c r="B6" s="191" t="s">
        <v>544</v>
      </c>
      <c r="C6" s="192"/>
      <c r="D6" s="192"/>
      <c r="E6" s="192"/>
      <c r="F6" s="193">
        <f>F171</f>
        <v>0</v>
      </c>
    </row>
    <row r="7" spans="1:8" s="183" customFormat="1" ht="23.25" customHeight="1">
      <c r="A7" s="194">
        <v>2</v>
      </c>
      <c r="B7" s="195" t="s">
        <v>545</v>
      </c>
      <c r="C7" s="196"/>
      <c r="D7" s="196"/>
      <c r="E7" s="196"/>
      <c r="F7" s="193">
        <f>F265</f>
        <v>0</v>
      </c>
    </row>
    <row r="8" spans="1:8" s="183" customFormat="1" ht="23.25" customHeight="1">
      <c r="A8" s="197">
        <v>3</v>
      </c>
      <c r="B8" s="198" t="s">
        <v>546</v>
      </c>
      <c r="C8" s="199"/>
      <c r="D8" s="199"/>
      <c r="E8" s="199"/>
      <c r="F8" s="200">
        <f>F288</f>
        <v>0</v>
      </c>
    </row>
    <row r="9" spans="1:8" s="183" customFormat="1" ht="23.25" customHeight="1">
      <c r="A9" s="197">
        <v>4</v>
      </c>
      <c r="B9" s="201" t="s">
        <v>547</v>
      </c>
      <c r="C9" s="199"/>
      <c r="D9" s="199"/>
      <c r="E9" s="199"/>
      <c r="F9" s="200">
        <f>F309</f>
        <v>0</v>
      </c>
    </row>
    <row r="10" spans="1:8" s="183" customFormat="1" ht="23.25" customHeight="1">
      <c r="A10" s="202"/>
      <c r="B10" s="203" t="s">
        <v>548</v>
      </c>
      <c r="C10" s="204"/>
      <c r="D10" s="204"/>
      <c r="E10" s="204"/>
      <c r="F10" s="205">
        <f>SUM(F6:F9)</f>
        <v>0</v>
      </c>
    </row>
    <row r="11" spans="1:8" s="183" customFormat="1" ht="23.25" customHeight="1">
      <c r="A11" s="993" t="s">
        <v>549</v>
      </c>
      <c r="B11" s="993"/>
      <c r="C11" s="993"/>
      <c r="D11" s="993"/>
      <c r="E11" s="993"/>
      <c r="F11" s="993"/>
      <c r="H11" s="206"/>
    </row>
    <row r="12" spans="1:8" s="206" customFormat="1" ht="27.75" customHeight="1">
      <c r="A12" s="207" t="s">
        <v>541</v>
      </c>
      <c r="B12" s="207" t="s">
        <v>542</v>
      </c>
      <c r="C12" s="207" t="s">
        <v>550</v>
      </c>
      <c r="D12" s="208" t="s">
        <v>551</v>
      </c>
      <c r="E12" s="207" t="s">
        <v>552</v>
      </c>
      <c r="F12" s="207" t="s">
        <v>543</v>
      </c>
    </row>
    <row r="13" spans="1:8" s="206" customFormat="1" ht="11.25" customHeight="1">
      <c r="A13" s="209"/>
      <c r="B13" s="209"/>
      <c r="C13" s="209"/>
      <c r="D13" s="209"/>
      <c r="E13" s="209"/>
      <c r="F13" s="209"/>
    </row>
    <row r="14" spans="1:8" s="206" customFormat="1" ht="14.45">
      <c r="A14" s="210" t="s">
        <v>553</v>
      </c>
      <c r="B14" s="211" t="s">
        <v>554</v>
      </c>
      <c r="C14" s="212"/>
      <c r="D14" s="212"/>
      <c r="E14" s="212"/>
      <c r="F14" s="212"/>
    </row>
    <row r="15" spans="1:8" s="206" customFormat="1" ht="14.45">
      <c r="A15" s="210"/>
      <c r="B15" s="211"/>
      <c r="C15" s="212"/>
      <c r="D15" s="212"/>
      <c r="E15" s="212"/>
      <c r="F15" s="212"/>
    </row>
    <row r="16" spans="1:8" s="206" customFormat="1" ht="14.45">
      <c r="A16" s="210" t="s">
        <v>555</v>
      </c>
      <c r="B16" s="213" t="s">
        <v>556</v>
      </c>
      <c r="C16" s="214"/>
      <c r="D16" s="214"/>
      <c r="E16" s="214"/>
      <c r="F16" s="214"/>
    </row>
    <row r="17" spans="1:10" s="206" customFormat="1" ht="10.5" customHeight="1">
      <c r="A17" s="210"/>
      <c r="B17" s="213"/>
      <c r="C17" s="214"/>
      <c r="D17" s="214"/>
      <c r="E17" s="214"/>
      <c r="F17" s="214"/>
    </row>
    <row r="18" spans="1:10" s="206" customFormat="1" ht="14.45">
      <c r="A18" s="210" t="s">
        <v>557</v>
      </c>
      <c r="B18" s="213" t="s">
        <v>558</v>
      </c>
      <c r="C18" s="214"/>
      <c r="D18" s="214"/>
      <c r="E18" s="214"/>
      <c r="F18" s="214"/>
    </row>
    <row r="19" spans="1:10" s="206" customFormat="1" ht="14.45">
      <c r="A19" s="215"/>
      <c r="B19" s="213"/>
      <c r="C19" s="216"/>
      <c r="D19" s="216"/>
      <c r="E19" s="217"/>
      <c r="F19" s="218"/>
    </row>
    <row r="20" spans="1:10" s="206" customFormat="1" ht="185.45" customHeight="1">
      <c r="A20" s="215"/>
      <c r="B20" s="219" t="s">
        <v>559</v>
      </c>
      <c r="C20" s="216"/>
      <c r="D20" s="216"/>
      <c r="E20" s="217"/>
      <c r="F20" s="218"/>
    </row>
    <row r="21" spans="1:10" s="206" customFormat="1">
      <c r="A21" s="215"/>
      <c r="B21" s="219" t="s">
        <v>560</v>
      </c>
      <c r="C21" s="216"/>
      <c r="D21" s="216"/>
      <c r="E21" s="217"/>
      <c r="F21" s="218"/>
      <c r="I21" s="220"/>
      <c r="J21" s="220"/>
    </row>
    <row r="22" spans="1:10" s="206" customFormat="1" ht="14.45">
      <c r="A22" s="215"/>
      <c r="B22" s="221" t="s">
        <v>561</v>
      </c>
      <c r="C22" s="222" t="s">
        <v>562</v>
      </c>
      <c r="D22" s="222">
        <v>1</v>
      </c>
      <c r="E22" s="222"/>
      <c r="F22" s="222">
        <f t="shared" ref="F22:F28" si="0">E22*D22</f>
        <v>0</v>
      </c>
    </row>
    <row r="23" spans="1:10" s="206" customFormat="1" ht="14.45">
      <c r="A23" s="215"/>
      <c r="B23" s="221" t="s">
        <v>563</v>
      </c>
      <c r="C23" s="222" t="s">
        <v>562</v>
      </c>
      <c r="D23" s="222">
        <v>1</v>
      </c>
      <c r="E23" s="222"/>
      <c r="F23" s="222">
        <f t="shared" si="0"/>
        <v>0</v>
      </c>
    </row>
    <row r="24" spans="1:10" s="206" customFormat="1" ht="14.45">
      <c r="A24" s="215"/>
      <c r="B24" s="221" t="s">
        <v>564</v>
      </c>
      <c r="C24" s="222" t="s">
        <v>562</v>
      </c>
      <c r="D24" s="222">
        <f>5+1</f>
        <v>6</v>
      </c>
      <c r="E24" s="222"/>
      <c r="F24" s="222">
        <f t="shared" si="0"/>
        <v>0</v>
      </c>
    </row>
    <row r="25" spans="1:10" s="206" customFormat="1" ht="14.45">
      <c r="A25" s="215"/>
      <c r="B25" s="221" t="s">
        <v>565</v>
      </c>
      <c r="C25" s="222" t="s">
        <v>562</v>
      </c>
      <c r="D25" s="222">
        <f>1+1</f>
        <v>2</v>
      </c>
      <c r="E25" s="222"/>
      <c r="F25" s="222">
        <f t="shared" si="0"/>
        <v>0</v>
      </c>
    </row>
    <row r="26" spans="1:10" s="206" customFormat="1" ht="14.45">
      <c r="A26" s="215"/>
      <c r="B26" s="221" t="s">
        <v>566</v>
      </c>
      <c r="C26" s="222" t="s">
        <v>562</v>
      </c>
      <c r="D26" s="222">
        <v>1</v>
      </c>
      <c r="E26" s="222"/>
      <c r="F26" s="222">
        <f t="shared" si="0"/>
        <v>0</v>
      </c>
    </row>
    <row r="27" spans="1:10" s="206" customFormat="1" ht="14.45">
      <c r="A27" s="215"/>
      <c r="B27" s="221" t="s">
        <v>567</v>
      </c>
      <c r="C27" s="222" t="s">
        <v>562</v>
      </c>
      <c r="D27" s="222">
        <f>1+1</f>
        <v>2</v>
      </c>
      <c r="E27" s="222"/>
      <c r="F27" s="222">
        <f t="shared" si="0"/>
        <v>0</v>
      </c>
    </row>
    <row r="28" spans="1:10" s="206" customFormat="1" ht="14.45">
      <c r="A28" s="215"/>
      <c r="B28" s="221" t="s">
        <v>568</v>
      </c>
      <c r="C28" s="222" t="s">
        <v>562</v>
      </c>
      <c r="D28" s="222">
        <f>2+1</f>
        <v>3</v>
      </c>
      <c r="E28" s="222"/>
      <c r="F28" s="222">
        <f t="shared" si="0"/>
        <v>0</v>
      </c>
    </row>
    <row r="29" spans="1:10" s="224" customFormat="1" ht="14.45">
      <c r="A29" s="215"/>
      <c r="B29" s="223"/>
      <c r="C29" s="214"/>
      <c r="D29" s="214"/>
      <c r="E29" s="214"/>
      <c r="F29" s="214"/>
    </row>
    <row r="30" spans="1:10" s="224" customFormat="1" ht="14.45">
      <c r="A30" s="215"/>
      <c r="B30" s="225" t="s">
        <v>569</v>
      </c>
      <c r="C30" s="226"/>
      <c r="D30" s="214"/>
      <c r="E30" s="214"/>
      <c r="F30" s="214"/>
    </row>
    <row r="31" spans="1:10" s="224" customFormat="1" ht="26.45">
      <c r="A31" s="215"/>
      <c r="B31" s="225" t="s">
        <v>570</v>
      </c>
      <c r="C31" s="214"/>
      <c r="D31" s="214"/>
      <c r="E31" s="214"/>
      <c r="F31" s="214"/>
    </row>
    <row r="32" spans="1:10" s="224" customFormat="1" ht="16.350000000000001" customHeight="1">
      <c r="A32" s="215"/>
      <c r="B32" s="225" t="s">
        <v>571</v>
      </c>
      <c r="C32" s="214"/>
      <c r="D32" s="214"/>
      <c r="E32" s="214"/>
      <c r="F32" s="214"/>
    </row>
    <row r="33" spans="1:6" s="224" customFormat="1" ht="14.45">
      <c r="A33" s="227"/>
      <c r="B33" s="228"/>
      <c r="C33" s="229"/>
      <c r="D33" s="229"/>
      <c r="E33" s="229"/>
      <c r="F33" s="229"/>
    </row>
    <row r="34" spans="1:6" s="206" customFormat="1" ht="14.45">
      <c r="A34" s="210" t="s">
        <v>572</v>
      </c>
      <c r="B34" s="213" t="s">
        <v>573</v>
      </c>
      <c r="C34" s="214"/>
      <c r="D34" s="214"/>
      <c r="E34" s="214"/>
      <c r="F34" s="214"/>
    </row>
    <row r="35" spans="1:6" s="206" customFormat="1" ht="14.45">
      <c r="A35" s="230"/>
      <c r="B35" s="213"/>
      <c r="C35" s="214"/>
      <c r="D35" s="214"/>
      <c r="E35" s="214"/>
      <c r="F35" s="214"/>
    </row>
    <row r="36" spans="1:6" s="206" customFormat="1" ht="130.5">
      <c r="A36" s="230"/>
      <c r="B36" s="231" t="s">
        <v>574</v>
      </c>
      <c r="C36" s="214"/>
      <c r="D36" s="214"/>
      <c r="E36" s="214"/>
      <c r="F36" s="214"/>
    </row>
    <row r="37" spans="1:6" s="206" customFormat="1" ht="14.45">
      <c r="A37" s="230"/>
      <c r="B37" s="231" t="s">
        <v>560</v>
      </c>
      <c r="C37" s="232"/>
      <c r="D37" s="232"/>
      <c r="E37" s="232"/>
      <c r="F37" s="232"/>
    </row>
    <row r="38" spans="1:6" s="206" customFormat="1" ht="14.45">
      <c r="A38" s="230" t="s">
        <v>575</v>
      </c>
      <c r="B38" s="213" t="s">
        <v>576</v>
      </c>
      <c r="C38" s="214"/>
      <c r="D38" s="214"/>
      <c r="E38" s="232"/>
      <c r="F38" s="232"/>
    </row>
    <row r="39" spans="1:6" s="206" customFormat="1" ht="14.45">
      <c r="A39" s="230"/>
      <c r="B39" s="213" t="s">
        <v>577</v>
      </c>
      <c r="C39" s="214"/>
      <c r="D39" s="214"/>
      <c r="E39" s="232"/>
      <c r="F39" s="232"/>
    </row>
    <row r="40" spans="1:6" s="206" customFormat="1" ht="14.45">
      <c r="A40" s="230"/>
      <c r="B40" s="213"/>
      <c r="C40" s="214"/>
      <c r="D40" s="214"/>
      <c r="E40" s="232"/>
      <c r="F40" s="232"/>
    </row>
    <row r="41" spans="1:6" s="206" customFormat="1" ht="14.45">
      <c r="A41" s="230"/>
      <c r="B41" s="221" t="s">
        <v>578</v>
      </c>
      <c r="C41" s="222" t="s">
        <v>562</v>
      </c>
      <c r="D41" s="233">
        <v>1</v>
      </c>
      <c r="E41" s="222"/>
      <c r="F41" s="222">
        <f t="shared" ref="F41:F46" si="1">E41*D41</f>
        <v>0</v>
      </c>
    </row>
    <row r="42" spans="1:6" s="206" customFormat="1" ht="14.45">
      <c r="A42" s="230"/>
      <c r="B42" s="221" t="s">
        <v>579</v>
      </c>
      <c r="C42" s="222" t="s">
        <v>562</v>
      </c>
      <c r="D42" s="233">
        <v>5</v>
      </c>
      <c r="E42" s="222"/>
      <c r="F42" s="222">
        <f t="shared" si="1"/>
        <v>0</v>
      </c>
    </row>
    <row r="43" spans="1:6" s="206" customFormat="1" ht="14.45">
      <c r="A43" s="230"/>
      <c r="B43" s="221" t="s">
        <v>580</v>
      </c>
      <c r="C43" s="222" t="s">
        <v>562</v>
      </c>
      <c r="D43" s="233">
        <f>2+1+1</f>
        <v>4</v>
      </c>
      <c r="E43" s="222"/>
      <c r="F43" s="222">
        <f t="shared" si="1"/>
        <v>0</v>
      </c>
    </row>
    <row r="44" spans="1:6" s="206" customFormat="1" ht="14.45">
      <c r="A44" s="230"/>
      <c r="B44" s="221" t="s">
        <v>581</v>
      </c>
      <c r="C44" s="222" t="s">
        <v>562</v>
      </c>
      <c r="D44" s="233">
        <f>4+1+1</f>
        <v>6</v>
      </c>
      <c r="E44" s="222"/>
      <c r="F44" s="222">
        <f t="shared" si="1"/>
        <v>0</v>
      </c>
    </row>
    <row r="45" spans="1:6" s="206" customFormat="1" ht="14.45">
      <c r="A45" s="230"/>
      <c r="B45" s="221" t="s">
        <v>582</v>
      </c>
      <c r="C45" s="222" t="s">
        <v>562</v>
      </c>
      <c r="D45" s="234">
        <v>1</v>
      </c>
      <c r="E45" s="222"/>
      <c r="F45" s="222">
        <f t="shared" si="1"/>
        <v>0</v>
      </c>
    </row>
    <row r="46" spans="1:6" s="206" customFormat="1" ht="14.45">
      <c r="A46" s="230"/>
      <c r="B46" s="221" t="s">
        <v>583</v>
      </c>
      <c r="C46" s="222" t="s">
        <v>562</v>
      </c>
      <c r="D46" s="234">
        <v>1</v>
      </c>
      <c r="E46" s="222"/>
      <c r="F46" s="222">
        <f t="shared" si="1"/>
        <v>0</v>
      </c>
    </row>
    <row r="47" spans="1:6" s="206" customFormat="1" ht="14.45">
      <c r="A47" s="230"/>
      <c r="B47" s="221" t="s">
        <v>584</v>
      </c>
      <c r="C47" s="222" t="s">
        <v>562</v>
      </c>
      <c r="D47" s="234" t="s">
        <v>585</v>
      </c>
      <c r="E47" s="222" t="s">
        <v>586</v>
      </c>
      <c r="F47" s="222"/>
    </row>
    <row r="48" spans="1:6" s="206" customFormat="1" ht="14.45">
      <c r="A48" s="230"/>
      <c r="B48" s="221" t="s">
        <v>587</v>
      </c>
      <c r="C48" s="222" t="s">
        <v>562</v>
      </c>
      <c r="D48" s="234" t="s">
        <v>585</v>
      </c>
      <c r="E48" s="222" t="s">
        <v>586</v>
      </c>
      <c r="F48" s="222"/>
    </row>
    <row r="49" spans="1:6" s="224" customFormat="1" ht="14.45">
      <c r="A49" s="235"/>
      <c r="B49" s="236"/>
      <c r="C49" s="237"/>
      <c r="D49" s="238"/>
      <c r="E49" s="237"/>
      <c r="F49" s="237"/>
    </row>
    <row r="50" spans="1:6" s="224" customFormat="1" ht="29.1">
      <c r="A50" s="235"/>
      <c r="B50" s="239" t="s">
        <v>588</v>
      </c>
      <c r="C50" s="237"/>
      <c r="D50" s="238"/>
      <c r="E50" s="237"/>
      <c r="F50" s="237"/>
    </row>
    <row r="51" spans="1:6" s="224" customFormat="1" ht="14.45">
      <c r="A51" s="235"/>
      <c r="B51" s="240"/>
      <c r="C51" s="237"/>
      <c r="D51" s="238"/>
      <c r="E51" s="237"/>
      <c r="F51" s="237"/>
    </row>
    <row r="52" spans="1:6" s="224" customFormat="1" ht="14.45">
      <c r="A52" s="230" t="s">
        <v>589</v>
      </c>
      <c r="B52" s="213" t="s">
        <v>590</v>
      </c>
      <c r="C52" s="237"/>
      <c r="D52" s="238"/>
      <c r="E52" s="237"/>
      <c r="F52" s="237"/>
    </row>
    <row r="53" spans="1:6" s="224" customFormat="1" ht="14.45">
      <c r="A53" s="235"/>
      <c r="B53" s="240"/>
      <c r="C53" s="237"/>
      <c r="D53" s="238"/>
      <c r="E53" s="237"/>
      <c r="F53" s="237"/>
    </row>
    <row r="54" spans="1:6" s="224" customFormat="1" ht="14.45">
      <c r="A54" s="235"/>
      <c r="B54" s="221" t="s">
        <v>591</v>
      </c>
      <c r="C54" s="222" t="s">
        <v>562</v>
      </c>
      <c r="D54" s="233">
        <f>2+4</f>
        <v>6</v>
      </c>
      <c r="E54" s="222"/>
      <c r="F54" s="222">
        <f t="shared" ref="F54:F59" si="2">E54*D54</f>
        <v>0</v>
      </c>
    </row>
    <row r="55" spans="1:6" s="224" customFormat="1" ht="14.45">
      <c r="A55" s="235"/>
      <c r="B55" s="221" t="s">
        <v>592</v>
      </c>
      <c r="C55" s="222" t="s">
        <v>562</v>
      </c>
      <c r="D55" s="234">
        <f>1</f>
        <v>1</v>
      </c>
      <c r="E55" s="222"/>
      <c r="F55" s="222">
        <f t="shared" si="2"/>
        <v>0</v>
      </c>
    </row>
    <row r="56" spans="1:6" s="224" customFormat="1" ht="14.45">
      <c r="A56" s="235"/>
      <c r="B56" s="221" t="s">
        <v>593</v>
      </c>
      <c r="C56" s="222" t="s">
        <v>562</v>
      </c>
      <c r="D56" s="234">
        <f>1+1+3</f>
        <v>5</v>
      </c>
      <c r="E56" s="222"/>
      <c r="F56" s="222">
        <f t="shared" si="2"/>
        <v>0</v>
      </c>
    </row>
    <row r="57" spans="1:6" s="224" customFormat="1" ht="14.45">
      <c r="A57" s="235"/>
      <c r="B57" s="221" t="s">
        <v>594</v>
      </c>
      <c r="C57" s="222" t="s">
        <v>562</v>
      </c>
      <c r="D57" s="234">
        <f>5+2</f>
        <v>7</v>
      </c>
      <c r="E57" s="222"/>
      <c r="F57" s="222">
        <f t="shared" si="2"/>
        <v>0</v>
      </c>
    </row>
    <row r="58" spans="1:6" s="224" customFormat="1" ht="14.45">
      <c r="A58" s="235"/>
      <c r="B58" s="221" t="s">
        <v>595</v>
      </c>
      <c r="C58" s="222" t="s">
        <v>562</v>
      </c>
      <c r="D58" s="234">
        <f>1+1+1+1+1+5+1</f>
        <v>11</v>
      </c>
      <c r="E58" s="222"/>
      <c r="F58" s="222">
        <f t="shared" si="2"/>
        <v>0</v>
      </c>
    </row>
    <row r="59" spans="1:6" s="224" customFormat="1" ht="14.45">
      <c r="A59" s="235"/>
      <c r="B59" s="221" t="s">
        <v>596</v>
      </c>
      <c r="C59" s="222" t="s">
        <v>562</v>
      </c>
      <c r="D59" s="234">
        <f>4+2+3+6+4+64</f>
        <v>83</v>
      </c>
      <c r="E59" s="222"/>
      <c r="F59" s="222">
        <f t="shared" si="2"/>
        <v>0</v>
      </c>
    </row>
    <row r="60" spans="1:6" s="224" customFormat="1" ht="14.45">
      <c r="A60" s="235"/>
      <c r="B60" s="223"/>
      <c r="C60" s="232"/>
      <c r="D60" s="241"/>
      <c r="E60" s="232"/>
      <c r="F60" s="232"/>
    </row>
    <row r="61" spans="1:6" s="224" customFormat="1" ht="14.45">
      <c r="A61" s="235"/>
      <c r="B61" s="240"/>
      <c r="C61" s="237"/>
      <c r="D61" s="238"/>
      <c r="E61" s="237"/>
      <c r="F61" s="237"/>
    </row>
    <row r="62" spans="1:6" s="224" customFormat="1" ht="14.45">
      <c r="A62" s="230" t="s">
        <v>597</v>
      </c>
      <c r="B62" s="213" t="s">
        <v>598</v>
      </c>
      <c r="C62" s="237"/>
      <c r="D62" s="238"/>
      <c r="E62" s="237"/>
      <c r="F62" s="237"/>
    </row>
    <row r="63" spans="1:6" s="224" customFormat="1" ht="14.45">
      <c r="A63" s="235"/>
      <c r="B63" s="240"/>
      <c r="C63" s="237"/>
      <c r="D63" s="238"/>
      <c r="E63" s="237"/>
      <c r="F63" s="237"/>
    </row>
    <row r="64" spans="1:6" s="224" customFormat="1" ht="14.45">
      <c r="A64" s="235"/>
      <c r="B64" s="221" t="s">
        <v>599</v>
      </c>
      <c r="C64" s="222" t="s">
        <v>562</v>
      </c>
      <c r="D64" s="233">
        <v>4</v>
      </c>
      <c r="E64" s="222"/>
      <c r="F64" s="222">
        <f t="shared" ref="F64:F68" si="3">E64*D64</f>
        <v>0</v>
      </c>
    </row>
    <row r="65" spans="1:6" s="224" customFormat="1" ht="14.45">
      <c r="A65" s="235"/>
      <c r="B65" s="221" t="s">
        <v>600</v>
      </c>
      <c r="C65" s="222" t="s">
        <v>562</v>
      </c>
      <c r="D65" s="234">
        <v>5</v>
      </c>
      <c r="E65" s="222"/>
      <c r="F65" s="222">
        <f t="shared" si="3"/>
        <v>0</v>
      </c>
    </row>
    <row r="66" spans="1:6" s="224" customFormat="1" ht="14.45">
      <c r="A66" s="235"/>
      <c r="B66" s="221" t="s">
        <v>594</v>
      </c>
      <c r="C66" s="222" t="s">
        <v>562</v>
      </c>
      <c r="D66" s="234">
        <v>3</v>
      </c>
      <c r="E66" s="222"/>
      <c r="F66" s="222">
        <f t="shared" si="3"/>
        <v>0</v>
      </c>
    </row>
    <row r="67" spans="1:6" s="224" customFormat="1" ht="14.45">
      <c r="A67" s="235"/>
      <c r="B67" s="221" t="s">
        <v>595</v>
      </c>
      <c r="C67" s="222" t="s">
        <v>562</v>
      </c>
      <c r="D67" s="233">
        <v>1</v>
      </c>
      <c r="E67" s="222"/>
      <c r="F67" s="222">
        <f t="shared" si="3"/>
        <v>0</v>
      </c>
    </row>
    <row r="68" spans="1:6" s="224" customFormat="1" ht="14.45">
      <c r="A68" s="235"/>
      <c r="B68" s="221" t="s">
        <v>601</v>
      </c>
      <c r="C68" s="222" t="s">
        <v>562</v>
      </c>
      <c r="D68" s="233">
        <v>1</v>
      </c>
      <c r="E68" s="222"/>
      <c r="F68" s="222">
        <f t="shared" si="3"/>
        <v>0</v>
      </c>
    </row>
    <row r="69" spans="1:6" s="224" customFormat="1" ht="14.45">
      <c r="A69" s="235"/>
      <c r="B69" s="223"/>
      <c r="C69" s="232"/>
      <c r="D69" s="242"/>
      <c r="E69" s="232"/>
      <c r="F69" s="232"/>
    </row>
    <row r="70" spans="1:6" s="224" customFormat="1" ht="14.45">
      <c r="A70" s="235"/>
      <c r="B70" s="243" t="s">
        <v>602</v>
      </c>
      <c r="C70" s="237"/>
      <c r="D70" s="238"/>
      <c r="E70" s="237"/>
      <c r="F70" s="237"/>
    </row>
    <row r="71" spans="1:6" s="224" customFormat="1" ht="29.1">
      <c r="A71" s="235"/>
      <c r="B71" s="244" t="s">
        <v>603</v>
      </c>
      <c r="C71" s="237"/>
      <c r="D71" s="237"/>
      <c r="E71" s="237"/>
      <c r="F71" s="237"/>
    </row>
    <row r="72" spans="1:6" s="224" customFormat="1" ht="14.45">
      <c r="A72" s="235"/>
      <c r="B72" s="245"/>
      <c r="C72" s="237"/>
      <c r="D72" s="237"/>
      <c r="E72" s="237"/>
      <c r="F72" s="237"/>
    </row>
    <row r="73" spans="1:6" s="224" customFormat="1" ht="15" customHeight="1">
      <c r="A73" s="230">
        <v>1.2</v>
      </c>
      <c r="B73" s="213" t="s">
        <v>604</v>
      </c>
      <c r="C73" s="214"/>
      <c r="D73" s="214"/>
      <c r="E73" s="214"/>
      <c r="F73" s="232"/>
    </row>
    <row r="74" spans="1:6" s="224" customFormat="1" ht="15" customHeight="1">
      <c r="A74" s="230"/>
      <c r="B74" s="213" t="s">
        <v>605</v>
      </c>
      <c r="C74" s="214"/>
      <c r="D74" s="214"/>
      <c r="E74" s="214"/>
      <c r="F74" s="232"/>
    </row>
    <row r="75" spans="1:6" s="224" customFormat="1" ht="15" customHeight="1">
      <c r="A75" s="230"/>
      <c r="B75" s="213"/>
      <c r="C75" s="214"/>
      <c r="D75" s="214"/>
      <c r="E75" s="214"/>
      <c r="F75" s="232"/>
    </row>
    <row r="76" spans="1:6" s="224" customFormat="1" ht="240" customHeight="1">
      <c r="A76" s="230"/>
      <c r="B76" s="246" t="s">
        <v>606</v>
      </c>
      <c r="C76" s="214"/>
      <c r="D76" s="214"/>
      <c r="E76" s="214"/>
      <c r="F76" s="232"/>
    </row>
    <row r="77" spans="1:6" s="224" customFormat="1" ht="14.45">
      <c r="A77" s="230"/>
      <c r="B77" s="219" t="s">
        <v>607</v>
      </c>
      <c r="C77" s="214"/>
      <c r="D77" s="214"/>
      <c r="E77" s="214"/>
      <c r="F77" s="232"/>
    </row>
    <row r="78" spans="1:6" s="224" customFormat="1" ht="15" customHeight="1">
      <c r="A78" s="230"/>
      <c r="B78" s="247" t="s">
        <v>608</v>
      </c>
      <c r="C78" s="214"/>
      <c r="D78" s="214"/>
      <c r="E78" s="214"/>
      <c r="F78" s="214"/>
    </row>
    <row r="79" spans="1:6" s="224" customFormat="1" ht="15" customHeight="1">
      <c r="A79" s="230"/>
      <c r="B79" s="213" t="s">
        <v>609</v>
      </c>
      <c r="C79" s="214"/>
      <c r="D79" s="214"/>
      <c r="E79" s="214"/>
      <c r="F79" s="214"/>
    </row>
    <row r="80" spans="1:6" s="224" customFormat="1" ht="15" customHeight="1">
      <c r="A80" s="230"/>
      <c r="B80" s="213"/>
      <c r="C80" s="214"/>
      <c r="D80" s="214"/>
      <c r="E80" s="214"/>
      <c r="F80" s="214"/>
    </row>
    <row r="81" spans="1:9" s="224" customFormat="1" ht="15" customHeight="1">
      <c r="A81" s="230"/>
      <c r="B81" s="221" t="s">
        <v>610</v>
      </c>
      <c r="C81" s="248" t="s">
        <v>562</v>
      </c>
      <c r="D81" s="234" t="s">
        <v>585</v>
      </c>
      <c r="E81" s="222" t="s">
        <v>586</v>
      </c>
      <c r="F81" s="222"/>
    </row>
    <row r="82" spans="1:9" s="224" customFormat="1" ht="13.5" customHeight="1">
      <c r="A82" s="235"/>
      <c r="B82" s="228"/>
      <c r="C82" s="237"/>
      <c r="D82" s="238"/>
      <c r="E82" s="237"/>
      <c r="F82" s="237"/>
    </row>
    <row r="83" spans="1:9" s="206" customFormat="1" ht="14.45">
      <c r="A83" s="230">
        <v>1.3</v>
      </c>
      <c r="B83" s="213" t="s">
        <v>611</v>
      </c>
      <c r="C83" s="232"/>
      <c r="D83" s="232"/>
      <c r="E83" s="232"/>
      <c r="F83" s="232"/>
    </row>
    <row r="84" spans="1:9" s="206" customFormat="1" ht="11.25" customHeight="1">
      <c r="A84" s="210"/>
      <c r="B84" s="213"/>
      <c r="C84" s="232"/>
      <c r="D84" s="232"/>
      <c r="E84" s="232"/>
      <c r="F84" s="232"/>
    </row>
    <row r="85" spans="1:9" s="206" customFormat="1" ht="135" customHeight="1">
      <c r="A85" s="210"/>
      <c r="B85" s="249" t="s">
        <v>612</v>
      </c>
      <c r="C85" s="214"/>
      <c r="D85" s="214"/>
      <c r="E85" s="214"/>
      <c r="F85" s="214"/>
    </row>
    <row r="86" spans="1:9" s="206" customFormat="1" ht="14.45">
      <c r="A86" s="210"/>
      <c r="B86" s="250"/>
      <c r="C86" s="232"/>
      <c r="D86" s="232"/>
      <c r="E86" s="232"/>
      <c r="F86" s="232"/>
    </row>
    <row r="87" spans="1:9" s="206" customFormat="1" ht="14.45">
      <c r="A87" s="230"/>
      <c r="B87" s="251" t="s">
        <v>613</v>
      </c>
      <c r="C87" s="232"/>
      <c r="D87" s="232"/>
      <c r="E87" s="232"/>
      <c r="F87" s="232"/>
    </row>
    <row r="88" spans="1:9" s="206" customFormat="1" ht="14.45">
      <c r="A88" s="230"/>
      <c r="B88" s="252" t="s">
        <v>614</v>
      </c>
      <c r="C88" s="232"/>
      <c r="D88" s="253"/>
      <c r="E88" s="254"/>
      <c r="F88" s="254"/>
    </row>
    <row r="89" spans="1:9" s="206" customFormat="1">
      <c r="A89" s="214" t="s">
        <v>575</v>
      </c>
      <c r="B89" s="221" t="s">
        <v>615</v>
      </c>
      <c r="C89" s="222" t="s">
        <v>616</v>
      </c>
      <c r="D89" s="233">
        <v>30</v>
      </c>
      <c r="E89" s="234"/>
      <c r="F89" s="222">
        <f t="shared" ref="F89:F98" si="4">E89*D89</f>
        <v>0</v>
      </c>
      <c r="I89" s="220"/>
    </row>
    <row r="90" spans="1:9" s="206" customFormat="1">
      <c r="A90" s="214" t="s">
        <v>589</v>
      </c>
      <c r="B90" s="221" t="s">
        <v>617</v>
      </c>
      <c r="C90" s="222" t="s">
        <v>616</v>
      </c>
      <c r="D90" s="233">
        <v>30</v>
      </c>
      <c r="E90" s="234"/>
      <c r="F90" s="222">
        <f t="shared" si="4"/>
        <v>0</v>
      </c>
      <c r="H90" s="255"/>
      <c r="I90" s="220"/>
    </row>
    <row r="91" spans="1:9" s="206" customFormat="1">
      <c r="A91" s="214" t="s">
        <v>597</v>
      </c>
      <c r="B91" s="221" t="s">
        <v>618</v>
      </c>
      <c r="C91" s="222" t="s">
        <v>616</v>
      </c>
      <c r="D91" s="233">
        <v>220</v>
      </c>
      <c r="E91" s="234"/>
      <c r="F91" s="222">
        <f t="shared" si="4"/>
        <v>0</v>
      </c>
      <c r="H91" s="255"/>
      <c r="I91" s="220"/>
    </row>
    <row r="92" spans="1:9" s="206" customFormat="1">
      <c r="A92" s="214" t="s">
        <v>619</v>
      </c>
      <c r="B92" s="221" t="s">
        <v>620</v>
      </c>
      <c r="C92" s="222" t="s">
        <v>616</v>
      </c>
      <c r="D92" s="233" t="s">
        <v>585</v>
      </c>
      <c r="E92" s="234"/>
      <c r="F92" s="256" t="s">
        <v>586</v>
      </c>
      <c r="H92" s="255"/>
      <c r="I92" s="220"/>
    </row>
    <row r="93" spans="1:9" s="206" customFormat="1">
      <c r="A93" s="214" t="s">
        <v>621</v>
      </c>
      <c r="B93" s="221" t="s">
        <v>622</v>
      </c>
      <c r="C93" s="222" t="s">
        <v>616</v>
      </c>
      <c r="D93" s="233">
        <v>120</v>
      </c>
      <c r="E93" s="222"/>
      <c r="F93" s="222">
        <f t="shared" si="4"/>
        <v>0</v>
      </c>
      <c r="H93" s="257"/>
      <c r="I93" s="220"/>
    </row>
    <row r="94" spans="1:9" s="206" customFormat="1">
      <c r="A94" s="214" t="s">
        <v>623</v>
      </c>
      <c r="B94" s="221" t="s">
        <v>624</v>
      </c>
      <c r="C94" s="222" t="s">
        <v>616</v>
      </c>
      <c r="D94" s="233">
        <v>250</v>
      </c>
      <c r="E94" s="222"/>
      <c r="F94" s="222">
        <f t="shared" si="4"/>
        <v>0</v>
      </c>
      <c r="H94" s="255"/>
      <c r="I94" s="220"/>
    </row>
    <row r="95" spans="1:9" s="206" customFormat="1">
      <c r="A95" s="214" t="s">
        <v>625</v>
      </c>
      <c r="B95" s="221" t="s">
        <v>626</v>
      </c>
      <c r="C95" s="222" t="s">
        <v>616</v>
      </c>
      <c r="D95" s="222">
        <v>280</v>
      </c>
      <c r="E95" s="253"/>
      <c r="F95" s="222">
        <f t="shared" si="4"/>
        <v>0</v>
      </c>
      <c r="H95" s="255"/>
      <c r="I95" s="220"/>
    </row>
    <row r="96" spans="1:9" s="206" customFormat="1">
      <c r="A96" s="214" t="s">
        <v>627</v>
      </c>
      <c r="B96" s="258" t="s">
        <v>628</v>
      </c>
      <c r="C96" s="253" t="s">
        <v>616</v>
      </c>
      <c r="D96" s="253">
        <v>640</v>
      </c>
      <c r="E96" s="222"/>
      <c r="F96" s="222">
        <f t="shared" si="4"/>
        <v>0</v>
      </c>
      <c r="H96" s="255"/>
      <c r="I96" s="220"/>
    </row>
    <row r="97" spans="1:9" s="206" customFormat="1">
      <c r="A97" s="214" t="s">
        <v>629</v>
      </c>
      <c r="B97" s="221" t="s">
        <v>630</v>
      </c>
      <c r="C97" s="222" t="s">
        <v>616</v>
      </c>
      <c r="D97" s="222">
        <v>360</v>
      </c>
      <c r="E97" s="222"/>
      <c r="F97" s="222">
        <f t="shared" si="4"/>
        <v>0</v>
      </c>
      <c r="H97" s="257"/>
      <c r="I97" s="220"/>
    </row>
    <row r="98" spans="1:9" s="206" customFormat="1" ht="14.45">
      <c r="A98" s="214" t="s">
        <v>631</v>
      </c>
      <c r="B98" s="259" t="s">
        <v>632</v>
      </c>
      <c r="C98" s="222" t="s">
        <v>616</v>
      </c>
      <c r="D98" s="222">
        <v>580</v>
      </c>
      <c r="E98" s="222"/>
      <c r="F98" s="222">
        <f t="shared" si="4"/>
        <v>0</v>
      </c>
      <c r="H98" s="255"/>
    </row>
    <row r="99" spans="1:9" s="224" customFormat="1" ht="14.45">
      <c r="A99" s="235"/>
      <c r="B99" s="228"/>
      <c r="C99" s="229"/>
      <c r="D99" s="229"/>
      <c r="E99" s="229"/>
      <c r="F99" s="229"/>
    </row>
    <row r="100" spans="1:9" s="206" customFormat="1" ht="14.45">
      <c r="A100" s="210">
        <v>1.4</v>
      </c>
      <c r="B100" s="213" t="s">
        <v>633</v>
      </c>
      <c r="C100" s="214"/>
      <c r="D100" s="214"/>
      <c r="E100" s="214"/>
      <c r="F100" s="214"/>
    </row>
    <row r="101" spans="1:9" s="206" customFormat="1" ht="14.45">
      <c r="A101" s="230"/>
      <c r="B101" s="223"/>
      <c r="C101" s="214"/>
      <c r="D101" s="214"/>
      <c r="E101" s="214"/>
      <c r="F101" s="214"/>
    </row>
    <row r="102" spans="1:9" s="206" customFormat="1" ht="53.1" customHeight="1">
      <c r="A102" s="230"/>
      <c r="B102" s="231" t="s">
        <v>634</v>
      </c>
      <c r="C102" s="214"/>
      <c r="D102" s="214"/>
      <c r="E102" s="214"/>
      <c r="F102" s="214"/>
    </row>
    <row r="103" spans="1:9" s="206" customFormat="1" ht="14.45">
      <c r="A103" s="230"/>
      <c r="B103" s="231"/>
      <c r="C103" s="232"/>
      <c r="D103" s="232"/>
      <c r="E103" s="214"/>
      <c r="F103" s="214"/>
    </row>
    <row r="104" spans="1:9" s="206" customFormat="1" ht="14.45">
      <c r="A104" s="230" t="s">
        <v>575</v>
      </c>
      <c r="B104" s="260" t="s">
        <v>635</v>
      </c>
      <c r="C104" s="232" t="s">
        <v>562</v>
      </c>
      <c r="D104" s="242">
        <v>129</v>
      </c>
      <c r="E104" s="214"/>
      <c r="F104" s="261">
        <f>E104*D104</f>
        <v>0</v>
      </c>
    </row>
    <row r="105" spans="1:9" s="224" customFormat="1" ht="14.45">
      <c r="A105" s="235"/>
      <c r="B105" s="262"/>
      <c r="C105" s="237"/>
      <c r="D105" s="237"/>
      <c r="E105" s="237"/>
      <c r="F105" s="237"/>
    </row>
    <row r="106" spans="1:9" s="206" customFormat="1" ht="14.45">
      <c r="A106" s="230">
        <v>1.5</v>
      </c>
      <c r="B106" s="263" t="s">
        <v>636</v>
      </c>
      <c r="C106" s="229"/>
      <c r="D106" s="229"/>
      <c r="E106" s="229"/>
      <c r="F106" s="229"/>
    </row>
    <row r="107" spans="1:9" s="206" customFormat="1" ht="14.45">
      <c r="A107" s="235"/>
      <c r="B107" s="264"/>
      <c r="C107" s="229"/>
      <c r="D107" s="229"/>
      <c r="E107" s="229"/>
      <c r="F107" s="229"/>
    </row>
    <row r="108" spans="1:9" s="206" customFormat="1" ht="27.6">
      <c r="A108" s="235"/>
      <c r="B108" s="265" t="s">
        <v>637</v>
      </c>
      <c r="C108" s="222" t="s">
        <v>562</v>
      </c>
      <c r="D108" s="222">
        <v>7</v>
      </c>
      <c r="E108" s="222"/>
      <c r="F108" s="222">
        <f t="shared" ref="F108" si="5">E108*D108</f>
        <v>0</v>
      </c>
    </row>
    <row r="109" spans="1:9" s="206" customFormat="1" ht="14.45">
      <c r="A109" s="235"/>
      <c r="B109" s="228"/>
      <c r="C109" s="229"/>
      <c r="D109" s="229"/>
      <c r="E109" s="229"/>
      <c r="F109" s="229"/>
    </row>
    <row r="110" spans="1:9" s="206" customFormat="1" ht="14.45">
      <c r="A110" s="266">
        <v>1.6</v>
      </c>
      <c r="B110" s="267" t="s">
        <v>638</v>
      </c>
      <c r="C110" s="232"/>
      <c r="D110" s="214"/>
      <c r="E110" s="214"/>
      <c r="F110" s="214"/>
    </row>
    <row r="111" spans="1:9" s="206" customFormat="1" ht="14.45">
      <c r="A111" s="230"/>
      <c r="B111" s="268"/>
      <c r="C111" s="232"/>
      <c r="D111" s="214"/>
      <c r="E111" s="214"/>
      <c r="F111" s="214"/>
    </row>
    <row r="112" spans="1:9" s="206" customFormat="1" ht="72.599999999999994">
      <c r="A112" s="230"/>
      <c r="B112" s="246" t="s">
        <v>639</v>
      </c>
      <c r="C112" s="214" t="s">
        <v>640</v>
      </c>
      <c r="D112" s="269">
        <v>1</v>
      </c>
      <c r="E112" s="214"/>
      <c r="F112" s="214">
        <f t="shared" ref="F112" si="6">E112*D112</f>
        <v>0</v>
      </c>
    </row>
    <row r="113" spans="1:6" s="224" customFormat="1" ht="14.45">
      <c r="A113" s="235"/>
      <c r="B113" s="262"/>
      <c r="C113" s="237"/>
      <c r="D113" s="237"/>
      <c r="E113" s="237"/>
      <c r="F113" s="237"/>
    </row>
    <row r="114" spans="1:6" s="206" customFormat="1" ht="14.45">
      <c r="A114" s="230">
        <v>1.7</v>
      </c>
      <c r="B114" s="270" t="s">
        <v>641</v>
      </c>
      <c r="C114" s="232"/>
      <c r="D114" s="232"/>
      <c r="E114" s="271"/>
      <c r="F114" s="214"/>
    </row>
    <row r="115" spans="1:6" s="206" customFormat="1" ht="14.45">
      <c r="A115" s="230"/>
      <c r="B115" s="270"/>
      <c r="C115" s="232"/>
      <c r="D115" s="232"/>
      <c r="E115" s="271"/>
      <c r="F115" s="214"/>
    </row>
    <row r="116" spans="1:6" s="206" customFormat="1" ht="57.95">
      <c r="A116" s="230"/>
      <c r="B116" s="272" t="s">
        <v>642</v>
      </c>
      <c r="C116" s="232"/>
      <c r="D116" s="232"/>
      <c r="E116" s="271"/>
      <c r="F116" s="214"/>
    </row>
    <row r="117" spans="1:6" s="206" customFormat="1" ht="14.45">
      <c r="A117" s="230"/>
      <c r="B117" s="273"/>
      <c r="C117" s="232"/>
      <c r="D117" s="232"/>
      <c r="E117" s="274"/>
      <c r="F117" s="253"/>
    </row>
    <row r="118" spans="1:6" s="206" customFormat="1" ht="14.45">
      <c r="A118" s="230"/>
      <c r="B118" s="259" t="s">
        <v>643</v>
      </c>
      <c r="C118" s="222" t="s">
        <v>562</v>
      </c>
      <c r="D118" s="233" t="s">
        <v>585</v>
      </c>
      <c r="E118" s="222"/>
      <c r="F118" s="222" t="s">
        <v>586</v>
      </c>
    </row>
    <row r="119" spans="1:6" s="224" customFormat="1" ht="14.45">
      <c r="A119" s="235"/>
      <c r="B119" s="262"/>
      <c r="C119" s="237"/>
      <c r="D119" s="237"/>
      <c r="E119" s="237"/>
      <c r="F119" s="237"/>
    </row>
    <row r="120" spans="1:6" s="206" customFormat="1" ht="72.599999999999994">
      <c r="A120" s="275">
        <v>1.8</v>
      </c>
      <c r="B120" s="276" t="s">
        <v>644</v>
      </c>
      <c r="C120" s="214" t="s">
        <v>645</v>
      </c>
      <c r="D120" s="232">
        <v>1250</v>
      </c>
      <c r="E120" s="214"/>
      <c r="F120" s="232">
        <f>E120*D120</f>
        <v>0</v>
      </c>
    </row>
    <row r="121" spans="1:6" s="224" customFormat="1" ht="14.45">
      <c r="A121" s="235"/>
      <c r="B121" s="262"/>
      <c r="C121" s="237"/>
      <c r="D121" s="237"/>
      <c r="E121" s="237"/>
      <c r="F121" s="237"/>
    </row>
    <row r="122" spans="1:6" s="206" customFormat="1" ht="43.5">
      <c r="A122" s="275">
        <v>1.9</v>
      </c>
      <c r="B122" s="246" t="s">
        <v>646</v>
      </c>
      <c r="C122" s="232"/>
      <c r="D122" s="214"/>
      <c r="E122" s="214"/>
      <c r="F122" s="214"/>
    </row>
    <row r="123" spans="1:6" s="206" customFormat="1" ht="14.45">
      <c r="A123" s="230"/>
      <c r="B123" s="246"/>
      <c r="C123" s="232"/>
      <c r="D123" s="214"/>
      <c r="E123" s="214"/>
      <c r="F123" s="214"/>
    </row>
    <row r="124" spans="1:6" s="206" customFormat="1" ht="14.45">
      <c r="A124" s="277"/>
      <c r="B124" s="221" t="s">
        <v>647</v>
      </c>
      <c r="C124" s="222" t="s">
        <v>616</v>
      </c>
      <c r="D124" s="233" t="s">
        <v>585</v>
      </c>
      <c r="E124" s="222"/>
      <c r="F124" s="222" t="s">
        <v>586</v>
      </c>
    </row>
    <row r="125" spans="1:6" s="206" customFormat="1" ht="14.45">
      <c r="A125" s="215"/>
      <c r="B125" s="259" t="s">
        <v>648</v>
      </c>
      <c r="C125" s="222" t="s">
        <v>616</v>
      </c>
      <c r="D125" s="233" t="s">
        <v>585</v>
      </c>
      <c r="E125" s="222"/>
      <c r="F125" s="222" t="s">
        <v>586</v>
      </c>
    </row>
    <row r="126" spans="1:6" s="224" customFormat="1" ht="14.45">
      <c r="A126" s="227"/>
      <c r="B126" s="228"/>
      <c r="C126" s="237"/>
      <c r="D126" s="229"/>
      <c r="E126" s="229"/>
      <c r="F126" s="237"/>
    </row>
    <row r="127" spans="1:6" s="206" customFormat="1" ht="206.45" customHeight="1">
      <c r="A127" s="278">
        <v>1.1000000000000001</v>
      </c>
      <c r="B127" s="279" t="s">
        <v>649</v>
      </c>
      <c r="C127" s="232"/>
      <c r="D127" s="214"/>
      <c r="E127" s="214"/>
      <c r="F127" s="232"/>
    </row>
    <row r="128" spans="1:6" s="206" customFormat="1" ht="62.1" customHeight="1">
      <c r="A128" s="215"/>
      <c r="B128" s="279" t="s">
        <v>650</v>
      </c>
      <c r="C128" s="232"/>
      <c r="D128" s="214"/>
      <c r="E128" s="214"/>
      <c r="F128" s="232"/>
    </row>
    <row r="129" spans="1:6" s="206" customFormat="1" ht="14.45">
      <c r="A129" s="215"/>
      <c r="B129" s="279"/>
      <c r="C129" s="232"/>
      <c r="D129" s="214"/>
      <c r="E129" s="214"/>
      <c r="F129" s="232"/>
    </row>
    <row r="130" spans="1:6" s="206" customFormat="1" ht="14.45">
      <c r="A130" s="215"/>
      <c r="B130" s="221" t="s">
        <v>651</v>
      </c>
      <c r="C130" s="222" t="s">
        <v>616</v>
      </c>
      <c r="D130" s="233">
        <v>250</v>
      </c>
      <c r="E130" s="222"/>
      <c r="F130" s="222">
        <f t="shared" ref="F130:F132" si="7">D130*E130</f>
        <v>0</v>
      </c>
    </row>
    <row r="131" spans="1:6" s="206" customFormat="1" ht="14.45">
      <c r="A131" s="215"/>
      <c r="B131" s="221" t="s">
        <v>652</v>
      </c>
      <c r="C131" s="222" t="s">
        <v>616</v>
      </c>
      <c r="D131" s="233">
        <v>310</v>
      </c>
      <c r="E131" s="222"/>
      <c r="F131" s="222">
        <f t="shared" si="7"/>
        <v>0</v>
      </c>
    </row>
    <row r="132" spans="1:6" s="206" customFormat="1" ht="14.45">
      <c r="A132" s="215"/>
      <c r="B132" s="259" t="s">
        <v>653</v>
      </c>
      <c r="C132" s="222" t="s">
        <v>616</v>
      </c>
      <c r="D132" s="233">
        <v>350</v>
      </c>
      <c r="E132" s="222"/>
      <c r="F132" s="222">
        <f t="shared" si="7"/>
        <v>0</v>
      </c>
    </row>
    <row r="133" spans="1:6" s="224" customFormat="1" ht="14.45">
      <c r="A133" s="227"/>
      <c r="B133" s="228"/>
      <c r="C133" s="237"/>
      <c r="D133" s="229"/>
      <c r="E133" s="229"/>
      <c r="F133" s="237"/>
    </row>
    <row r="134" spans="1:6" s="206" customFormat="1" ht="14.45">
      <c r="A134" s="278">
        <v>1.1100000000000001</v>
      </c>
      <c r="B134" s="213" t="s">
        <v>654</v>
      </c>
      <c r="C134" s="214"/>
      <c r="D134" s="214"/>
      <c r="E134" s="214"/>
      <c r="F134" s="214"/>
    </row>
    <row r="135" spans="1:6" s="206" customFormat="1" ht="14.45">
      <c r="A135" s="215"/>
      <c r="B135" s="223"/>
      <c r="C135" s="214"/>
      <c r="D135" s="214"/>
      <c r="E135" s="214"/>
      <c r="F135" s="214"/>
    </row>
    <row r="136" spans="1:6" s="206" customFormat="1" ht="144.94999999999999">
      <c r="A136" s="215"/>
      <c r="B136" s="231" t="s">
        <v>655</v>
      </c>
      <c r="C136" s="214"/>
      <c r="D136" s="214"/>
      <c r="E136" s="214"/>
      <c r="F136" s="214"/>
    </row>
    <row r="137" spans="1:6" s="206" customFormat="1" ht="14.45">
      <c r="A137" s="215"/>
      <c r="B137" s="247" t="s">
        <v>656</v>
      </c>
      <c r="C137" s="214"/>
      <c r="D137" s="214"/>
      <c r="E137" s="214"/>
      <c r="F137" s="214"/>
    </row>
    <row r="138" spans="1:6" s="206" customFormat="1" ht="14.45">
      <c r="A138" s="215"/>
      <c r="B138" s="213" t="s">
        <v>657</v>
      </c>
      <c r="C138" s="214"/>
      <c r="D138" s="214"/>
      <c r="E138" s="214"/>
      <c r="F138" s="214"/>
    </row>
    <row r="139" spans="1:6" s="206" customFormat="1" ht="14.45">
      <c r="A139" s="215"/>
      <c r="B139" s="280" t="s">
        <v>658</v>
      </c>
      <c r="C139" s="214"/>
      <c r="D139" s="214"/>
      <c r="E139" s="214"/>
      <c r="F139" s="214"/>
    </row>
    <row r="140" spans="1:6" s="206" customFormat="1" ht="14.45">
      <c r="A140" s="215"/>
      <c r="B140" s="221" t="s">
        <v>659</v>
      </c>
      <c r="C140" s="248" t="s">
        <v>562</v>
      </c>
      <c r="D140" s="233" t="s">
        <v>585</v>
      </c>
      <c r="E140" s="222"/>
      <c r="F140" s="222" t="s">
        <v>586</v>
      </c>
    </row>
    <row r="141" spans="1:6" s="206" customFormat="1" ht="14.45">
      <c r="A141" s="215"/>
      <c r="B141" s="221" t="s">
        <v>660</v>
      </c>
      <c r="C141" s="248" t="s">
        <v>562</v>
      </c>
      <c r="D141" s="233" t="s">
        <v>585</v>
      </c>
      <c r="E141" s="222"/>
      <c r="F141" s="222" t="s">
        <v>586</v>
      </c>
    </row>
    <row r="142" spans="1:6" s="224" customFormat="1" ht="15.75" customHeight="1">
      <c r="A142" s="281"/>
      <c r="B142" s="228"/>
      <c r="C142" s="237"/>
      <c r="D142" s="237"/>
      <c r="E142" s="229"/>
      <c r="F142" s="282"/>
    </row>
    <row r="143" spans="1:6" s="206" customFormat="1" ht="14.45">
      <c r="A143" s="278">
        <v>1.1200000000000001</v>
      </c>
      <c r="B143" s="213" t="s">
        <v>661</v>
      </c>
      <c r="C143" s="214"/>
      <c r="D143" s="214"/>
      <c r="E143" s="214"/>
      <c r="F143" s="214"/>
    </row>
    <row r="144" spans="1:6" s="206" customFormat="1" ht="14.45">
      <c r="A144" s="215"/>
      <c r="B144" s="223"/>
      <c r="C144" s="214"/>
      <c r="D144" s="214"/>
      <c r="E144" s="214"/>
      <c r="F144" s="214"/>
    </row>
    <row r="145" spans="1:15" s="206" customFormat="1" ht="87">
      <c r="A145" s="215"/>
      <c r="B145" s="283" t="s">
        <v>662</v>
      </c>
      <c r="C145" s="214"/>
      <c r="D145" s="214"/>
      <c r="E145" s="214"/>
      <c r="F145" s="232"/>
    </row>
    <row r="146" spans="1:15" s="206" customFormat="1" ht="29.1">
      <c r="A146" s="215"/>
      <c r="B146" s="284" t="s">
        <v>663</v>
      </c>
      <c r="C146" s="214"/>
      <c r="D146" s="214"/>
      <c r="E146" s="214"/>
      <c r="F146" s="214"/>
    </row>
    <row r="147" spans="1:15" s="206" customFormat="1" ht="14.45">
      <c r="A147" s="215"/>
      <c r="B147" s="285"/>
      <c r="C147" s="214"/>
      <c r="D147" s="214"/>
      <c r="E147" s="214"/>
      <c r="F147" s="214"/>
    </row>
    <row r="148" spans="1:15" s="206" customFormat="1" ht="14.45">
      <c r="A148" s="215"/>
      <c r="B148" s="286" t="s">
        <v>664</v>
      </c>
      <c r="C148" s="214"/>
      <c r="D148" s="214"/>
      <c r="E148" s="214"/>
      <c r="F148" s="214"/>
    </row>
    <row r="149" spans="1:15" s="206" customFormat="1" ht="14.45">
      <c r="A149" s="215"/>
      <c r="B149" s="287" t="s">
        <v>665</v>
      </c>
      <c r="C149" s="214"/>
      <c r="D149" s="214"/>
      <c r="E149" s="214"/>
      <c r="F149" s="214"/>
    </row>
    <row r="150" spans="1:15" s="206" customFormat="1" ht="14.45">
      <c r="A150" s="215"/>
      <c r="B150" s="288" t="s">
        <v>666</v>
      </c>
      <c r="C150" s="222" t="s">
        <v>562</v>
      </c>
      <c r="D150" s="233" t="s">
        <v>585</v>
      </c>
      <c r="E150" s="222"/>
      <c r="F150" s="222" t="s">
        <v>586</v>
      </c>
      <c r="K150" s="289"/>
      <c r="L150" s="289"/>
      <c r="N150" s="289"/>
      <c r="O150" s="289"/>
    </row>
    <row r="151" spans="1:15" s="206" customFormat="1" ht="14.45">
      <c r="A151" s="215"/>
      <c r="B151" s="288" t="s">
        <v>667</v>
      </c>
      <c r="C151" s="222" t="s">
        <v>562</v>
      </c>
      <c r="D151" s="233">
        <v>6</v>
      </c>
      <c r="E151" s="222"/>
      <c r="F151" s="222">
        <f t="shared" ref="F151" si="8">D151*E151</f>
        <v>0</v>
      </c>
      <c r="K151" s="289"/>
      <c r="L151" s="289"/>
      <c r="N151" s="289"/>
      <c r="O151" s="289"/>
    </row>
    <row r="152" spans="1:15" s="224" customFormat="1" ht="14.45">
      <c r="A152" s="227"/>
      <c r="B152" s="290"/>
      <c r="C152" s="229"/>
      <c r="D152" s="291"/>
      <c r="E152" s="229"/>
      <c r="F152" s="229"/>
      <c r="K152" s="292"/>
      <c r="L152" s="292"/>
      <c r="N152" s="292"/>
      <c r="O152" s="292"/>
    </row>
    <row r="153" spans="1:15" s="206" customFormat="1" ht="14.45">
      <c r="A153" s="278">
        <v>1.1299999999999999</v>
      </c>
      <c r="B153" s="213" t="s">
        <v>668</v>
      </c>
      <c r="C153" s="232"/>
      <c r="D153" s="232"/>
      <c r="E153" s="232"/>
      <c r="F153" s="232"/>
    </row>
    <row r="154" spans="1:15" s="206" customFormat="1" ht="14.45">
      <c r="A154" s="215"/>
      <c r="B154" s="293"/>
      <c r="C154" s="294"/>
      <c r="D154" s="214"/>
      <c r="E154" s="232"/>
      <c r="F154" s="232"/>
    </row>
    <row r="155" spans="1:15" s="206" customFormat="1" ht="94.35" customHeight="1">
      <c r="A155" s="215"/>
      <c r="B155" s="272" t="s">
        <v>669</v>
      </c>
      <c r="D155" s="223"/>
      <c r="E155" s="223"/>
      <c r="F155" s="223"/>
    </row>
    <row r="156" spans="1:15" s="206" customFormat="1" ht="14.45">
      <c r="A156" s="215"/>
      <c r="B156" s="272"/>
      <c r="D156" s="223"/>
      <c r="E156" s="223"/>
      <c r="F156" s="223"/>
    </row>
    <row r="157" spans="1:15" s="206" customFormat="1" ht="14.45">
      <c r="A157" s="215"/>
      <c r="B157" s="295" t="s">
        <v>670</v>
      </c>
      <c r="C157" s="222" t="s">
        <v>562</v>
      </c>
      <c r="D157" s="233" t="s">
        <v>585</v>
      </c>
      <c r="E157" s="296"/>
      <c r="F157" s="222" t="s">
        <v>586</v>
      </c>
    </row>
    <row r="158" spans="1:15" s="206" customFormat="1" ht="14.45">
      <c r="A158" s="215"/>
      <c r="B158" s="295" t="s">
        <v>671</v>
      </c>
      <c r="C158" s="222" t="s">
        <v>562</v>
      </c>
      <c r="D158" s="233" t="s">
        <v>585</v>
      </c>
      <c r="E158" s="296"/>
      <c r="F158" s="222" t="s">
        <v>586</v>
      </c>
    </row>
    <row r="159" spans="1:15" s="224" customFormat="1" ht="14.45">
      <c r="A159" s="215"/>
      <c r="B159" s="297"/>
      <c r="C159" s="232"/>
      <c r="D159" s="214"/>
      <c r="E159" s="214"/>
      <c r="F159" s="232"/>
    </row>
    <row r="160" spans="1:15" s="206" customFormat="1" ht="14.45">
      <c r="A160" s="278">
        <v>1.1399999999999999</v>
      </c>
      <c r="B160" s="298" t="s">
        <v>672</v>
      </c>
      <c r="C160" s="299"/>
      <c r="D160" s="300"/>
      <c r="E160" s="300"/>
      <c r="F160" s="301"/>
    </row>
    <row r="161" spans="1:6" s="206" customFormat="1" ht="14.45">
      <c r="A161" s="278"/>
      <c r="B161" s="298"/>
      <c r="C161" s="299"/>
      <c r="D161" s="300"/>
      <c r="E161" s="300"/>
      <c r="F161" s="301"/>
    </row>
    <row r="162" spans="1:6" s="206" customFormat="1" ht="43.5">
      <c r="A162" s="215"/>
      <c r="B162" s="246" t="s">
        <v>673</v>
      </c>
      <c r="C162" s="214"/>
      <c r="D162" s="214"/>
      <c r="E162" s="300"/>
      <c r="F162" s="301"/>
    </row>
    <row r="163" spans="1:6" s="206" customFormat="1" ht="14.45">
      <c r="A163" s="215"/>
      <c r="B163" s="258"/>
      <c r="C163" s="253"/>
      <c r="D163" s="253"/>
      <c r="E163" s="301"/>
      <c r="F163" s="232"/>
    </row>
    <row r="164" spans="1:6" s="206" customFormat="1" ht="14.45">
      <c r="A164" s="215"/>
      <c r="B164" s="221" t="s">
        <v>674</v>
      </c>
      <c r="C164" s="222" t="s">
        <v>562</v>
      </c>
      <c r="D164" s="233" t="s">
        <v>585</v>
      </c>
      <c r="E164" s="296"/>
      <c r="F164" s="222" t="s">
        <v>586</v>
      </c>
    </row>
    <row r="165" spans="1:6" s="206" customFormat="1" ht="14.45">
      <c r="A165" s="215"/>
      <c r="B165" s="221" t="s">
        <v>675</v>
      </c>
      <c r="C165" s="222" t="s">
        <v>562</v>
      </c>
      <c r="D165" s="233" t="s">
        <v>585</v>
      </c>
      <c r="E165" s="296"/>
      <c r="F165" s="222" t="s">
        <v>586</v>
      </c>
    </row>
    <row r="166" spans="1:6" s="206" customFormat="1" ht="14.45">
      <c r="A166" s="215"/>
      <c r="B166" s="223"/>
      <c r="C166" s="232"/>
      <c r="D166" s="269"/>
      <c r="E166" s="299"/>
      <c r="F166" s="232"/>
    </row>
    <row r="167" spans="1:6" s="206" customFormat="1" ht="14.45">
      <c r="A167" s="278">
        <v>1.1499999999999999</v>
      </c>
      <c r="B167" s="302" t="s">
        <v>676</v>
      </c>
      <c r="C167" s="232"/>
      <c r="D167" s="269"/>
      <c r="E167" s="299"/>
      <c r="F167" s="232"/>
    </row>
    <row r="168" spans="1:6" s="206" customFormat="1" ht="14.45">
      <c r="A168" s="215"/>
      <c r="B168" s="223"/>
      <c r="C168" s="232"/>
      <c r="D168" s="269"/>
      <c r="E168" s="299"/>
      <c r="F168" s="232"/>
    </row>
    <row r="169" spans="1:6" s="206" customFormat="1" ht="261">
      <c r="A169" s="215"/>
      <c r="B169" s="303" t="s">
        <v>677</v>
      </c>
      <c r="C169" s="78" t="s">
        <v>562</v>
      </c>
      <c r="D169" s="233">
        <v>13</v>
      </c>
      <c r="E169" s="222"/>
      <c r="F169" s="222">
        <f t="shared" ref="F169" si="9">D169*E169</f>
        <v>0</v>
      </c>
    </row>
    <row r="170" spans="1:6" s="206" customFormat="1" ht="14.45">
      <c r="A170" s="227"/>
      <c r="B170" s="228"/>
      <c r="C170" s="237"/>
      <c r="D170" s="304"/>
      <c r="E170" s="305"/>
      <c r="F170" s="237"/>
    </row>
    <row r="171" spans="1:6" s="224" customFormat="1" ht="14.45">
      <c r="A171" s="306" t="s">
        <v>678</v>
      </c>
      <c r="B171" s="307"/>
      <c r="C171" s="308"/>
      <c r="D171" s="308"/>
      <c r="E171" s="309"/>
      <c r="F171" s="310">
        <f>SUM(F16:F170)</f>
        <v>0</v>
      </c>
    </row>
    <row r="172" spans="1:6" s="224" customFormat="1" ht="14.45">
      <c r="A172" s="311"/>
      <c r="B172" s="312"/>
      <c r="C172" s="313"/>
      <c r="D172" s="313"/>
      <c r="E172" s="314"/>
      <c r="F172" s="315"/>
    </row>
    <row r="173" spans="1:6" s="206" customFormat="1" ht="14.45">
      <c r="A173" s="316" t="s">
        <v>679</v>
      </c>
      <c r="B173" s="213" t="s">
        <v>545</v>
      </c>
      <c r="C173" s="214"/>
      <c r="D173" s="214"/>
      <c r="E173" s="317"/>
      <c r="F173" s="214"/>
    </row>
    <row r="174" spans="1:6" s="206" customFormat="1" ht="14.45">
      <c r="A174" s="316"/>
      <c r="B174" s="213"/>
      <c r="C174" s="214"/>
      <c r="D174" s="214"/>
      <c r="E174" s="317"/>
      <c r="F174" s="214"/>
    </row>
    <row r="175" spans="1:6" s="206" customFormat="1" ht="14.45">
      <c r="A175" s="316" t="s">
        <v>680</v>
      </c>
      <c r="B175" s="213" t="s">
        <v>681</v>
      </c>
      <c r="C175" s="214"/>
      <c r="D175" s="214"/>
      <c r="E175" s="317"/>
      <c r="F175" s="214"/>
    </row>
    <row r="176" spans="1:6" s="206" customFormat="1" ht="14.45">
      <c r="A176" s="211"/>
      <c r="B176" s="223"/>
      <c r="C176" s="214"/>
      <c r="D176" s="214"/>
      <c r="E176" s="317"/>
      <c r="F176" s="214"/>
    </row>
    <row r="177" spans="1:10" s="206" customFormat="1" ht="14.45">
      <c r="A177" s="223" t="s">
        <v>575</v>
      </c>
      <c r="B177" s="223" t="s">
        <v>682</v>
      </c>
      <c r="C177" s="232"/>
      <c r="D177" s="214"/>
      <c r="E177" s="214"/>
      <c r="F177" s="214"/>
    </row>
    <row r="178" spans="1:10" s="206" customFormat="1" ht="14.45">
      <c r="A178" s="230"/>
      <c r="B178" s="223"/>
      <c r="C178" s="232"/>
      <c r="D178" s="214"/>
      <c r="E178" s="214"/>
      <c r="F178" s="214"/>
    </row>
    <row r="179" spans="1:10" s="206" customFormat="1" ht="72.599999999999994">
      <c r="A179" s="230"/>
      <c r="B179" s="246" t="s">
        <v>683</v>
      </c>
      <c r="C179" s="318"/>
      <c r="D179" s="318"/>
      <c r="E179" s="223"/>
      <c r="F179" s="318"/>
      <c r="I179" s="319"/>
      <c r="J179" s="319"/>
    </row>
    <row r="180" spans="1:10" s="206" customFormat="1" ht="14.45">
      <c r="A180" s="211"/>
      <c r="B180" s="213"/>
      <c r="C180" s="185"/>
      <c r="D180" s="320"/>
      <c r="E180" s="320"/>
      <c r="F180" s="320"/>
      <c r="I180" s="319"/>
      <c r="J180" s="319"/>
    </row>
    <row r="181" spans="1:10" s="206" customFormat="1" ht="14.45">
      <c r="A181" s="211"/>
      <c r="B181" s="221" t="s">
        <v>684</v>
      </c>
      <c r="C181" s="248" t="s">
        <v>685</v>
      </c>
      <c r="D181" s="222">
        <v>250</v>
      </c>
      <c r="E181" s="222"/>
      <c r="F181" s="222">
        <f t="shared" ref="F181:F184" si="10">E181*D181</f>
        <v>0</v>
      </c>
      <c r="I181" s="319"/>
      <c r="J181" s="319"/>
    </row>
    <row r="182" spans="1:10" s="206" customFormat="1" ht="14.45">
      <c r="A182" s="211"/>
      <c r="B182" s="221" t="s">
        <v>686</v>
      </c>
      <c r="C182" s="248" t="s">
        <v>685</v>
      </c>
      <c r="D182" s="222">
        <v>380</v>
      </c>
      <c r="E182" s="222"/>
      <c r="F182" s="222">
        <f t="shared" si="10"/>
        <v>0</v>
      </c>
      <c r="I182" s="319"/>
      <c r="J182" s="319"/>
    </row>
    <row r="183" spans="1:10" s="206" customFormat="1" ht="14.45">
      <c r="A183" s="211"/>
      <c r="B183" s="221" t="s">
        <v>687</v>
      </c>
      <c r="C183" s="248" t="s">
        <v>685</v>
      </c>
      <c r="D183" s="222">
        <v>170</v>
      </c>
      <c r="E183" s="222"/>
      <c r="F183" s="222">
        <f t="shared" si="10"/>
        <v>0</v>
      </c>
      <c r="I183" s="319"/>
      <c r="J183" s="319"/>
    </row>
    <row r="184" spans="1:10" s="206" customFormat="1" ht="14.45">
      <c r="A184" s="211"/>
      <c r="B184" s="221" t="s">
        <v>688</v>
      </c>
      <c r="C184" s="248" t="s">
        <v>685</v>
      </c>
      <c r="D184" s="222">
        <v>50</v>
      </c>
      <c r="E184" s="222"/>
      <c r="F184" s="222">
        <f t="shared" si="10"/>
        <v>0</v>
      </c>
      <c r="I184" s="319"/>
      <c r="J184" s="319"/>
    </row>
    <row r="185" spans="1:10" s="206" customFormat="1" ht="14.45">
      <c r="A185" s="211"/>
      <c r="B185" s="221" t="s">
        <v>689</v>
      </c>
      <c r="C185" s="248" t="s">
        <v>685</v>
      </c>
      <c r="D185" s="233" t="s">
        <v>585</v>
      </c>
      <c r="E185" s="222"/>
      <c r="F185" s="222" t="s">
        <v>586</v>
      </c>
    </row>
    <row r="186" spans="1:10" s="206" customFormat="1" ht="14.45">
      <c r="A186" s="211"/>
      <c r="B186" s="221" t="s">
        <v>690</v>
      </c>
      <c r="C186" s="248" t="s">
        <v>685</v>
      </c>
      <c r="D186" s="233" t="s">
        <v>585</v>
      </c>
      <c r="E186" s="222"/>
      <c r="F186" s="222" t="s">
        <v>586</v>
      </c>
    </row>
    <row r="187" spans="1:10" s="224" customFormat="1" ht="14.45">
      <c r="A187" s="321"/>
      <c r="B187" s="264"/>
      <c r="C187" s="322"/>
      <c r="D187" s="323"/>
      <c r="E187" s="323"/>
      <c r="F187" s="323"/>
    </row>
    <row r="188" spans="1:10" s="206" customFormat="1" ht="14.45">
      <c r="A188" s="324" t="s">
        <v>589</v>
      </c>
      <c r="B188" s="231" t="s">
        <v>691</v>
      </c>
      <c r="C188" s="232"/>
      <c r="D188" s="214"/>
      <c r="E188" s="214"/>
      <c r="F188" s="214"/>
    </row>
    <row r="189" spans="1:10" s="206" customFormat="1" ht="14.45">
      <c r="A189" s="324"/>
      <c r="B189" s="231"/>
      <c r="C189" s="232"/>
      <c r="D189" s="214"/>
      <c r="E189" s="214"/>
      <c r="F189" s="214"/>
    </row>
    <row r="190" spans="1:10" s="206" customFormat="1" ht="57.95">
      <c r="A190" s="230"/>
      <c r="B190" s="246" t="s">
        <v>692</v>
      </c>
      <c r="C190" s="232"/>
      <c r="D190" s="214"/>
      <c r="E190" s="214"/>
      <c r="F190" s="214"/>
    </row>
    <row r="191" spans="1:10" s="206" customFormat="1" ht="14.45">
      <c r="A191" s="230"/>
      <c r="B191" s="325"/>
      <c r="C191" s="232"/>
      <c r="D191" s="214"/>
      <c r="E191" s="214"/>
      <c r="F191" s="214"/>
    </row>
    <row r="192" spans="1:10" s="206" customFormat="1" ht="14.45">
      <c r="A192" s="230"/>
      <c r="B192" s="221" t="s">
        <v>693</v>
      </c>
      <c r="C192" s="248" t="s">
        <v>685</v>
      </c>
      <c r="D192" s="222">
        <v>50</v>
      </c>
      <c r="E192" s="222"/>
      <c r="F192" s="222">
        <f>E192*D192</f>
        <v>0</v>
      </c>
    </row>
    <row r="193" spans="1:6" s="206" customFormat="1" ht="14.45">
      <c r="A193" s="230"/>
      <c r="B193" s="221" t="s">
        <v>694</v>
      </c>
      <c r="C193" s="248" t="s">
        <v>685</v>
      </c>
      <c r="D193" s="222">
        <v>50</v>
      </c>
      <c r="E193" s="222"/>
      <c r="F193" s="222">
        <f>E193*D193</f>
        <v>0</v>
      </c>
    </row>
    <row r="194" spans="1:6" s="206" customFormat="1" ht="14.45">
      <c r="A194" s="230"/>
      <c r="B194" s="221" t="s">
        <v>695</v>
      </c>
      <c r="C194" s="248" t="s">
        <v>685</v>
      </c>
      <c r="D194" s="233" t="s">
        <v>585</v>
      </c>
      <c r="E194" s="222"/>
      <c r="F194" s="222" t="s">
        <v>586</v>
      </c>
    </row>
    <row r="195" spans="1:6" s="206" customFormat="1" ht="14.45">
      <c r="A195" s="210"/>
      <c r="B195" s="221" t="s">
        <v>696</v>
      </c>
      <c r="C195" s="248" t="s">
        <v>685</v>
      </c>
      <c r="D195" s="233" t="s">
        <v>585</v>
      </c>
      <c r="E195" s="222"/>
      <c r="F195" s="222" t="s">
        <v>586</v>
      </c>
    </row>
    <row r="196" spans="1:6" s="224" customFormat="1" ht="14.45">
      <c r="A196" s="235"/>
      <c r="B196" s="326"/>
      <c r="C196" s="237"/>
      <c r="D196" s="229"/>
      <c r="E196" s="229"/>
      <c r="F196" s="229"/>
    </row>
    <row r="197" spans="1:6" s="206" customFormat="1" ht="29.1">
      <c r="A197" s="327" t="s">
        <v>597</v>
      </c>
      <c r="B197" s="246" t="s">
        <v>697</v>
      </c>
      <c r="C197" s="232"/>
      <c r="D197" s="214"/>
      <c r="E197" s="214"/>
      <c r="F197" s="214"/>
    </row>
    <row r="198" spans="1:6" s="206" customFormat="1" ht="14.45">
      <c r="A198" s="324"/>
      <c r="B198" s="246"/>
      <c r="C198" s="232"/>
      <c r="D198" s="214"/>
      <c r="E198" s="214"/>
      <c r="F198" s="214"/>
    </row>
    <row r="199" spans="1:6" s="206" customFormat="1" ht="14.45">
      <c r="A199" s="230"/>
      <c r="B199" s="223" t="s">
        <v>698</v>
      </c>
      <c r="C199" s="232" t="s">
        <v>685</v>
      </c>
      <c r="D199" s="269" t="s">
        <v>585</v>
      </c>
      <c r="E199" s="214"/>
      <c r="F199" s="214" t="s">
        <v>586</v>
      </c>
    </row>
    <row r="200" spans="1:6" s="206" customFormat="1" ht="14.45">
      <c r="A200" s="230"/>
      <c r="B200" s="223"/>
      <c r="C200" s="232"/>
      <c r="D200" s="242"/>
      <c r="E200" s="214"/>
      <c r="F200" s="232"/>
    </row>
    <row r="201" spans="1:6" s="206" customFormat="1" ht="72.599999999999994">
      <c r="A201" s="230" t="s">
        <v>699</v>
      </c>
      <c r="B201" s="328" t="s">
        <v>700</v>
      </c>
      <c r="C201" s="232"/>
      <c r="D201" s="242"/>
      <c r="E201" s="214"/>
      <c r="F201" s="232"/>
    </row>
    <row r="202" spans="1:6" s="206" customFormat="1" ht="14.45">
      <c r="A202" s="230"/>
      <c r="B202" s="329" t="s">
        <v>698</v>
      </c>
      <c r="C202" s="330" t="s">
        <v>685</v>
      </c>
      <c r="D202" s="233">
        <v>60</v>
      </c>
      <c r="E202" s="222"/>
      <c r="F202" s="222">
        <f>E202*D202</f>
        <v>0</v>
      </c>
    </row>
    <row r="203" spans="1:6" s="224" customFormat="1" ht="14.45">
      <c r="A203" s="228"/>
      <c r="B203" s="331"/>
      <c r="C203" s="237"/>
      <c r="D203" s="237"/>
      <c r="E203" s="229"/>
      <c r="F203" s="237"/>
    </row>
    <row r="204" spans="1:6" s="206" customFormat="1" ht="43.5">
      <c r="A204" s="332">
        <v>2.2000000000000002</v>
      </c>
      <c r="B204" s="246" t="s">
        <v>701</v>
      </c>
      <c r="C204" s="214" t="s">
        <v>616</v>
      </c>
      <c r="D204" s="269">
        <v>50</v>
      </c>
      <c r="E204" s="214"/>
      <c r="F204" s="333">
        <f>D204*E204</f>
        <v>0</v>
      </c>
    </row>
    <row r="205" spans="1:6" s="224" customFormat="1" ht="14.45">
      <c r="A205" s="334"/>
      <c r="B205" s="335"/>
      <c r="C205" s="229"/>
      <c r="D205" s="229"/>
      <c r="E205" s="229"/>
      <c r="F205" s="229"/>
    </row>
    <row r="206" spans="1:6" s="206" customFormat="1" ht="57.95">
      <c r="A206" s="332">
        <v>2.2999999999999998</v>
      </c>
      <c r="B206" s="246" t="s">
        <v>702</v>
      </c>
      <c r="C206" s="214" t="s">
        <v>685</v>
      </c>
      <c r="D206" s="269">
        <v>6</v>
      </c>
      <c r="E206" s="214"/>
      <c r="F206" s="333">
        <f>D206*E206</f>
        <v>0</v>
      </c>
    </row>
    <row r="207" spans="1:6" s="224" customFormat="1" ht="14.45">
      <c r="A207" s="336"/>
      <c r="B207" s="337"/>
      <c r="C207" s="229"/>
      <c r="D207" s="229"/>
      <c r="E207" s="229"/>
      <c r="F207" s="229"/>
    </row>
    <row r="208" spans="1:6" s="206" customFormat="1" ht="57.95">
      <c r="A208" s="332">
        <v>2.4</v>
      </c>
      <c r="B208" s="246" t="s">
        <v>703</v>
      </c>
      <c r="C208" s="214" t="s">
        <v>685</v>
      </c>
      <c r="D208" s="269">
        <v>3</v>
      </c>
      <c r="E208" s="214"/>
      <c r="F208" s="333">
        <f>D208*E208</f>
        <v>0</v>
      </c>
    </row>
    <row r="209" spans="1:6" s="206" customFormat="1" ht="14.45">
      <c r="A209" s="332"/>
      <c r="B209" s="246"/>
      <c r="C209" s="214"/>
      <c r="D209" s="269"/>
      <c r="E209" s="214"/>
      <c r="F209" s="333"/>
    </row>
    <row r="210" spans="1:6" s="206" customFormat="1" ht="57.95">
      <c r="A210" s="332">
        <v>2.5</v>
      </c>
      <c r="B210" s="338" t="s">
        <v>704</v>
      </c>
      <c r="C210" s="214" t="s">
        <v>705</v>
      </c>
      <c r="D210" s="269">
        <v>2</v>
      </c>
      <c r="E210" s="214"/>
      <c r="F210" s="333">
        <f>D210*E210</f>
        <v>0</v>
      </c>
    </row>
    <row r="211" spans="1:6" s="224" customFormat="1" ht="14.45">
      <c r="A211" s="228"/>
      <c r="B211" s="339"/>
      <c r="C211" s="229"/>
      <c r="D211" s="229"/>
      <c r="E211" s="340"/>
      <c r="F211" s="229"/>
    </row>
    <row r="212" spans="1:6" s="206" customFormat="1" ht="72.599999999999994">
      <c r="A212" s="332">
        <v>2.6</v>
      </c>
      <c r="B212" s="341" t="s">
        <v>706</v>
      </c>
      <c r="C212" s="214"/>
      <c r="D212" s="214"/>
      <c r="E212" s="342"/>
      <c r="F212" s="232"/>
    </row>
    <row r="213" spans="1:6" s="206" customFormat="1" ht="14.45">
      <c r="A213" s="223"/>
      <c r="B213" s="231"/>
      <c r="C213" s="214"/>
      <c r="D213" s="214"/>
      <c r="E213" s="342"/>
      <c r="F213" s="232"/>
    </row>
    <row r="214" spans="1:6" s="206" customFormat="1" ht="14.45">
      <c r="A214" s="223"/>
      <c r="B214" s="343" t="s">
        <v>707</v>
      </c>
      <c r="C214" s="344" t="s">
        <v>685</v>
      </c>
      <c r="D214" s="269">
        <v>4</v>
      </c>
      <c r="E214" s="214"/>
      <c r="F214" s="299">
        <f>D214*E214</f>
        <v>0</v>
      </c>
    </row>
    <row r="215" spans="1:6" s="206" customFormat="1" ht="14.45">
      <c r="A215" s="223"/>
      <c r="B215" s="343"/>
      <c r="C215" s="344"/>
      <c r="D215" s="344"/>
      <c r="E215" s="232"/>
      <c r="F215" s="232"/>
    </row>
    <row r="216" spans="1:6" s="206" customFormat="1" ht="29.1">
      <c r="A216" s="223"/>
      <c r="B216" s="345" t="s">
        <v>708</v>
      </c>
      <c r="C216" s="344" t="s">
        <v>562</v>
      </c>
      <c r="D216" s="269">
        <v>18</v>
      </c>
      <c r="E216" s="214"/>
      <c r="F216" s="299">
        <f>D216*E216</f>
        <v>0</v>
      </c>
    </row>
    <row r="217" spans="1:6" s="206" customFormat="1" ht="14.45">
      <c r="A217" s="223"/>
      <c r="B217" s="345"/>
      <c r="C217" s="344"/>
      <c r="D217" s="346"/>
      <c r="E217" s="232"/>
      <c r="F217" s="301"/>
    </row>
    <row r="218" spans="1:6" s="224" customFormat="1" ht="14.45">
      <c r="A218" s="223"/>
      <c r="B218" s="231" t="s">
        <v>709</v>
      </c>
      <c r="C218" s="214" t="s">
        <v>705</v>
      </c>
      <c r="D218" s="269" t="s">
        <v>585</v>
      </c>
      <c r="E218" s="214"/>
      <c r="F218" s="214" t="s">
        <v>586</v>
      </c>
    </row>
    <row r="219" spans="1:6" s="224" customFormat="1" ht="14.45">
      <c r="A219" s="228"/>
      <c r="B219" s="339"/>
      <c r="C219" s="229"/>
      <c r="D219" s="229"/>
      <c r="E219" s="340"/>
      <c r="F219" s="237"/>
    </row>
    <row r="220" spans="1:6" s="206" customFormat="1" ht="57.95">
      <c r="A220" s="332">
        <v>2.7</v>
      </c>
      <c r="B220" s="246" t="s">
        <v>710</v>
      </c>
      <c r="C220" s="232"/>
      <c r="D220" s="232"/>
      <c r="E220" s="232"/>
      <c r="F220" s="214"/>
    </row>
    <row r="221" spans="1:6" s="206" customFormat="1" ht="14.45">
      <c r="A221" s="223"/>
      <c r="B221" s="223"/>
      <c r="C221" s="232"/>
      <c r="D221" s="232"/>
      <c r="E221" s="232"/>
      <c r="F221" s="232"/>
    </row>
    <row r="222" spans="1:6" s="206" customFormat="1" ht="14.45">
      <c r="A222" s="223"/>
      <c r="B222" s="246" t="s">
        <v>711</v>
      </c>
      <c r="C222" s="232"/>
      <c r="D222" s="232"/>
      <c r="E222" s="232"/>
      <c r="F222" s="232"/>
    </row>
    <row r="223" spans="1:6" s="206" customFormat="1" ht="14.45">
      <c r="A223" s="223"/>
      <c r="B223" s="223"/>
      <c r="C223" s="232"/>
      <c r="D223" s="232"/>
      <c r="E223" s="232"/>
      <c r="F223" s="232"/>
    </row>
    <row r="224" spans="1:6" s="206" customFormat="1" ht="29.1">
      <c r="A224" s="223"/>
      <c r="B224" s="246" t="s">
        <v>712</v>
      </c>
      <c r="C224" s="232" t="s">
        <v>562</v>
      </c>
      <c r="D224" s="269">
        <v>5</v>
      </c>
      <c r="E224" s="214"/>
      <c r="F224" s="299">
        <f>D224*E224</f>
        <v>0</v>
      </c>
    </row>
    <row r="225" spans="1:6" s="206" customFormat="1" ht="14.45">
      <c r="A225" s="223"/>
      <c r="B225" s="223" t="s">
        <v>713</v>
      </c>
      <c r="C225" s="232"/>
      <c r="D225" s="232"/>
      <c r="E225" s="232"/>
      <c r="F225" s="232"/>
    </row>
    <row r="226" spans="1:6" s="206" customFormat="1" ht="43.5">
      <c r="A226" s="332">
        <v>2.8</v>
      </c>
      <c r="B226" s="246" t="s">
        <v>714</v>
      </c>
      <c r="C226" s="232"/>
      <c r="D226" s="232"/>
      <c r="E226" s="232"/>
      <c r="F226" s="232"/>
    </row>
    <row r="227" spans="1:6" s="206" customFormat="1" ht="14.45">
      <c r="A227" s="223"/>
      <c r="B227" s="223"/>
      <c r="C227" s="232"/>
      <c r="D227" s="232"/>
      <c r="E227" s="232"/>
      <c r="F227" s="232"/>
    </row>
    <row r="228" spans="1:6" s="206" customFormat="1" ht="14.45">
      <c r="A228" s="223"/>
      <c r="B228" s="246" t="s">
        <v>711</v>
      </c>
      <c r="C228" s="232"/>
      <c r="D228" s="232"/>
      <c r="E228" s="232"/>
      <c r="F228" s="232"/>
    </row>
    <row r="229" spans="1:6" s="206" customFormat="1" ht="14.45">
      <c r="A229" s="223"/>
      <c r="B229" s="223"/>
      <c r="C229" s="232"/>
      <c r="D229" s="232"/>
      <c r="E229" s="232"/>
      <c r="F229" s="232"/>
    </row>
    <row r="230" spans="1:6" s="206" customFormat="1" ht="14.45">
      <c r="A230" s="223"/>
      <c r="B230" s="246" t="s">
        <v>715</v>
      </c>
      <c r="C230" s="232" t="s">
        <v>562</v>
      </c>
      <c r="D230" s="269">
        <v>5</v>
      </c>
      <c r="E230" s="214"/>
      <c r="F230" s="299">
        <f>D230*E230</f>
        <v>0</v>
      </c>
    </row>
    <row r="231" spans="1:6" s="224" customFormat="1" ht="14.45">
      <c r="A231" s="228"/>
      <c r="B231" s="228"/>
      <c r="C231" s="237"/>
      <c r="D231" s="304"/>
      <c r="E231" s="237"/>
      <c r="F231" s="237"/>
    </row>
    <row r="232" spans="1:6" s="206" customFormat="1" ht="33.75" customHeight="1">
      <c r="A232" s="347">
        <v>2.9</v>
      </c>
      <c r="B232" s="246" t="s">
        <v>716</v>
      </c>
      <c r="C232" s="214"/>
      <c r="D232" s="214"/>
      <c r="E232" s="342"/>
      <c r="F232" s="232"/>
    </row>
    <row r="233" spans="1:6" s="206" customFormat="1" ht="7.5" customHeight="1">
      <c r="A233" s="230"/>
      <c r="B233" s="223"/>
      <c r="C233" s="214"/>
      <c r="D233" s="214"/>
      <c r="E233" s="342"/>
      <c r="F233" s="214"/>
    </row>
    <row r="234" spans="1:6" s="206" customFormat="1" ht="29.1">
      <c r="A234" s="230"/>
      <c r="B234" s="246" t="s">
        <v>717</v>
      </c>
      <c r="C234" s="214"/>
      <c r="D234" s="269"/>
      <c r="E234" s="269"/>
      <c r="F234" s="214"/>
    </row>
    <row r="235" spans="1:6" s="206" customFormat="1" ht="14.45">
      <c r="A235" s="230"/>
      <c r="B235" s="258" t="s">
        <v>713</v>
      </c>
      <c r="C235" s="214"/>
      <c r="D235" s="214"/>
      <c r="E235" s="342"/>
      <c r="F235" s="214"/>
    </row>
    <row r="236" spans="1:6" s="206" customFormat="1" ht="14.45">
      <c r="A236" s="223"/>
      <c r="B236" s="221" t="s">
        <v>718</v>
      </c>
      <c r="C236" s="348" t="s">
        <v>685</v>
      </c>
      <c r="D236" s="233">
        <v>6</v>
      </c>
      <c r="E236" s="222"/>
      <c r="F236" s="349">
        <f>D236*E236</f>
        <v>0</v>
      </c>
    </row>
    <row r="237" spans="1:6" s="206" customFormat="1" ht="14.45">
      <c r="A237" s="210"/>
      <c r="B237" s="221" t="s">
        <v>719</v>
      </c>
      <c r="C237" s="348" t="s">
        <v>685</v>
      </c>
      <c r="D237" s="233">
        <v>2</v>
      </c>
      <c r="E237" s="222"/>
      <c r="F237" s="349">
        <f>D237*E237</f>
        <v>0</v>
      </c>
    </row>
    <row r="238" spans="1:6" s="224" customFormat="1" ht="14.45">
      <c r="A238" s="210"/>
      <c r="B238" s="223"/>
      <c r="C238" s="350"/>
      <c r="D238" s="351"/>
      <c r="E238" s="232"/>
      <c r="F238" s="352"/>
    </row>
    <row r="239" spans="1:6" s="206" customFormat="1" ht="29.1">
      <c r="A239" s="353">
        <v>2.1</v>
      </c>
      <c r="B239" s="246" t="s">
        <v>720</v>
      </c>
      <c r="C239" s="232"/>
      <c r="D239" s="232"/>
      <c r="E239" s="232"/>
      <c r="F239" s="232"/>
    </row>
    <row r="240" spans="1:6" s="206" customFormat="1" ht="14.45">
      <c r="A240" s="210"/>
      <c r="B240" s="223"/>
      <c r="C240" s="232"/>
      <c r="D240" s="232"/>
      <c r="E240" s="232"/>
      <c r="F240" s="232"/>
    </row>
    <row r="241" spans="1:6" s="206" customFormat="1" ht="14.45">
      <c r="A241" s="210"/>
      <c r="B241" s="246" t="s">
        <v>721</v>
      </c>
      <c r="C241" s="232"/>
      <c r="D241" s="232"/>
      <c r="E241" s="232"/>
      <c r="F241" s="232"/>
    </row>
    <row r="242" spans="1:6" s="206" customFormat="1" ht="14.45">
      <c r="A242" s="210"/>
      <c r="B242" s="223" t="s">
        <v>713</v>
      </c>
      <c r="C242" s="232"/>
      <c r="D242" s="232"/>
      <c r="E242" s="232"/>
      <c r="F242" s="232"/>
    </row>
    <row r="243" spans="1:6" s="206" customFormat="1" ht="14.45">
      <c r="A243" s="210"/>
      <c r="B243" s="246" t="s">
        <v>722</v>
      </c>
      <c r="C243" s="232" t="s">
        <v>685</v>
      </c>
      <c r="D243" s="233">
        <v>8</v>
      </c>
      <c r="E243" s="222"/>
      <c r="F243" s="349">
        <f>D243*E243</f>
        <v>0</v>
      </c>
    </row>
    <row r="244" spans="1:6" s="224" customFormat="1" ht="14.45">
      <c r="A244" s="354"/>
      <c r="B244" s="228"/>
      <c r="C244" s="229"/>
      <c r="D244" s="229"/>
      <c r="E244" s="229"/>
      <c r="F244" s="229"/>
    </row>
    <row r="245" spans="1:6" s="206" customFormat="1" ht="29.1">
      <c r="A245" s="353">
        <v>2.11</v>
      </c>
      <c r="B245" s="246" t="s">
        <v>723</v>
      </c>
      <c r="C245" s="232"/>
      <c r="D245" s="232"/>
      <c r="E245" s="232"/>
      <c r="F245" s="232"/>
    </row>
    <row r="246" spans="1:6" s="206" customFormat="1" ht="14.45">
      <c r="A246" s="210"/>
      <c r="B246" s="246"/>
      <c r="C246" s="232"/>
      <c r="D246" s="232"/>
      <c r="E246" s="232"/>
      <c r="F246" s="232"/>
    </row>
    <row r="247" spans="1:6" s="206" customFormat="1" ht="14.45">
      <c r="A247" s="210"/>
      <c r="B247" s="221" t="s">
        <v>724</v>
      </c>
      <c r="C247" s="222" t="s">
        <v>616</v>
      </c>
      <c r="D247" s="233" t="s">
        <v>585</v>
      </c>
      <c r="E247" s="355"/>
      <c r="F247" s="222" t="s">
        <v>586</v>
      </c>
    </row>
    <row r="248" spans="1:6" s="206" customFormat="1" ht="14.45">
      <c r="A248" s="210"/>
      <c r="B248" s="221" t="s">
        <v>725</v>
      </c>
      <c r="C248" s="222" t="s">
        <v>616</v>
      </c>
      <c r="D248" s="233" t="s">
        <v>585</v>
      </c>
      <c r="E248" s="355"/>
      <c r="F248" s="222" t="s">
        <v>586</v>
      </c>
    </row>
    <row r="249" spans="1:6" s="206" customFormat="1" ht="14.45">
      <c r="A249" s="210"/>
      <c r="B249" s="221" t="s">
        <v>726</v>
      </c>
      <c r="C249" s="222" t="s">
        <v>616</v>
      </c>
      <c r="D249" s="233">
        <v>100</v>
      </c>
      <c r="E249" s="355"/>
      <c r="F249" s="349">
        <f>D249*E249</f>
        <v>0</v>
      </c>
    </row>
    <row r="250" spans="1:6" s="206" customFormat="1" ht="14.45">
      <c r="A250" s="210"/>
      <c r="B250" s="221" t="s">
        <v>727</v>
      </c>
      <c r="C250" s="222" t="s">
        <v>616</v>
      </c>
      <c r="D250" s="233" t="s">
        <v>585</v>
      </c>
      <c r="E250" s="355"/>
      <c r="F250" s="222" t="s">
        <v>586</v>
      </c>
    </row>
    <row r="251" spans="1:6" s="224" customFormat="1" ht="14.45">
      <c r="A251" s="354"/>
      <c r="B251" s="228"/>
      <c r="C251" s="237"/>
      <c r="D251" s="238"/>
      <c r="E251" s="356"/>
      <c r="F251" s="237"/>
    </row>
    <row r="252" spans="1:6" s="206" customFormat="1" ht="29.1">
      <c r="A252" s="353">
        <v>2.12</v>
      </c>
      <c r="B252" s="246" t="s">
        <v>728</v>
      </c>
      <c r="C252" s="232" t="s">
        <v>685</v>
      </c>
      <c r="D252" s="232">
        <v>2</v>
      </c>
      <c r="E252" s="232"/>
      <c r="F252" s="232">
        <f>E252*D252</f>
        <v>0</v>
      </c>
    </row>
    <row r="253" spans="1:6" s="224" customFormat="1" ht="14.45">
      <c r="A253" s="354"/>
      <c r="B253" s="337"/>
      <c r="C253" s="237"/>
      <c r="D253" s="237"/>
      <c r="E253" s="237"/>
      <c r="F253" s="237"/>
    </row>
    <row r="254" spans="1:6" s="28" customFormat="1" ht="47.25" customHeight="1">
      <c r="A254" s="275">
        <v>2.13</v>
      </c>
      <c r="B254" s="273" t="s">
        <v>729</v>
      </c>
      <c r="C254" s="232" t="s">
        <v>685</v>
      </c>
      <c r="D254" s="233" t="s">
        <v>585</v>
      </c>
      <c r="E254" s="222"/>
      <c r="F254" s="222" t="s">
        <v>586</v>
      </c>
    </row>
    <row r="255" spans="1:6" s="28" customFormat="1" ht="14.45">
      <c r="A255" s="357"/>
      <c r="B255" s="358"/>
      <c r="C255" s="237"/>
      <c r="D255" s="237"/>
      <c r="E255" s="237"/>
      <c r="F255" s="237"/>
    </row>
    <row r="256" spans="1:6" s="28" customFormat="1" ht="43.5">
      <c r="A256" s="332">
        <v>2.14</v>
      </c>
      <c r="B256" s="359" t="s">
        <v>730</v>
      </c>
      <c r="C256" s="360" t="s">
        <v>685</v>
      </c>
      <c r="D256" s="233" t="s">
        <v>585</v>
      </c>
      <c r="E256" s="222"/>
      <c r="F256" s="222" t="s">
        <v>586</v>
      </c>
    </row>
    <row r="257" spans="1:37" s="224" customFormat="1" ht="14.45">
      <c r="A257" s="354"/>
      <c r="B257" s="339"/>
      <c r="C257" s="237"/>
      <c r="D257" s="229"/>
      <c r="E257" s="229"/>
      <c r="F257" s="229"/>
    </row>
    <row r="258" spans="1:37" s="206" customFormat="1" ht="29.1">
      <c r="A258" s="353">
        <v>2.15</v>
      </c>
      <c r="B258" s="246" t="s">
        <v>731</v>
      </c>
      <c r="C258" s="232"/>
      <c r="D258" s="232"/>
      <c r="E258" s="232"/>
      <c r="F258" s="232"/>
    </row>
    <row r="259" spans="1:37" s="206" customFormat="1" ht="14.45">
      <c r="A259" s="210"/>
      <c r="B259" s="223"/>
      <c r="C259" s="232"/>
      <c r="D259" s="232"/>
      <c r="E259" s="232"/>
      <c r="F259" s="232"/>
    </row>
    <row r="260" spans="1:37" s="206" customFormat="1" ht="14.45">
      <c r="A260" s="210"/>
      <c r="B260" s="221" t="s">
        <v>724</v>
      </c>
      <c r="C260" s="222" t="s">
        <v>562</v>
      </c>
      <c r="D260" s="233" t="s">
        <v>585</v>
      </c>
      <c r="E260" s="222"/>
      <c r="F260" s="222" t="s">
        <v>586</v>
      </c>
    </row>
    <row r="261" spans="1:37" s="206" customFormat="1" ht="14.45">
      <c r="A261" s="210"/>
      <c r="B261" s="221" t="s">
        <v>725</v>
      </c>
      <c r="C261" s="222" t="s">
        <v>562</v>
      </c>
      <c r="D261" s="233" t="s">
        <v>585</v>
      </c>
      <c r="E261" s="355"/>
      <c r="F261" s="222" t="s">
        <v>586</v>
      </c>
    </row>
    <row r="262" spans="1:37" s="206" customFormat="1" ht="14.45">
      <c r="A262" s="210"/>
      <c r="B262" s="221" t="s">
        <v>726</v>
      </c>
      <c r="C262" s="222" t="s">
        <v>562</v>
      </c>
      <c r="D262" s="233">
        <v>140</v>
      </c>
      <c r="E262" s="355"/>
      <c r="F262" s="232">
        <f>E262*D262</f>
        <v>0</v>
      </c>
    </row>
    <row r="263" spans="1:37" s="206" customFormat="1" ht="14.45">
      <c r="A263" s="210"/>
      <c r="B263" s="221" t="s">
        <v>727</v>
      </c>
      <c r="C263" s="222" t="s">
        <v>562</v>
      </c>
      <c r="D263" s="233" t="s">
        <v>585</v>
      </c>
      <c r="E263" s="355"/>
      <c r="F263" s="222" t="s">
        <v>586</v>
      </c>
    </row>
    <row r="264" spans="1:37" s="224" customFormat="1" ht="14.45">
      <c r="A264" s="210"/>
      <c r="B264" s="223"/>
      <c r="C264" s="294"/>
      <c r="D264" s="269"/>
      <c r="E264" s="232"/>
      <c r="F264" s="232"/>
    </row>
    <row r="265" spans="1:37" s="362" customFormat="1" ht="14.45">
      <c r="A265" s="306" t="s">
        <v>732</v>
      </c>
      <c r="B265" s="307"/>
      <c r="C265" s="308"/>
      <c r="D265" s="308"/>
      <c r="E265" s="308"/>
      <c r="F265" s="361">
        <f>SUM(F177:F264)</f>
        <v>0</v>
      </c>
      <c r="G265" s="206"/>
      <c r="H265" s="206"/>
      <c r="I265" s="206"/>
      <c r="J265" s="206"/>
      <c r="K265" s="206"/>
      <c r="L265" s="206"/>
      <c r="M265" s="206"/>
      <c r="N265" s="206"/>
      <c r="O265" s="206"/>
      <c r="P265" s="206"/>
      <c r="Q265" s="206"/>
      <c r="R265" s="206"/>
      <c r="S265" s="206"/>
      <c r="T265" s="206"/>
      <c r="U265" s="206"/>
      <c r="V265" s="206"/>
      <c r="W265" s="206"/>
      <c r="X265" s="206"/>
      <c r="Y265" s="206"/>
      <c r="Z265" s="206"/>
      <c r="AA265" s="206"/>
      <c r="AB265" s="206"/>
      <c r="AC265" s="206"/>
      <c r="AD265" s="206"/>
      <c r="AE265" s="206"/>
      <c r="AF265" s="206"/>
      <c r="AG265" s="206"/>
      <c r="AH265" s="206"/>
      <c r="AI265" s="206"/>
      <c r="AJ265" s="206"/>
      <c r="AK265" s="206"/>
    </row>
    <row r="266" spans="1:37" s="224" customFormat="1" ht="14.45">
      <c r="A266" s="363"/>
      <c r="B266" s="337"/>
      <c r="C266" s="340"/>
      <c r="D266" s="340"/>
      <c r="E266" s="340"/>
      <c r="F266" s="364"/>
    </row>
    <row r="267" spans="1:37" s="206" customFormat="1" ht="14.45">
      <c r="A267" s="365" t="s">
        <v>733</v>
      </c>
      <c r="B267" s="366" t="s">
        <v>734</v>
      </c>
      <c r="C267" s="214"/>
      <c r="D267" s="214"/>
      <c r="E267" s="342"/>
      <c r="F267" s="214"/>
    </row>
    <row r="268" spans="1:37" s="206" customFormat="1" ht="14.45">
      <c r="A268" s="365"/>
      <c r="B268" s="366"/>
      <c r="C268" s="214"/>
      <c r="D268" s="214"/>
      <c r="E268" s="342"/>
      <c r="F268" s="214"/>
    </row>
    <row r="269" spans="1:37" s="206" customFormat="1" ht="57.95">
      <c r="A269" s="332">
        <v>3.1</v>
      </c>
      <c r="B269" s="231" t="s">
        <v>735</v>
      </c>
      <c r="C269" s="214"/>
      <c r="D269" s="214"/>
      <c r="E269" s="214"/>
      <c r="F269" s="214"/>
    </row>
    <row r="270" spans="1:37" s="206" customFormat="1" ht="14.45">
      <c r="A270" s="210"/>
      <c r="B270" s="223"/>
      <c r="C270" s="214"/>
      <c r="D270" s="214"/>
      <c r="E270" s="214"/>
      <c r="F270" s="214"/>
    </row>
    <row r="271" spans="1:37" s="206" customFormat="1" ht="14.45">
      <c r="A271" s="210"/>
      <c r="B271" s="221" t="s">
        <v>736</v>
      </c>
      <c r="C271" s="222" t="s">
        <v>685</v>
      </c>
      <c r="D271" s="233" t="s">
        <v>585</v>
      </c>
      <c r="E271" s="222"/>
      <c r="F271" s="222" t="s">
        <v>586</v>
      </c>
    </row>
    <row r="272" spans="1:37" s="206" customFormat="1" ht="14.45">
      <c r="A272" s="210"/>
      <c r="B272" s="221" t="s">
        <v>737</v>
      </c>
      <c r="C272" s="222" t="s">
        <v>685</v>
      </c>
      <c r="D272" s="222">
        <v>40</v>
      </c>
      <c r="E272" s="222"/>
      <c r="F272" s="222">
        <f>E272*D272</f>
        <v>0</v>
      </c>
    </row>
    <row r="273" spans="1:33" s="224" customFormat="1" ht="14.45">
      <c r="A273" s="367"/>
      <c r="B273" s="228"/>
      <c r="C273" s="229"/>
      <c r="D273" s="229"/>
      <c r="E273" s="229"/>
      <c r="F273" s="229"/>
    </row>
    <row r="274" spans="1:33" s="206" customFormat="1" ht="72.599999999999994">
      <c r="A274" s="332">
        <v>3.2</v>
      </c>
      <c r="B274" s="231" t="s">
        <v>738</v>
      </c>
      <c r="C274" s="214"/>
      <c r="D274" s="214"/>
      <c r="E274" s="214"/>
      <c r="F274" s="214"/>
    </row>
    <row r="275" spans="1:33" s="206" customFormat="1" ht="14.45">
      <c r="A275" s="210"/>
      <c r="B275" s="223"/>
      <c r="C275" s="214"/>
      <c r="D275" s="214"/>
      <c r="E275" s="214"/>
      <c r="F275" s="214"/>
    </row>
    <row r="276" spans="1:33" s="206" customFormat="1" ht="14.45">
      <c r="A276" s="210"/>
      <c r="B276" s="221" t="s">
        <v>739</v>
      </c>
      <c r="C276" s="368" t="s">
        <v>685</v>
      </c>
      <c r="D276" s="233">
        <v>900</v>
      </c>
      <c r="E276" s="222"/>
      <c r="F276" s="222">
        <f>E276*D276</f>
        <v>0</v>
      </c>
    </row>
    <row r="277" spans="1:33" s="206" customFormat="1" ht="14.45">
      <c r="A277" s="210"/>
      <c r="B277" s="369" t="s">
        <v>740</v>
      </c>
      <c r="C277" s="222" t="s">
        <v>685</v>
      </c>
      <c r="D277" s="233" t="s">
        <v>585</v>
      </c>
      <c r="E277" s="222"/>
      <c r="F277" s="222" t="s">
        <v>586</v>
      </c>
    </row>
    <row r="278" spans="1:33" s="224" customFormat="1" ht="14.45">
      <c r="A278" s="365"/>
      <c r="B278" s="366"/>
      <c r="C278" s="214"/>
      <c r="D278" s="214"/>
      <c r="E278" s="342"/>
      <c r="F278" s="214"/>
    </row>
    <row r="279" spans="1:33" s="206" customFormat="1" ht="29.1">
      <c r="A279" s="332">
        <v>3.3</v>
      </c>
      <c r="B279" s="231" t="s">
        <v>741</v>
      </c>
      <c r="C279" s="214"/>
      <c r="D279" s="214"/>
      <c r="E279" s="214"/>
      <c r="F279" s="214"/>
    </row>
    <row r="280" spans="1:33" s="206" customFormat="1" ht="51" customHeight="1">
      <c r="A280" s="332"/>
      <c r="B280" s="273" t="s">
        <v>742</v>
      </c>
      <c r="C280" s="214"/>
      <c r="D280" s="214"/>
      <c r="E280" s="214"/>
      <c r="F280" s="214"/>
    </row>
    <row r="281" spans="1:33" s="206" customFormat="1" ht="14.45">
      <c r="A281" s="332"/>
      <c r="B281" s="221" t="s">
        <v>651</v>
      </c>
      <c r="C281" s="222" t="s">
        <v>616</v>
      </c>
      <c r="D281" s="222">
        <f>+D130</f>
        <v>250</v>
      </c>
      <c r="E281" s="222"/>
      <c r="F281" s="222">
        <f t="shared" ref="F281:F282" si="11">E281*D281</f>
        <v>0</v>
      </c>
    </row>
    <row r="282" spans="1:33" s="206" customFormat="1" ht="14.45">
      <c r="A282" s="210"/>
      <c r="B282" s="221" t="s">
        <v>652</v>
      </c>
      <c r="C282" s="222" t="s">
        <v>616</v>
      </c>
      <c r="D282" s="222">
        <f>+D131</f>
        <v>310</v>
      </c>
      <c r="E282" s="222"/>
      <c r="F282" s="222">
        <f t="shared" si="11"/>
        <v>0</v>
      </c>
    </row>
    <row r="283" spans="1:33" s="206" customFormat="1" ht="14.45">
      <c r="A283" s="210"/>
      <c r="B283" s="259" t="s">
        <v>653</v>
      </c>
      <c r="C283" s="222" t="s">
        <v>616</v>
      </c>
      <c r="D283" s="222">
        <f>+D132</f>
        <v>350</v>
      </c>
      <c r="E283" s="222"/>
      <c r="F283" s="222">
        <f>E283*D283</f>
        <v>0</v>
      </c>
    </row>
    <row r="284" spans="1:33" s="206" customFormat="1" ht="14.45">
      <c r="A284" s="354"/>
      <c r="B284" s="370"/>
      <c r="C284" s="229"/>
      <c r="D284" s="229"/>
      <c r="E284" s="313"/>
      <c r="F284" s="229"/>
    </row>
    <row r="285" spans="1:33" s="206" customFormat="1" ht="57.95">
      <c r="A285" s="332">
        <v>3.4</v>
      </c>
      <c r="B285" s="371" t="s">
        <v>743</v>
      </c>
      <c r="C285" s="371"/>
      <c r="D285" s="371"/>
      <c r="E285" s="371"/>
      <c r="F285" s="371"/>
    </row>
    <row r="286" spans="1:33" s="206" customFormat="1" ht="14.45">
      <c r="A286" s="210"/>
      <c r="B286" s="371" t="s">
        <v>736</v>
      </c>
      <c r="C286" s="371" t="s">
        <v>685</v>
      </c>
      <c r="D286" s="371" t="s">
        <v>585</v>
      </c>
      <c r="E286" s="371"/>
      <c r="F286" s="371" t="s">
        <v>586</v>
      </c>
    </row>
    <row r="287" spans="1:33" s="224" customFormat="1" ht="14.45">
      <c r="A287" s="331"/>
      <c r="B287" s="371"/>
      <c r="C287" s="371"/>
      <c r="D287" s="371"/>
      <c r="E287" s="371"/>
      <c r="F287" s="371"/>
    </row>
    <row r="288" spans="1:33" s="362" customFormat="1" ht="14.45">
      <c r="A288" s="306" t="s">
        <v>744</v>
      </c>
      <c r="B288" s="307"/>
      <c r="C288" s="308"/>
      <c r="D288" s="308"/>
      <c r="E288" s="308"/>
      <c r="F288" s="361">
        <f>SUM(F269:F287)</f>
        <v>0</v>
      </c>
      <c r="G288" s="206"/>
      <c r="H288" s="206"/>
      <c r="I288" s="206"/>
      <c r="J288" s="206"/>
      <c r="K288" s="206"/>
      <c r="L288" s="206"/>
      <c r="M288" s="206"/>
      <c r="N288" s="206"/>
      <c r="O288" s="206"/>
      <c r="P288" s="206"/>
      <c r="Q288" s="206"/>
      <c r="R288" s="206"/>
      <c r="S288" s="206"/>
      <c r="T288" s="206"/>
      <c r="U288" s="206"/>
      <c r="V288" s="206"/>
      <c r="W288" s="206"/>
      <c r="X288" s="206"/>
      <c r="Y288" s="206"/>
      <c r="Z288" s="206"/>
      <c r="AA288" s="206"/>
      <c r="AB288" s="206"/>
      <c r="AC288" s="206"/>
      <c r="AD288" s="206"/>
      <c r="AE288" s="206"/>
      <c r="AF288" s="206"/>
      <c r="AG288" s="206"/>
    </row>
    <row r="289" spans="1:37" s="362" customFormat="1" ht="14.45">
      <c r="A289" s="372"/>
      <c r="B289" s="371"/>
      <c r="C289" s="373"/>
      <c r="D289" s="373"/>
      <c r="E289" s="373"/>
      <c r="F289" s="374"/>
      <c r="G289" s="206"/>
      <c r="H289" s="206"/>
      <c r="I289" s="206"/>
      <c r="J289" s="206"/>
      <c r="K289" s="206"/>
      <c r="L289" s="206"/>
      <c r="M289" s="206"/>
      <c r="N289" s="206"/>
      <c r="O289" s="206"/>
      <c r="P289" s="206"/>
      <c r="Q289" s="206"/>
      <c r="R289" s="206"/>
      <c r="S289" s="206"/>
      <c r="T289" s="206"/>
      <c r="U289" s="206"/>
      <c r="V289" s="206"/>
      <c r="W289" s="206"/>
      <c r="X289" s="206"/>
      <c r="Y289" s="206"/>
      <c r="Z289" s="206"/>
      <c r="AA289" s="206"/>
      <c r="AB289" s="206"/>
      <c r="AC289" s="206"/>
      <c r="AD289" s="206"/>
      <c r="AE289" s="206"/>
      <c r="AF289" s="206"/>
      <c r="AG289" s="206"/>
    </row>
    <row r="290" spans="1:37" s="362" customFormat="1" ht="14.45">
      <c r="A290" s="375">
        <v>4</v>
      </c>
      <c r="B290" s="376" t="s">
        <v>745</v>
      </c>
      <c r="C290" s="377"/>
      <c r="D290" s="373"/>
      <c r="E290" s="342"/>
      <c r="F290" s="378"/>
      <c r="G290" s="206"/>
      <c r="H290" s="206"/>
      <c r="I290" s="206"/>
      <c r="J290" s="206"/>
      <c r="K290" s="206"/>
      <c r="L290" s="206"/>
      <c r="M290" s="206"/>
      <c r="N290" s="206"/>
      <c r="O290" s="206"/>
      <c r="P290" s="206"/>
      <c r="Q290" s="206"/>
      <c r="R290" s="206"/>
      <c r="S290" s="206"/>
      <c r="T290" s="206"/>
      <c r="U290" s="206"/>
      <c r="V290" s="206"/>
      <c r="W290" s="206"/>
      <c r="X290" s="206"/>
      <c r="Y290" s="206"/>
      <c r="Z290" s="206"/>
      <c r="AA290" s="206"/>
      <c r="AB290" s="206"/>
      <c r="AC290" s="206"/>
      <c r="AD290" s="206"/>
      <c r="AE290" s="206"/>
      <c r="AF290" s="206"/>
      <c r="AG290" s="206"/>
    </row>
    <row r="291" spans="1:37" s="362" customFormat="1" ht="14.45">
      <c r="A291" s="379"/>
      <c r="B291" s="221"/>
      <c r="C291" s="377"/>
      <c r="D291" s="373"/>
      <c r="E291" s="380"/>
      <c r="F291" s="381"/>
      <c r="G291" s="206"/>
      <c r="H291" s="206"/>
      <c r="I291" s="206"/>
      <c r="J291" s="206"/>
      <c r="K291" s="206"/>
      <c r="L291" s="206"/>
      <c r="M291" s="206"/>
      <c r="N291" s="206"/>
      <c r="O291" s="206"/>
      <c r="P291" s="206"/>
      <c r="Q291" s="206"/>
      <c r="R291" s="206"/>
      <c r="S291" s="206"/>
      <c r="T291" s="206"/>
      <c r="U291" s="206"/>
      <c r="V291" s="206"/>
      <c r="W291" s="206"/>
      <c r="X291" s="206"/>
      <c r="Y291" s="206"/>
      <c r="Z291" s="206"/>
      <c r="AA291" s="206"/>
      <c r="AB291" s="206"/>
      <c r="AC291" s="206"/>
      <c r="AD291" s="206"/>
      <c r="AE291" s="206"/>
      <c r="AF291" s="206"/>
      <c r="AG291" s="206"/>
    </row>
    <row r="292" spans="1:37" s="362" customFormat="1" ht="14.45">
      <c r="A292" s="382">
        <v>4.0999999999999996</v>
      </c>
      <c r="B292" s="376" t="s">
        <v>746</v>
      </c>
      <c r="C292" s="377"/>
      <c r="D292" s="373"/>
      <c r="E292" s="380"/>
      <c r="F292" s="381"/>
      <c r="G292" s="206"/>
      <c r="H292" s="206"/>
      <c r="I292" s="206"/>
      <c r="J292" s="206"/>
      <c r="K292" s="206"/>
      <c r="L292" s="206"/>
      <c r="M292" s="206"/>
      <c r="N292" s="206"/>
      <c r="O292" s="206"/>
      <c r="P292" s="206"/>
      <c r="Q292" s="206"/>
      <c r="R292" s="206"/>
      <c r="S292" s="206"/>
      <c r="T292" s="206"/>
      <c r="U292" s="206"/>
      <c r="V292" s="206"/>
      <c r="W292" s="206"/>
      <c r="X292" s="206"/>
      <c r="Y292" s="206"/>
      <c r="Z292" s="206"/>
      <c r="AA292" s="206"/>
      <c r="AB292" s="206"/>
      <c r="AC292" s="206"/>
      <c r="AD292" s="206"/>
      <c r="AE292" s="206"/>
      <c r="AF292" s="206"/>
      <c r="AG292" s="206"/>
    </row>
    <row r="293" spans="1:37" s="362" customFormat="1" ht="14.45">
      <c r="A293" s="379"/>
      <c r="B293" s="221"/>
      <c r="C293" s="377"/>
      <c r="D293" s="373"/>
      <c r="E293" s="380"/>
      <c r="F293" s="381"/>
      <c r="G293" s="206"/>
      <c r="H293" s="206"/>
      <c r="I293" s="206"/>
      <c r="J293" s="206"/>
      <c r="K293" s="206"/>
      <c r="L293" s="206"/>
      <c r="M293" s="206"/>
      <c r="N293" s="206"/>
      <c r="O293" s="206"/>
      <c r="P293" s="206"/>
      <c r="Q293" s="206"/>
      <c r="R293" s="206"/>
      <c r="S293" s="206"/>
      <c r="T293" s="206"/>
      <c r="U293" s="206"/>
      <c r="V293" s="206"/>
      <c r="W293" s="206"/>
      <c r="X293" s="206"/>
      <c r="Y293" s="206"/>
      <c r="Z293" s="206"/>
      <c r="AA293" s="206"/>
      <c r="AB293" s="206"/>
      <c r="AC293" s="206"/>
      <c r="AD293" s="206"/>
      <c r="AE293" s="206"/>
      <c r="AF293" s="206"/>
      <c r="AG293" s="206"/>
    </row>
    <row r="294" spans="1:37" s="362" customFormat="1" ht="57.95">
      <c r="A294" s="379"/>
      <c r="B294" s="371" t="s">
        <v>747</v>
      </c>
      <c r="C294" s="371"/>
      <c r="D294" s="371"/>
      <c r="E294" s="371"/>
      <c r="F294" s="371"/>
      <c r="G294" s="206"/>
      <c r="H294" s="206"/>
      <c r="I294" s="206"/>
      <c r="J294" s="206"/>
      <c r="K294" s="206"/>
      <c r="L294" s="206"/>
      <c r="M294" s="206"/>
      <c r="N294" s="206"/>
      <c r="O294" s="206"/>
      <c r="P294" s="206"/>
      <c r="Q294" s="206"/>
      <c r="R294" s="206"/>
      <c r="S294" s="206"/>
      <c r="T294" s="206"/>
      <c r="U294" s="206"/>
      <c r="V294" s="206"/>
      <c r="W294" s="206"/>
      <c r="X294" s="206"/>
      <c r="Y294" s="206"/>
      <c r="Z294" s="206"/>
      <c r="AA294" s="206"/>
      <c r="AB294" s="206"/>
      <c r="AC294" s="206"/>
      <c r="AD294" s="206"/>
      <c r="AE294" s="206"/>
      <c r="AF294" s="206"/>
      <c r="AG294" s="206"/>
    </row>
    <row r="295" spans="1:37" s="362" customFormat="1">
      <c r="A295" s="379"/>
      <c r="B295" s="371"/>
      <c r="C295" s="371"/>
      <c r="D295" s="371"/>
      <c r="E295" s="371"/>
      <c r="F295" s="371"/>
      <c r="G295" s="206"/>
      <c r="H295" s="206"/>
      <c r="I295" s="206"/>
      <c r="J295" s="206"/>
      <c r="K295" s="206"/>
      <c r="L295" s="206"/>
      <c r="M295" s="220"/>
      <c r="N295" s="206"/>
      <c r="O295" s="206"/>
      <c r="P295" s="206"/>
      <c r="Q295" s="206"/>
      <c r="R295" s="206"/>
      <c r="S295" s="206"/>
      <c r="T295" s="206"/>
      <c r="U295" s="206"/>
      <c r="V295" s="206"/>
      <c r="W295" s="206"/>
      <c r="X295" s="206"/>
      <c r="Y295" s="206"/>
      <c r="Z295" s="206"/>
      <c r="AA295" s="206"/>
      <c r="AB295" s="206"/>
      <c r="AC295" s="206"/>
      <c r="AD295" s="206"/>
      <c r="AE295" s="206"/>
      <c r="AF295" s="206"/>
      <c r="AG295" s="206"/>
      <c r="AH295" s="206"/>
      <c r="AI295" s="206"/>
      <c r="AJ295" s="206"/>
      <c r="AK295" s="206"/>
    </row>
    <row r="296" spans="1:37" s="362" customFormat="1">
      <c r="A296" s="379"/>
      <c r="B296" s="371" t="s">
        <v>748</v>
      </c>
      <c r="C296" s="371" t="s">
        <v>616</v>
      </c>
      <c r="D296" s="371">
        <v>120</v>
      </c>
      <c r="E296" s="371"/>
      <c r="F296" s="371">
        <f t="shared" ref="F296:F297" si="12">E296*D296</f>
        <v>0</v>
      </c>
      <c r="G296" s="206"/>
      <c r="H296" s="206"/>
      <c r="I296" s="206"/>
      <c r="J296" s="206"/>
      <c r="K296" s="206"/>
      <c r="L296" s="206"/>
      <c r="M296" s="220"/>
      <c r="N296" s="206"/>
      <c r="O296" s="206"/>
      <c r="P296" s="206"/>
      <c r="Q296" s="206"/>
      <c r="R296" s="206"/>
      <c r="S296" s="206"/>
      <c r="T296" s="206"/>
      <c r="U296" s="206"/>
      <c r="V296" s="206"/>
      <c r="W296" s="206"/>
      <c r="X296" s="206"/>
      <c r="Y296" s="206"/>
      <c r="Z296" s="206"/>
      <c r="AA296" s="206"/>
      <c r="AB296" s="206"/>
      <c r="AC296" s="206"/>
      <c r="AD296" s="206"/>
      <c r="AE296" s="206"/>
      <c r="AF296" s="206"/>
      <c r="AG296" s="206"/>
      <c r="AH296" s="206"/>
      <c r="AI296" s="206"/>
      <c r="AJ296" s="206"/>
      <c r="AK296" s="206"/>
    </row>
    <row r="297" spans="1:37" s="362" customFormat="1">
      <c r="A297" s="379"/>
      <c r="B297" s="371" t="s">
        <v>749</v>
      </c>
      <c r="C297" s="371" t="s">
        <v>616</v>
      </c>
      <c r="D297" s="371">
        <v>60</v>
      </c>
      <c r="E297" s="371"/>
      <c r="F297" s="371">
        <f t="shared" si="12"/>
        <v>0</v>
      </c>
      <c r="G297" s="206"/>
      <c r="H297" s="206"/>
      <c r="I297" s="206"/>
      <c r="J297" s="206"/>
      <c r="K297" s="206"/>
      <c r="L297" s="206"/>
      <c r="M297" s="220"/>
      <c r="N297" s="206"/>
      <c r="O297" s="206"/>
      <c r="P297" s="206"/>
      <c r="Q297" s="206"/>
      <c r="R297" s="206"/>
      <c r="S297" s="206"/>
      <c r="T297" s="206"/>
      <c r="U297" s="206"/>
      <c r="V297" s="206"/>
      <c r="W297" s="206"/>
      <c r="X297" s="206"/>
      <c r="Y297" s="206"/>
      <c r="Z297" s="206"/>
      <c r="AA297" s="206"/>
      <c r="AB297" s="206"/>
      <c r="AC297" s="206"/>
      <c r="AD297" s="206"/>
      <c r="AE297" s="206"/>
      <c r="AF297" s="206"/>
      <c r="AG297" s="206"/>
      <c r="AH297" s="206"/>
      <c r="AI297" s="206"/>
      <c r="AJ297" s="206"/>
      <c r="AK297" s="206"/>
    </row>
    <row r="298" spans="1:37" s="362" customFormat="1">
      <c r="A298" s="383"/>
      <c r="B298" s="384"/>
      <c r="C298" s="385"/>
      <c r="D298" s="373"/>
      <c r="E298" s="380"/>
      <c r="F298" s="381"/>
      <c r="G298" s="206"/>
      <c r="H298" s="206"/>
      <c r="I298" s="206"/>
      <c r="J298" s="206"/>
      <c r="K298" s="206"/>
      <c r="L298" s="206"/>
      <c r="M298" s="220"/>
      <c r="N298" s="206"/>
      <c r="O298" s="206"/>
      <c r="P298" s="206"/>
      <c r="Q298" s="206"/>
      <c r="R298" s="206"/>
      <c r="S298" s="206"/>
      <c r="T298" s="206"/>
      <c r="U298" s="206"/>
      <c r="V298" s="206"/>
      <c r="W298" s="206"/>
      <c r="X298" s="206"/>
      <c r="Y298" s="206"/>
      <c r="Z298" s="206"/>
      <c r="AA298" s="206"/>
      <c r="AB298" s="206"/>
      <c r="AC298" s="206"/>
      <c r="AD298" s="206"/>
      <c r="AE298" s="206"/>
      <c r="AF298" s="206"/>
      <c r="AG298" s="206"/>
      <c r="AH298" s="206"/>
      <c r="AI298" s="206"/>
      <c r="AJ298" s="206"/>
      <c r="AK298" s="206"/>
    </row>
    <row r="299" spans="1:37" s="362" customFormat="1">
      <c r="A299" s="382">
        <v>4.2</v>
      </c>
      <c r="B299" s="376" t="s">
        <v>750</v>
      </c>
      <c r="C299" s="377"/>
      <c r="D299" s="373"/>
      <c r="E299" s="380"/>
      <c r="F299" s="381"/>
      <c r="G299" s="206"/>
      <c r="H299" s="206"/>
      <c r="I299" s="206"/>
      <c r="J299" s="206"/>
      <c r="K299" s="206"/>
      <c r="L299" s="206"/>
      <c r="M299" s="220"/>
      <c r="N299" s="206"/>
      <c r="O299" s="206"/>
      <c r="P299" s="206"/>
      <c r="Q299" s="206"/>
      <c r="R299" s="206"/>
      <c r="S299" s="206"/>
      <c r="T299" s="206"/>
      <c r="U299" s="206"/>
      <c r="V299" s="206"/>
      <c r="W299" s="206"/>
      <c r="X299" s="206"/>
      <c r="Y299" s="206"/>
      <c r="Z299" s="206"/>
      <c r="AA299" s="206"/>
      <c r="AB299" s="206"/>
      <c r="AC299" s="206"/>
      <c r="AD299" s="206"/>
      <c r="AE299" s="206"/>
      <c r="AF299" s="206"/>
      <c r="AG299" s="206"/>
      <c r="AH299" s="206"/>
      <c r="AI299" s="206"/>
      <c r="AJ299" s="206"/>
      <c r="AK299" s="206"/>
    </row>
    <row r="300" spans="1:37" s="362" customFormat="1" ht="29.1">
      <c r="A300" s="379"/>
      <c r="B300" s="371" t="s">
        <v>751</v>
      </c>
      <c r="C300" s="371"/>
      <c r="D300" s="371"/>
      <c r="E300" s="371"/>
      <c r="F300" s="371"/>
      <c r="G300" s="206"/>
      <c r="H300" s="206"/>
      <c r="I300" s="206"/>
      <c r="J300" s="206"/>
      <c r="K300" s="206"/>
      <c r="L300" s="206"/>
      <c r="M300" s="220"/>
      <c r="N300" s="206"/>
      <c r="O300" s="206"/>
      <c r="P300" s="206"/>
      <c r="Q300" s="206"/>
      <c r="R300" s="206"/>
      <c r="S300" s="206"/>
      <c r="T300" s="206"/>
      <c r="U300" s="206"/>
      <c r="V300" s="206"/>
      <c r="W300" s="206"/>
      <c r="X300" s="206"/>
      <c r="Y300" s="206"/>
      <c r="Z300" s="206"/>
      <c r="AA300" s="206"/>
      <c r="AB300" s="206"/>
      <c r="AC300" s="206"/>
      <c r="AD300" s="206"/>
      <c r="AE300" s="206"/>
      <c r="AF300" s="206"/>
      <c r="AG300" s="206"/>
      <c r="AH300" s="206"/>
      <c r="AI300" s="206"/>
      <c r="AJ300" s="206"/>
      <c r="AK300" s="206"/>
    </row>
    <row r="301" spans="1:37" s="362" customFormat="1">
      <c r="A301" s="379"/>
      <c r="B301" s="371" t="s">
        <v>752</v>
      </c>
      <c r="C301" s="371" t="s">
        <v>616</v>
      </c>
      <c r="D301" s="371">
        <v>4500</v>
      </c>
      <c r="E301" s="371"/>
      <c r="F301" s="371">
        <f t="shared" ref="F301" si="13">E301*D301</f>
        <v>0</v>
      </c>
      <c r="G301" s="206"/>
      <c r="H301" s="206"/>
      <c r="I301" s="206"/>
      <c r="J301" s="206"/>
      <c r="K301" s="206"/>
      <c r="L301" s="206"/>
      <c r="M301" s="220"/>
      <c r="N301" s="206"/>
      <c r="O301" s="206"/>
      <c r="P301" s="206"/>
      <c r="Q301" s="206"/>
      <c r="R301" s="206"/>
      <c r="S301" s="206"/>
      <c r="T301" s="206"/>
      <c r="U301" s="206"/>
      <c r="V301" s="206"/>
      <c r="W301" s="206"/>
      <c r="X301" s="206"/>
      <c r="Y301" s="206"/>
      <c r="Z301" s="206"/>
      <c r="AA301" s="206"/>
      <c r="AB301" s="206"/>
      <c r="AC301" s="206"/>
      <c r="AD301" s="206"/>
      <c r="AE301" s="206"/>
      <c r="AF301" s="206"/>
      <c r="AG301" s="206"/>
      <c r="AH301" s="206"/>
      <c r="AI301" s="206"/>
      <c r="AJ301" s="206"/>
      <c r="AK301" s="206"/>
    </row>
    <row r="302" spans="1:37" s="362" customFormat="1">
      <c r="A302" s="235"/>
      <c r="B302" s="384"/>
      <c r="C302" s="385"/>
      <c r="D302" s="373"/>
      <c r="E302" s="380"/>
      <c r="F302" s="381"/>
      <c r="G302" s="206"/>
      <c r="H302" s="206"/>
      <c r="I302" s="206"/>
      <c r="J302" s="206"/>
      <c r="K302" s="206"/>
      <c r="L302" s="206"/>
      <c r="M302" s="220"/>
      <c r="N302" s="206"/>
      <c r="O302" s="206"/>
      <c r="P302" s="206"/>
      <c r="Q302" s="206"/>
      <c r="R302" s="206"/>
      <c r="S302" s="206"/>
      <c r="T302" s="206"/>
      <c r="U302" s="206"/>
      <c r="V302" s="206"/>
      <c r="W302" s="206"/>
      <c r="X302" s="206"/>
      <c r="Y302" s="206"/>
      <c r="Z302" s="206"/>
      <c r="AA302" s="206"/>
      <c r="AB302" s="206"/>
      <c r="AC302" s="206"/>
      <c r="AD302" s="206"/>
      <c r="AE302" s="206"/>
      <c r="AF302" s="206"/>
      <c r="AG302" s="206"/>
      <c r="AH302" s="206"/>
      <c r="AI302" s="206"/>
      <c r="AJ302" s="206"/>
      <c r="AK302" s="206"/>
    </row>
    <row r="303" spans="1:37" s="362" customFormat="1">
      <c r="A303" s="210">
        <v>4.3</v>
      </c>
      <c r="B303" s="376" t="s">
        <v>753</v>
      </c>
      <c r="C303" s="377"/>
      <c r="D303" s="373"/>
      <c r="E303" s="380"/>
      <c r="F303" s="381"/>
      <c r="G303" s="206"/>
      <c r="H303" s="206"/>
      <c r="I303" s="206"/>
      <c r="J303" s="206"/>
      <c r="K303" s="206"/>
      <c r="L303" s="206"/>
      <c r="M303" s="220"/>
      <c r="N303" s="206"/>
      <c r="O303" s="206"/>
      <c r="P303" s="206"/>
      <c r="Q303" s="206"/>
      <c r="R303" s="206"/>
      <c r="S303" s="206"/>
      <c r="T303" s="206"/>
      <c r="U303" s="206"/>
      <c r="V303" s="206"/>
      <c r="W303" s="206"/>
      <c r="X303" s="206"/>
      <c r="Y303" s="206"/>
      <c r="Z303" s="206"/>
      <c r="AA303" s="206"/>
      <c r="AB303" s="206"/>
      <c r="AC303" s="206"/>
      <c r="AD303" s="206"/>
      <c r="AE303" s="206"/>
      <c r="AF303" s="206"/>
      <c r="AG303" s="206"/>
      <c r="AH303" s="206"/>
      <c r="AI303" s="206"/>
      <c r="AJ303" s="206"/>
      <c r="AK303" s="206"/>
    </row>
    <row r="304" spans="1:37" s="362" customFormat="1">
      <c r="A304" s="230"/>
      <c r="B304" s="371"/>
      <c r="C304" s="371"/>
      <c r="D304" s="371"/>
      <c r="E304" s="371"/>
      <c r="F304" s="371"/>
      <c r="G304" s="206"/>
      <c r="H304" s="206"/>
      <c r="I304" s="206"/>
      <c r="J304" s="206"/>
      <c r="K304" s="206"/>
      <c r="L304" s="206"/>
      <c r="M304" s="220"/>
      <c r="N304" s="206"/>
      <c r="O304" s="206"/>
      <c r="P304" s="206"/>
      <c r="Q304" s="206"/>
      <c r="R304" s="206"/>
      <c r="S304" s="206"/>
      <c r="T304" s="206"/>
      <c r="U304" s="206"/>
      <c r="V304" s="206"/>
      <c r="W304" s="206"/>
      <c r="X304" s="206"/>
      <c r="Y304" s="206"/>
      <c r="Z304" s="206"/>
      <c r="AA304" s="206"/>
      <c r="AB304" s="206"/>
      <c r="AC304" s="206"/>
      <c r="AD304" s="206"/>
      <c r="AE304" s="206"/>
      <c r="AF304" s="206"/>
      <c r="AG304" s="206"/>
      <c r="AH304" s="206"/>
      <c r="AI304" s="206"/>
      <c r="AJ304" s="206"/>
      <c r="AK304" s="206"/>
    </row>
    <row r="305" spans="1:37" s="362" customFormat="1" ht="29.1">
      <c r="A305" s="230"/>
      <c r="B305" s="371" t="s">
        <v>754</v>
      </c>
      <c r="C305" s="371"/>
      <c r="D305" s="371"/>
      <c r="E305" s="371"/>
      <c r="F305" s="371"/>
      <c r="G305" s="206"/>
      <c r="H305" s="206"/>
      <c r="I305" s="206"/>
      <c r="J305" s="206"/>
      <c r="K305" s="206"/>
      <c r="L305" s="206"/>
      <c r="M305" s="220"/>
      <c r="N305" s="206"/>
      <c r="O305" s="206"/>
      <c r="P305" s="206"/>
      <c r="Q305" s="206"/>
      <c r="R305" s="206"/>
      <c r="S305" s="206"/>
      <c r="T305" s="206"/>
      <c r="U305" s="206"/>
      <c r="V305" s="206"/>
      <c r="W305" s="206"/>
      <c r="X305" s="206"/>
      <c r="Y305" s="206"/>
      <c r="Z305" s="206"/>
      <c r="AA305" s="206"/>
      <c r="AB305" s="206"/>
      <c r="AC305" s="206"/>
      <c r="AD305" s="206"/>
      <c r="AE305" s="206"/>
      <c r="AF305" s="206"/>
      <c r="AG305" s="206"/>
      <c r="AH305" s="206"/>
      <c r="AI305" s="206"/>
      <c r="AJ305" s="206"/>
      <c r="AK305" s="206"/>
    </row>
    <row r="306" spans="1:37" s="362" customFormat="1">
      <c r="A306" s="230"/>
      <c r="B306" s="371"/>
      <c r="C306" s="371"/>
      <c r="D306" s="371"/>
      <c r="E306" s="371"/>
      <c r="F306" s="371"/>
      <c r="G306" s="206"/>
      <c r="H306" s="206"/>
      <c r="I306" s="206"/>
      <c r="J306" s="206"/>
      <c r="K306" s="206"/>
      <c r="L306" s="206"/>
      <c r="M306" s="220"/>
      <c r="N306" s="206"/>
      <c r="O306" s="206"/>
      <c r="P306" s="206"/>
      <c r="Q306" s="206"/>
      <c r="R306" s="206"/>
      <c r="S306" s="206"/>
      <c r="T306" s="206"/>
      <c r="U306" s="206"/>
      <c r="V306" s="206"/>
      <c r="W306" s="206"/>
      <c r="X306" s="206"/>
      <c r="Y306" s="206"/>
      <c r="Z306" s="206"/>
      <c r="AA306" s="206"/>
      <c r="AB306" s="206"/>
      <c r="AC306" s="206"/>
      <c r="AD306" s="206"/>
      <c r="AE306" s="206"/>
      <c r="AF306" s="206"/>
      <c r="AG306" s="206"/>
      <c r="AH306" s="206"/>
      <c r="AI306" s="206"/>
      <c r="AJ306" s="206"/>
      <c r="AK306" s="206"/>
    </row>
    <row r="307" spans="1:37" s="362" customFormat="1">
      <c r="A307" s="230"/>
      <c r="B307" s="371" t="s">
        <v>755</v>
      </c>
      <c r="C307" s="371" t="s">
        <v>616</v>
      </c>
      <c r="D307" s="371">
        <v>350</v>
      </c>
      <c r="E307" s="371"/>
      <c r="F307" s="371">
        <f t="shared" ref="F307" si="14">E307*D307</f>
        <v>0</v>
      </c>
      <c r="G307" s="206"/>
      <c r="H307" s="206"/>
      <c r="I307" s="206"/>
      <c r="J307" s="206"/>
      <c r="K307" s="206"/>
      <c r="L307" s="206"/>
      <c r="M307" s="220"/>
      <c r="N307" s="206"/>
      <c r="O307" s="206"/>
      <c r="P307" s="206"/>
      <c r="Q307" s="206"/>
      <c r="R307" s="206"/>
      <c r="S307" s="206"/>
      <c r="T307" s="206"/>
      <c r="U307" s="206"/>
      <c r="V307" s="206"/>
      <c r="W307" s="206"/>
      <c r="X307" s="206"/>
      <c r="Y307" s="206"/>
      <c r="Z307" s="206"/>
      <c r="AA307" s="206"/>
      <c r="AB307" s="206"/>
      <c r="AC307" s="206"/>
      <c r="AD307" s="206"/>
      <c r="AE307" s="206"/>
      <c r="AF307" s="206"/>
      <c r="AG307" s="206"/>
      <c r="AH307" s="206"/>
      <c r="AI307" s="206"/>
      <c r="AJ307" s="206"/>
      <c r="AK307" s="206"/>
    </row>
    <row r="308" spans="1:37" s="362" customFormat="1">
      <c r="A308" s="230"/>
      <c r="B308" s="371"/>
      <c r="C308" s="371"/>
      <c r="D308" s="371"/>
      <c r="E308" s="371"/>
      <c r="F308" s="371"/>
      <c r="G308" s="206"/>
      <c r="H308" s="206"/>
      <c r="I308" s="206"/>
      <c r="J308" s="206"/>
      <c r="K308" s="206"/>
      <c r="L308" s="206"/>
      <c r="M308" s="220"/>
      <c r="N308" s="206"/>
      <c r="O308" s="206"/>
      <c r="P308" s="206"/>
      <c r="Q308" s="206"/>
      <c r="R308" s="206"/>
      <c r="S308" s="206"/>
      <c r="T308" s="206"/>
      <c r="U308" s="206"/>
      <c r="V308" s="206"/>
      <c r="W308" s="206"/>
      <c r="X308" s="206"/>
      <c r="Y308" s="206"/>
      <c r="Z308" s="206"/>
      <c r="AA308" s="206"/>
      <c r="AB308" s="206"/>
      <c r="AC308" s="206"/>
      <c r="AD308" s="206"/>
      <c r="AE308" s="206"/>
      <c r="AF308" s="206"/>
      <c r="AG308" s="206"/>
      <c r="AH308" s="206"/>
      <c r="AI308" s="206"/>
      <c r="AJ308" s="206"/>
      <c r="AK308" s="206"/>
    </row>
    <row r="309" spans="1:37" s="362" customFormat="1">
      <c r="A309" s="306" t="s">
        <v>756</v>
      </c>
      <c r="B309" s="307"/>
      <c r="C309" s="308"/>
      <c r="D309" s="308"/>
      <c r="E309" s="308"/>
      <c r="F309" s="361">
        <f>SUM(F296:F308)</f>
        <v>0</v>
      </c>
      <c r="G309" s="206"/>
      <c r="H309" s="206"/>
      <c r="I309" s="206"/>
      <c r="J309" s="206"/>
      <c r="K309" s="206"/>
      <c r="L309" s="206"/>
      <c r="M309" s="220"/>
      <c r="N309" s="206"/>
      <c r="O309" s="206"/>
      <c r="P309" s="206"/>
      <c r="Q309" s="206"/>
      <c r="R309" s="206"/>
      <c r="S309" s="206"/>
      <c r="T309" s="206"/>
      <c r="U309" s="206"/>
      <c r="V309" s="206"/>
      <c r="W309" s="206"/>
      <c r="X309" s="206"/>
      <c r="Y309" s="206"/>
      <c r="Z309" s="206"/>
      <c r="AA309" s="206"/>
      <c r="AB309" s="206"/>
      <c r="AC309" s="206"/>
      <c r="AD309" s="206"/>
      <c r="AE309" s="206"/>
      <c r="AF309" s="206"/>
      <c r="AG309" s="206"/>
      <c r="AH309" s="206"/>
      <c r="AI309" s="206"/>
      <c r="AJ309" s="206"/>
      <c r="AK309" s="206"/>
    </row>
    <row r="310" spans="1:37" s="224" customFormat="1">
      <c r="A310" s="386" t="s">
        <v>757</v>
      </c>
      <c r="B310" s="371"/>
      <c r="C310" s="371"/>
      <c r="D310" s="371"/>
      <c r="E310" s="371"/>
      <c r="F310" s="371"/>
    </row>
    <row r="311" spans="1:37" s="224" customFormat="1">
      <c r="A311" s="386" t="s">
        <v>758</v>
      </c>
      <c r="B311" s="386"/>
    </row>
    <row r="312" spans="1:37" s="224" customFormat="1" ht="14.45"/>
    <row r="313" spans="1:37" s="224" customFormat="1" ht="14.45"/>
    <row r="314" spans="1:37" s="224" customFormat="1" ht="14.45">
      <c r="A314" s="387"/>
      <c r="B314" s="387"/>
      <c r="C314" s="387"/>
      <c r="D314" s="387"/>
      <c r="E314" s="387"/>
      <c r="F314" s="282"/>
    </row>
    <row r="315" spans="1:37">
      <c r="F315" s="389"/>
    </row>
    <row r="316" spans="1:37" ht="36" customHeight="1"/>
  </sheetData>
  <autoFilter ref="E1:E316" xr:uid="{DA102D79-9E8E-4B26-8124-0FB53B4C105D}"/>
  <mergeCells count="4">
    <mergeCell ref="A1:F1"/>
    <mergeCell ref="A2:F2"/>
    <mergeCell ref="A3:F3"/>
    <mergeCell ref="A11:F11"/>
  </mergeCells>
  <printOptions horizontalCentered="1"/>
  <pageMargins left="0.23622047244094491" right="0.23622047244094491" top="0.74803149606299213" bottom="0.74803149606299213" header="0.31496062992125984" footer="0.31496062992125984"/>
  <pageSetup paperSize="9" scale="67" orientation="portrait" useFirstPageNumber="1" r:id="rId1"/>
  <headerFooter alignWithMargins="0">
    <oddHeader>&amp;L&amp;"-,Regular"&amp;11TVC DAPPAR, PUNJAB&amp;R&amp;"Calibri,Regular"&amp;11HVAC WORKS</oddHeader>
    <oddFooter xml:space="preserve">&amp;C&amp;"-,Regular"&amp;11&amp;P&amp;R&amp;"-,Regular"&amp;11UDAYAN CHAUDHARI &amp;&amp; ASSOCIATES PVT LTD </oddFooter>
  </headerFooter>
  <rowBreaks count="8" manualBreakCount="8">
    <brk id="32" max="5" man="1"/>
    <brk id="81" max="5" man="1"/>
    <brk id="125" max="5" man="1"/>
    <brk id="152" max="5" man="1"/>
    <brk id="171" max="5" man="1"/>
    <brk id="217" max="5" man="1"/>
    <brk id="238" max="5" man="1"/>
    <brk id="278"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7FFF-6D80-4FFE-A10E-B722EEA4A851}">
  <sheetPr codeName="Sheet4"/>
  <dimension ref="A1:AK1578"/>
  <sheetViews>
    <sheetView showGridLines="0" defaultGridColor="0" view="pageBreakPreview" topLeftCell="B146" colorId="8" zoomScale="70" zoomScaleNormal="85" zoomScaleSheetLayoutView="70" zoomScalePageLayoutView="85" workbookViewId="0">
      <selection activeCell="B146" sqref="B146"/>
    </sheetView>
  </sheetViews>
  <sheetFormatPr defaultColWidth="9.140625" defaultRowHeight="14.45"/>
  <cols>
    <col min="1" max="1" width="7.42578125" style="407" customWidth="1"/>
    <col min="2" max="2" width="102.7109375" style="391" customWidth="1"/>
    <col min="3" max="3" width="6.140625" style="391" customWidth="1"/>
    <col min="4" max="4" width="7.85546875" style="391" customWidth="1"/>
    <col min="5" max="5" width="14.5703125" style="391" customWidth="1"/>
    <col min="6" max="6" width="11.7109375" style="408" customWidth="1"/>
    <col min="7" max="7" width="36.85546875" style="391" customWidth="1"/>
    <col min="8" max="8" width="10.7109375" style="391" customWidth="1"/>
    <col min="9" max="9" width="10" style="391" customWidth="1"/>
    <col min="10" max="16384" width="9.140625" style="391"/>
  </cols>
  <sheetData>
    <row r="1" spans="1:20" s="392" customFormat="1" ht="38.25" customHeight="1">
      <c r="A1" s="999" t="s">
        <v>759</v>
      </c>
      <c r="B1" s="999"/>
      <c r="C1" s="999"/>
      <c r="D1" s="999"/>
      <c r="E1" s="999"/>
      <c r="F1" s="999"/>
      <c r="G1" s="391"/>
      <c r="H1" s="391"/>
      <c r="I1" s="391"/>
      <c r="J1" s="391"/>
      <c r="K1" s="391"/>
      <c r="L1" s="391"/>
      <c r="M1" s="391"/>
      <c r="N1" s="391"/>
      <c r="O1" s="391"/>
      <c r="P1" s="391"/>
      <c r="Q1" s="391"/>
      <c r="R1" s="391"/>
      <c r="S1" s="391"/>
      <c r="T1" s="391"/>
    </row>
    <row r="2" spans="1:20" ht="15.6">
      <c r="A2" s="1000" t="s">
        <v>760</v>
      </c>
      <c r="B2" s="1000"/>
      <c r="C2" s="1000"/>
      <c r="D2" s="1000"/>
      <c r="E2" s="1000"/>
      <c r="F2" s="1000"/>
    </row>
    <row r="3" spans="1:20">
      <c r="A3" s="393"/>
      <c r="B3" s="394"/>
      <c r="C3" s="395"/>
      <c r="D3" s="395"/>
      <c r="E3" s="395"/>
      <c r="F3" s="395"/>
    </row>
    <row r="4" spans="1:20" ht="20.100000000000001" customHeight="1">
      <c r="A4" s="396" t="s">
        <v>541</v>
      </c>
      <c r="B4" s="397" t="s">
        <v>542</v>
      </c>
      <c r="C4" s="398"/>
      <c r="D4" s="399"/>
      <c r="E4" s="400" t="s">
        <v>761</v>
      </c>
      <c r="F4" s="401"/>
    </row>
    <row r="5" spans="1:20">
      <c r="A5" s="402"/>
      <c r="B5" s="403"/>
      <c r="C5" s="404"/>
      <c r="D5" s="405"/>
      <c r="E5" s="403"/>
      <c r="F5" s="405"/>
    </row>
    <row r="6" spans="1:20">
      <c r="A6" s="406" t="s">
        <v>762</v>
      </c>
      <c r="B6" s="407" t="s">
        <v>544</v>
      </c>
      <c r="D6" s="408"/>
      <c r="E6" s="1001">
        <f>F433</f>
        <v>0</v>
      </c>
      <c r="F6" s="1002"/>
    </row>
    <row r="7" spans="1:20">
      <c r="A7" s="402"/>
      <c r="B7" s="403"/>
      <c r="C7" s="404"/>
      <c r="D7" s="405"/>
      <c r="E7" s="403"/>
      <c r="F7" s="405"/>
    </row>
    <row r="8" spans="1:20">
      <c r="A8" s="406" t="s">
        <v>763</v>
      </c>
      <c r="B8" s="407" t="s">
        <v>764</v>
      </c>
      <c r="D8" s="408"/>
      <c r="E8" s="1001">
        <f>F504</f>
        <v>0</v>
      </c>
      <c r="F8" s="1002"/>
    </row>
    <row r="9" spans="1:20">
      <c r="A9" s="406"/>
      <c r="B9" s="407"/>
      <c r="D9" s="408"/>
      <c r="E9" s="409"/>
      <c r="F9" s="410"/>
    </row>
    <row r="10" spans="1:20">
      <c r="A10" s="406" t="s">
        <v>765</v>
      </c>
      <c r="B10" s="407" t="s">
        <v>766</v>
      </c>
      <c r="D10" s="408"/>
      <c r="E10" s="1001">
        <f>F670</f>
        <v>0</v>
      </c>
      <c r="F10" s="1002"/>
    </row>
    <row r="11" spans="1:20">
      <c r="A11" s="411"/>
      <c r="B11" s="407"/>
      <c r="D11" s="408"/>
      <c r="E11" s="407"/>
    </row>
    <row r="12" spans="1:20">
      <c r="A12" s="406" t="s">
        <v>767</v>
      </c>
      <c r="B12" s="407" t="s">
        <v>545</v>
      </c>
      <c r="D12" s="408"/>
      <c r="E12" s="1003">
        <f>F762</f>
        <v>0</v>
      </c>
      <c r="F12" s="1002"/>
    </row>
    <row r="13" spans="1:20">
      <c r="A13" s="411"/>
      <c r="B13" s="407"/>
      <c r="D13" s="408"/>
      <c r="E13" s="407"/>
      <c r="F13" s="412"/>
    </row>
    <row r="14" spans="1:20">
      <c r="A14" s="406" t="s">
        <v>768</v>
      </c>
      <c r="B14" s="407" t="s">
        <v>546</v>
      </c>
      <c r="D14" s="408"/>
      <c r="E14" s="1003">
        <f>F809</f>
        <v>0</v>
      </c>
      <c r="F14" s="1002"/>
    </row>
    <row r="15" spans="1:20">
      <c r="A15" s="411"/>
      <c r="B15" s="407"/>
      <c r="D15" s="408"/>
      <c r="E15" s="407"/>
      <c r="F15" s="412"/>
    </row>
    <row r="16" spans="1:20">
      <c r="A16" s="406" t="s">
        <v>769</v>
      </c>
      <c r="B16" s="407" t="s">
        <v>770</v>
      </c>
      <c r="D16" s="408"/>
      <c r="E16" s="1001">
        <f>F1021</f>
        <v>0</v>
      </c>
      <c r="F16" s="1002"/>
    </row>
    <row r="17" spans="1:7">
      <c r="A17" s="406"/>
      <c r="B17" s="407"/>
      <c r="D17" s="408"/>
      <c r="E17" s="407"/>
      <c r="F17" s="412"/>
    </row>
    <row r="18" spans="1:7">
      <c r="A18" s="413" t="s">
        <v>771</v>
      </c>
      <c r="B18" s="414"/>
      <c r="C18" s="415"/>
      <c r="D18" s="416"/>
      <c r="E18" s="1004">
        <f>SUM(E6:F17)</f>
        <v>0</v>
      </c>
      <c r="F18" s="1005"/>
    </row>
    <row r="19" spans="1:7">
      <c r="A19" s="417"/>
      <c r="B19" s="392"/>
      <c r="C19" s="392"/>
      <c r="D19" s="392"/>
      <c r="E19" s="392"/>
      <c r="F19" s="418"/>
    </row>
    <row r="20" spans="1:7">
      <c r="A20" s="419" t="s">
        <v>541</v>
      </c>
      <c r="B20" s="419" t="s">
        <v>542</v>
      </c>
      <c r="C20" s="420" t="s">
        <v>550</v>
      </c>
      <c r="D20" s="420" t="s">
        <v>551</v>
      </c>
      <c r="E20" s="421" t="s">
        <v>552</v>
      </c>
      <c r="F20" s="422" t="s">
        <v>543</v>
      </c>
      <c r="G20" s="423" t="s">
        <v>772</v>
      </c>
    </row>
    <row r="21" spans="1:7" ht="22.5" customHeight="1">
      <c r="A21" s="406" t="s">
        <v>553</v>
      </c>
      <c r="B21" s="424" t="s">
        <v>544</v>
      </c>
      <c r="C21" s="425"/>
      <c r="D21" s="425"/>
      <c r="E21" s="426"/>
      <c r="F21" s="426"/>
    </row>
    <row r="22" spans="1:7">
      <c r="A22" s="425"/>
      <c r="B22" s="425"/>
      <c r="C22" s="425"/>
      <c r="D22" s="425"/>
      <c r="E22" s="426"/>
      <c r="F22" s="426"/>
    </row>
    <row r="23" spans="1:7" s="430" customFormat="1">
      <c r="A23" s="427" t="s">
        <v>555</v>
      </c>
      <c r="B23" s="428" t="s">
        <v>773</v>
      </c>
      <c r="C23" s="429"/>
      <c r="D23" s="429"/>
      <c r="E23" s="429"/>
      <c r="F23" s="429"/>
    </row>
    <row r="24" spans="1:7" s="430" customFormat="1" ht="12" customHeight="1">
      <c r="A24" s="431"/>
      <c r="B24" s="429"/>
      <c r="C24" s="432"/>
      <c r="D24" s="432"/>
      <c r="E24" s="432"/>
      <c r="F24" s="432"/>
    </row>
    <row r="25" spans="1:7" s="434" customFormat="1" ht="225" customHeight="1">
      <c r="A25" s="433" t="s">
        <v>557</v>
      </c>
      <c r="B25" s="246" t="s">
        <v>774</v>
      </c>
      <c r="C25" s="429"/>
      <c r="D25" s="429"/>
      <c r="E25" s="429"/>
      <c r="F25" s="429"/>
    </row>
    <row r="26" spans="1:7" s="434" customFormat="1" ht="29.1">
      <c r="A26" s="431"/>
      <c r="B26" s="435" t="s">
        <v>775</v>
      </c>
      <c r="C26" s="429"/>
      <c r="D26" s="429"/>
      <c r="E26" s="429"/>
      <c r="F26" s="429"/>
    </row>
    <row r="27" spans="1:7" s="439" customFormat="1" ht="8.25" customHeight="1">
      <c r="A27" s="436"/>
      <c r="B27" s="437"/>
      <c r="C27" s="438"/>
      <c r="D27" s="438"/>
      <c r="E27" s="438"/>
      <c r="F27" s="438"/>
    </row>
    <row r="28" spans="1:7" s="439" customFormat="1">
      <c r="A28" s="436"/>
      <c r="B28" s="440" t="s">
        <v>776</v>
      </c>
      <c r="C28" s="438"/>
      <c r="D28" s="438"/>
      <c r="E28" s="438"/>
      <c r="F28" s="438"/>
    </row>
    <row r="29" spans="1:7" s="439" customFormat="1">
      <c r="A29" s="436"/>
      <c r="B29" s="440" t="s">
        <v>777</v>
      </c>
      <c r="C29" s="438"/>
      <c r="D29" s="438"/>
      <c r="E29" s="438"/>
      <c r="F29" s="438"/>
    </row>
    <row r="30" spans="1:7" s="439" customFormat="1" ht="7.5" customHeight="1">
      <c r="A30" s="436"/>
      <c r="B30" s="440"/>
      <c r="C30" s="438"/>
      <c r="D30" s="438"/>
      <c r="E30" s="438"/>
      <c r="F30" s="438"/>
    </row>
    <row r="31" spans="1:7" s="439" customFormat="1">
      <c r="A31" s="436"/>
      <c r="B31" s="440" t="s">
        <v>778</v>
      </c>
      <c r="C31" s="438"/>
      <c r="D31" s="438"/>
      <c r="E31" s="438"/>
      <c r="F31" s="438"/>
    </row>
    <row r="32" spans="1:7" s="439" customFormat="1">
      <c r="A32" s="436"/>
      <c r="B32" s="440" t="s">
        <v>779</v>
      </c>
      <c r="C32" s="438"/>
      <c r="D32" s="438"/>
      <c r="E32" s="438"/>
      <c r="F32" s="438"/>
    </row>
    <row r="33" spans="1:6" s="439" customFormat="1" ht="9.75" customHeight="1">
      <c r="A33" s="436"/>
      <c r="B33" s="440"/>
      <c r="C33" s="438"/>
      <c r="D33" s="438"/>
      <c r="E33" s="438"/>
      <c r="F33" s="438"/>
    </row>
    <row r="34" spans="1:6" s="439" customFormat="1">
      <c r="A34" s="436"/>
      <c r="B34" s="440" t="s">
        <v>780</v>
      </c>
      <c r="C34" s="438"/>
      <c r="D34" s="438"/>
      <c r="E34" s="438"/>
      <c r="F34" s="438"/>
    </row>
    <row r="35" spans="1:6" s="439" customFormat="1" ht="7.5" customHeight="1">
      <c r="A35" s="436"/>
      <c r="B35" s="440"/>
      <c r="C35" s="438"/>
      <c r="D35" s="438"/>
      <c r="E35" s="438"/>
      <c r="F35" s="438"/>
    </row>
    <row r="36" spans="1:6" s="439" customFormat="1">
      <c r="A36" s="436"/>
      <c r="B36" s="440" t="s">
        <v>781</v>
      </c>
      <c r="C36" s="438"/>
      <c r="D36" s="438"/>
      <c r="E36" s="438"/>
      <c r="F36" s="438"/>
    </row>
    <row r="37" spans="1:6" s="439" customFormat="1">
      <c r="A37" s="436"/>
      <c r="B37" s="440" t="s">
        <v>782</v>
      </c>
      <c r="C37" s="438"/>
      <c r="D37" s="438"/>
      <c r="E37" s="438"/>
      <c r="F37" s="438"/>
    </row>
    <row r="38" spans="1:6" s="439" customFormat="1" ht="8.25" customHeight="1">
      <c r="A38" s="436"/>
      <c r="B38" s="440"/>
      <c r="C38" s="438"/>
      <c r="D38" s="438"/>
      <c r="E38" s="438"/>
      <c r="F38" s="438"/>
    </row>
    <row r="39" spans="1:6" s="439" customFormat="1" ht="12" customHeight="1">
      <c r="A39" s="436"/>
      <c r="B39" s="440" t="s">
        <v>783</v>
      </c>
      <c r="C39" s="438"/>
      <c r="D39" s="438"/>
      <c r="E39" s="438"/>
      <c r="F39" s="438"/>
    </row>
    <row r="40" spans="1:6" s="439" customFormat="1">
      <c r="A40" s="436"/>
      <c r="B40" s="440" t="s">
        <v>784</v>
      </c>
      <c r="C40" s="438"/>
      <c r="D40" s="438"/>
      <c r="E40" s="438"/>
      <c r="F40" s="438"/>
    </row>
    <row r="41" spans="1:6" s="439" customFormat="1" ht="9" customHeight="1">
      <c r="A41" s="436"/>
      <c r="B41" s="440"/>
      <c r="C41" s="438"/>
      <c r="D41" s="438"/>
      <c r="E41" s="438"/>
      <c r="F41" s="438"/>
    </row>
    <row r="42" spans="1:6" s="439" customFormat="1">
      <c r="A42" s="436"/>
      <c r="B42" s="440" t="s">
        <v>785</v>
      </c>
      <c r="C42" s="438"/>
      <c r="D42" s="438"/>
      <c r="E42" s="438"/>
      <c r="F42" s="438"/>
    </row>
    <row r="43" spans="1:6" s="439" customFormat="1" ht="9" customHeight="1">
      <c r="A43" s="436"/>
      <c r="B43" s="440"/>
      <c r="C43" s="438"/>
      <c r="D43" s="438"/>
      <c r="E43" s="438"/>
      <c r="F43" s="438"/>
    </row>
    <row r="44" spans="1:6" s="439" customFormat="1">
      <c r="A44" s="436"/>
      <c r="B44" s="440" t="s">
        <v>786</v>
      </c>
      <c r="C44" s="438"/>
      <c r="D44" s="438"/>
      <c r="E44" s="438"/>
      <c r="F44" s="438"/>
    </row>
    <row r="45" spans="1:6" s="439" customFormat="1" ht="9.75" customHeight="1">
      <c r="A45" s="436"/>
      <c r="B45" s="440"/>
      <c r="C45" s="438"/>
      <c r="D45" s="438"/>
      <c r="E45" s="438"/>
      <c r="F45" s="438"/>
    </row>
    <row r="46" spans="1:6" s="439" customFormat="1">
      <c r="A46" s="436"/>
      <c r="B46" s="440" t="s">
        <v>787</v>
      </c>
      <c r="C46" s="438"/>
      <c r="D46" s="438"/>
      <c r="E46" s="438"/>
      <c r="F46" s="438"/>
    </row>
    <row r="47" spans="1:6" s="439" customFormat="1" ht="9" customHeight="1">
      <c r="A47" s="436"/>
      <c r="B47" s="440"/>
      <c r="C47" s="438"/>
      <c r="D47" s="438"/>
      <c r="E47" s="438"/>
      <c r="F47" s="438"/>
    </row>
    <row r="48" spans="1:6" s="439" customFormat="1">
      <c r="A48" s="436"/>
      <c r="B48" s="440" t="s">
        <v>788</v>
      </c>
      <c r="C48" s="438"/>
      <c r="D48" s="438"/>
      <c r="E48" s="438"/>
      <c r="F48" s="438"/>
    </row>
    <row r="49" spans="1:7" s="439" customFormat="1">
      <c r="A49" s="436"/>
      <c r="B49" s="440" t="s">
        <v>789</v>
      </c>
      <c r="C49" s="438"/>
      <c r="D49" s="438"/>
      <c r="E49" s="438"/>
      <c r="F49" s="438"/>
    </row>
    <row r="50" spans="1:7" s="439" customFormat="1">
      <c r="A50" s="436"/>
      <c r="B50" s="440"/>
      <c r="C50" s="441"/>
      <c r="D50" s="441"/>
      <c r="E50" s="441"/>
      <c r="F50" s="441"/>
    </row>
    <row r="51" spans="1:7" s="439" customFormat="1" ht="10.5" customHeight="1">
      <c r="A51" s="436"/>
      <c r="B51" s="440" t="s">
        <v>790</v>
      </c>
      <c r="C51" s="441"/>
      <c r="D51" s="441"/>
      <c r="E51" s="441"/>
      <c r="F51" s="441"/>
    </row>
    <row r="52" spans="1:7" s="439" customFormat="1">
      <c r="A52" s="436"/>
      <c r="B52" s="440" t="s">
        <v>791</v>
      </c>
      <c r="C52" s="441"/>
      <c r="D52" s="441"/>
      <c r="E52" s="441"/>
      <c r="F52" s="441"/>
    </row>
    <row r="53" spans="1:7" s="439" customFormat="1" ht="12" customHeight="1">
      <c r="A53" s="436"/>
      <c r="B53" s="440"/>
      <c r="C53" s="441"/>
      <c r="D53" s="441"/>
      <c r="E53" s="441"/>
      <c r="F53" s="442"/>
    </row>
    <row r="54" spans="1:7" s="439" customFormat="1">
      <c r="A54" s="436"/>
      <c r="B54" s="440" t="s">
        <v>792</v>
      </c>
      <c r="C54" s="441"/>
      <c r="D54" s="441"/>
      <c r="E54" s="441"/>
      <c r="F54" s="442"/>
    </row>
    <row r="55" spans="1:7" s="439" customFormat="1">
      <c r="A55" s="436"/>
      <c r="B55" s="440"/>
      <c r="C55" s="441"/>
      <c r="D55" s="441"/>
      <c r="E55" s="441"/>
      <c r="F55" s="442"/>
    </row>
    <row r="56" spans="1:7" s="439" customFormat="1" ht="15.6">
      <c r="A56" s="436"/>
      <c r="B56" s="440" t="s">
        <v>793</v>
      </c>
      <c r="C56" s="441"/>
      <c r="D56" s="441"/>
      <c r="E56" s="443"/>
      <c r="F56" s="443"/>
    </row>
    <row r="57" spans="1:7" s="439" customFormat="1" ht="15.6">
      <c r="A57" s="436"/>
      <c r="B57" s="440"/>
      <c r="C57" s="441"/>
      <c r="D57" s="441"/>
      <c r="E57" s="443"/>
      <c r="F57" s="443"/>
    </row>
    <row r="58" spans="1:7" s="439" customFormat="1" ht="15.6">
      <c r="A58" s="436"/>
      <c r="B58" s="440" t="s">
        <v>794</v>
      </c>
      <c r="C58" s="441"/>
      <c r="D58" s="441"/>
      <c r="E58" s="443"/>
      <c r="F58" s="443"/>
    </row>
    <row r="59" spans="1:7" s="439" customFormat="1" ht="15.6">
      <c r="A59" s="436"/>
      <c r="B59" s="331"/>
      <c r="C59" s="441"/>
      <c r="D59" s="441"/>
      <c r="E59" s="443"/>
      <c r="F59" s="443"/>
    </row>
    <row r="60" spans="1:7" s="439" customFormat="1">
      <c r="A60" s="436"/>
      <c r="B60" s="444" t="s">
        <v>795</v>
      </c>
      <c r="C60" s="432" t="s">
        <v>562</v>
      </c>
      <c r="D60" s="432">
        <v>2</v>
      </c>
      <c r="E60" s="432"/>
      <c r="F60" s="432" t="s">
        <v>796</v>
      </c>
      <c r="G60" s="439" t="s">
        <v>797</v>
      </c>
    </row>
    <row r="61" spans="1:7" s="439" customFormat="1">
      <c r="A61" s="445"/>
      <c r="B61" s="446"/>
      <c r="C61" s="446"/>
      <c r="D61" s="447"/>
      <c r="E61" s="441"/>
      <c r="F61" s="441"/>
    </row>
    <row r="62" spans="1:7" s="439" customFormat="1" ht="29.1">
      <c r="A62" s="433" t="s">
        <v>572</v>
      </c>
      <c r="B62" s="448" t="s">
        <v>798</v>
      </c>
      <c r="C62" s="432" t="s">
        <v>562</v>
      </c>
      <c r="D62" s="432">
        <v>2</v>
      </c>
      <c r="E62" s="432"/>
      <c r="F62" s="432" t="s">
        <v>796</v>
      </c>
    </row>
    <row r="63" spans="1:7" s="439" customFormat="1">
      <c r="A63" s="449"/>
      <c r="B63" s="450"/>
      <c r="C63" s="441"/>
      <c r="D63" s="441"/>
      <c r="E63" s="438"/>
      <c r="F63" s="438"/>
    </row>
    <row r="64" spans="1:7" s="439" customFormat="1" ht="29.1">
      <c r="A64" s="436"/>
      <c r="B64" s="451" t="s">
        <v>799</v>
      </c>
      <c r="C64" s="441"/>
      <c r="D64" s="441"/>
      <c r="E64" s="438"/>
      <c r="F64" s="438"/>
    </row>
    <row r="65" spans="1:6" s="439" customFormat="1" ht="4.5" customHeight="1">
      <c r="A65" s="436"/>
      <c r="B65" s="438"/>
      <c r="C65" s="438"/>
      <c r="D65" s="438"/>
      <c r="E65" s="438"/>
      <c r="F65" s="438"/>
    </row>
    <row r="66" spans="1:6" s="439" customFormat="1">
      <c r="A66" s="436"/>
      <c r="B66" s="428" t="s">
        <v>800</v>
      </c>
      <c r="C66" s="441"/>
      <c r="D66" s="441"/>
      <c r="E66" s="441"/>
      <c r="F66" s="442"/>
    </row>
    <row r="67" spans="1:6" s="439" customFormat="1" ht="8.25" customHeight="1">
      <c r="A67" s="436"/>
      <c r="B67" s="452"/>
      <c r="C67" s="441"/>
      <c r="D67" s="441"/>
      <c r="E67" s="441"/>
      <c r="F67" s="442"/>
    </row>
    <row r="68" spans="1:6" s="454" customFormat="1" ht="29.1">
      <c r="A68" s="433" t="s">
        <v>801</v>
      </c>
      <c r="B68" s="453" t="s">
        <v>802</v>
      </c>
      <c r="C68" s="432" t="s">
        <v>562</v>
      </c>
      <c r="D68" s="432">
        <v>2</v>
      </c>
      <c r="E68" s="432"/>
      <c r="F68" s="432">
        <f>+E68*D68</f>
        <v>0</v>
      </c>
    </row>
    <row r="69" spans="1:6" s="439" customFormat="1">
      <c r="A69" s="436"/>
      <c r="B69" s="455"/>
      <c r="C69" s="441"/>
      <c r="D69" s="441"/>
      <c r="E69" s="441"/>
      <c r="F69" s="442"/>
    </row>
    <row r="70" spans="1:6" s="434" customFormat="1" ht="14.25" customHeight="1">
      <c r="A70" s="431" t="s">
        <v>803</v>
      </c>
      <c r="B70" s="428" t="s">
        <v>804</v>
      </c>
      <c r="C70" s="432"/>
      <c r="D70" s="432"/>
      <c r="E70" s="456"/>
      <c r="F70" s="456"/>
    </row>
    <row r="71" spans="1:6" s="434" customFormat="1" ht="10.5" customHeight="1">
      <c r="A71" s="431"/>
      <c r="B71" s="429"/>
      <c r="C71" s="432"/>
      <c r="D71" s="432"/>
      <c r="E71" s="456"/>
      <c r="F71" s="456"/>
    </row>
    <row r="72" spans="1:6" s="434" customFormat="1" ht="87">
      <c r="A72" s="431"/>
      <c r="B72" s="457" t="s">
        <v>805</v>
      </c>
      <c r="C72" s="432"/>
      <c r="D72" s="432"/>
      <c r="E72" s="456"/>
      <c r="F72" s="456"/>
    </row>
    <row r="73" spans="1:6" s="439" customFormat="1">
      <c r="A73" s="436"/>
      <c r="B73" s="458"/>
      <c r="C73" s="441"/>
      <c r="D73" s="441"/>
      <c r="E73" s="459"/>
      <c r="F73" s="459"/>
    </row>
    <row r="74" spans="1:6" s="439" customFormat="1" ht="15.75" customHeight="1">
      <c r="A74" s="436"/>
      <c r="B74" s="460" t="s">
        <v>806</v>
      </c>
      <c r="C74" s="441"/>
      <c r="D74" s="441"/>
      <c r="E74" s="459"/>
      <c r="F74" s="459"/>
    </row>
    <row r="75" spans="1:6" s="439" customFormat="1" ht="12.75" customHeight="1">
      <c r="A75" s="436"/>
      <c r="B75" s="461" t="s">
        <v>807</v>
      </c>
      <c r="C75" s="441"/>
      <c r="D75" s="441"/>
      <c r="E75" s="459"/>
      <c r="F75" s="459"/>
    </row>
    <row r="76" spans="1:6" s="439" customFormat="1" ht="16.5" customHeight="1">
      <c r="A76" s="436"/>
      <c r="B76" s="462" t="s">
        <v>808</v>
      </c>
      <c r="C76" s="441"/>
      <c r="D76" s="441"/>
      <c r="E76" s="459"/>
      <c r="F76" s="459"/>
    </row>
    <row r="77" spans="1:6" s="439" customFormat="1" ht="19.5" customHeight="1">
      <c r="A77" s="436"/>
      <c r="B77" s="461" t="s">
        <v>809</v>
      </c>
      <c r="C77" s="441"/>
      <c r="D77" s="441"/>
      <c r="E77" s="459"/>
      <c r="F77" s="459"/>
    </row>
    <row r="78" spans="1:6" s="439" customFormat="1" ht="16.5" customHeight="1">
      <c r="A78" s="436"/>
      <c r="B78" s="462" t="s">
        <v>810</v>
      </c>
      <c r="C78" s="441"/>
      <c r="D78" s="441"/>
      <c r="E78" s="459"/>
      <c r="F78" s="459"/>
    </row>
    <row r="79" spans="1:6" s="439" customFormat="1" ht="9" customHeight="1">
      <c r="A79" s="436"/>
      <c r="B79" s="429"/>
      <c r="C79" s="432"/>
      <c r="D79" s="432"/>
      <c r="E79" s="456"/>
      <c r="F79" s="456"/>
    </row>
    <row r="80" spans="1:6" s="439" customFormat="1" ht="14.25" customHeight="1">
      <c r="A80" s="436"/>
      <c r="B80" s="429" t="s">
        <v>811</v>
      </c>
      <c r="C80" s="432" t="s">
        <v>562</v>
      </c>
      <c r="D80" s="432">
        <v>3</v>
      </c>
      <c r="E80" s="456"/>
      <c r="F80" s="456">
        <f>+E80*D80</f>
        <v>0</v>
      </c>
    </row>
    <row r="81" spans="1:6" s="439" customFormat="1" ht="14.25" customHeight="1">
      <c r="A81" s="436"/>
      <c r="B81" s="438"/>
      <c r="C81" s="441"/>
      <c r="D81" s="441"/>
      <c r="E81" s="459"/>
      <c r="F81" s="459"/>
    </row>
    <row r="82" spans="1:6" s="434" customFormat="1">
      <c r="A82" s="431" t="s">
        <v>812</v>
      </c>
      <c r="B82" s="428" t="s">
        <v>813</v>
      </c>
      <c r="C82" s="432"/>
      <c r="D82" s="432"/>
      <c r="E82" s="456"/>
      <c r="F82" s="456"/>
    </row>
    <row r="83" spans="1:6" s="434" customFormat="1" ht="14.25" customHeight="1">
      <c r="A83" s="431"/>
      <c r="B83" s="429"/>
      <c r="C83" s="432"/>
      <c r="D83" s="432"/>
      <c r="E83" s="456"/>
      <c r="F83" s="456"/>
    </row>
    <row r="84" spans="1:6" s="434" customFormat="1" ht="114" customHeight="1">
      <c r="A84" s="431"/>
      <c r="B84" s="1006" t="s">
        <v>814</v>
      </c>
      <c r="C84" s="432"/>
      <c r="D84" s="432"/>
      <c r="E84" s="456"/>
      <c r="F84" s="456"/>
    </row>
    <row r="85" spans="1:6" s="434" customFormat="1">
      <c r="A85" s="431"/>
      <c r="B85" s="1006"/>
      <c r="C85" s="432"/>
      <c r="D85" s="432"/>
      <c r="E85" s="456"/>
      <c r="F85" s="456"/>
    </row>
    <row r="86" spans="1:6" s="434" customFormat="1" ht="14.25" customHeight="1">
      <c r="A86" s="431"/>
      <c r="B86" s="463" t="s">
        <v>815</v>
      </c>
      <c r="C86" s="432"/>
      <c r="D86" s="432"/>
      <c r="E86" s="456"/>
      <c r="F86" s="456"/>
    </row>
    <row r="87" spans="1:6" s="434" customFormat="1" ht="14.25" customHeight="1">
      <c r="A87" s="431"/>
      <c r="B87" s="429" t="s">
        <v>816</v>
      </c>
      <c r="C87" s="432" t="s">
        <v>535</v>
      </c>
      <c r="D87" s="432"/>
      <c r="E87" s="456"/>
      <c r="F87" s="456"/>
    </row>
    <row r="88" spans="1:6" s="434" customFormat="1" ht="14.25" customHeight="1">
      <c r="A88" s="431"/>
      <c r="B88" s="429" t="s">
        <v>817</v>
      </c>
      <c r="C88" s="432"/>
      <c r="D88" s="432"/>
      <c r="E88" s="456"/>
      <c r="F88" s="456"/>
    </row>
    <row r="89" spans="1:6" s="434" customFormat="1" ht="14.25" customHeight="1">
      <c r="A89" s="431"/>
      <c r="B89" s="429" t="s">
        <v>809</v>
      </c>
      <c r="C89" s="432"/>
      <c r="D89" s="432"/>
      <c r="E89" s="456"/>
      <c r="F89" s="456"/>
    </row>
    <row r="90" spans="1:6" s="434" customFormat="1" ht="14.25" customHeight="1">
      <c r="A90" s="431"/>
      <c r="B90" s="429" t="s">
        <v>818</v>
      </c>
      <c r="C90" s="432"/>
      <c r="D90" s="432"/>
      <c r="E90" s="456"/>
      <c r="F90" s="456"/>
    </row>
    <row r="91" spans="1:6" s="434" customFormat="1" ht="14.25" customHeight="1">
      <c r="A91" s="431"/>
      <c r="B91" s="429"/>
      <c r="C91" s="432"/>
      <c r="D91" s="432"/>
      <c r="E91" s="456"/>
      <c r="F91" s="456"/>
    </row>
    <row r="92" spans="1:6" s="434" customFormat="1" ht="14.25" customHeight="1">
      <c r="A92" s="431"/>
      <c r="B92" s="453" t="s">
        <v>811</v>
      </c>
      <c r="C92" s="432" t="s">
        <v>562</v>
      </c>
      <c r="D92" s="432">
        <v>3</v>
      </c>
      <c r="E92" s="456"/>
      <c r="F92" s="456">
        <f>+E92*D92</f>
        <v>0</v>
      </c>
    </row>
    <row r="93" spans="1:6" s="434" customFormat="1" ht="14.25" customHeight="1">
      <c r="A93" s="431"/>
      <c r="B93" s="429"/>
      <c r="C93" s="432"/>
      <c r="D93" s="432"/>
      <c r="E93" s="456"/>
      <c r="F93" s="456"/>
    </row>
    <row r="94" spans="1:6" s="439" customFormat="1">
      <c r="A94" s="464" t="s">
        <v>819</v>
      </c>
      <c r="B94" s="428" t="s">
        <v>820</v>
      </c>
      <c r="C94" s="441"/>
      <c r="D94" s="441"/>
      <c r="E94" s="459"/>
      <c r="F94" s="459"/>
    </row>
    <row r="95" spans="1:6" s="439" customFormat="1">
      <c r="A95" s="436"/>
      <c r="B95" s="429"/>
      <c r="C95" s="441"/>
      <c r="D95" s="441"/>
      <c r="E95" s="459"/>
      <c r="F95" s="459"/>
    </row>
    <row r="96" spans="1:6" s="439" customFormat="1" ht="57.95">
      <c r="A96" s="449"/>
      <c r="B96" s="457" t="s">
        <v>821</v>
      </c>
      <c r="C96" s="441"/>
      <c r="D96" s="441"/>
      <c r="E96" s="459"/>
      <c r="F96" s="459"/>
    </row>
    <row r="97" spans="1:6" s="439" customFormat="1">
      <c r="A97" s="449"/>
      <c r="B97" s="457"/>
      <c r="C97" s="441"/>
      <c r="D97" s="441"/>
      <c r="E97" s="459"/>
      <c r="F97" s="459"/>
    </row>
    <row r="98" spans="1:6" s="439" customFormat="1">
      <c r="A98" s="431" t="s">
        <v>822</v>
      </c>
      <c r="B98" s="465" t="s">
        <v>823</v>
      </c>
      <c r="C98" s="441"/>
      <c r="D98" s="441"/>
      <c r="E98" s="459"/>
      <c r="F98" s="459"/>
    </row>
    <row r="99" spans="1:6" s="439" customFormat="1">
      <c r="A99" s="436"/>
      <c r="B99" s="466"/>
      <c r="C99" s="441"/>
      <c r="D99" s="441"/>
      <c r="E99" s="459"/>
      <c r="F99" s="459"/>
    </row>
    <row r="100" spans="1:6" s="434" customFormat="1">
      <c r="A100" s="467" t="s">
        <v>575</v>
      </c>
      <c r="B100" s="453" t="s">
        <v>824</v>
      </c>
      <c r="C100" s="432"/>
      <c r="D100" s="432"/>
      <c r="E100" s="456"/>
      <c r="F100" s="456"/>
    </row>
    <row r="101" spans="1:6" s="434" customFormat="1">
      <c r="A101" s="467"/>
      <c r="B101" s="429"/>
      <c r="C101" s="432"/>
      <c r="D101" s="432"/>
      <c r="E101" s="456"/>
      <c r="F101" s="456"/>
    </row>
    <row r="102" spans="1:6" s="434" customFormat="1">
      <c r="A102" s="467" t="s">
        <v>589</v>
      </c>
      <c r="B102" s="453" t="s">
        <v>825</v>
      </c>
      <c r="C102" s="432"/>
      <c r="D102" s="432"/>
      <c r="E102" s="456"/>
      <c r="F102" s="456"/>
    </row>
    <row r="103" spans="1:6" s="434" customFormat="1">
      <c r="A103" s="467"/>
      <c r="B103" s="429" t="s">
        <v>826</v>
      </c>
      <c r="C103" s="432"/>
      <c r="D103" s="432"/>
      <c r="E103" s="456"/>
      <c r="F103" s="456"/>
    </row>
    <row r="104" spans="1:6" s="434" customFormat="1">
      <c r="A104" s="467" t="s">
        <v>597</v>
      </c>
      <c r="B104" s="453" t="s">
        <v>827</v>
      </c>
      <c r="C104" s="432"/>
      <c r="D104" s="432"/>
      <c r="E104" s="456"/>
      <c r="F104" s="456"/>
    </row>
    <row r="105" spans="1:6" s="434" customFormat="1">
      <c r="A105" s="467"/>
      <c r="B105" s="429" t="s">
        <v>828</v>
      </c>
      <c r="C105" s="432"/>
      <c r="D105" s="432"/>
      <c r="E105" s="456"/>
      <c r="F105" s="456"/>
    </row>
    <row r="106" spans="1:6" s="434" customFormat="1" ht="29.1">
      <c r="A106" s="468" t="s">
        <v>619</v>
      </c>
      <c r="B106" s="453" t="s">
        <v>829</v>
      </c>
      <c r="C106" s="432"/>
      <c r="D106" s="432"/>
      <c r="E106" s="456"/>
      <c r="F106" s="456"/>
    </row>
    <row r="107" spans="1:6" s="434" customFormat="1">
      <c r="A107" s="467"/>
      <c r="B107" s="429"/>
      <c r="C107" s="432"/>
      <c r="D107" s="432"/>
      <c r="E107" s="456"/>
      <c r="F107" s="456"/>
    </row>
    <row r="108" spans="1:6" s="434" customFormat="1" ht="15" customHeight="1">
      <c r="A108" s="431" t="s">
        <v>621</v>
      </c>
      <c r="B108" s="1006" t="s">
        <v>830</v>
      </c>
      <c r="C108" s="432"/>
      <c r="D108" s="432"/>
      <c r="E108" s="456"/>
      <c r="F108" s="456"/>
    </row>
    <row r="109" spans="1:6" s="434" customFormat="1" ht="97.5" customHeight="1">
      <c r="A109" s="431"/>
      <c r="B109" s="1006"/>
      <c r="C109" s="432"/>
      <c r="D109" s="432"/>
      <c r="E109" s="456"/>
      <c r="F109" s="456"/>
    </row>
    <row r="110" spans="1:6" s="434" customFormat="1">
      <c r="A110" s="431"/>
      <c r="B110" s="463" t="s">
        <v>831</v>
      </c>
      <c r="C110" s="432"/>
      <c r="D110" s="432"/>
      <c r="E110" s="456"/>
      <c r="F110" s="456"/>
    </row>
    <row r="111" spans="1:6" s="434" customFormat="1">
      <c r="A111" s="431"/>
      <c r="B111" s="429" t="s">
        <v>816</v>
      </c>
      <c r="C111" s="432"/>
      <c r="D111" s="432"/>
      <c r="E111" s="456"/>
      <c r="F111" s="456"/>
    </row>
    <row r="112" spans="1:6" s="434" customFormat="1">
      <c r="A112" s="431"/>
      <c r="B112" s="429" t="s">
        <v>832</v>
      </c>
      <c r="C112" s="432"/>
      <c r="D112" s="432"/>
      <c r="E112" s="456"/>
      <c r="F112" s="456"/>
    </row>
    <row r="113" spans="1:6" s="434" customFormat="1">
      <c r="A113" s="431"/>
      <c r="B113" s="429" t="s">
        <v>809</v>
      </c>
      <c r="C113" s="432"/>
      <c r="D113" s="432"/>
      <c r="E113" s="456"/>
      <c r="F113" s="456"/>
    </row>
    <row r="114" spans="1:6" s="434" customFormat="1">
      <c r="A114" s="431"/>
      <c r="B114" s="429" t="s">
        <v>833</v>
      </c>
      <c r="C114" s="432"/>
      <c r="D114" s="432"/>
      <c r="E114" s="456"/>
      <c r="F114" s="456"/>
    </row>
    <row r="115" spans="1:6" s="434" customFormat="1">
      <c r="A115" s="431"/>
      <c r="B115" s="429"/>
      <c r="C115" s="432"/>
      <c r="D115" s="432"/>
      <c r="E115" s="456"/>
      <c r="F115" s="456"/>
    </row>
    <row r="116" spans="1:6" s="434" customFormat="1">
      <c r="A116" s="998"/>
      <c r="B116" s="429" t="s">
        <v>834</v>
      </c>
      <c r="C116" s="432"/>
      <c r="D116" s="432"/>
      <c r="E116" s="456"/>
      <c r="F116" s="994"/>
    </row>
    <row r="117" spans="1:6" s="434" customFormat="1">
      <c r="A117" s="998"/>
      <c r="B117" s="429"/>
      <c r="C117" s="432"/>
      <c r="D117" s="432"/>
      <c r="E117" s="456"/>
      <c r="F117" s="994"/>
    </row>
    <row r="118" spans="1:6" s="434" customFormat="1" ht="29.1">
      <c r="A118" s="431"/>
      <c r="B118" s="453" t="s">
        <v>835</v>
      </c>
      <c r="C118" s="432"/>
      <c r="D118" s="432"/>
      <c r="E118" s="456"/>
      <c r="F118" s="456"/>
    </row>
    <row r="119" spans="1:6" s="434" customFormat="1">
      <c r="A119" s="431"/>
      <c r="B119" s="429"/>
      <c r="C119" s="432"/>
      <c r="D119" s="432"/>
      <c r="E119" s="456"/>
      <c r="F119" s="456"/>
    </row>
    <row r="120" spans="1:6" s="434" customFormat="1">
      <c r="A120" s="431"/>
      <c r="B120" s="429" t="s">
        <v>836</v>
      </c>
      <c r="C120" s="432" t="s">
        <v>837</v>
      </c>
      <c r="D120" s="432">
        <v>3</v>
      </c>
      <c r="E120" s="456"/>
      <c r="F120" s="456">
        <f>+E120*D120</f>
        <v>0</v>
      </c>
    </row>
    <row r="121" spans="1:6" s="439" customFormat="1">
      <c r="A121" s="436"/>
      <c r="B121" s="438"/>
      <c r="C121" s="441"/>
      <c r="D121" s="441"/>
      <c r="E121" s="459"/>
      <c r="F121" s="459"/>
    </row>
    <row r="122" spans="1:6" s="434" customFormat="1">
      <c r="A122" s="464" t="s">
        <v>838</v>
      </c>
      <c r="B122" s="428" t="s">
        <v>839</v>
      </c>
      <c r="C122" s="432"/>
      <c r="D122" s="432"/>
      <c r="E122" s="456"/>
      <c r="F122" s="456"/>
    </row>
    <row r="123" spans="1:6" s="434" customFormat="1" ht="12.75" customHeight="1">
      <c r="A123" s="464"/>
      <c r="B123" s="465"/>
      <c r="C123" s="432"/>
      <c r="D123" s="432"/>
      <c r="E123" s="456"/>
      <c r="F123" s="456"/>
    </row>
    <row r="124" spans="1:6" s="434" customFormat="1" ht="87">
      <c r="A124" s="427"/>
      <c r="B124" s="463" t="s">
        <v>840</v>
      </c>
      <c r="C124" s="432"/>
      <c r="D124" s="432"/>
      <c r="E124" s="456"/>
      <c r="F124" s="456"/>
    </row>
    <row r="125" spans="1:6" s="434" customFormat="1">
      <c r="A125" s="469"/>
      <c r="B125" s="463"/>
      <c r="C125" s="432"/>
      <c r="D125" s="432"/>
      <c r="E125" s="456"/>
      <c r="F125" s="456"/>
    </row>
    <row r="126" spans="1:6" s="434" customFormat="1">
      <c r="A126" s="470"/>
      <c r="B126" s="440" t="s">
        <v>841</v>
      </c>
      <c r="C126" s="432"/>
      <c r="D126" s="432"/>
      <c r="E126" s="456"/>
      <c r="F126" s="456"/>
    </row>
    <row r="127" spans="1:6" s="434" customFormat="1" ht="9.75" customHeight="1">
      <c r="A127" s="470"/>
      <c r="B127" s="440"/>
      <c r="C127" s="432"/>
      <c r="D127" s="432"/>
      <c r="E127" s="456"/>
      <c r="F127" s="456"/>
    </row>
    <row r="128" spans="1:6" s="434" customFormat="1">
      <c r="A128" s="470"/>
      <c r="B128" s="435" t="s">
        <v>842</v>
      </c>
      <c r="C128" s="432"/>
      <c r="D128" s="432"/>
      <c r="E128" s="456"/>
      <c r="F128" s="456"/>
    </row>
    <row r="129" spans="1:7" s="434" customFormat="1">
      <c r="A129" s="470"/>
      <c r="B129" s="435" t="s">
        <v>843</v>
      </c>
      <c r="C129" s="471"/>
      <c r="D129" s="471"/>
      <c r="E129" s="472"/>
      <c r="F129" s="456"/>
    </row>
    <row r="130" spans="1:7" s="434" customFormat="1" ht="9.75" customHeight="1">
      <c r="A130" s="431"/>
      <c r="B130" s="435"/>
      <c r="C130" s="432"/>
      <c r="D130" s="432"/>
      <c r="E130" s="456"/>
      <c r="F130" s="456"/>
    </row>
    <row r="131" spans="1:7" s="434" customFormat="1">
      <c r="A131" s="431"/>
      <c r="B131" s="435" t="s">
        <v>844</v>
      </c>
      <c r="C131" s="432"/>
      <c r="D131" s="432"/>
      <c r="E131" s="456"/>
      <c r="F131" s="456"/>
    </row>
    <row r="132" spans="1:7" s="434" customFormat="1">
      <c r="A132" s="431"/>
      <c r="B132" s="440" t="s">
        <v>845</v>
      </c>
      <c r="C132" s="432"/>
      <c r="D132" s="432"/>
      <c r="E132" s="994"/>
      <c r="F132" s="994"/>
    </row>
    <row r="133" spans="1:7" s="434" customFormat="1">
      <c r="A133" s="431"/>
      <c r="B133" s="440"/>
      <c r="C133" s="432"/>
      <c r="D133" s="432"/>
      <c r="E133" s="994"/>
      <c r="F133" s="994"/>
    </row>
    <row r="134" spans="1:7" s="434" customFormat="1">
      <c r="A134" s="431"/>
      <c r="B134" s="435" t="s">
        <v>846</v>
      </c>
      <c r="C134" s="432"/>
      <c r="D134" s="432"/>
      <c r="E134" s="456"/>
      <c r="F134" s="456"/>
    </row>
    <row r="135" spans="1:7" s="434" customFormat="1">
      <c r="A135" s="431"/>
      <c r="B135" s="473" t="s">
        <v>847</v>
      </c>
      <c r="C135" s="432"/>
      <c r="D135" s="432"/>
      <c r="E135" s="474"/>
      <c r="F135" s="456"/>
    </row>
    <row r="136" spans="1:7" s="434" customFormat="1">
      <c r="A136" s="431"/>
      <c r="B136" s="435" t="s">
        <v>848</v>
      </c>
      <c r="C136" s="432"/>
      <c r="D136" s="432"/>
      <c r="E136" s="456"/>
      <c r="F136" s="456"/>
    </row>
    <row r="137" spans="1:7" s="434" customFormat="1" ht="8.25" customHeight="1">
      <c r="A137" s="431"/>
      <c r="B137" s="440"/>
      <c r="C137" s="432"/>
      <c r="D137" s="432"/>
      <c r="E137" s="456"/>
      <c r="F137" s="456"/>
    </row>
    <row r="138" spans="1:7" s="434" customFormat="1">
      <c r="A138" s="431"/>
      <c r="B138" s="435" t="s">
        <v>849</v>
      </c>
      <c r="C138" s="432"/>
      <c r="D138" s="432"/>
      <c r="E138" s="456"/>
      <c r="F138" s="456"/>
    </row>
    <row r="139" spans="1:7" s="434" customFormat="1" ht="11.25" customHeight="1">
      <c r="A139" s="431"/>
      <c r="B139" s="440"/>
      <c r="C139" s="432"/>
      <c r="D139" s="432"/>
      <c r="E139" s="456"/>
      <c r="F139" s="456"/>
    </row>
    <row r="140" spans="1:7" s="434" customFormat="1" ht="15" customHeight="1">
      <c r="A140" s="431"/>
      <c r="B140" s="475" t="s">
        <v>850</v>
      </c>
      <c r="C140" s="432" t="s">
        <v>277</v>
      </c>
      <c r="D140" s="432">
        <v>2</v>
      </c>
      <c r="E140" s="456"/>
      <c r="F140" s="456">
        <f>+E140*D140</f>
        <v>0</v>
      </c>
      <c r="G140" s="434" t="s">
        <v>851</v>
      </c>
    </row>
    <row r="141" spans="1:7" s="434" customFormat="1">
      <c r="A141" s="436"/>
      <c r="B141" s="438"/>
      <c r="C141" s="441"/>
      <c r="D141" s="441"/>
      <c r="E141" s="459"/>
      <c r="F141" s="476"/>
    </row>
    <row r="142" spans="1:7" s="480" customFormat="1">
      <c r="A142" s="477">
        <v>1.5</v>
      </c>
      <c r="B142" s="478" t="s">
        <v>852</v>
      </c>
      <c r="C142" s="479"/>
      <c r="D142" s="479"/>
      <c r="E142" s="479"/>
      <c r="F142" s="479"/>
    </row>
    <row r="143" spans="1:7" s="480" customFormat="1">
      <c r="A143" s="477"/>
      <c r="B143" s="478"/>
      <c r="C143" s="481"/>
      <c r="D143" s="479"/>
      <c r="E143" s="479"/>
      <c r="F143" s="479"/>
    </row>
    <row r="144" spans="1:7" s="486" customFormat="1">
      <c r="A144" s="482" t="s">
        <v>853</v>
      </c>
      <c r="B144" s="483" t="s">
        <v>854</v>
      </c>
      <c r="C144" s="484"/>
      <c r="D144" s="485"/>
      <c r="E144" s="485"/>
      <c r="F144" s="485"/>
    </row>
    <row r="145" spans="1:7" s="486" customFormat="1">
      <c r="A145" s="482"/>
      <c r="B145" s="483"/>
      <c r="C145" s="484"/>
      <c r="D145" s="485"/>
      <c r="E145" s="484"/>
      <c r="F145" s="485"/>
    </row>
    <row r="146" spans="1:7" s="486" customFormat="1" ht="278.10000000000002">
      <c r="A146" s="487"/>
      <c r="B146" s="818" t="s">
        <v>855</v>
      </c>
      <c r="C146" s="489"/>
      <c r="D146" s="490"/>
      <c r="E146" s="489"/>
      <c r="F146" s="490"/>
      <c r="G146" s="491"/>
    </row>
    <row r="147" spans="1:7" s="486" customFormat="1">
      <c r="A147" s="487"/>
      <c r="B147" s="488"/>
      <c r="C147" s="489"/>
      <c r="D147" s="490"/>
      <c r="E147" s="489"/>
      <c r="F147" s="490"/>
      <c r="G147" s="491"/>
    </row>
    <row r="148" spans="1:7" s="486" customFormat="1" ht="188.45">
      <c r="A148" s="487"/>
      <c r="B148" s="488" t="s">
        <v>856</v>
      </c>
      <c r="C148" s="489"/>
      <c r="D148" s="490"/>
      <c r="E148" s="489"/>
      <c r="F148" s="490"/>
      <c r="G148" s="491"/>
    </row>
    <row r="149" spans="1:7" s="486" customFormat="1">
      <c r="A149" s="487"/>
      <c r="B149" s="488"/>
      <c r="C149" s="489"/>
      <c r="D149" s="490"/>
      <c r="E149" s="489"/>
      <c r="F149" s="490"/>
      <c r="G149" s="491"/>
    </row>
    <row r="150" spans="1:7" s="486" customFormat="1">
      <c r="A150" s="487"/>
      <c r="B150" s="492" t="s">
        <v>857</v>
      </c>
      <c r="C150" s="489"/>
      <c r="D150" s="490"/>
      <c r="E150" s="489"/>
      <c r="F150" s="490"/>
      <c r="G150" s="491"/>
    </row>
    <row r="151" spans="1:7" s="486" customFormat="1">
      <c r="A151" s="487"/>
      <c r="B151" s="492"/>
      <c r="C151" s="489"/>
      <c r="D151" s="490"/>
      <c r="E151" s="489"/>
      <c r="F151" s="490"/>
      <c r="G151" s="491"/>
    </row>
    <row r="152" spans="1:7" s="486" customFormat="1">
      <c r="A152" s="487"/>
      <c r="B152" s="493" t="s">
        <v>858</v>
      </c>
      <c r="C152" s="490"/>
      <c r="D152" s="490"/>
      <c r="E152" s="490"/>
      <c r="F152" s="490"/>
      <c r="G152" s="491"/>
    </row>
    <row r="153" spans="1:7" s="486" customFormat="1">
      <c r="A153" s="487"/>
      <c r="B153" s="494" t="s">
        <v>859</v>
      </c>
      <c r="C153" s="490"/>
      <c r="D153" s="490"/>
      <c r="E153" s="490"/>
      <c r="F153" s="490"/>
      <c r="G153" s="491"/>
    </row>
    <row r="154" spans="1:7" s="486" customFormat="1">
      <c r="A154" s="487"/>
      <c r="B154" s="495" t="s">
        <v>860</v>
      </c>
      <c r="C154" s="496" t="s">
        <v>277</v>
      </c>
      <c r="D154" s="497">
        <v>1</v>
      </c>
      <c r="E154" s="497"/>
      <c r="F154" s="498">
        <f t="shared" ref="F154:F157" si="0">+E154*D154</f>
        <v>0</v>
      </c>
      <c r="G154" s="995" t="s">
        <v>861</v>
      </c>
    </row>
    <row r="155" spans="1:7" s="486" customFormat="1">
      <c r="A155" s="487"/>
      <c r="B155" s="495" t="s">
        <v>862</v>
      </c>
      <c r="C155" s="496" t="s">
        <v>277</v>
      </c>
      <c r="D155" s="497">
        <v>1</v>
      </c>
      <c r="E155" s="497"/>
      <c r="F155" s="498">
        <f t="shared" si="0"/>
        <v>0</v>
      </c>
      <c r="G155" s="995"/>
    </row>
    <row r="156" spans="1:7" s="486" customFormat="1">
      <c r="A156" s="487"/>
      <c r="B156" s="495" t="s">
        <v>863</v>
      </c>
      <c r="C156" s="496" t="s">
        <v>277</v>
      </c>
      <c r="D156" s="497">
        <v>1</v>
      </c>
      <c r="E156" s="497"/>
      <c r="F156" s="498">
        <f t="shared" si="0"/>
        <v>0</v>
      </c>
      <c r="G156" s="995"/>
    </row>
    <row r="157" spans="1:7" s="486" customFormat="1">
      <c r="A157" s="487"/>
      <c r="B157" s="495" t="s">
        <v>864</v>
      </c>
      <c r="C157" s="496" t="s">
        <v>277</v>
      </c>
      <c r="D157" s="497">
        <v>1</v>
      </c>
      <c r="E157" s="497"/>
      <c r="F157" s="498">
        <f t="shared" si="0"/>
        <v>0</v>
      </c>
      <c r="G157" s="995"/>
    </row>
    <row r="158" spans="1:7" s="486" customFormat="1">
      <c r="A158" s="487"/>
      <c r="B158" s="491"/>
      <c r="C158" s="499"/>
      <c r="D158" s="490"/>
      <c r="E158" s="490"/>
      <c r="F158" s="489"/>
      <c r="G158" s="491"/>
    </row>
    <row r="159" spans="1:7" s="486" customFormat="1">
      <c r="A159" s="487"/>
      <c r="B159" s="500" t="s">
        <v>865</v>
      </c>
      <c r="C159" s="490"/>
      <c r="D159" s="490"/>
      <c r="E159" s="490"/>
      <c r="F159" s="489"/>
      <c r="G159" s="491"/>
    </row>
    <row r="160" spans="1:7" s="486" customFormat="1">
      <c r="A160" s="487"/>
      <c r="C160" s="485"/>
      <c r="D160" s="485"/>
      <c r="E160" s="485"/>
      <c r="F160" s="484"/>
    </row>
    <row r="161" spans="1:6" s="486" customFormat="1">
      <c r="A161" s="487" t="s">
        <v>866</v>
      </c>
      <c r="B161" s="501" t="s">
        <v>867</v>
      </c>
      <c r="C161" s="485"/>
      <c r="D161" s="485"/>
      <c r="E161" s="485"/>
      <c r="F161" s="485"/>
    </row>
    <row r="162" spans="1:6" s="486" customFormat="1">
      <c r="A162" s="487"/>
      <c r="B162" s="501"/>
      <c r="C162" s="485"/>
      <c r="D162" s="485"/>
      <c r="E162" s="485"/>
      <c r="F162" s="485"/>
    </row>
    <row r="163" spans="1:6" s="486" customFormat="1" ht="188.45">
      <c r="A163" s="487"/>
      <c r="B163" s="502" t="s">
        <v>868</v>
      </c>
      <c r="C163" s="485"/>
      <c r="D163" s="485"/>
      <c r="E163" s="485"/>
      <c r="F163" s="485"/>
    </row>
    <row r="164" spans="1:6" s="506" customFormat="1" ht="144.94999999999999">
      <c r="A164" s="503"/>
      <c r="B164" s="504" t="s">
        <v>869</v>
      </c>
      <c r="C164" s="505"/>
      <c r="D164" s="505"/>
      <c r="E164" s="505"/>
      <c r="F164" s="505"/>
    </row>
    <row r="165" spans="1:6" s="486" customFormat="1">
      <c r="A165" s="487"/>
      <c r="B165" s="502"/>
      <c r="C165" s="485"/>
      <c r="D165" s="485"/>
      <c r="E165" s="485"/>
      <c r="F165" s="485"/>
    </row>
    <row r="166" spans="1:6" s="486" customFormat="1">
      <c r="A166" s="487"/>
      <c r="B166" s="507" t="s">
        <v>857</v>
      </c>
      <c r="C166" s="485"/>
      <c r="D166" s="485"/>
      <c r="E166" s="485"/>
      <c r="F166" s="485"/>
    </row>
    <row r="167" spans="1:6" s="486" customFormat="1">
      <c r="A167" s="487"/>
      <c r="B167" s="502"/>
      <c r="C167" s="485"/>
      <c r="D167" s="485"/>
      <c r="E167" s="485"/>
      <c r="F167" s="485"/>
    </row>
    <row r="168" spans="1:6" s="486" customFormat="1">
      <c r="A168" s="487"/>
      <c r="B168" s="508" t="s">
        <v>870</v>
      </c>
      <c r="C168" s="485"/>
      <c r="D168" s="485"/>
      <c r="E168" s="485"/>
      <c r="F168" s="485"/>
    </row>
    <row r="169" spans="1:6" s="486" customFormat="1">
      <c r="A169" s="487"/>
      <c r="B169" s="509" t="s">
        <v>871</v>
      </c>
      <c r="C169" s="485"/>
      <c r="D169" s="485"/>
      <c r="E169" s="485"/>
      <c r="F169" s="485"/>
    </row>
    <row r="170" spans="1:6" s="486" customFormat="1">
      <c r="A170" s="510"/>
      <c r="B170" s="511" t="s">
        <v>872</v>
      </c>
      <c r="C170" s="512" t="s">
        <v>277</v>
      </c>
      <c r="D170" s="513">
        <v>1</v>
      </c>
      <c r="E170" s="514"/>
      <c r="F170" s="514">
        <f>D170*E170</f>
        <v>0</v>
      </c>
    </row>
    <row r="171" spans="1:6" s="486" customFormat="1">
      <c r="A171" s="510"/>
      <c r="B171" s="515"/>
      <c r="C171" s="484"/>
      <c r="D171" s="516"/>
      <c r="E171" s="485"/>
      <c r="F171" s="485"/>
    </row>
    <row r="172" spans="1:6" s="480" customFormat="1">
      <c r="A172" s="477" t="s">
        <v>873</v>
      </c>
      <c r="B172" s="478" t="s">
        <v>874</v>
      </c>
      <c r="C172" s="479"/>
      <c r="D172" s="479"/>
      <c r="E172" s="479"/>
      <c r="F172" s="479"/>
    </row>
    <row r="173" spans="1:6" s="480" customFormat="1">
      <c r="A173" s="477"/>
      <c r="B173" s="478"/>
      <c r="C173" s="479"/>
      <c r="D173" s="479"/>
      <c r="E173" s="479"/>
      <c r="F173" s="479"/>
    </row>
    <row r="174" spans="1:6" s="480" customFormat="1" ht="72.599999999999994">
      <c r="A174" s="477"/>
      <c r="B174" s="453" t="s">
        <v>875</v>
      </c>
      <c r="C174" s="479"/>
      <c r="D174" s="479"/>
      <c r="E174" s="479"/>
      <c r="F174" s="479"/>
    </row>
    <row r="175" spans="1:6" s="480" customFormat="1" ht="101.45">
      <c r="A175" s="477"/>
      <c r="B175" s="453" t="s">
        <v>876</v>
      </c>
      <c r="C175" s="479"/>
      <c r="D175" s="479"/>
      <c r="E175" s="479"/>
      <c r="F175" s="479"/>
    </row>
    <row r="176" spans="1:6" s="480" customFormat="1" ht="43.5">
      <c r="A176" s="477"/>
      <c r="B176" s="453" t="s">
        <v>877</v>
      </c>
      <c r="C176" s="479"/>
      <c r="D176" s="479"/>
      <c r="E176" s="479"/>
      <c r="F176" s="479"/>
    </row>
    <row r="177" spans="1:6" s="480" customFormat="1" ht="87">
      <c r="A177" s="477"/>
      <c r="B177" s="453" t="s">
        <v>878</v>
      </c>
      <c r="C177" s="479"/>
      <c r="D177" s="479"/>
      <c r="E177" s="479"/>
      <c r="F177" s="479"/>
    </row>
    <row r="178" spans="1:6" s="480" customFormat="1" ht="57.95">
      <c r="A178" s="477"/>
      <c r="B178" s="453" t="s">
        <v>879</v>
      </c>
      <c r="C178" s="479"/>
      <c r="D178" s="479"/>
      <c r="E178" s="479"/>
      <c r="F178" s="479"/>
    </row>
    <row r="179" spans="1:6" s="480" customFormat="1">
      <c r="A179" s="477"/>
      <c r="B179" s="453" t="s">
        <v>880</v>
      </c>
      <c r="C179" s="479"/>
      <c r="D179" s="479"/>
      <c r="E179" s="479"/>
      <c r="F179" s="479"/>
    </row>
    <row r="180" spans="1:6" s="480" customFormat="1">
      <c r="A180" s="477"/>
      <c r="B180" s="478"/>
      <c r="C180" s="479"/>
      <c r="D180" s="479"/>
      <c r="E180" s="479"/>
      <c r="F180" s="479"/>
    </row>
    <row r="181" spans="1:6" s="480" customFormat="1">
      <c r="A181" s="477"/>
      <c r="B181" s="517" t="s">
        <v>881</v>
      </c>
      <c r="C181" s="479"/>
      <c r="D181" s="479"/>
      <c r="E181" s="479"/>
      <c r="F181" s="479"/>
    </row>
    <row r="182" spans="1:6" s="480" customFormat="1">
      <c r="A182" s="477"/>
      <c r="B182" s="478" t="s">
        <v>882</v>
      </c>
      <c r="C182" s="479"/>
      <c r="D182" s="479"/>
      <c r="E182" s="479"/>
      <c r="F182" s="479"/>
    </row>
    <row r="183" spans="1:6" s="480" customFormat="1">
      <c r="A183" s="477"/>
      <c r="B183" s="478" t="s">
        <v>883</v>
      </c>
      <c r="C183" s="479"/>
      <c r="D183" s="479"/>
      <c r="E183" s="479"/>
      <c r="F183" s="479"/>
    </row>
    <row r="184" spans="1:6" s="480" customFormat="1" ht="16.149999999999999" customHeight="1">
      <c r="A184" s="477"/>
      <c r="B184" s="518" t="s">
        <v>884</v>
      </c>
      <c r="C184" s="519" t="s">
        <v>562</v>
      </c>
      <c r="D184" s="519">
        <v>1</v>
      </c>
      <c r="E184" s="519"/>
      <c r="F184" s="519">
        <f t="shared" ref="F184:F219" si="1">D184*E184</f>
        <v>0</v>
      </c>
    </row>
    <row r="185" spans="1:6" s="480" customFormat="1" ht="16.149999999999999" customHeight="1">
      <c r="A185" s="477"/>
      <c r="B185" s="518" t="s">
        <v>885</v>
      </c>
      <c r="C185" s="519" t="s">
        <v>562</v>
      </c>
      <c r="D185" s="519">
        <v>1</v>
      </c>
      <c r="E185" s="519"/>
      <c r="F185" s="519">
        <f t="shared" si="1"/>
        <v>0</v>
      </c>
    </row>
    <row r="186" spans="1:6" s="480" customFormat="1" ht="16.149999999999999" customHeight="1">
      <c r="A186" s="477"/>
      <c r="B186" s="518" t="s">
        <v>886</v>
      </c>
      <c r="C186" s="519" t="s">
        <v>562</v>
      </c>
      <c r="D186" s="519">
        <v>1</v>
      </c>
      <c r="E186" s="519"/>
      <c r="F186" s="519">
        <f t="shared" si="1"/>
        <v>0</v>
      </c>
    </row>
    <row r="187" spans="1:6" s="480" customFormat="1" ht="16.149999999999999" customHeight="1">
      <c r="A187" s="477"/>
      <c r="B187" s="518" t="s">
        <v>887</v>
      </c>
      <c r="C187" s="519" t="s">
        <v>562</v>
      </c>
      <c r="D187" s="519">
        <v>2</v>
      </c>
      <c r="E187" s="519"/>
      <c r="F187" s="519">
        <f t="shared" si="1"/>
        <v>0</v>
      </c>
    </row>
    <row r="188" spans="1:6" s="480" customFormat="1" ht="16.149999999999999" customHeight="1">
      <c r="A188" s="477"/>
      <c r="B188" s="518" t="s">
        <v>888</v>
      </c>
      <c r="C188" s="519" t="s">
        <v>562</v>
      </c>
      <c r="D188" s="519">
        <v>2</v>
      </c>
      <c r="E188" s="519"/>
      <c r="F188" s="519">
        <f t="shared" si="1"/>
        <v>0</v>
      </c>
    </row>
    <row r="189" spans="1:6" s="480" customFormat="1" ht="16.149999999999999" customHeight="1">
      <c r="A189" s="477"/>
      <c r="B189" s="518" t="s">
        <v>889</v>
      </c>
      <c r="C189" s="519" t="s">
        <v>562</v>
      </c>
      <c r="D189" s="519">
        <v>1</v>
      </c>
      <c r="E189" s="519"/>
      <c r="F189" s="519">
        <f t="shared" si="1"/>
        <v>0</v>
      </c>
    </row>
    <row r="190" spans="1:6" s="480" customFormat="1" ht="16.149999999999999" customHeight="1">
      <c r="A190" s="477"/>
      <c r="B190" s="518" t="s">
        <v>890</v>
      </c>
      <c r="C190" s="519" t="s">
        <v>562</v>
      </c>
      <c r="D190" s="519">
        <v>1</v>
      </c>
      <c r="E190" s="519"/>
      <c r="F190" s="519">
        <f t="shared" si="1"/>
        <v>0</v>
      </c>
    </row>
    <row r="191" spans="1:6" s="480" customFormat="1" ht="16.149999999999999" customHeight="1">
      <c r="A191" s="477"/>
      <c r="B191" s="518" t="s">
        <v>891</v>
      </c>
      <c r="C191" s="519" t="s">
        <v>562</v>
      </c>
      <c r="D191" s="519">
        <v>2</v>
      </c>
      <c r="E191" s="519"/>
      <c r="F191" s="519">
        <f t="shared" si="1"/>
        <v>0</v>
      </c>
    </row>
    <row r="192" spans="1:6" s="480" customFormat="1" ht="16.149999999999999" customHeight="1">
      <c r="A192" s="477"/>
      <c r="B192" s="518" t="s">
        <v>892</v>
      </c>
      <c r="C192" s="519" t="s">
        <v>562</v>
      </c>
      <c r="D192" s="519">
        <v>2</v>
      </c>
      <c r="E192" s="519"/>
      <c r="F192" s="519">
        <f t="shared" si="1"/>
        <v>0</v>
      </c>
    </row>
    <row r="193" spans="1:6" s="480" customFormat="1" ht="16.149999999999999" customHeight="1">
      <c r="A193" s="477"/>
      <c r="B193" s="518" t="s">
        <v>893</v>
      </c>
      <c r="C193" s="519" t="s">
        <v>562</v>
      </c>
      <c r="D193" s="519">
        <v>2</v>
      </c>
      <c r="E193" s="519"/>
      <c r="F193" s="519">
        <f t="shared" si="1"/>
        <v>0</v>
      </c>
    </row>
    <row r="194" spans="1:6" s="480" customFormat="1" ht="16.149999999999999" customHeight="1">
      <c r="A194" s="477"/>
      <c r="B194" s="518" t="s">
        <v>894</v>
      </c>
      <c r="C194" s="519" t="s">
        <v>562</v>
      </c>
      <c r="D194" s="519">
        <v>2</v>
      </c>
      <c r="E194" s="519"/>
      <c r="F194" s="519">
        <f t="shared" si="1"/>
        <v>0</v>
      </c>
    </row>
    <row r="195" spans="1:6" s="480" customFormat="1" ht="16.149999999999999" customHeight="1">
      <c r="A195" s="477"/>
      <c r="B195" s="518" t="s">
        <v>895</v>
      </c>
      <c r="C195" s="519" t="s">
        <v>562</v>
      </c>
      <c r="D195" s="519">
        <v>1</v>
      </c>
      <c r="E195" s="519"/>
      <c r="F195" s="519">
        <f t="shared" si="1"/>
        <v>0</v>
      </c>
    </row>
    <row r="196" spans="1:6" s="480" customFormat="1" ht="16.149999999999999" customHeight="1">
      <c r="A196" s="477"/>
      <c r="B196" s="518" t="s">
        <v>896</v>
      </c>
      <c r="C196" s="519" t="s">
        <v>562</v>
      </c>
      <c r="D196" s="519">
        <v>2</v>
      </c>
      <c r="E196" s="519"/>
      <c r="F196" s="519">
        <f t="shared" si="1"/>
        <v>0</v>
      </c>
    </row>
    <row r="197" spans="1:6" s="480" customFormat="1" ht="16.149999999999999" customHeight="1">
      <c r="A197" s="477"/>
      <c r="B197" s="518" t="s">
        <v>897</v>
      </c>
      <c r="C197" s="519" t="s">
        <v>562</v>
      </c>
      <c r="D197" s="519">
        <v>2</v>
      </c>
      <c r="E197" s="519"/>
      <c r="F197" s="519">
        <f t="shared" si="1"/>
        <v>0</v>
      </c>
    </row>
    <row r="198" spans="1:6" s="480" customFormat="1" ht="16.149999999999999" customHeight="1">
      <c r="A198" s="477"/>
      <c r="B198" s="518" t="s">
        <v>898</v>
      </c>
      <c r="C198" s="519" t="s">
        <v>562</v>
      </c>
      <c r="D198" s="519">
        <v>1</v>
      </c>
      <c r="E198" s="519"/>
      <c r="F198" s="519">
        <f t="shared" si="1"/>
        <v>0</v>
      </c>
    </row>
    <row r="199" spans="1:6" s="480" customFormat="1" ht="16.149999999999999" customHeight="1">
      <c r="A199" s="477"/>
      <c r="B199" s="518" t="s">
        <v>899</v>
      </c>
      <c r="C199" s="519" t="s">
        <v>562</v>
      </c>
      <c r="D199" s="519">
        <v>1</v>
      </c>
      <c r="E199" s="519"/>
      <c r="F199" s="519">
        <f t="shared" si="1"/>
        <v>0</v>
      </c>
    </row>
    <row r="200" spans="1:6" s="480" customFormat="1" ht="16.149999999999999" customHeight="1">
      <c r="A200" s="477"/>
      <c r="B200" s="518" t="s">
        <v>900</v>
      </c>
      <c r="C200" s="519" t="s">
        <v>562</v>
      </c>
      <c r="D200" s="519">
        <v>1</v>
      </c>
      <c r="E200" s="519"/>
      <c r="F200" s="519">
        <f t="shared" si="1"/>
        <v>0</v>
      </c>
    </row>
    <row r="201" spans="1:6" s="480" customFormat="1" ht="16.149999999999999" customHeight="1">
      <c r="A201" s="477"/>
      <c r="B201" s="518" t="s">
        <v>901</v>
      </c>
      <c r="C201" s="519" t="s">
        <v>562</v>
      </c>
      <c r="D201" s="519">
        <v>2</v>
      </c>
      <c r="E201" s="519"/>
      <c r="F201" s="519">
        <f t="shared" si="1"/>
        <v>0</v>
      </c>
    </row>
    <row r="202" spans="1:6" s="480" customFormat="1" ht="16.149999999999999" customHeight="1">
      <c r="A202" s="477"/>
      <c r="B202" s="518" t="s">
        <v>902</v>
      </c>
      <c r="C202" s="519" t="s">
        <v>562</v>
      </c>
      <c r="D202" s="519">
        <v>1</v>
      </c>
      <c r="E202" s="519"/>
      <c r="F202" s="519">
        <f t="shared" si="1"/>
        <v>0</v>
      </c>
    </row>
    <row r="203" spans="1:6" s="480" customFormat="1" ht="16.149999999999999" customHeight="1">
      <c r="A203" s="477"/>
      <c r="B203" s="518" t="s">
        <v>903</v>
      </c>
      <c r="C203" s="519" t="s">
        <v>562</v>
      </c>
      <c r="D203" s="519">
        <v>1</v>
      </c>
      <c r="E203" s="519"/>
      <c r="F203" s="519">
        <f t="shared" si="1"/>
        <v>0</v>
      </c>
    </row>
    <row r="204" spans="1:6" s="480" customFormat="1" ht="16.149999999999999" customHeight="1">
      <c r="A204" s="477"/>
      <c r="B204" s="518" t="s">
        <v>904</v>
      </c>
      <c r="C204" s="519" t="s">
        <v>562</v>
      </c>
      <c r="D204" s="519">
        <v>1</v>
      </c>
      <c r="E204" s="519"/>
      <c r="F204" s="519">
        <f t="shared" si="1"/>
        <v>0</v>
      </c>
    </row>
    <row r="205" spans="1:6" s="480" customFormat="1" ht="16.149999999999999" customHeight="1">
      <c r="A205" s="477"/>
      <c r="B205" s="518" t="s">
        <v>905</v>
      </c>
      <c r="C205" s="519" t="s">
        <v>562</v>
      </c>
      <c r="D205" s="519">
        <v>1</v>
      </c>
      <c r="E205" s="519"/>
      <c r="F205" s="519">
        <f t="shared" si="1"/>
        <v>0</v>
      </c>
    </row>
    <row r="206" spans="1:6" s="480" customFormat="1" ht="16.149999999999999" customHeight="1">
      <c r="A206" s="477"/>
      <c r="B206" s="518" t="s">
        <v>906</v>
      </c>
      <c r="C206" s="519" t="s">
        <v>562</v>
      </c>
      <c r="D206" s="519">
        <v>1</v>
      </c>
      <c r="E206" s="519"/>
      <c r="F206" s="519">
        <f t="shared" si="1"/>
        <v>0</v>
      </c>
    </row>
    <row r="207" spans="1:6" s="480" customFormat="1" ht="16.149999999999999" customHeight="1">
      <c r="A207" s="477"/>
      <c r="B207" s="518" t="s">
        <v>907</v>
      </c>
      <c r="C207" s="519" t="s">
        <v>562</v>
      </c>
      <c r="D207" s="519">
        <v>2</v>
      </c>
      <c r="E207" s="519"/>
      <c r="F207" s="519">
        <f t="shared" si="1"/>
        <v>0</v>
      </c>
    </row>
    <row r="208" spans="1:6" s="480" customFormat="1" ht="16.149999999999999" customHeight="1">
      <c r="A208" s="477"/>
      <c r="B208" s="518" t="s">
        <v>908</v>
      </c>
      <c r="C208" s="519" t="s">
        <v>562</v>
      </c>
      <c r="D208" s="519">
        <v>2</v>
      </c>
      <c r="E208" s="519"/>
      <c r="F208" s="519">
        <f t="shared" si="1"/>
        <v>0</v>
      </c>
    </row>
    <row r="209" spans="1:6" s="480" customFormat="1" ht="16.149999999999999" customHeight="1">
      <c r="A209" s="477"/>
      <c r="B209" s="518" t="s">
        <v>909</v>
      </c>
      <c r="C209" s="519" t="s">
        <v>562</v>
      </c>
      <c r="D209" s="519">
        <v>2</v>
      </c>
      <c r="E209" s="519"/>
      <c r="F209" s="519">
        <f t="shared" si="1"/>
        <v>0</v>
      </c>
    </row>
    <row r="210" spans="1:6" s="480" customFormat="1" ht="16.149999999999999" customHeight="1">
      <c r="A210" s="477"/>
      <c r="B210" s="518" t="s">
        <v>910</v>
      </c>
      <c r="C210" s="519" t="s">
        <v>562</v>
      </c>
      <c r="D210" s="519">
        <v>2</v>
      </c>
      <c r="E210" s="519"/>
      <c r="F210" s="519">
        <f t="shared" si="1"/>
        <v>0</v>
      </c>
    </row>
    <row r="211" spans="1:6" s="480" customFormat="1" ht="16.149999999999999" customHeight="1">
      <c r="A211" s="477"/>
      <c r="B211" s="518" t="s">
        <v>911</v>
      </c>
      <c r="C211" s="519" t="s">
        <v>562</v>
      </c>
      <c r="D211" s="519">
        <v>2</v>
      </c>
      <c r="E211" s="519"/>
      <c r="F211" s="519">
        <f t="shared" si="1"/>
        <v>0</v>
      </c>
    </row>
    <row r="212" spans="1:6" s="480" customFormat="1" ht="16.149999999999999" customHeight="1">
      <c r="A212" s="477"/>
      <c r="B212" s="518" t="s">
        <v>912</v>
      </c>
      <c r="C212" s="519" t="s">
        <v>562</v>
      </c>
      <c r="D212" s="519">
        <v>2</v>
      </c>
      <c r="E212" s="519"/>
      <c r="F212" s="519">
        <f t="shared" si="1"/>
        <v>0</v>
      </c>
    </row>
    <row r="213" spans="1:6" s="480" customFormat="1" ht="16.149999999999999" customHeight="1">
      <c r="A213" s="477"/>
      <c r="B213" s="518" t="s">
        <v>913</v>
      </c>
      <c r="C213" s="519" t="s">
        <v>562</v>
      </c>
      <c r="D213" s="519">
        <v>1</v>
      </c>
      <c r="E213" s="519"/>
      <c r="F213" s="519">
        <f t="shared" si="1"/>
        <v>0</v>
      </c>
    </row>
    <row r="214" spans="1:6" s="480" customFormat="1" ht="16.149999999999999" customHeight="1">
      <c r="A214" s="477"/>
      <c r="B214" s="518" t="s">
        <v>914</v>
      </c>
      <c r="C214" s="519" t="s">
        <v>562</v>
      </c>
      <c r="D214" s="519">
        <v>1</v>
      </c>
      <c r="E214" s="519"/>
      <c r="F214" s="519">
        <f t="shared" si="1"/>
        <v>0</v>
      </c>
    </row>
    <row r="215" spans="1:6" s="480" customFormat="1" ht="16.149999999999999" customHeight="1">
      <c r="A215" s="477"/>
      <c r="B215" s="518" t="s">
        <v>915</v>
      </c>
      <c r="C215" s="519" t="s">
        <v>562</v>
      </c>
      <c r="D215" s="519">
        <v>1</v>
      </c>
      <c r="E215" s="519"/>
      <c r="F215" s="519">
        <f t="shared" si="1"/>
        <v>0</v>
      </c>
    </row>
    <row r="216" spans="1:6" s="480" customFormat="1" ht="16.149999999999999" customHeight="1">
      <c r="A216" s="477"/>
      <c r="B216" s="518" t="s">
        <v>916</v>
      </c>
      <c r="C216" s="519" t="s">
        <v>562</v>
      </c>
      <c r="D216" s="519">
        <v>1</v>
      </c>
      <c r="E216" s="519"/>
      <c r="F216" s="519">
        <f t="shared" si="1"/>
        <v>0</v>
      </c>
    </row>
    <row r="217" spans="1:6" s="480" customFormat="1" ht="16.149999999999999" customHeight="1">
      <c r="A217" s="477"/>
      <c r="B217" s="518" t="s">
        <v>917</v>
      </c>
      <c r="C217" s="519" t="s">
        <v>562</v>
      </c>
      <c r="D217" s="519">
        <v>1</v>
      </c>
      <c r="E217" s="519"/>
      <c r="F217" s="519">
        <f t="shared" si="1"/>
        <v>0</v>
      </c>
    </row>
    <row r="218" spans="1:6" s="480" customFormat="1" ht="16.149999999999999" customHeight="1">
      <c r="A218" s="477"/>
      <c r="B218" s="518" t="s">
        <v>918</v>
      </c>
      <c r="C218" s="519" t="s">
        <v>562</v>
      </c>
      <c r="D218" s="519">
        <v>1</v>
      </c>
      <c r="E218" s="519"/>
      <c r="F218" s="519">
        <f t="shared" si="1"/>
        <v>0</v>
      </c>
    </row>
    <row r="219" spans="1:6" s="480" customFormat="1" ht="16.149999999999999" customHeight="1">
      <c r="A219" s="477"/>
      <c r="B219" s="518" t="s">
        <v>919</v>
      </c>
      <c r="C219" s="519" t="s">
        <v>562</v>
      </c>
      <c r="D219" s="519">
        <v>1</v>
      </c>
      <c r="E219" s="519"/>
      <c r="F219" s="519">
        <f t="shared" si="1"/>
        <v>0</v>
      </c>
    </row>
    <row r="220" spans="1:6" s="523" customFormat="1">
      <c r="A220" s="520"/>
      <c r="B220" s="521"/>
      <c r="C220" s="522"/>
      <c r="D220" s="522"/>
      <c r="E220" s="522"/>
      <c r="F220" s="522"/>
    </row>
    <row r="221" spans="1:6" s="525" customFormat="1">
      <c r="A221" s="432" t="s">
        <v>920</v>
      </c>
      <c r="B221" s="428" t="s">
        <v>921</v>
      </c>
      <c r="C221" s="432"/>
      <c r="D221" s="524"/>
      <c r="E221" s="432"/>
      <c r="F221" s="432"/>
    </row>
    <row r="222" spans="1:6" s="525" customFormat="1">
      <c r="A222" s="526"/>
      <c r="B222" s="428"/>
      <c r="C222" s="432"/>
      <c r="D222" s="524"/>
      <c r="E222" s="432"/>
      <c r="F222" s="432"/>
    </row>
    <row r="223" spans="1:6" s="525" customFormat="1" ht="72.599999999999994">
      <c r="A223" s="526"/>
      <c r="B223" s="527" t="s">
        <v>922</v>
      </c>
      <c r="C223" s="432"/>
      <c r="D223" s="432"/>
      <c r="E223" s="432"/>
      <c r="F223" s="432"/>
    </row>
    <row r="224" spans="1:6" s="525" customFormat="1" ht="101.45">
      <c r="A224" s="526"/>
      <c r="B224" s="527" t="s">
        <v>923</v>
      </c>
      <c r="C224" s="432"/>
      <c r="D224" s="432"/>
      <c r="E224" s="432"/>
      <c r="F224" s="432"/>
    </row>
    <row r="225" spans="1:6" s="525" customFormat="1" ht="43.5">
      <c r="A225" s="526"/>
      <c r="B225" s="527" t="s">
        <v>924</v>
      </c>
      <c r="C225" s="432"/>
      <c r="D225" s="432"/>
      <c r="E225" s="432"/>
      <c r="F225" s="432"/>
    </row>
    <row r="226" spans="1:6" s="525" customFormat="1" ht="99.6" customHeight="1">
      <c r="A226" s="526"/>
      <c r="B226" s="527" t="s">
        <v>925</v>
      </c>
      <c r="C226" s="432"/>
      <c r="D226" s="432"/>
      <c r="E226" s="432"/>
      <c r="F226" s="432"/>
    </row>
    <row r="227" spans="1:6" s="525" customFormat="1" ht="57.95">
      <c r="A227" s="526"/>
      <c r="B227" s="527" t="s">
        <v>926</v>
      </c>
      <c r="C227" s="432"/>
      <c r="D227" s="432"/>
      <c r="E227" s="432"/>
      <c r="F227" s="432"/>
    </row>
    <row r="228" spans="1:6" s="525" customFormat="1">
      <c r="A228" s="526"/>
      <c r="B228" s="525" t="s">
        <v>880</v>
      </c>
      <c r="C228" s="432"/>
      <c r="D228" s="432"/>
      <c r="E228" s="432"/>
      <c r="F228" s="432"/>
    </row>
    <row r="229" spans="1:6" s="525" customFormat="1" ht="15" thickBot="1">
      <c r="A229" s="526"/>
      <c r="B229" s="429"/>
      <c r="C229" s="432"/>
      <c r="D229" s="432"/>
      <c r="E229" s="432"/>
      <c r="F229" s="432"/>
    </row>
    <row r="230" spans="1:6" s="525" customFormat="1">
      <c r="A230" s="526"/>
      <c r="B230" s="528" t="s">
        <v>927</v>
      </c>
      <c r="C230" s="432"/>
      <c r="D230" s="432"/>
      <c r="E230" s="432"/>
      <c r="F230" s="432"/>
    </row>
    <row r="231" spans="1:6" s="525" customFormat="1">
      <c r="A231" s="526"/>
      <c r="B231" s="428" t="s">
        <v>928</v>
      </c>
      <c r="C231" s="432"/>
      <c r="D231" s="432"/>
      <c r="E231" s="432"/>
      <c r="F231" s="432"/>
    </row>
    <row r="232" spans="1:6" s="525" customFormat="1">
      <c r="A232" s="526"/>
      <c r="B232" s="428" t="s">
        <v>929</v>
      </c>
      <c r="C232" s="432"/>
      <c r="D232" s="432"/>
      <c r="E232" s="432"/>
      <c r="F232" s="432"/>
    </row>
    <row r="233" spans="1:6" s="525" customFormat="1" ht="16.5" customHeight="1">
      <c r="A233" s="526"/>
      <c r="B233" s="462" t="s">
        <v>930</v>
      </c>
      <c r="C233" s="519" t="s">
        <v>562</v>
      </c>
      <c r="D233" s="519">
        <v>1</v>
      </c>
      <c r="E233" s="519"/>
      <c r="F233" s="519">
        <f t="shared" ref="F233" si="2">D233*E233</f>
        <v>0</v>
      </c>
    </row>
    <row r="234" spans="1:6" ht="16.5" customHeight="1">
      <c r="A234" s="529"/>
      <c r="B234" s="530"/>
      <c r="C234" s="531"/>
      <c r="D234" s="531"/>
      <c r="E234" s="531"/>
      <c r="F234" s="531"/>
    </row>
    <row r="235" spans="1:6" s="480" customFormat="1">
      <c r="A235" s="477">
        <v>1.6</v>
      </c>
      <c r="B235" s="478" t="s">
        <v>931</v>
      </c>
      <c r="C235" s="479"/>
      <c r="D235" s="479"/>
      <c r="E235" s="479"/>
      <c r="F235" s="479"/>
    </row>
    <row r="236" spans="1:6" s="480" customFormat="1">
      <c r="A236" s="477"/>
      <c r="B236" s="478"/>
      <c r="C236" s="479"/>
      <c r="D236" s="479"/>
      <c r="E236" s="479"/>
      <c r="F236" s="479"/>
    </row>
    <row r="237" spans="1:6" s="480" customFormat="1">
      <c r="A237" s="477" t="s">
        <v>932</v>
      </c>
      <c r="B237" s="478" t="s">
        <v>933</v>
      </c>
      <c r="C237" s="479"/>
      <c r="D237" s="479"/>
      <c r="E237" s="479"/>
      <c r="F237" s="479"/>
    </row>
    <row r="238" spans="1:6" s="480" customFormat="1">
      <c r="A238" s="477"/>
      <c r="B238" s="478"/>
      <c r="C238" s="479"/>
      <c r="D238" s="479"/>
      <c r="E238" s="479"/>
      <c r="F238" s="479"/>
    </row>
    <row r="239" spans="1:6" s="480" customFormat="1" ht="57.95">
      <c r="A239" s="477"/>
      <c r="B239" s="453" t="s">
        <v>934</v>
      </c>
      <c r="C239" s="479"/>
      <c r="D239" s="479"/>
      <c r="E239" s="479"/>
      <c r="F239" s="479"/>
    </row>
    <row r="240" spans="1:6" s="480" customFormat="1" ht="101.45">
      <c r="A240" s="477"/>
      <c r="B240" s="453" t="s">
        <v>935</v>
      </c>
      <c r="C240" s="479"/>
      <c r="D240" s="479"/>
      <c r="E240" s="479"/>
      <c r="F240" s="479"/>
    </row>
    <row r="241" spans="1:6" s="480" customFormat="1" ht="43.5">
      <c r="A241" s="477"/>
      <c r="B241" s="453" t="s">
        <v>936</v>
      </c>
      <c r="C241" s="479"/>
      <c r="D241" s="479"/>
      <c r="E241" s="479"/>
      <c r="F241" s="479"/>
    </row>
    <row r="242" spans="1:6" s="480" customFormat="1" ht="87">
      <c r="A242" s="477"/>
      <c r="B242" s="453" t="s">
        <v>937</v>
      </c>
      <c r="C242" s="479"/>
      <c r="D242" s="479"/>
      <c r="E242" s="479"/>
      <c r="F242" s="479"/>
    </row>
    <row r="243" spans="1:6" s="480" customFormat="1" ht="57.95">
      <c r="A243" s="477"/>
      <c r="B243" s="453" t="s">
        <v>938</v>
      </c>
      <c r="C243" s="479"/>
      <c r="D243" s="479"/>
      <c r="E243" s="479"/>
      <c r="F243" s="479"/>
    </row>
    <row r="244" spans="1:6" s="480" customFormat="1">
      <c r="A244" s="477"/>
      <c r="B244" s="453" t="s">
        <v>939</v>
      </c>
      <c r="C244" s="479"/>
      <c r="D244" s="479"/>
      <c r="E244" s="479"/>
      <c r="F244" s="479"/>
    </row>
    <row r="245" spans="1:6" s="480" customFormat="1">
      <c r="A245" s="477"/>
      <c r="B245" s="478"/>
      <c r="C245" s="479"/>
      <c r="D245" s="479"/>
      <c r="E245" s="479"/>
      <c r="F245" s="479"/>
    </row>
    <row r="246" spans="1:6" s="480" customFormat="1">
      <c r="A246" s="477"/>
      <c r="B246" s="517" t="s">
        <v>940</v>
      </c>
      <c r="C246" s="479"/>
      <c r="D246" s="479"/>
      <c r="E246" s="479"/>
      <c r="F246" s="479"/>
    </row>
    <row r="247" spans="1:6" s="480" customFormat="1">
      <c r="A247" s="477"/>
      <c r="B247" s="478" t="s">
        <v>941</v>
      </c>
      <c r="C247" s="479"/>
      <c r="D247" s="479"/>
      <c r="E247" s="479"/>
      <c r="F247" s="479"/>
    </row>
    <row r="248" spans="1:6" s="480" customFormat="1">
      <c r="A248" s="477"/>
      <c r="B248" s="532"/>
      <c r="C248" s="479"/>
      <c r="D248" s="479"/>
      <c r="E248" s="479"/>
      <c r="F248" s="479"/>
    </row>
    <row r="249" spans="1:6" s="480" customFormat="1">
      <c r="A249" s="477"/>
      <c r="B249" s="518" t="s">
        <v>942</v>
      </c>
      <c r="C249" s="519" t="s">
        <v>562</v>
      </c>
      <c r="D249" s="519">
        <v>1</v>
      </c>
      <c r="E249" s="519"/>
      <c r="F249" s="519">
        <f t="shared" ref="F249:F251" si="3">+E249*D249</f>
        <v>0</v>
      </c>
    </row>
    <row r="250" spans="1:6" s="480" customFormat="1">
      <c r="A250" s="477"/>
      <c r="B250" s="518" t="s">
        <v>943</v>
      </c>
      <c r="C250" s="519" t="s">
        <v>562</v>
      </c>
      <c r="D250" s="519">
        <v>1</v>
      </c>
      <c r="E250" s="519"/>
      <c r="F250" s="519">
        <f t="shared" si="3"/>
        <v>0</v>
      </c>
    </row>
    <row r="251" spans="1:6" s="480" customFormat="1">
      <c r="A251" s="477"/>
      <c r="B251" s="518" t="s">
        <v>944</v>
      </c>
      <c r="C251" s="519" t="s">
        <v>562</v>
      </c>
      <c r="D251" s="519">
        <v>1</v>
      </c>
      <c r="E251" s="519"/>
      <c r="F251" s="519">
        <f t="shared" si="3"/>
        <v>0</v>
      </c>
    </row>
    <row r="252" spans="1:6" s="533" customFormat="1">
      <c r="A252" s="436"/>
      <c r="B252" s="438"/>
      <c r="C252" s="442"/>
      <c r="D252" s="441"/>
      <c r="E252" s="459"/>
      <c r="F252" s="459"/>
    </row>
    <row r="253" spans="1:6" s="525" customFormat="1">
      <c r="A253" s="432" t="s">
        <v>945</v>
      </c>
      <c r="B253" s="534" t="s">
        <v>946</v>
      </c>
      <c r="C253" s="432"/>
      <c r="D253" s="432"/>
      <c r="E253" s="432"/>
      <c r="F253" s="432"/>
    </row>
    <row r="254" spans="1:6" s="525" customFormat="1">
      <c r="A254" s="526"/>
      <c r="B254" s="534" t="s">
        <v>947</v>
      </c>
      <c r="C254" s="432"/>
      <c r="D254" s="432"/>
      <c r="E254" s="432"/>
      <c r="F254" s="432"/>
    </row>
    <row r="255" spans="1:6" s="525" customFormat="1">
      <c r="A255" s="526"/>
      <c r="B255" s="534"/>
      <c r="C255" s="432"/>
      <c r="D255" s="432"/>
      <c r="E255" s="432"/>
      <c r="F255" s="432"/>
    </row>
    <row r="256" spans="1:6" s="525" customFormat="1" ht="72.599999999999994">
      <c r="A256" s="526"/>
      <c r="B256" s="527" t="s">
        <v>948</v>
      </c>
      <c r="C256" s="432"/>
      <c r="D256" s="432"/>
      <c r="E256" s="432"/>
      <c r="F256" s="432"/>
    </row>
    <row r="257" spans="1:6" s="525" customFormat="1" ht="101.45">
      <c r="A257" s="526"/>
      <c r="B257" s="527" t="s">
        <v>949</v>
      </c>
      <c r="C257" s="432"/>
      <c r="D257" s="432"/>
      <c r="E257" s="432"/>
      <c r="F257" s="432"/>
    </row>
    <row r="258" spans="1:6" s="525" customFormat="1" ht="43.5">
      <c r="A258" s="526"/>
      <c r="B258" s="527" t="s">
        <v>950</v>
      </c>
      <c r="C258" s="432"/>
      <c r="D258" s="432"/>
      <c r="E258" s="432"/>
      <c r="F258" s="432"/>
    </row>
    <row r="259" spans="1:6" s="525" customFormat="1" ht="87">
      <c r="A259" s="526"/>
      <c r="B259" s="527" t="s">
        <v>951</v>
      </c>
      <c r="C259" s="432"/>
      <c r="D259" s="432"/>
      <c r="E259" s="432"/>
      <c r="F259" s="432"/>
    </row>
    <row r="260" spans="1:6" s="525" customFormat="1" ht="57.95">
      <c r="A260" s="526"/>
      <c r="B260" s="527" t="s">
        <v>938</v>
      </c>
      <c r="C260" s="432"/>
      <c r="D260" s="432"/>
      <c r="E260" s="432"/>
      <c r="F260" s="432"/>
    </row>
    <row r="261" spans="1:6" s="525" customFormat="1">
      <c r="A261" s="526"/>
      <c r="B261" s="525" t="s">
        <v>939</v>
      </c>
      <c r="C261" s="432"/>
      <c r="D261" s="432"/>
      <c r="E261" s="432"/>
      <c r="F261" s="432"/>
    </row>
    <row r="262" spans="1:6" s="525" customFormat="1">
      <c r="A262" s="526"/>
      <c r="B262" s="535"/>
      <c r="C262" s="432"/>
      <c r="D262" s="432"/>
      <c r="E262" s="432"/>
      <c r="F262" s="432"/>
    </row>
    <row r="263" spans="1:6" s="525" customFormat="1">
      <c r="A263" s="526"/>
      <c r="B263" s="517" t="s">
        <v>940</v>
      </c>
      <c r="C263" s="432"/>
      <c r="D263" s="432"/>
      <c r="E263" s="432"/>
      <c r="F263" s="432"/>
    </row>
    <row r="264" spans="1:6" s="525" customFormat="1">
      <c r="A264" s="526"/>
      <c r="B264" s="532" t="s">
        <v>952</v>
      </c>
      <c r="C264" s="432"/>
      <c r="D264" s="432"/>
      <c r="E264" s="432"/>
      <c r="F264" s="432"/>
    </row>
    <row r="265" spans="1:6" s="525" customFormat="1">
      <c r="A265" s="526"/>
      <c r="B265" s="518" t="s">
        <v>953</v>
      </c>
      <c r="C265" s="536" t="s">
        <v>562</v>
      </c>
      <c r="D265" s="536">
        <v>2</v>
      </c>
      <c r="E265" s="536"/>
      <c r="F265" s="536">
        <f>+E265*D265</f>
        <v>0</v>
      </c>
    </row>
    <row r="266" spans="1:6" s="525" customFormat="1">
      <c r="A266" s="526"/>
      <c r="B266" s="518" t="s">
        <v>954</v>
      </c>
      <c r="C266" s="536" t="s">
        <v>562</v>
      </c>
      <c r="D266" s="536">
        <v>1</v>
      </c>
      <c r="E266" s="536"/>
      <c r="F266" s="536">
        <f>+E266*D266</f>
        <v>0</v>
      </c>
    </row>
    <row r="267" spans="1:6" s="525" customFormat="1">
      <c r="A267" s="526"/>
      <c r="B267" s="518" t="s">
        <v>955</v>
      </c>
      <c r="C267" s="536" t="s">
        <v>562</v>
      </c>
      <c r="D267" s="536">
        <v>1</v>
      </c>
      <c r="E267" s="536"/>
      <c r="F267" s="536">
        <f>+E267*D267</f>
        <v>0</v>
      </c>
    </row>
    <row r="268" spans="1:6" s="525" customFormat="1">
      <c r="A268" s="526"/>
      <c r="B268" s="518" t="s">
        <v>956</v>
      </c>
      <c r="C268" s="536" t="s">
        <v>562</v>
      </c>
      <c r="D268" s="536">
        <v>1</v>
      </c>
      <c r="E268" s="536"/>
      <c r="F268" s="536">
        <f>+E268*D268</f>
        <v>0</v>
      </c>
    </row>
    <row r="269" spans="1:6" s="525" customFormat="1">
      <c r="A269" s="526"/>
      <c r="B269" s="518" t="s">
        <v>957</v>
      </c>
      <c r="C269" s="536" t="s">
        <v>562</v>
      </c>
      <c r="D269" s="536">
        <v>1</v>
      </c>
      <c r="E269" s="536"/>
      <c r="F269" s="536">
        <f>+E269*D269</f>
        <v>0</v>
      </c>
    </row>
    <row r="270" spans="1:6" s="454" customFormat="1">
      <c r="A270" s="537"/>
      <c r="B270" s="538"/>
      <c r="C270" s="539"/>
      <c r="D270" s="539"/>
      <c r="E270" s="539"/>
      <c r="F270" s="539"/>
    </row>
    <row r="271" spans="1:6" s="540" customFormat="1">
      <c r="A271" s="464" t="s">
        <v>958</v>
      </c>
      <c r="B271" s="428" t="s">
        <v>959</v>
      </c>
      <c r="C271" s="441"/>
      <c r="D271" s="441"/>
      <c r="E271" s="459"/>
      <c r="F271" s="459"/>
    </row>
    <row r="272" spans="1:6" s="540" customFormat="1">
      <c r="A272" s="431"/>
      <c r="B272" s="428" t="s">
        <v>960</v>
      </c>
      <c r="C272" s="441"/>
      <c r="D272" s="441"/>
      <c r="E272" s="459"/>
      <c r="F272" s="459"/>
    </row>
    <row r="273" spans="1:6" s="540" customFormat="1" ht="9" customHeight="1">
      <c r="A273" s="431"/>
      <c r="B273" s="429"/>
      <c r="C273" s="441"/>
      <c r="D273" s="441"/>
      <c r="E273" s="459"/>
      <c r="F273" s="459"/>
    </row>
    <row r="274" spans="1:6" s="540" customFormat="1" ht="225" customHeight="1">
      <c r="A274" s="431"/>
      <c r="B274" s="453" t="s">
        <v>961</v>
      </c>
      <c r="C274" s="441"/>
      <c r="D274" s="441"/>
      <c r="E274" s="459"/>
      <c r="F274" s="459"/>
    </row>
    <row r="275" spans="1:6" s="540" customFormat="1">
      <c r="A275" s="436"/>
      <c r="B275" s="541"/>
      <c r="C275" s="441"/>
      <c r="D275" s="441"/>
      <c r="E275" s="459"/>
      <c r="F275" s="459"/>
    </row>
    <row r="276" spans="1:6" s="544" customFormat="1">
      <c r="A276" s="466"/>
      <c r="B276" s="428" t="s">
        <v>962</v>
      </c>
      <c r="C276" s="526"/>
      <c r="D276" s="526"/>
      <c r="E276" s="542"/>
      <c r="F276" s="543"/>
    </row>
    <row r="277" spans="1:6" s="544" customFormat="1">
      <c r="A277" s="466"/>
      <c r="B277" s="428"/>
      <c r="C277" s="545"/>
      <c r="D277" s="545"/>
      <c r="E277" s="546"/>
      <c r="F277" s="547"/>
    </row>
    <row r="278" spans="1:6" s="544" customFormat="1">
      <c r="A278" s="466"/>
      <c r="B278" s="429" t="s">
        <v>963</v>
      </c>
      <c r="C278" s="545"/>
      <c r="D278" s="545"/>
      <c r="E278" s="546"/>
      <c r="F278" s="547"/>
    </row>
    <row r="279" spans="1:6" s="544" customFormat="1">
      <c r="A279" s="466"/>
      <c r="B279" s="429" t="s">
        <v>964</v>
      </c>
      <c r="C279" s="545"/>
      <c r="D279" s="545"/>
      <c r="E279" s="546"/>
      <c r="F279" s="547"/>
    </row>
    <row r="280" spans="1:6" s="544" customFormat="1">
      <c r="A280" s="466"/>
      <c r="B280" s="429" t="s">
        <v>965</v>
      </c>
      <c r="C280" s="545"/>
      <c r="D280" s="545"/>
      <c r="E280" s="546"/>
      <c r="F280" s="547"/>
    </row>
    <row r="281" spans="1:6" s="544" customFormat="1">
      <c r="A281" s="466"/>
      <c r="B281" s="429" t="s">
        <v>966</v>
      </c>
      <c r="C281" s="545"/>
      <c r="D281" s="545"/>
      <c r="E281" s="546"/>
      <c r="F281" s="547"/>
    </row>
    <row r="282" spans="1:6" s="544" customFormat="1">
      <c r="A282" s="466"/>
      <c r="B282" s="429" t="s">
        <v>967</v>
      </c>
      <c r="C282" s="432"/>
      <c r="D282" s="432"/>
      <c r="E282" s="456"/>
      <c r="F282" s="456"/>
    </row>
    <row r="283" spans="1:6" s="544" customFormat="1">
      <c r="A283" s="466"/>
      <c r="B283" s="429" t="s">
        <v>968</v>
      </c>
      <c r="C283" s="432"/>
      <c r="D283" s="432"/>
      <c r="E283" s="456"/>
      <c r="F283" s="456"/>
    </row>
    <row r="284" spans="1:6" s="544" customFormat="1">
      <c r="A284" s="466"/>
      <c r="B284" s="429" t="s">
        <v>969</v>
      </c>
      <c r="C284" s="432" t="s">
        <v>562</v>
      </c>
      <c r="D284" s="432">
        <v>1</v>
      </c>
      <c r="E284" s="456"/>
      <c r="F284" s="456">
        <f>+E284*D284</f>
        <v>0</v>
      </c>
    </row>
    <row r="285" spans="1:6" s="551" customFormat="1">
      <c r="A285" s="548"/>
      <c r="B285" s="408"/>
      <c r="C285" s="549"/>
      <c r="D285" s="549"/>
      <c r="E285" s="550"/>
      <c r="F285" s="550"/>
    </row>
    <row r="286" spans="1:6" s="525" customFormat="1" ht="23.25" customHeight="1">
      <c r="A286" s="552" t="s">
        <v>970</v>
      </c>
      <c r="B286" s="553" t="s">
        <v>971</v>
      </c>
      <c r="C286" s="432"/>
      <c r="D286" s="432"/>
      <c r="E286" s="456"/>
      <c r="F286" s="456"/>
    </row>
    <row r="287" spans="1:6" s="525" customFormat="1" ht="162" customHeight="1">
      <c r="A287" s="464"/>
      <c r="B287" s="554" t="s">
        <v>972</v>
      </c>
      <c r="C287" s="524"/>
      <c r="D287" s="524"/>
      <c r="E287" s="456"/>
      <c r="F287" s="456"/>
    </row>
    <row r="288" spans="1:6" s="525" customFormat="1">
      <c r="A288" s="464"/>
      <c r="B288" s="555"/>
      <c r="C288" s="524"/>
      <c r="D288" s="524"/>
      <c r="E288" s="456"/>
      <c r="F288" s="456"/>
    </row>
    <row r="289" spans="1:6" s="525" customFormat="1" ht="7.5" customHeight="1">
      <c r="A289" s="464"/>
      <c r="B289" s="556"/>
      <c r="C289" s="524"/>
      <c r="D289" s="524"/>
      <c r="E289" s="456"/>
      <c r="F289" s="456"/>
    </row>
    <row r="290" spans="1:6" s="562" customFormat="1" ht="20.65" customHeight="1">
      <c r="A290" s="557"/>
      <c r="B290" s="558" t="s">
        <v>973</v>
      </c>
      <c r="C290" s="559" t="s">
        <v>562</v>
      </c>
      <c r="D290" s="560">
        <v>2</v>
      </c>
      <c r="E290" s="561"/>
      <c r="F290" s="561">
        <f>E290*D290</f>
        <v>0</v>
      </c>
    </row>
    <row r="291" spans="1:6" s="562" customFormat="1" ht="20.65" customHeight="1">
      <c r="A291" s="557"/>
      <c r="B291" s="558" t="s">
        <v>974</v>
      </c>
      <c r="C291" s="559" t="s">
        <v>562</v>
      </c>
      <c r="D291" s="560">
        <v>4</v>
      </c>
      <c r="E291" s="561"/>
      <c r="F291" s="561">
        <f>E291*D291</f>
        <v>0</v>
      </c>
    </row>
    <row r="292" spans="1:6" s="562" customFormat="1" ht="20.65" customHeight="1">
      <c r="A292" s="557"/>
      <c r="B292" s="558" t="s">
        <v>975</v>
      </c>
      <c r="C292" s="559" t="s">
        <v>562</v>
      </c>
      <c r="D292" s="560">
        <v>2</v>
      </c>
      <c r="E292" s="561"/>
      <c r="F292" s="561">
        <f t="shared" ref="F292:F294" si="4">E292*D292</f>
        <v>0</v>
      </c>
    </row>
    <row r="293" spans="1:6" s="562" customFormat="1" ht="20.65" customHeight="1">
      <c r="A293" s="557"/>
      <c r="B293" s="558" t="s">
        <v>976</v>
      </c>
      <c r="C293" s="559" t="s">
        <v>562</v>
      </c>
      <c r="D293" s="560">
        <v>6</v>
      </c>
      <c r="E293" s="561"/>
      <c r="F293" s="561">
        <f t="shared" si="4"/>
        <v>0</v>
      </c>
    </row>
    <row r="294" spans="1:6" s="562" customFormat="1" ht="20.65" customHeight="1">
      <c r="A294" s="557"/>
      <c r="B294" s="558" t="s">
        <v>977</v>
      </c>
      <c r="C294" s="559" t="s">
        <v>562</v>
      </c>
      <c r="D294" s="560">
        <v>3</v>
      </c>
      <c r="E294" s="561"/>
      <c r="F294" s="561">
        <f t="shared" si="4"/>
        <v>0</v>
      </c>
    </row>
    <row r="295" spans="1:6" ht="14.1" customHeight="1">
      <c r="A295" s="563"/>
      <c r="B295" s="564" t="s">
        <v>713</v>
      </c>
      <c r="C295" s="565"/>
      <c r="D295" s="566"/>
      <c r="E295" s="567"/>
      <c r="F295" s="567"/>
    </row>
    <row r="296" spans="1:6" s="525" customFormat="1" ht="14.25" customHeight="1">
      <c r="A296" s="464" t="s">
        <v>978</v>
      </c>
      <c r="B296" s="428" t="s">
        <v>979</v>
      </c>
      <c r="C296" s="432"/>
      <c r="D296" s="432"/>
      <c r="E296" s="456"/>
      <c r="F296" s="456"/>
    </row>
    <row r="297" spans="1:6" s="525" customFormat="1" ht="14.25" customHeight="1">
      <c r="A297" s="464"/>
      <c r="B297" s="428"/>
      <c r="C297" s="432"/>
      <c r="D297" s="568"/>
      <c r="E297" s="456"/>
      <c r="F297" s="456"/>
    </row>
    <row r="298" spans="1:6" s="525" customFormat="1" ht="57.95">
      <c r="A298" s="464"/>
      <c r="B298" s="453" t="s">
        <v>980</v>
      </c>
      <c r="C298" s="432"/>
      <c r="D298" s="568"/>
      <c r="E298" s="456"/>
      <c r="F298" s="456"/>
    </row>
    <row r="299" spans="1:6" s="525" customFormat="1" ht="14.25" customHeight="1">
      <c r="A299" s="464"/>
      <c r="B299" s="556"/>
      <c r="C299" s="432"/>
      <c r="D299" s="568"/>
      <c r="E299" s="456"/>
      <c r="F299" s="456"/>
    </row>
    <row r="300" spans="1:6" s="525" customFormat="1" ht="14.25" customHeight="1">
      <c r="A300" s="464"/>
      <c r="B300" s="451" t="s">
        <v>981</v>
      </c>
      <c r="C300" s="432"/>
      <c r="D300" s="432"/>
      <c r="E300" s="456"/>
      <c r="F300" s="456"/>
    </row>
    <row r="301" spans="1:6" s="525" customFormat="1" ht="14.25" customHeight="1">
      <c r="A301" s="464"/>
      <c r="B301" s="429"/>
      <c r="C301" s="432"/>
      <c r="D301" s="568"/>
      <c r="E301" s="474"/>
      <c r="F301" s="474"/>
    </row>
    <row r="302" spans="1:6" s="525" customFormat="1" ht="14.25" customHeight="1">
      <c r="A302" s="464"/>
      <c r="B302" s="462" t="s">
        <v>982</v>
      </c>
      <c r="C302" s="536" t="s">
        <v>562</v>
      </c>
      <c r="D302" s="569">
        <v>4</v>
      </c>
      <c r="E302" s="570"/>
      <c r="F302" s="570">
        <f>E302*D302</f>
        <v>0</v>
      </c>
    </row>
    <row r="303" spans="1:6" s="525" customFormat="1" ht="14.25" customHeight="1">
      <c r="A303" s="464"/>
      <c r="B303" s="462"/>
      <c r="C303" s="536"/>
      <c r="D303" s="536"/>
      <c r="E303" s="570"/>
      <c r="F303" s="570"/>
    </row>
    <row r="304" spans="1:6" s="525" customFormat="1" ht="14.25" customHeight="1">
      <c r="A304" s="464"/>
      <c r="B304" s="462" t="s">
        <v>983</v>
      </c>
      <c r="C304" s="536" t="s">
        <v>562</v>
      </c>
      <c r="D304" s="569">
        <v>6</v>
      </c>
      <c r="E304" s="570"/>
      <c r="F304" s="570">
        <f>E304*D304</f>
        <v>0</v>
      </c>
    </row>
    <row r="305" spans="1:6" s="525" customFormat="1" ht="14.25" customHeight="1">
      <c r="A305" s="464"/>
      <c r="B305" s="462"/>
      <c r="C305" s="536"/>
      <c r="D305" s="536"/>
      <c r="E305" s="570"/>
      <c r="F305" s="570"/>
    </row>
    <row r="306" spans="1:6" s="525" customFormat="1" ht="14.25" customHeight="1">
      <c r="A306" s="464"/>
      <c r="B306" s="462" t="s">
        <v>984</v>
      </c>
      <c r="C306" s="536" t="s">
        <v>562</v>
      </c>
      <c r="D306" s="536">
        <v>9</v>
      </c>
      <c r="E306" s="570"/>
      <c r="F306" s="570">
        <f>E306*D306</f>
        <v>0</v>
      </c>
    </row>
    <row r="307" spans="1:6" s="525" customFormat="1" ht="14.25" customHeight="1">
      <c r="A307" s="464"/>
      <c r="B307" s="571"/>
      <c r="C307" s="536"/>
      <c r="D307" s="569"/>
      <c r="E307" s="570"/>
      <c r="F307" s="570"/>
    </row>
    <row r="308" spans="1:6" s="525" customFormat="1" ht="14.25" customHeight="1">
      <c r="A308" s="464"/>
      <c r="B308" s="462" t="s">
        <v>985</v>
      </c>
      <c r="C308" s="536" t="s">
        <v>562</v>
      </c>
      <c r="D308" s="569">
        <v>31</v>
      </c>
      <c r="E308" s="570"/>
      <c r="F308" s="570">
        <f>E308*D308</f>
        <v>0</v>
      </c>
    </row>
    <row r="309" spans="1:6" s="525" customFormat="1" ht="14.25" customHeight="1">
      <c r="A309" s="464"/>
      <c r="B309" s="571"/>
      <c r="C309" s="536"/>
      <c r="D309" s="569"/>
      <c r="E309" s="570"/>
      <c r="F309" s="570"/>
    </row>
    <row r="310" spans="1:6" s="525" customFormat="1" ht="14.25" customHeight="1">
      <c r="A310" s="464"/>
      <c r="B310" s="462" t="s">
        <v>986</v>
      </c>
      <c r="C310" s="536" t="s">
        <v>562</v>
      </c>
      <c r="D310" s="569">
        <v>11</v>
      </c>
      <c r="E310" s="570"/>
      <c r="F310" s="570">
        <f>E310*D310</f>
        <v>0</v>
      </c>
    </row>
    <row r="311" spans="1:6" ht="14.25" customHeight="1">
      <c r="A311" s="572"/>
      <c r="B311" s="573"/>
      <c r="C311" s="441"/>
      <c r="D311" s="574"/>
      <c r="E311" s="459"/>
      <c r="F311" s="459"/>
    </row>
    <row r="312" spans="1:6">
      <c r="A312" s="215">
        <v>1.9</v>
      </c>
      <c r="B312" s="424" t="s">
        <v>987</v>
      </c>
      <c r="C312" s="549"/>
      <c r="D312" s="549"/>
      <c r="E312" s="549"/>
      <c r="F312" s="549"/>
    </row>
    <row r="313" spans="1:6">
      <c r="A313" s="215"/>
      <c r="B313" s="424"/>
      <c r="C313" s="549"/>
      <c r="D313" s="549"/>
      <c r="E313" s="549"/>
      <c r="F313" s="549"/>
    </row>
    <row r="314" spans="1:6" s="525" customFormat="1">
      <c r="A314" s="575" t="s">
        <v>988</v>
      </c>
      <c r="B314" s="428" t="s">
        <v>989</v>
      </c>
      <c r="C314" s="432"/>
      <c r="D314" s="432"/>
      <c r="E314" s="432"/>
      <c r="F314" s="432"/>
    </row>
    <row r="315" spans="1:6" s="525" customFormat="1">
      <c r="A315" s="575"/>
      <c r="B315" s="428"/>
      <c r="C315" s="432"/>
      <c r="D315" s="432"/>
      <c r="E315" s="432"/>
      <c r="F315" s="432"/>
    </row>
    <row r="316" spans="1:6" s="525" customFormat="1" ht="160.9" customHeight="1">
      <c r="A316" s="575"/>
      <c r="B316" s="453" t="s">
        <v>990</v>
      </c>
      <c r="C316" s="576"/>
      <c r="D316" s="576"/>
      <c r="E316" s="576"/>
      <c r="F316" s="576"/>
    </row>
    <row r="317" spans="1:6" s="525" customFormat="1">
      <c r="A317" s="575"/>
      <c r="B317" s="453"/>
      <c r="C317" s="576"/>
      <c r="D317" s="576"/>
      <c r="E317" s="576"/>
      <c r="F317" s="576"/>
    </row>
    <row r="318" spans="1:6" s="525" customFormat="1">
      <c r="A318" s="575"/>
      <c r="B318" s="577" t="s">
        <v>991</v>
      </c>
      <c r="C318" s="432"/>
      <c r="D318" s="432"/>
      <c r="E318" s="432"/>
      <c r="F318" s="432"/>
    </row>
    <row r="319" spans="1:6" s="525" customFormat="1">
      <c r="A319" s="575"/>
      <c r="B319" s="428" t="s">
        <v>992</v>
      </c>
      <c r="C319" s="432"/>
      <c r="D319" s="432"/>
      <c r="E319" s="432"/>
      <c r="F319" s="432"/>
    </row>
    <row r="320" spans="1:6" s="525" customFormat="1">
      <c r="A320" s="575"/>
      <c r="B320" s="578" t="s">
        <v>993</v>
      </c>
      <c r="C320" s="432"/>
      <c r="D320" s="432"/>
      <c r="E320" s="432"/>
      <c r="F320" s="432"/>
    </row>
    <row r="321" spans="1:6" s="525" customFormat="1">
      <c r="A321" s="575"/>
      <c r="B321" s="462" t="s">
        <v>994</v>
      </c>
      <c r="C321" s="579" t="s">
        <v>562</v>
      </c>
      <c r="D321" s="536">
        <v>1</v>
      </c>
      <c r="E321" s="536"/>
      <c r="F321" s="536">
        <f>D321*E321</f>
        <v>0</v>
      </c>
    </row>
    <row r="322" spans="1:6" s="540" customFormat="1">
      <c r="A322" s="580"/>
      <c r="B322" s="581"/>
      <c r="C322" s="582"/>
      <c r="D322" s="582"/>
      <c r="E322" s="582"/>
      <c r="F322" s="582"/>
    </row>
    <row r="323" spans="1:6" s="525" customFormat="1">
      <c r="A323" s="575" t="s">
        <v>995</v>
      </c>
      <c r="B323" s="428" t="s">
        <v>996</v>
      </c>
      <c r="C323" s="432"/>
      <c r="D323" s="432"/>
      <c r="E323" s="432"/>
      <c r="F323" s="432"/>
    </row>
    <row r="324" spans="1:6" s="525" customFormat="1">
      <c r="A324" s="575"/>
      <c r="B324" s="429"/>
      <c r="C324" s="432"/>
      <c r="D324" s="432"/>
      <c r="E324" s="432"/>
      <c r="F324" s="432"/>
    </row>
    <row r="325" spans="1:6" s="525" customFormat="1" ht="116.1">
      <c r="A325" s="575"/>
      <c r="B325" s="463" t="s">
        <v>997</v>
      </c>
      <c r="C325" s="432"/>
      <c r="D325" s="432"/>
      <c r="E325" s="432"/>
      <c r="F325" s="432"/>
    </row>
    <row r="326" spans="1:6" s="525" customFormat="1">
      <c r="A326" s="575"/>
      <c r="B326" s="577" t="s">
        <v>656</v>
      </c>
      <c r="C326" s="432"/>
      <c r="D326" s="432"/>
      <c r="E326" s="432"/>
      <c r="F326" s="432"/>
    </row>
    <row r="327" spans="1:6" s="525" customFormat="1">
      <c r="A327" s="575"/>
      <c r="B327" s="428" t="s">
        <v>998</v>
      </c>
      <c r="C327" s="432"/>
      <c r="D327" s="432"/>
      <c r="E327" s="432"/>
      <c r="F327" s="432"/>
    </row>
    <row r="328" spans="1:6" s="525" customFormat="1">
      <c r="A328" s="575"/>
      <c r="B328" s="578" t="s">
        <v>658</v>
      </c>
      <c r="C328" s="432"/>
      <c r="D328" s="432"/>
      <c r="E328" s="432"/>
      <c r="F328" s="432"/>
    </row>
    <row r="329" spans="1:6" s="525" customFormat="1">
      <c r="A329" s="575"/>
      <c r="B329" s="462" t="s">
        <v>999</v>
      </c>
      <c r="C329" s="579" t="s">
        <v>562</v>
      </c>
      <c r="D329" s="560" t="s">
        <v>585</v>
      </c>
      <c r="E329" s="561"/>
      <c r="F329" s="561" t="s">
        <v>586</v>
      </c>
    </row>
    <row r="330" spans="1:6" s="540" customFormat="1">
      <c r="A330" s="583"/>
      <c r="B330" s="438"/>
      <c r="C330" s="442"/>
      <c r="D330" s="442"/>
      <c r="E330" s="441"/>
      <c r="F330" s="584"/>
    </row>
    <row r="331" spans="1:6" s="525" customFormat="1">
      <c r="A331" s="585" t="s">
        <v>1000</v>
      </c>
      <c r="B331" s="428" t="s">
        <v>1001</v>
      </c>
      <c r="C331" s="432"/>
      <c r="D331" s="432"/>
      <c r="E331" s="432"/>
      <c r="F331" s="432"/>
    </row>
    <row r="332" spans="1:6" s="525" customFormat="1">
      <c r="A332" s="575"/>
      <c r="B332" s="429"/>
      <c r="C332" s="432"/>
      <c r="D332" s="432"/>
      <c r="E332" s="432"/>
      <c r="F332" s="432"/>
    </row>
    <row r="333" spans="1:6" s="525" customFormat="1" ht="105" customHeight="1">
      <c r="A333" s="575"/>
      <c r="B333" s="586" t="s">
        <v>1002</v>
      </c>
      <c r="C333" s="432"/>
      <c r="D333" s="432"/>
      <c r="E333" s="432"/>
      <c r="F333" s="432"/>
    </row>
    <row r="334" spans="1:6" s="525" customFormat="1" ht="57.95">
      <c r="A334" s="575"/>
      <c r="B334" s="587" t="s">
        <v>1003</v>
      </c>
      <c r="C334" s="432"/>
      <c r="D334" s="432"/>
      <c r="E334" s="432"/>
      <c r="F334" s="432"/>
    </row>
    <row r="335" spans="1:6" s="525" customFormat="1">
      <c r="A335" s="575"/>
      <c r="B335" s="429" t="s">
        <v>1004</v>
      </c>
      <c r="C335" s="432"/>
      <c r="D335" s="432"/>
      <c r="E335" s="432"/>
      <c r="F335" s="432"/>
    </row>
    <row r="336" spans="1:6" s="525" customFormat="1">
      <c r="A336" s="575"/>
      <c r="B336" s="429" t="s">
        <v>1005</v>
      </c>
      <c r="C336" s="432"/>
      <c r="D336" s="432"/>
      <c r="E336" s="432"/>
      <c r="F336" s="432"/>
    </row>
    <row r="337" spans="1:15" s="525" customFormat="1">
      <c r="A337" s="575"/>
      <c r="B337" s="429" t="s">
        <v>1006</v>
      </c>
      <c r="C337" s="432"/>
      <c r="D337" s="432"/>
      <c r="E337" s="432"/>
      <c r="F337" s="432"/>
    </row>
    <row r="338" spans="1:15" s="525" customFormat="1">
      <c r="A338" s="575"/>
      <c r="B338" s="429" t="s">
        <v>1007</v>
      </c>
      <c r="C338" s="432"/>
      <c r="D338" s="432"/>
      <c r="E338" s="432"/>
      <c r="F338" s="432"/>
    </row>
    <row r="339" spans="1:15" s="525" customFormat="1">
      <c r="A339" s="575"/>
      <c r="B339" s="461"/>
      <c r="C339" s="432"/>
      <c r="D339" s="432"/>
      <c r="E339" s="432"/>
      <c r="F339" s="588"/>
    </row>
    <row r="340" spans="1:15" s="525" customFormat="1">
      <c r="A340" s="575"/>
      <c r="B340" s="589" t="s">
        <v>1008</v>
      </c>
      <c r="C340" s="536" t="s">
        <v>562</v>
      </c>
      <c r="D340" s="569">
        <v>1</v>
      </c>
      <c r="E340" s="579"/>
      <c r="F340" s="536">
        <f>D340*E340</f>
        <v>0</v>
      </c>
    </row>
    <row r="341" spans="1:15" s="454" customFormat="1">
      <c r="A341" s="227"/>
      <c r="B341" s="590"/>
      <c r="C341" s="539"/>
      <c r="D341" s="539"/>
      <c r="E341" s="539"/>
      <c r="F341" s="539"/>
    </row>
    <row r="342" spans="1:15">
      <c r="A342" s="278">
        <v>1.1000000000000001</v>
      </c>
      <c r="B342" s="424" t="s">
        <v>661</v>
      </c>
      <c r="C342" s="549"/>
      <c r="D342" s="549"/>
      <c r="E342" s="549"/>
      <c r="F342" s="549"/>
    </row>
    <row r="343" spans="1:15">
      <c r="A343" s="215"/>
      <c r="B343" s="530"/>
      <c r="C343" s="549"/>
      <c r="D343" s="549"/>
      <c r="E343" s="549"/>
      <c r="F343" s="549"/>
    </row>
    <row r="344" spans="1:15" ht="72.599999999999994">
      <c r="A344" s="215"/>
      <c r="B344" s="591" t="s">
        <v>662</v>
      </c>
      <c r="C344" s="549"/>
      <c r="D344" s="549"/>
      <c r="E344" s="549"/>
      <c r="F344" s="412"/>
    </row>
    <row r="345" spans="1:15">
      <c r="A345" s="215"/>
      <c r="B345" s="592" t="s">
        <v>663</v>
      </c>
      <c r="C345" s="549"/>
      <c r="D345" s="549"/>
      <c r="E345" s="549"/>
      <c r="F345" s="549"/>
    </row>
    <row r="346" spans="1:15">
      <c r="A346" s="215"/>
      <c r="B346" s="593"/>
      <c r="C346" s="549"/>
      <c r="D346" s="549"/>
      <c r="E346" s="549"/>
      <c r="F346" s="549"/>
    </row>
    <row r="347" spans="1:15">
      <c r="A347" s="215"/>
      <c r="B347" s="594" t="s">
        <v>664</v>
      </c>
      <c r="C347" s="549"/>
      <c r="D347" s="549"/>
      <c r="E347" s="549"/>
      <c r="F347" s="549"/>
    </row>
    <row r="348" spans="1:15">
      <c r="A348" s="215"/>
      <c r="B348" s="595" t="s">
        <v>665</v>
      </c>
      <c r="C348" s="549"/>
      <c r="D348" s="549"/>
      <c r="E348" s="549"/>
      <c r="F348" s="549"/>
    </row>
    <row r="349" spans="1:15">
      <c r="A349" s="215"/>
      <c r="B349" s="423" t="s">
        <v>1009</v>
      </c>
      <c r="C349" s="596" t="s">
        <v>562</v>
      </c>
      <c r="D349" s="597" t="s">
        <v>585</v>
      </c>
      <c r="E349" s="596"/>
      <c r="F349" s="596" t="s">
        <v>586</v>
      </c>
    </row>
    <row r="350" spans="1:15">
      <c r="A350" s="215"/>
      <c r="B350" s="423" t="s">
        <v>1010</v>
      </c>
      <c r="C350" s="596" t="s">
        <v>562</v>
      </c>
      <c r="D350" s="597" t="s">
        <v>585</v>
      </c>
      <c r="E350" s="596"/>
      <c r="F350" s="596" t="s">
        <v>586</v>
      </c>
      <c r="K350" s="598"/>
      <c r="L350" s="598"/>
      <c r="N350" s="598"/>
      <c r="O350" s="598"/>
    </row>
    <row r="351" spans="1:15">
      <c r="A351" s="215"/>
      <c r="B351" s="423" t="s">
        <v>1011</v>
      </c>
      <c r="C351" s="596" t="s">
        <v>562</v>
      </c>
      <c r="D351" s="596">
        <v>11</v>
      </c>
      <c r="E351" s="596"/>
      <c r="F351" s="596">
        <f t="shared" ref="F351" si="5">D351*E351</f>
        <v>0</v>
      </c>
      <c r="K351" s="598"/>
      <c r="L351" s="598"/>
      <c r="N351" s="598"/>
      <c r="O351" s="598"/>
    </row>
    <row r="352" spans="1:15">
      <c r="A352" s="215"/>
      <c r="B352" s="423" t="s">
        <v>1012</v>
      </c>
      <c r="C352" s="596" t="s">
        <v>562</v>
      </c>
      <c r="D352" s="597" t="s">
        <v>585</v>
      </c>
      <c r="E352" s="596"/>
      <c r="F352" s="596" t="s">
        <v>586</v>
      </c>
      <c r="K352" s="598"/>
      <c r="L352" s="598"/>
      <c r="N352" s="598"/>
      <c r="O352" s="598"/>
    </row>
    <row r="353" spans="1:15">
      <c r="A353" s="215"/>
      <c r="B353" s="423" t="s">
        <v>1013</v>
      </c>
      <c r="C353" s="596" t="s">
        <v>562</v>
      </c>
      <c r="D353" s="596">
        <v>4</v>
      </c>
      <c r="E353" s="596"/>
      <c r="F353" s="596">
        <f t="shared" ref="F353:F358" si="6">D353*E353</f>
        <v>0</v>
      </c>
      <c r="K353" s="598"/>
      <c r="L353" s="598"/>
      <c r="N353" s="598"/>
      <c r="O353" s="598"/>
    </row>
    <row r="354" spans="1:15">
      <c r="A354" s="215"/>
      <c r="B354" s="423" t="s">
        <v>1014</v>
      </c>
      <c r="C354" s="596" t="s">
        <v>562</v>
      </c>
      <c r="D354" s="597">
        <v>11</v>
      </c>
      <c r="E354" s="596"/>
      <c r="F354" s="596">
        <f t="shared" si="6"/>
        <v>0</v>
      </c>
      <c r="K354" s="598"/>
      <c r="L354" s="598"/>
      <c r="N354" s="598"/>
      <c r="O354" s="598"/>
    </row>
    <row r="355" spans="1:15">
      <c r="A355" s="215"/>
      <c r="B355" s="423" t="s">
        <v>1015</v>
      </c>
      <c r="C355" s="596" t="s">
        <v>562</v>
      </c>
      <c r="D355" s="597">
        <v>3</v>
      </c>
      <c r="E355" s="596"/>
      <c r="F355" s="596">
        <f t="shared" si="6"/>
        <v>0</v>
      </c>
      <c r="K355" s="598"/>
      <c r="L355" s="598"/>
      <c r="N355" s="598"/>
      <c r="O355" s="598"/>
    </row>
    <row r="356" spans="1:15">
      <c r="A356" s="215"/>
      <c r="B356" s="423" t="s">
        <v>1016</v>
      </c>
      <c r="C356" s="596" t="s">
        <v>562</v>
      </c>
      <c r="D356" s="597">
        <v>9</v>
      </c>
      <c r="E356" s="596"/>
      <c r="F356" s="596">
        <f t="shared" si="6"/>
        <v>0</v>
      </c>
      <c r="K356" s="598"/>
      <c r="L356" s="598"/>
      <c r="N356" s="598"/>
      <c r="O356" s="598"/>
    </row>
    <row r="357" spans="1:15">
      <c r="A357" s="215"/>
      <c r="B357" s="423" t="s">
        <v>1017</v>
      </c>
      <c r="C357" s="596" t="s">
        <v>562</v>
      </c>
      <c r="D357" s="596">
        <v>3</v>
      </c>
      <c r="E357" s="596"/>
      <c r="F357" s="596">
        <f t="shared" si="6"/>
        <v>0</v>
      </c>
      <c r="K357" s="598"/>
      <c r="L357" s="598"/>
      <c r="N357" s="598"/>
      <c r="O357" s="598"/>
    </row>
    <row r="358" spans="1:15">
      <c r="A358" s="215"/>
      <c r="B358" s="423" t="s">
        <v>1018</v>
      </c>
      <c r="C358" s="596" t="s">
        <v>562</v>
      </c>
      <c r="D358" s="596">
        <v>8</v>
      </c>
      <c r="E358" s="596"/>
      <c r="F358" s="596">
        <f t="shared" si="6"/>
        <v>0</v>
      </c>
      <c r="K358" s="598"/>
      <c r="L358" s="598"/>
      <c r="N358" s="598"/>
      <c r="O358" s="598"/>
    </row>
    <row r="359" spans="1:15">
      <c r="A359" s="227"/>
      <c r="B359" s="599"/>
      <c r="C359" s="539"/>
      <c r="D359" s="539"/>
      <c r="E359" s="539"/>
      <c r="F359" s="539"/>
      <c r="K359" s="598"/>
      <c r="L359" s="598"/>
      <c r="N359" s="598"/>
      <c r="O359" s="598"/>
    </row>
    <row r="360" spans="1:15">
      <c r="A360" s="278">
        <v>1.1100000000000001</v>
      </c>
      <c r="B360" s="424" t="s">
        <v>1019</v>
      </c>
      <c r="C360" s="539"/>
      <c r="D360" s="539"/>
      <c r="E360" s="539"/>
      <c r="F360" s="539"/>
    </row>
    <row r="361" spans="1:15">
      <c r="A361" s="600"/>
      <c r="B361" s="601"/>
      <c r="C361" s="602"/>
      <c r="D361" s="602"/>
      <c r="E361" s="602"/>
      <c r="F361" s="602"/>
    </row>
    <row r="362" spans="1:15" s="525" customFormat="1">
      <c r="A362" s="603"/>
      <c r="B362" s="604" t="s">
        <v>1020</v>
      </c>
      <c r="C362" s="605"/>
      <c r="D362" s="605"/>
      <c r="E362" s="605"/>
      <c r="F362" s="605"/>
    </row>
    <row r="363" spans="1:15" s="525" customFormat="1">
      <c r="A363" s="606"/>
      <c r="B363" s="607"/>
      <c r="C363" s="605"/>
      <c r="D363" s="605"/>
      <c r="E363" s="605"/>
      <c r="F363" s="605"/>
    </row>
    <row r="364" spans="1:15" s="525" customFormat="1">
      <c r="A364" s="608" t="s">
        <v>1021</v>
      </c>
      <c r="B364" s="543" t="s">
        <v>1022</v>
      </c>
      <c r="C364" s="456"/>
      <c r="D364" s="456"/>
      <c r="E364" s="456"/>
      <c r="F364" s="606"/>
    </row>
    <row r="365" spans="1:15" s="525" customFormat="1" ht="203.1">
      <c r="A365" s="608"/>
      <c r="B365" s="535" t="s">
        <v>1023</v>
      </c>
      <c r="C365" s="456"/>
      <c r="D365" s="456"/>
      <c r="E365" s="456"/>
      <c r="F365" s="606"/>
    </row>
    <row r="366" spans="1:15" s="525" customFormat="1">
      <c r="A366" s="609"/>
      <c r="B366" s="610" t="s">
        <v>1024</v>
      </c>
      <c r="C366" s="456"/>
      <c r="D366" s="456"/>
      <c r="E366" s="456"/>
      <c r="F366" s="606"/>
    </row>
    <row r="367" spans="1:15" s="525" customFormat="1">
      <c r="A367" s="609"/>
      <c r="B367" s="611" t="s">
        <v>1025</v>
      </c>
      <c r="C367" s="456"/>
      <c r="D367" s="456"/>
      <c r="E367" s="456"/>
      <c r="F367" s="606"/>
    </row>
    <row r="368" spans="1:15" s="525" customFormat="1">
      <c r="A368" s="609"/>
      <c r="B368" s="612" t="s">
        <v>1026</v>
      </c>
      <c r="C368" s="456"/>
      <c r="D368" s="456"/>
      <c r="E368" s="456"/>
      <c r="F368" s="606"/>
    </row>
    <row r="369" spans="1:6" s="525" customFormat="1">
      <c r="A369" s="609"/>
      <c r="B369" s="612" t="s">
        <v>1027</v>
      </c>
      <c r="C369" s="456"/>
      <c r="D369" s="456"/>
      <c r="E369" s="456"/>
      <c r="F369" s="606"/>
    </row>
    <row r="370" spans="1:6" s="525" customFormat="1">
      <c r="A370" s="609"/>
      <c r="B370" s="613" t="s">
        <v>1028</v>
      </c>
      <c r="C370" s="570" t="s">
        <v>562</v>
      </c>
      <c r="D370" s="570">
        <v>1</v>
      </c>
      <c r="E370" s="570"/>
      <c r="F370" s="570">
        <f t="shared" ref="F370:F380" si="7">D370*E370</f>
        <v>0</v>
      </c>
    </row>
    <row r="371" spans="1:6" s="525" customFormat="1">
      <c r="A371" s="609"/>
      <c r="B371" s="613" t="s">
        <v>1029</v>
      </c>
      <c r="C371" s="570" t="s">
        <v>562</v>
      </c>
      <c r="D371" s="570">
        <v>4</v>
      </c>
      <c r="E371" s="570"/>
      <c r="F371" s="570">
        <f t="shared" si="7"/>
        <v>0</v>
      </c>
    </row>
    <row r="372" spans="1:6" s="525" customFormat="1">
      <c r="A372" s="609"/>
      <c r="B372" s="614" t="s">
        <v>1030</v>
      </c>
      <c r="C372" s="570" t="s">
        <v>562</v>
      </c>
      <c r="D372" s="570">
        <v>1</v>
      </c>
      <c r="E372" s="570"/>
      <c r="F372" s="570">
        <f t="shared" si="7"/>
        <v>0</v>
      </c>
    </row>
    <row r="373" spans="1:6" s="525" customFormat="1">
      <c r="A373" s="609"/>
      <c r="B373" s="614" t="s">
        <v>1031</v>
      </c>
      <c r="C373" s="570" t="s">
        <v>562</v>
      </c>
      <c r="D373" s="570">
        <v>1</v>
      </c>
      <c r="E373" s="570"/>
      <c r="F373" s="570">
        <f t="shared" si="7"/>
        <v>0</v>
      </c>
    </row>
    <row r="374" spans="1:6" s="525" customFormat="1">
      <c r="A374" s="609"/>
      <c r="B374" s="613" t="s">
        <v>1032</v>
      </c>
      <c r="C374" s="570" t="s">
        <v>562</v>
      </c>
      <c r="D374" s="570">
        <v>1</v>
      </c>
      <c r="E374" s="570"/>
      <c r="F374" s="570">
        <f t="shared" si="7"/>
        <v>0</v>
      </c>
    </row>
    <row r="375" spans="1:6" s="525" customFormat="1">
      <c r="A375" s="609"/>
      <c r="B375" s="613" t="s">
        <v>1033</v>
      </c>
      <c r="C375" s="570" t="s">
        <v>562</v>
      </c>
      <c r="D375" s="570">
        <v>1</v>
      </c>
      <c r="E375" s="570"/>
      <c r="F375" s="570">
        <f t="shared" si="7"/>
        <v>0</v>
      </c>
    </row>
    <row r="376" spans="1:6" s="525" customFormat="1">
      <c r="A376" s="609"/>
      <c r="B376" s="615" t="s">
        <v>1034</v>
      </c>
      <c r="C376" s="570" t="s">
        <v>562</v>
      </c>
      <c r="D376" s="570">
        <v>1</v>
      </c>
      <c r="E376" s="570"/>
      <c r="F376" s="570">
        <f t="shared" si="7"/>
        <v>0</v>
      </c>
    </row>
    <row r="377" spans="1:6" s="525" customFormat="1">
      <c r="A377" s="609"/>
      <c r="B377" s="613" t="s">
        <v>1035</v>
      </c>
      <c r="C377" s="570" t="s">
        <v>562</v>
      </c>
      <c r="D377" s="570">
        <v>2</v>
      </c>
      <c r="E377" s="570"/>
      <c r="F377" s="570">
        <f t="shared" si="7"/>
        <v>0</v>
      </c>
    </row>
    <row r="378" spans="1:6" s="525" customFormat="1">
      <c r="A378" s="609"/>
      <c r="B378" s="614" t="s">
        <v>1036</v>
      </c>
      <c r="C378" s="570" t="s">
        <v>562</v>
      </c>
      <c r="D378" s="570">
        <v>1</v>
      </c>
      <c r="E378" s="570"/>
      <c r="F378" s="570">
        <f t="shared" si="7"/>
        <v>0</v>
      </c>
    </row>
    <row r="379" spans="1:6" s="525" customFormat="1">
      <c r="A379" s="609"/>
      <c r="B379" s="614" t="s">
        <v>1037</v>
      </c>
      <c r="C379" s="570" t="s">
        <v>562</v>
      </c>
      <c r="D379" s="570">
        <v>1</v>
      </c>
      <c r="E379" s="570"/>
      <c r="F379" s="570">
        <f t="shared" si="7"/>
        <v>0</v>
      </c>
    </row>
    <row r="380" spans="1:6" s="525" customFormat="1">
      <c r="A380" s="609"/>
      <c r="B380" s="614" t="s">
        <v>1038</v>
      </c>
      <c r="C380" s="570" t="s">
        <v>562</v>
      </c>
      <c r="D380" s="570">
        <v>1</v>
      </c>
      <c r="E380" s="570"/>
      <c r="F380" s="570">
        <f t="shared" si="7"/>
        <v>0</v>
      </c>
    </row>
    <row r="381" spans="1:6" s="540" customFormat="1">
      <c r="A381" s="616"/>
      <c r="B381" s="617"/>
      <c r="C381" s="459"/>
      <c r="D381" s="459"/>
      <c r="E381" s="459"/>
      <c r="F381" s="618"/>
    </row>
    <row r="382" spans="1:6" s="540" customFormat="1">
      <c r="A382" s="619"/>
      <c r="B382" s="543" t="s">
        <v>1039</v>
      </c>
      <c r="C382" s="459"/>
      <c r="D382" s="459"/>
      <c r="E382" s="459"/>
      <c r="F382" s="618"/>
    </row>
    <row r="383" spans="1:6" s="540" customFormat="1">
      <c r="A383" s="619"/>
      <c r="B383" s="543"/>
      <c r="C383" s="459"/>
      <c r="D383" s="459"/>
      <c r="E383" s="459"/>
      <c r="F383" s="618"/>
    </row>
    <row r="384" spans="1:6" s="540" customFormat="1">
      <c r="A384" s="608" t="s">
        <v>1040</v>
      </c>
      <c r="B384" s="543" t="s">
        <v>1041</v>
      </c>
      <c r="C384" s="459"/>
      <c r="D384" s="459"/>
      <c r="E384" s="459"/>
      <c r="F384" s="459"/>
    </row>
    <row r="385" spans="1:6" s="540" customFormat="1" ht="174">
      <c r="A385" s="618"/>
      <c r="B385" s="535" t="s">
        <v>1042</v>
      </c>
      <c r="C385" s="459"/>
      <c r="D385" s="459"/>
      <c r="E385" s="459"/>
      <c r="F385" s="459"/>
    </row>
    <row r="386" spans="1:6" s="525" customFormat="1">
      <c r="A386" s="609"/>
      <c r="B386" s="610" t="s">
        <v>1024</v>
      </c>
      <c r="C386" s="456"/>
      <c r="D386" s="456"/>
      <c r="E386" s="456"/>
      <c r="F386" s="606"/>
    </row>
    <row r="387" spans="1:6" s="525" customFormat="1">
      <c r="A387" s="609"/>
      <c r="B387" s="611" t="s">
        <v>1025</v>
      </c>
      <c r="C387" s="456"/>
      <c r="D387" s="456"/>
      <c r="E387" s="456"/>
      <c r="F387" s="606"/>
    </row>
    <row r="388" spans="1:6" s="525" customFormat="1">
      <c r="A388" s="609"/>
      <c r="B388" s="612" t="s">
        <v>1026</v>
      </c>
      <c r="C388" s="456"/>
      <c r="D388" s="456"/>
      <c r="E388" s="456"/>
      <c r="F388" s="606"/>
    </row>
    <row r="389" spans="1:6" s="525" customFormat="1">
      <c r="A389" s="609"/>
      <c r="B389" s="612" t="s">
        <v>1027</v>
      </c>
      <c r="C389" s="456"/>
      <c r="D389" s="456"/>
      <c r="E389" s="456"/>
      <c r="F389" s="606"/>
    </row>
    <row r="390" spans="1:6" s="525" customFormat="1">
      <c r="A390" s="609"/>
      <c r="B390" s="613" t="s">
        <v>1043</v>
      </c>
      <c r="C390" s="570" t="s">
        <v>562</v>
      </c>
      <c r="D390" s="570">
        <v>1</v>
      </c>
      <c r="E390" s="570"/>
      <c r="F390" s="570">
        <f t="shared" ref="F390:F400" si="8">D390*E390</f>
        <v>0</v>
      </c>
    </row>
    <row r="391" spans="1:6" s="525" customFormat="1">
      <c r="A391" s="609"/>
      <c r="B391" s="613" t="s">
        <v>1044</v>
      </c>
      <c r="C391" s="570" t="s">
        <v>562</v>
      </c>
      <c r="D391" s="570">
        <v>4</v>
      </c>
      <c r="E391" s="570"/>
      <c r="F391" s="570">
        <f t="shared" si="8"/>
        <v>0</v>
      </c>
    </row>
    <row r="392" spans="1:6" s="525" customFormat="1">
      <c r="A392" s="609"/>
      <c r="B392" s="614" t="s">
        <v>1045</v>
      </c>
      <c r="C392" s="570" t="s">
        <v>562</v>
      </c>
      <c r="D392" s="570">
        <v>1</v>
      </c>
      <c r="E392" s="570"/>
      <c r="F392" s="570">
        <f t="shared" si="8"/>
        <v>0</v>
      </c>
    </row>
    <row r="393" spans="1:6" s="525" customFormat="1">
      <c r="A393" s="609"/>
      <c r="B393" s="614" t="s">
        <v>1046</v>
      </c>
      <c r="C393" s="570" t="s">
        <v>562</v>
      </c>
      <c r="D393" s="570">
        <v>1</v>
      </c>
      <c r="E393" s="570"/>
      <c r="F393" s="570">
        <f t="shared" si="8"/>
        <v>0</v>
      </c>
    </row>
    <row r="394" spans="1:6" s="525" customFormat="1">
      <c r="A394" s="609"/>
      <c r="B394" s="613" t="s">
        <v>1047</v>
      </c>
      <c r="C394" s="570" t="s">
        <v>562</v>
      </c>
      <c r="D394" s="570">
        <v>1</v>
      </c>
      <c r="E394" s="570"/>
      <c r="F394" s="570">
        <f t="shared" si="8"/>
        <v>0</v>
      </c>
    </row>
    <row r="395" spans="1:6" s="525" customFormat="1">
      <c r="A395" s="609"/>
      <c r="B395" s="613" t="s">
        <v>1048</v>
      </c>
      <c r="C395" s="570" t="s">
        <v>562</v>
      </c>
      <c r="D395" s="570">
        <v>1</v>
      </c>
      <c r="E395" s="570"/>
      <c r="F395" s="570">
        <f t="shared" si="8"/>
        <v>0</v>
      </c>
    </row>
    <row r="396" spans="1:6" s="525" customFormat="1">
      <c r="A396" s="609"/>
      <c r="B396" s="615" t="s">
        <v>1049</v>
      </c>
      <c r="C396" s="570" t="s">
        <v>562</v>
      </c>
      <c r="D396" s="570">
        <v>1</v>
      </c>
      <c r="E396" s="570"/>
      <c r="F396" s="570">
        <f t="shared" si="8"/>
        <v>0</v>
      </c>
    </row>
    <row r="397" spans="1:6" s="525" customFormat="1">
      <c r="A397" s="609"/>
      <c r="B397" s="613" t="s">
        <v>1050</v>
      </c>
      <c r="C397" s="570" t="s">
        <v>562</v>
      </c>
      <c r="D397" s="570">
        <v>2</v>
      </c>
      <c r="E397" s="570"/>
      <c r="F397" s="570">
        <f t="shared" si="8"/>
        <v>0</v>
      </c>
    </row>
    <row r="398" spans="1:6" s="525" customFormat="1">
      <c r="A398" s="609"/>
      <c r="B398" s="614" t="s">
        <v>1051</v>
      </c>
      <c r="C398" s="570" t="s">
        <v>562</v>
      </c>
      <c r="D398" s="570">
        <v>1</v>
      </c>
      <c r="E398" s="570"/>
      <c r="F398" s="570">
        <f t="shared" si="8"/>
        <v>0</v>
      </c>
    </row>
    <row r="399" spans="1:6" s="525" customFormat="1">
      <c r="A399" s="609"/>
      <c r="B399" s="614" t="s">
        <v>1052</v>
      </c>
      <c r="C399" s="570" t="s">
        <v>562</v>
      </c>
      <c r="D399" s="570">
        <v>1</v>
      </c>
      <c r="E399" s="570"/>
      <c r="F399" s="570">
        <f t="shared" si="8"/>
        <v>0</v>
      </c>
    </row>
    <row r="400" spans="1:6" s="525" customFormat="1">
      <c r="A400" s="609"/>
      <c r="B400" s="614" t="s">
        <v>1053</v>
      </c>
      <c r="C400" s="570" t="s">
        <v>562</v>
      </c>
      <c r="D400" s="570">
        <v>1</v>
      </c>
      <c r="E400" s="570"/>
      <c r="F400" s="570">
        <f t="shared" si="8"/>
        <v>0</v>
      </c>
    </row>
    <row r="401" spans="1:6" s="540" customFormat="1">
      <c r="A401" s="620"/>
      <c r="B401" s="621" t="s">
        <v>1054</v>
      </c>
      <c r="C401" s="622"/>
      <c r="D401" s="622"/>
      <c r="E401" s="622"/>
      <c r="F401" s="622"/>
    </row>
    <row r="402" spans="1:6" s="540" customFormat="1">
      <c r="A402" s="620"/>
      <c r="B402" s="621" t="s">
        <v>1055</v>
      </c>
      <c r="C402" s="622"/>
      <c r="D402" s="622"/>
      <c r="E402" s="622"/>
      <c r="F402" s="622"/>
    </row>
    <row r="403" spans="1:6" s="540" customFormat="1">
      <c r="A403" s="620"/>
      <c r="B403" s="623" t="s">
        <v>1056</v>
      </c>
      <c r="C403" s="624" t="s">
        <v>562</v>
      </c>
      <c r="D403" s="624">
        <v>4</v>
      </c>
      <c r="E403" s="624"/>
      <c r="F403" s="624">
        <f>D403*E403</f>
        <v>0</v>
      </c>
    </row>
    <row r="404" spans="1:6" s="540" customFormat="1">
      <c r="A404" s="620"/>
      <c r="B404" s="625" t="s">
        <v>1057</v>
      </c>
      <c r="C404" s="622"/>
      <c r="D404" s="622"/>
      <c r="E404" s="570"/>
      <c r="F404" s="570"/>
    </row>
    <row r="405" spans="1:6" s="540" customFormat="1">
      <c r="A405" s="620"/>
      <c r="B405" s="623" t="s">
        <v>1058</v>
      </c>
      <c r="C405" s="624" t="s">
        <v>562</v>
      </c>
      <c r="D405" s="624">
        <v>2</v>
      </c>
      <c r="E405" s="624"/>
      <c r="F405" s="624">
        <f>D405*E405</f>
        <v>0</v>
      </c>
    </row>
    <row r="406" spans="1:6" s="540" customFormat="1">
      <c r="A406" s="620"/>
      <c r="B406" s="623" t="s">
        <v>1059</v>
      </c>
      <c r="C406" s="624" t="s">
        <v>562</v>
      </c>
      <c r="D406" s="624">
        <v>1</v>
      </c>
      <c r="E406" s="624"/>
      <c r="F406" s="624">
        <f>D406*E406</f>
        <v>0</v>
      </c>
    </row>
    <row r="407" spans="1:6" s="540" customFormat="1">
      <c r="A407" s="620"/>
      <c r="B407" s="623" t="s">
        <v>1060</v>
      </c>
      <c r="C407" s="624" t="s">
        <v>562</v>
      </c>
      <c r="D407" s="624">
        <v>1</v>
      </c>
      <c r="E407" s="624"/>
      <c r="F407" s="624">
        <f>D407*E407</f>
        <v>0</v>
      </c>
    </row>
    <row r="408" spans="1:6" s="525" customFormat="1">
      <c r="A408" s="438"/>
      <c r="B408" s="573"/>
      <c r="C408" s="441"/>
      <c r="D408" s="574"/>
      <c r="E408" s="442"/>
      <c r="F408" s="442"/>
    </row>
    <row r="409" spans="1:6" s="525" customFormat="1">
      <c r="A409" s="464" t="s">
        <v>1061</v>
      </c>
      <c r="B409" s="428" t="s">
        <v>668</v>
      </c>
      <c r="C409" s="524"/>
      <c r="D409" s="524"/>
      <c r="E409" s="524"/>
      <c r="F409" s="524"/>
    </row>
    <row r="410" spans="1:6" s="525" customFormat="1">
      <c r="A410" s="431"/>
      <c r="B410" s="626"/>
      <c r="C410" s="627"/>
      <c r="D410" s="432"/>
      <c r="E410" s="524"/>
      <c r="F410" s="524"/>
    </row>
    <row r="411" spans="1:6" s="525" customFormat="1" ht="57.95">
      <c r="A411" s="628"/>
      <c r="B411" s="586" t="s">
        <v>1062</v>
      </c>
      <c r="D411" s="429"/>
      <c r="E411" s="429"/>
      <c r="F411" s="429"/>
    </row>
    <row r="412" spans="1:6" s="525" customFormat="1" ht="8.25" customHeight="1">
      <c r="A412" s="429"/>
      <c r="B412" s="586"/>
      <c r="D412" s="429"/>
      <c r="E412" s="429"/>
      <c r="F412" s="429"/>
    </row>
    <row r="413" spans="1:6" s="525" customFormat="1">
      <c r="A413" s="429"/>
      <c r="B413" s="589" t="s">
        <v>1063</v>
      </c>
      <c r="C413" s="536" t="s">
        <v>562</v>
      </c>
      <c r="D413" s="569" t="s">
        <v>585</v>
      </c>
      <c r="E413" s="536"/>
      <c r="F413" s="536" t="s">
        <v>586</v>
      </c>
    </row>
    <row r="414" spans="1:6" s="525" customFormat="1">
      <c r="A414" s="429"/>
      <c r="B414" s="589" t="s">
        <v>1064</v>
      </c>
      <c r="C414" s="536" t="s">
        <v>562</v>
      </c>
      <c r="D414" s="569" t="s">
        <v>585</v>
      </c>
      <c r="E414" s="629"/>
      <c r="F414" s="536" t="s">
        <v>586</v>
      </c>
    </row>
    <row r="415" spans="1:6" s="525" customFormat="1">
      <c r="A415" s="429"/>
      <c r="B415" s="630"/>
      <c r="C415" s="432"/>
      <c r="D415" s="568"/>
      <c r="E415" s="524"/>
      <c r="F415" s="432"/>
    </row>
    <row r="416" spans="1:6" s="486" customFormat="1">
      <c r="A416" s="631" t="s">
        <v>1065</v>
      </c>
      <c r="B416" s="632" t="s">
        <v>1066</v>
      </c>
      <c r="C416" s="633"/>
      <c r="D416" s="634"/>
      <c r="E416" s="634"/>
      <c r="F416" s="633"/>
    </row>
    <row r="417" spans="1:6" s="486" customFormat="1">
      <c r="A417" s="515"/>
      <c r="B417" s="632"/>
      <c r="C417" s="633"/>
      <c r="D417" s="634"/>
      <c r="E417" s="634"/>
      <c r="F417" s="635"/>
    </row>
    <row r="418" spans="1:6" s="486" customFormat="1" ht="217.5">
      <c r="A418" s="515"/>
      <c r="B418" s="636" t="s">
        <v>1067</v>
      </c>
      <c r="C418" s="637"/>
      <c r="D418" s="515"/>
      <c r="E418" s="515"/>
      <c r="F418" s="638"/>
    </row>
    <row r="419" spans="1:6" s="486" customFormat="1">
      <c r="A419" s="515"/>
      <c r="B419" s="639" t="s">
        <v>1068</v>
      </c>
      <c r="C419" s="640" t="s">
        <v>1069</v>
      </c>
      <c r="D419" s="513">
        <v>60</v>
      </c>
      <c r="E419" s="514"/>
      <c r="F419" s="514">
        <f>D419*E419</f>
        <v>0</v>
      </c>
    </row>
    <row r="420" spans="1:6" s="486" customFormat="1">
      <c r="A420" s="515"/>
      <c r="B420" s="641" t="s">
        <v>1070</v>
      </c>
      <c r="C420" s="642"/>
      <c r="D420" s="643"/>
      <c r="E420" s="642"/>
      <c r="F420" s="642"/>
    </row>
    <row r="421" spans="1:6" s="486" customFormat="1">
      <c r="A421" s="515"/>
      <c r="B421" s="641"/>
      <c r="C421" s="485"/>
      <c r="D421" s="516"/>
      <c r="E421" s="485"/>
      <c r="F421" s="485"/>
    </row>
    <row r="422" spans="1:6" s="486" customFormat="1">
      <c r="A422" s="644">
        <v>1.1399999999999999</v>
      </c>
      <c r="B422" s="632" t="s">
        <v>1071</v>
      </c>
      <c r="C422" s="645"/>
      <c r="D422" s="646"/>
      <c r="E422" s="647"/>
      <c r="F422" s="647"/>
    </row>
    <row r="423" spans="1:6" s="486" customFormat="1">
      <c r="A423" s="648"/>
      <c r="B423" s="649"/>
      <c r="C423" s="645"/>
      <c r="D423" s="646"/>
      <c r="E423" s="647"/>
      <c r="F423" s="647"/>
    </row>
    <row r="424" spans="1:6" s="486" customFormat="1" ht="43.5">
      <c r="A424" s="650"/>
      <c r="B424" s="651" t="s">
        <v>1072</v>
      </c>
      <c r="C424" s="513" t="s">
        <v>685</v>
      </c>
      <c r="D424" s="514">
        <v>40</v>
      </c>
      <c r="E424" s="514"/>
      <c r="F424" s="513">
        <f>D424*E424</f>
        <v>0</v>
      </c>
    </row>
    <row r="425" spans="1:6" s="486" customFormat="1">
      <c r="A425" s="650"/>
      <c r="B425" s="652"/>
      <c r="C425" s="645"/>
      <c r="D425" s="646"/>
      <c r="E425" s="647"/>
      <c r="F425" s="653"/>
    </row>
    <row r="426" spans="1:6" s="486" customFormat="1" ht="144.94999999999999">
      <c r="A426" s="644" t="s">
        <v>1073</v>
      </c>
      <c r="B426" s="636" t="s">
        <v>1074</v>
      </c>
      <c r="C426" s="647"/>
      <c r="D426" s="646"/>
      <c r="E426" s="647"/>
      <c r="F426" s="653"/>
    </row>
    <row r="427" spans="1:6" s="486" customFormat="1">
      <c r="A427" s="648"/>
      <c r="B427" s="651" t="s">
        <v>1075</v>
      </c>
      <c r="C427" s="654" t="s">
        <v>562</v>
      </c>
      <c r="D427" s="513">
        <v>22</v>
      </c>
      <c r="E427" s="514"/>
      <c r="F427" s="514">
        <f>D427*E427</f>
        <v>0</v>
      </c>
    </row>
    <row r="428" spans="1:6" s="486" customFormat="1">
      <c r="A428" s="648"/>
      <c r="B428" s="655" t="s">
        <v>1076</v>
      </c>
      <c r="C428" s="654" t="s">
        <v>562</v>
      </c>
      <c r="D428" s="513" t="s">
        <v>585</v>
      </c>
      <c r="E428" s="514"/>
      <c r="F428" s="514" t="s">
        <v>586</v>
      </c>
    </row>
    <row r="429" spans="1:6" s="486" customFormat="1">
      <c r="A429" s="648"/>
      <c r="B429" s="656"/>
      <c r="C429" s="647"/>
      <c r="D429" s="646"/>
      <c r="E429" s="653"/>
      <c r="F429" s="653"/>
    </row>
    <row r="430" spans="1:6" s="486" customFormat="1">
      <c r="A430" s="644">
        <v>1.1599999999999999</v>
      </c>
      <c r="B430" s="632" t="s">
        <v>1077</v>
      </c>
      <c r="C430" s="647"/>
      <c r="D430" s="646"/>
      <c r="E430" s="653"/>
      <c r="F430" s="653"/>
    </row>
    <row r="431" spans="1:6" s="486" customFormat="1" ht="72.599999999999994">
      <c r="A431" s="644"/>
      <c r="B431" s="636" t="s">
        <v>1078</v>
      </c>
      <c r="C431" s="513" t="s">
        <v>1069</v>
      </c>
      <c r="D431" s="514">
        <v>8</v>
      </c>
      <c r="E431" s="514"/>
      <c r="F431" s="513">
        <f>D431*E431</f>
        <v>0</v>
      </c>
    </row>
    <row r="432" spans="1:6">
      <c r="A432" s="449"/>
      <c r="B432" s="657"/>
      <c r="C432" s="658"/>
      <c r="D432" s="441"/>
      <c r="E432" s="442"/>
      <c r="F432" s="442"/>
    </row>
    <row r="433" spans="1:6" ht="15.75" customHeight="1">
      <c r="A433" s="659" t="s">
        <v>1079</v>
      </c>
      <c r="B433" s="660"/>
      <c r="C433" s="661"/>
      <c r="D433" s="662"/>
      <c r="E433" s="663"/>
      <c r="F433" s="664">
        <f>SUM(F24:F432)</f>
        <v>0</v>
      </c>
    </row>
    <row r="434" spans="1:6">
      <c r="A434" s="466"/>
      <c r="B434" s="665"/>
      <c r="C434" s="666"/>
      <c r="D434" s="582"/>
      <c r="E434" s="667"/>
      <c r="F434" s="668"/>
    </row>
    <row r="435" spans="1:6" s="525" customFormat="1">
      <c r="A435" s="630" t="s">
        <v>679</v>
      </c>
      <c r="B435" s="669" t="s">
        <v>1080</v>
      </c>
      <c r="C435" s="432"/>
      <c r="D435" s="524"/>
      <c r="E435" s="524"/>
      <c r="F435" s="526"/>
    </row>
    <row r="436" spans="1:6" s="525" customFormat="1">
      <c r="A436" s="630"/>
      <c r="B436" s="669"/>
      <c r="C436" s="432"/>
      <c r="D436" s="524"/>
      <c r="E436" s="524"/>
      <c r="F436" s="526"/>
    </row>
    <row r="437" spans="1:6" s="525" customFormat="1" ht="43.5">
      <c r="A437" s="427" t="s">
        <v>680</v>
      </c>
      <c r="B437" s="670" t="s">
        <v>1081</v>
      </c>
      <c r="C437" s="432"/>
      <c r="D437" s="524"/>
      <c r="E437" s="524"/>
      <c r="F437" s="432"/>
    </row>
    <row r="438" spans="1:6" s="525" customFormat="1">
      <c r="A438" s="433"/>
      <c r="B438" s="467"/>
      <c r="C438" s="432"/>
      <c r="D438" s="524"/>
      <c r="E438" s="524"/>
      <c r="F438" s="432"/>
    </row>
    <row r="439" spans="1:6" s="525" customFormat="1">
      <c r="A439" s="433"/>
      <c r="B439" s="671" t="s">
        <v>1082</v>
      </c>
      <c r="C439" s="536" t="s">
        <v>616</v>
      </c>
      <c r="D439" s="672" t="s">
        <v>585</v>
      </c>
      <c r="E439" s="569"/>
      <c r="F439" s="536" t="s">
        <v>586</v>
      </c>
    </row>
    <row r="440" spans="1:6" s="525" customFormat="1" ht="15.75" customHeight="1">
      <c r="A440" s="433"/>
      <c r="B440" s="671" t="s">
        <v>1083</v>
      </c>
      <c r="C440" s="536" t="s">
        <v>616</v>
      </c>
      <c r="D440" s="672">
        <v>140</v>
      </c>
      <c r="E440" s="536"/>
      <c r="F440" s="536">
        <f>+E440*D440</f>
        <v>0</v>
      </c>
    </row>
    <row r="441" spans="1:6" s="525" customFormat="1" ht="15.75" customHeight="1">
      <c r="A441" s="433"/>
      <c r="B441" s="671" t="s">
        <v>1084</v>
      </c>
      <c r="C441" s="536" t="s">
        <v>616</v>
      </c>
      <c r="D441" s="672">
        <v>10</v>
      </c>
      <c r="E441" s="536"/>
      <c r="F441" s="536">
        <f>+E441*D441</f>
        <v>0</v>
      </c>
    </row>
    <row r="442" spans="1:6" s="525" customFormat="1">
      <c r="A442" s="433"/>
      <c r="B442" s="671" t="s">
        <v>1085</v>
      </c>
      <c r="C442" s="536" t="s">
        <v>616</v>
      </c>
      <c r="D442" s="569">
        <v>100</v>
      </c>
      <c r="E442" s="536"/>
      <c r="F442" s="536">
        <f>+E442*D442</f>
        <v>0</v>
      </c>
    </row>
    <row r="443" spans="1:6" s="525" customFormat="1">
      <c r="A443" s="433"/>
      <c r="B443" s="671" t="s">
        <v>1086</v>
      </c>
      <c r="C443" s="536" t="s">
        <v>616</v>
      </c>
      <c r="D443" s="536">
        <v>10</v>
      </c>
      <c r="E443" s="536"/>
      <c r="F443" s="536">
        <f>+E443*D443</f>
        <v>0</v>
      </c>
    </row>
    <row r="444" spans="1:6" s="525" customFormat="1">
      <c r="A444" s="433"/>
      <c r="B444" s="671" t="s">
        <v>1087</v>
      </c>
      <c r="C444" s="536" t="s">
        <v>616</v>
      </c>
      <c r="D444" s="536">
        <v>60</v>
      </c>
      <c r="E444" s="536"/>
      <c r="F444" s="536">
        <f>+E444*D444</f>
        <v>0</v>
      </c>
    </row>
    <row r="445" spans="1:6" s="525" customFormat="1" ht="15.75" customHeight="1">
      <c r="A445" s="449"/>
      <c r="B445" s="665"/>
      <c r="C445" s="441"/>
      <c r="D445" s="673"/>
      <c r="E445" s="442"/>
      <c r="F445" s="441"/>
    </row>
    <row r="446" spans="1:6" s="525" customFormat="1" ht="44.25" customHeight="1">
      <c r="A446" s="427" t="s">
        <v>1088</v>
      </c>
      <c r="B446" s="670" t="s">
        <v>1089</v>
      </c>
      <c r="C446" s="432"/>
      <c r="D446" s="524"/>
      <c r="E446" s="524"/>
      <c r="F446" s="432"/>
    </row>
    <row r="447" spans="1:6" s="525" customFormat="1" ht="15.75" customHeight="1">
      <c r="A447" s="427"/>
      <c r="B447" s="670"/>
      <c r="C447" s="432"/>
      <c r="D447" s="524"/>
      <c r="E447" s="524"/>
      <c r="F447" s="432"/>
    </row>
    <row r="448" spans="1:6" s="525" customFormat="1">
      <c r="A448" s="433"/>
      <c r="B448" s="671" t="s">
        <v>1090</v>
      </c>
      <c r="C448" s="536" t="s">
        <v>562</v>
      </c>
      <c r="D448" s="672" t="s">
        <v>585</v>
      </c>
      <c r="E448" s="569"/>
      <c r="F448" s="536" t="s">
        <v>586</v>
      </c>
    </row>
    <row r="449" spans="1:6" s="525" customFormat="1">
      <c r="A449" s="433"/>
      <c r="B449" s="671" t="s">
        <v>1091</v>
      </c>
      <c r="C449" s="536" t="s">
        <v>562</v>
      </c>
      <c r="D449" s="672">
        <v>9</v>
      </c>
      <c r="E449" s="672"/>
      <c r="F449" s="536">
        <f>+E449*D449</f>
        <v>0</v>
      </c>
    </row>
    <row r="450" spans="1:6" s="525" customFormat="1" ht="15.75" customHeight="1">
      <c r="A450" s="433"/>
      <c r="B450" s="671" t="s">
        <v>1092</v>
      </c>
      <c r="C450" s="536" t="s">
        <v>562</v>
      </c>
      <c r="D450" s="672">
        <v>3</v>
      </c>
      <c r="E450" s="672"/>
      <c r="F450" s="536">
        <f>E450*D450</f>
        <v>0</v>
      </c>
    </row>
    <row r="451" spans="1:6" s="525" customFormat="1" ht="15.75" customHeight="1">
      <c r="A451" s="449"/>
      <c r="B451" s="665"/>
      <c r="C451" s="441"/>
      <c r="D451" s="673"/>
      <c r="E451" s="667"/>
      <c r="F451" s="582"/>
    </row>
    <row r="452" spans="1:6" s="525" customFormat="1" ht="45.75" customHeight="1">
      <c r="A452" s="427" t="s">
        <v>1093</v>
      </c>
      <c r="B452" s="670" t="s">
        <v>1094</v>
      </c>
      <c r="C452" s="432"/>
      <c r="D452" s="674"/>
      <c r="E452" s="524"/>
      <c r="F452" s="432"/>
    </row>
    <row r="453" spans="1:6" s="525" customFormat="1" ht="10.5" customHeight="1">
      <c r="A453" s="433"/>
      <c r="B453" s="467"/>
      <c r="C453" s="432"/>
      <c r="D453" s="674"/>
      <c r="E453" s="524"/>
      <c r="F453" s="432"/>
    </row>
    <row r="454" spans="1:6" s="525" customFormat="1">
      <c r="A454" s="433"/>
      <c r="B454" s="671" t="s">
        <v>1090</v>
      </c>
      <c r="C454" s="536" t="s">
        <v>562</v>
      </c>
      <c r="D454" s="672" t="s">
        <v>585</v>
      </c>
      <c r="E454" s="569"/>
      <c r="F454" s="536" t="s">
        <v>586</v>
      </c>
    </row>
    <row r="455" spans="1:6" s="525" customFormat="1" ht="12.75" customHeight="1">
      <c r="A455" s="433"/>
      <c r="B455" s="671" t="s">
        <v>1095</v>
      </c>
      <c r="C455" s="536" t="s">
        <v>562</v>
      </c>
      <c r="D455" s="672">
        <v>9</v>
      </c>
      <c r="E455" s="672"/>
      <c r="F455" s="536">
        <f>+E455*D455</f>
        <v>0</v>
      </c>
    </row>
    <row r="456" spans="1:6" s="525" customFormat="1" ht="12.75" customHeight="1">
      <c r="A456" s="449"/>
      <c r="B456" s="665"/>
      <c r="C456" s="441"/>
      <c r="D456" s="673"/>
      <c r="E456" s="442"/>
      <c r="F456" s="441"/>
    </row>
    <row r="457" spans="1:6" s="525" customFormat="1">
      <c r="A457" s="427" t="s">
        <v>1096</v>
      </c>
      <c r="B457" s="670" t="s">
        <v>1097</v>
      </c>
      <c r="C457" s="432"/>
      <c r="D457" s="524"/>
      <c r="E457" s="524"/>
      <c r="F457" s="432"/>
    </row>
    <row r="458" spans="1:6" s="525" customFormat="1" ht="12.75" customHeight="1">
      <c r="A458" s="433"/>
      <c r="B458" s="467"/>
      <c r="C458" s="432"/>
      <c r="D458" s="524"/>
      <c r="E458" s="524"/>
      <c r="F458" s="432"/>
    </row>
    <row r="459" spans="1:6" s="525" customFormat="1">
      <c r="A459" s="433"/>
      <c r="B459" s="671" t="s">
        <v>1098</v>
      </c>
      <c r="C459" s="536" t="s">
        <v>562</v>
      </c>
      <c r="D459" s="672">
        <v>5</v>
      </c>
      <c r="E459" s="536"/>
      <c r="F459" s="536">
        <f>+E459*D459</f>
        <v>0</v>
      </c>
    </row>
    <row r="460" spans="1:6" s="525" customFormat="1">
      <c r="A460" s="433"/>
      <c r="B460" s="675" t="s">
        <v>1099</v>
      </c>
      <c r="C460" s="588" t="s">
        <v>562</v>
      </c>
      <c r="D460" s="672">
        <v>5</v>
      </c>
      <c r="E460" s="569"/>
      <c r="F460" s="536">
        <f>+E460*D460</f>
        <v>0</v>
      </c>
    </row>
    <row r="461" spans="1:6" s="525" customFormat="1" ht="12.75" customHeight="1">
      <c r="A461" s="449"/>
      <c r="B461" s="665"/>
      <c r="C461" s="441"/>
      <c r="D461" s="442"/>
      <c r="E461" s="442"/>
      <c r="F461" s="441"/>
    </row>
    <row r="462" spans="1:6" s="525" customFormat="1" ht="30.95" customHeight="1">
      <c r="A462" s="427" t="s">
        <v>1100</v>
      </c>
      <c r="B462" s="670" t="s">
        <v>1101</v>
      </c>
      <c r="C462" s="432"/>
      <c r="D462" s="524"/>
      <c r="E462" s="524"/>
      <c r="F462" s="432"/>
    </row>
    <row r="463" spans="1:6" s="525" customFormat="1">
      <c r="A463" s="433"/>
      <c r="B463" s="467"/>
      <c r="C463" s="432"/>
      <c r="D463" s="524"/>
      <c r="E463" s="524"/>
      <c r="F463" s="432"/>
    </row>
    <row r="464" spans="1:6" s="525" customFormat="1" ht="12" customHeight="1">
      <c r="A464" s="433"/>
      <c r="B464" s="671" t="s">
        <v>1102</v>
      </c>
      <c r="C464" s="536" t="s">
        <v>562</v>
      </c>
      <c r="D464" s="672" t="s">
        <v>585</v>
      </c>
      <c r="E464" s="569"/>
      <c r="F464" s="536" t="s">
        <v>586</v>
      </c>
    </row>
    <row r="465" spans="1:6" s="525" customFormat="1">
      <c r="A465" s="433"/>
      <c r="B465" s="671" t="s">
        <v>1091</v>
      </c>
      <c r="C465" s="536" t="s">
        <v>562</v>
      </c>
      <c r="D465" s="672">
        <v>6</v>
      </c>
      <c r="E465" s="672"/>
      <c r="F465" s="536">
        <f>+E465*D465</f>
        <v>0</v>
      </c>
    </row>
    <row r="466" spans="1:6" s="525" customFormat="1" ht="17.100000000000001" customHeight="1">
      <c r="A466" s="676"/>
      <c r="B466" s="677"/>
      <c r="C466" s="678"/>
      <c r="D466" s="679"/>
      <c r="E466" s="679"/>
      <c r="F466" s="678"/>
    </row>
    <row r="467" spans="1:6" s="525" customFormat="1" ht="28.5" customHeight="1">
      <c r="A467" s="427">
        <v>2.6</v>
      </c>
      <c r="B467" s="670" t="s">
        <v>1103</v>
      </c>
      <c r="C467" s="432"/>
      <c r="D467" s="524"/>
      <c r="E467" s="524"/>
      <c r="F467" s="432"/>
    </row>
    <row r="468" spans="1:6" s="525" customFormat="1">
      <c r="A468" s="427"/>
      <c r="B468" s="467"/>
      <c r="C468" s="432"/>
      <c r="D468" s="524"/>
      <c r="E468" s="524"/>
      <c r="F468" s="432"/>
    </row>
    <row r="469" spans="1:6" s="525" customFormat="1">
      <c r="A469" s="433"/>
      <c r="B469" s="671" t="s">
        <v>1104</v>
      </c>
      <c r="C469" s="536" t="s">
        <v>562</v>
      </c>
      <c r="D469" s="672" t="s">
        <v>585</v>
      </c>
      <c r="E469" s="569"/>
      <c r="F469" s="536" t="s">
        <v>586</v>
      </c>
    </row>
    <row r="470" spans="1:6" s="525" customFormat="1" ht="12.75" customHeight="1">
      <c r="A470" s="433"/>
      <c r="B470" s="671" t="s">
        <v>1105</v>
      </c>
      <c r="C470" s="536" t="s">
        <v>562</v>
      </c>
      <c r="D470" s="672">
        <v>3</v>
      </c>
      <c r="E470" s="569"/>
      <c r="F470" s="536">
        <f>+E470*D470</f>
        <v>0</v>
      </c>
    </row>
    <row r="471" spans="1:6" s="525" customFormat="1">
      <c r="A471" s="449"/>
      <c r="B471" s="665"/>
      <c r="C471" s="441"/>
      <c r="D471" s="673"/>
      <c r="E471" s="442"/>
      <c r="F471" s="441"/>
    </row>
    <row r="472" spans="1:6" s="525" customFormat="1">
      <c r="A472" s="427" t="s">
        <v>1106</v>
      </c>
      <c r="B472" s="670" t="s">
        <v>1107</v>
      </c>
      <c r="C472" s="432" t="s">
        <v>562</v>
      </c>
      <c r="D472" s="524">
        <v>6</v>
      </c>
      <c r="E472" s="524"/>
      <c r="F472" s="432">
        <f>+E472*D472</f>
        <v>0</v>
      </c>
    </row>
    <row r="473" spans="1:6" s="525" customFormat="1">
      <c r="A473" s="680"/>
      <c r="B473" s="681"/>
      <c r="C473" s="441"/>
      <c r="D473" s="442"/>
      <c r="E473" s="442"/>
      <c r="F473" s="441"/>
    </row>
    <row r="474" spans="1:6" s="525" customFormat="1" ht="43.5">
      <c r="A474" s="427" t="s">
        <v>1108</v>
      </c>
      <c r="B474" s="682" t="s">
        <v>1109</v>
      </c>
      <c r="C474" s="432" t="s">
        <v>562</v>
      </c>
      <c r="D474" s="524">
        <v>12</v>
      </c>
      <c r="E474" s="524"/>
      <c r="F474" s="432">
        <f>+E474*D474</f>
        <v>0</v>
      </c>
    </row>
    <row r="475" spans="1:6" s="525" customFormat="1">
      <c r="A475" s="433"/>
      <c r="B475" s="467"/>
      <c r="C475" s="432"/>
      <c r="D475" s="432"/>
      <c r="E475" s="524"/>
      <c r="F475" s="432"/>
    </row>
    <row r="476" spans="1:6" s="525" customFormat="1">
      <c r="A476" s="427" t="s">
        <v>1110</v>
      </c>
      <c r="B476" s="670" t="s">
        <v>1111</v>
      </c>
      <c r="C476" s="432" t="s">
        <v>562</v>
      </c>
      <c r="D476" s="432">
        <v>6</v>
      </c>
      <c r="E476" s="524"/>
      <c r="F476" s="432">
        <f>+E476*D476</f>
        <v>0</v>
      </c>
    </row>
    <row r="477" spans="1:6" s="525" customFormat="1" ht="12.75" customHeight="1">
      <c r="A477" s="449"/>
      <c r="B477" s="665"/>
      <c r="C477" s="441"/>
      <c r="D477" s="441"/>
      <c r="E477" s="442"/>
      <c r="F477" s="441"/>
    </row>
    <row r="478" spans="1:6" s="525" customFormat="1" ht="72.599999999999994">
      <c r="A478" s="427" t="s">
        <v>1112</v>
      </c>
      <c r="B478" s="683" t="s">
        <v>1113</v>
      </c>
      <c r="C478" s="432"/>
      <c r="D478" s="432"/>
      <c r="E478" s="524"/>
      <c r="F478" s="432"/>
    </row>
    <row r="479" spans="1:6" s="525" customFormat="1">
      <c r="A479" s="433"/>
      <c r="B479" s="670"/>
      <c r="C479" s="432"/>
      <c r="D479" s="432"/>
      <c r="E479" s="524"/>
      <c r="F479" s="432"/>
    </row>
    <row r="480" spans="1:6" s="525" customFormat="1">
      <c r="A480" s="433"/>
      <c r="B480" s="671" t="s">
        <v>1090</v>
      </c>
      <c r="C480" s="536" t="s">
        <v>562</v>
      </c>
      <c r="D480" s="672" t="s">
        <v>585</v>
      </c>
      <c r="E480" s="569"/>
      <c r="F480" s="536" t="s">
        <v>586</v>
      </c>
    </row>
    <row r="481" spans="1:6" s="525" customFormat="1" ht="12.75" customHeight="1">
      <c r="A481" s="433"/>
      <c r="B481" s="671" t="s">
        <v>1095</v>
      </c>
      <c r="C481" s="536" t="s">
        <v>562</v>
      </c>
      <c r="D481" s="569">
        <v>3</v>
      </c>
      <c r="E481" s="672"/>
      <c r="F481" s="536">
        <f>+E481*D481</f>
        <v>0</v>
      </c>
    </row>
    <row r="482" spans="1:6" s="525" customFormat="1" ht="16.5" customHeight="1">
      <c r="A482" s="449"/>
      <c r="B482" s="665"/>
      <c r="C482" s="441"/>
      <c r="D482" s="574"/>
      <c r="E482" s="442"/>
      <c r="F482" s="441"/>
    </row>
    <row r="483" spans="1:6" s="525" customFormat="1" ht="44.25" customHeight="1">
      <c r="A483" s="427" t="s">
        <v>1114</v>
      </c>
      <c r="B483" s="682" t="s">
        <v>1115</v>
      </c>
      <c r="C483" s="432"/>
      <c r="D483" s="432"/>
      <c r="E483" s="524"/>
      <c r="F483" s="432"/>
    </row>
    <row r="484" spans="1:6" s="525" customFormat="1" ht="16.5" customHeight="1">
      <c r="A484" s="433"/>
      <c r="B484" s="467" t="s">
        <v>535</v>
      </c>
      <c r="C484" s="432"/>
      <c r="D484" s="432"/>
      <c r="E484" s="524"/>
      <c r="F484" s="432"/>
    </row>
    <row r="485" spans="1:6" s="525" customFormat="1">
      <c r="A485" s="433"/>
      <c r="B485" s="671" t="s">
        <v>1090</v>
      </c>
      <c r="C485" s="536" t="s">
        <v>562</v>
      </c>
      <c r="D485" s="672" t="s">
        <v>585</v>
      </c>
      <c r="E485" s="569"/>
      <c r="F485" s="536" t="s">
        <v>586</v>
      </c>
    </row>
    <row r="486" spans="1:6" s="525" customFormat="1">
      <c r="A486" s="433"/>
      <c r="B486" s="671" t="s">
        <v>1095</v>
      </c>
      <c r="C486" s="536" t="s">
        <v>562</v>
      </c>
      <c r="D486" s="569">
        <v>12</v>
      </c>
      <c r="E486" s="672"/>
      <c r="F486" s="536">
        <f>+E486*D486</f>
        <v>0</v>
      </c>
    </row>
    <row r="487" spans="1:6" s="525" customFormat="1">
      <c r="A487" s="449"/>
      <c r="B487" s="665"/>
      <c r="C487" s="441"/>
      <c r="D487" s="441"/>
      <c r="E487" s="442"/>
      <c r="F487" s="442"/>
    </row>
    <row r="488" spans="1:6" s="525" customFormat="1" ht="29.1">
      <c r="A488" s="427" t="s">
        <v>1116</v>
      </c>
      <c r="B488" s="670" t="s">
        <v>1117</v>
      </c>
      <c r="C488" s="432" t="s">
        <v>1118</v>
      </c>
      <c r="D488" s="568">
        <v>3</v>
      </c>
      <c r="E488" s="524"/>
      <c r="F488" s="432">
        <f>+E488*D488</f>
        <v>0</v>
      </c>
    </row>
    <row r="489" spans="1:6" s="525" customFormat="1" ht="12.75" customHeight="1">
      <c r="A489" s="684"/>
      <c r="B489" s="685"/>
      <c r="C489" s="441"/>
      <c r="D489" s="441"/>
      <c r="E489" s="442"/>
      <c r="F489" s="441"/>
    </row>
    <row r="490" spans="1:6" s="525" customFormat="1">
      <c r="A490" s="427" t="s">
        <v>1119</v>
      </c>
      <c r="B490" s="670" t="s">
        <v>1120</v>
      </c>
      <c r="C490" s="432"/>
      <c r="D490" s="432"/>
      <c r="E490" s="524"/>
      <c r="F490" s="432"/>
    </row>
    <row r="491" spans="1:6" s="525" customFormat="1" ht="12.75" customHeight="1">
      <c r="A491" s="628"/>
      <c r="B491" s="467"/>
      <c r="C491" s="432"/>
      <c r="D491" s="432"/>
      <c r="E491" s="524"/>
      <c r="F491" s="432"/>
    </row>
    <row r="492" spans="1:6" s="525" customFormat="1" ht="12.75" customHeight="1">
      <c r="A492" s="628"/>
      <c r="B492" s="671" t="s">
        <v>1121</v>
      </c>
      <c r="C492" s="536" t="s">
        <v>616</v>
      </c>
      <c r="D492" s="569" t="s">
        <v>585</v>
      </c>
      <c r="E492" s="536"/>
      <c r="F492" s="536" t="s">
        <v>586</v>
      </c>
    </row>
    <row r="493" spans="1:6" s="525" customFormat="1" ht="12.75" customHeight="1">
      <c r="A493" s="628"/>
      <c r="B493" s="671" t="s">
        <v>1083</v>
      </c>
      <c r="C493" s="536" t="s">
        <v>616</v>
      </c>
      <c r="D493" s="672">
        <v>100</v>
      </c>
      <c r="E493" s="536"/>
      <c r="F493" s="536">
        <f>+E493*D493</f>
        <v>0</v>
      </c>
    </row>
    <row r="494" spans="1:6" s="525" customFormat="1" ht="12.75" customHeight="1">
      <c r="A494" s="628"/>
      <c r="B494" s="671" t="s">
        <v>1084</v>
      </c>
      <c r="C494" s="536" t="s">
        <v>616</v>
      </c>
      <c r="D494" s="569" t="s">
        <v>585</v>
      </c>
      <c r="E494" s="536"/>
      <c r="F494" s="536" t="s">
        <v>586</v>
      </c>
    </row>
    <row r="495" spans="1:6" s="525" customFormat="1" ht="12.6" customHeight="1">
      <c r="A495" s="628"/>
      <c r="B495" s="671" t="s">
        <v>1085</v>
      </c>
      <c r="C495" s="536" t="s">
        <v>616</v>
      </c>
      <c r="D495" s="569">
        <v>70</v>
      </c>
      <c r="E495" s="536"/>
      <c r="F495" s="536">
        <f>+E495*D495</f>
        <v>0</v>
      </c>
    </row>
    <row r="496" spans="1:6" s="525" customFormat="1" ht="12.6" customHeight="1">
      <c r="A496" s="628"/>
      <c r="B496" s="671" t="s">
        <v>1086</v>
      </c>
      <c r="C496" s="536" t="s">
        <v>616</v>
      </c>
      <c r="D496" s="536">
        <v>10</v>
      </c>
      <c r="E496" s="536"/>
      <c r="F496" s="536">
        <f t="shared" ref="F496:F497" si="9">+E496*D496</f>
        <v>0</v>
      </c>
    </row>
    <row r="497" spans="1:8" s="525" customFormat="1" ht="12.6" customHeight="1">
      <c r="A497" s="628"/>
      <c r="B497" s="671" t="s">
        <v>1087</v>
      </c>
      <c r="C497" s="536" t="s">
        <v>616</v>
      </c>
      <c r="D497" s="536">
        <v>60</v>
      </c>
      <c r="E497" s="536"/>
      <c r="F497" s="536">
        <f t="shared" si="9"/>
        <v>0</v>
      </c>
    </row>
    <row r="498" spans="1:8" s="525" customFormat="1" ht="12.75" customHeight="1">
      <c r="A498" s="680"/>
      <c r="B498" s="665"/>
      <c r="C498" s="441"/>
      <c r="D498" s="574"/>
      <c r="E498" s="442"/>
      <c r="F498" s="441"/>
    </row>
    <row r="499" spans="1:8" s="525" customFormat="1" ht="40.15" customHeight="1">
      <c r="A499" s="427" t="s">
        <v>1122</v>
      </c>
      <c r="B499" s="453" t="s">
        <v>1123</v>
      </c>
      <c r="C499" s="524"/>
      <c r="D499" s="432"/>
      <c r="E499" s="432"/>
      <c r="F499" s="432"/>
    </row>
    <row r="500" spans="1:8" s="525" customFormat="1" ht="12.75" customHeight="1">
      <c r="A500" s="427"/>
      <c r="B500" s="453"/>
      <c r="C500" s="524"/>
      <c r="D500" s="432"/>
      <c r="E500" s="432"/>
      <c r="F500" s="432"/>
    </row>
    <row r="501" spans="1:8" s="525" customFormat="1" ht="16.5" customHeight="1">
      <c r="A501" s="433"/>
      <c r="B501" s="462" t="s">
        <v>1124</v>
      </c>
      <c r="C501" s="579" t="s">
        <v>616</v>
      </c>
      <c r="D501" s="536">
        <v>25</v>
      </c>
      <c r="E501" s="536"/>
      <c r="F501" s="536">
        <f>+E501*D501</f>
        <v>0</v>
      </c>
    </row>
    <row r="502" spans="1:8" s="525" customFormat="1" ht="15" customHeight="1">
      <c r="A502" s="433"/>
      <c r="B502" s="462" t="s">
        <v>1125</v>
      </c>
      <c r="C502" s="579" t="s">
        <v>616</v>
      </c>
      <c r="D502" s="536">
        <v>30</v>
      </c>
      <c r="E502" s="536"/>
      <c r="F502" s="536">
        <f>+E502*D502</f>
        <v>0</v>
      </c>
    </row>
    <row r="503" spans="1:8" ht="15" customHeight="1">
      <c r="A503" s="449"/>
      <c r="B503" s="686"/>
      <c r="C503" s="687"/>
      <c r="D503" s="687"/>
      <c r="E503" s="687"/>
      <c r="F503" s="688"/>
    </row>
    <row r="504" spans="1:8" ht="15" customHeight="1">
      <c r="A504" s="689" t="s">
        <v>1126</v>
      </c>
      <c r="B504" s="660"/>
      <c r="C504" s="690"/>
      <c r="D504" s="691"/>
      <c r="E504" s="692"/>
      <c r="F504" s="664">
        <f>SUM(F436:F503)</f>
        <v>0</v>
      </c>
    </row>
    <row r="505" spans="1:8">
      <c r="A505" s="693"/>
      <c r="B505" s="438"/>
      <c r="C505" s="442"/>
      <c r="D505" s="441"/>
      <c r="E505" s="441"/>
      <c r="F505" s="694"/>
    </row>
    <row r="506" spans="1:8" ht="15" customHeight="1">
      <c r="A506" s="630" t="s">
        <v>733</v>
      </c>
      <c r="B506" s="669" t="s">
        <v>1127</v>
      </c>
      <c r="C506" s="432"/>
      <c r="D506" s="432"/>
      <c r="E506" s="524"/>
      <c r="F506" s="432"/>
    </row>
    <row r="507" spans="1:8" ht="15" customHeight="1">
      <c r="A507" s="429"/>
      <c r="B507" s="467"/>
      <c r="C507" s="432"/>
      <c r="D507" s="432"/>
      <c r="E507" s="524"/>
      <c r="F507" s="432"/>
    </row>
    <row r="508" spans="1:8" s="525" customFormat="1" ht="43.5">
      <c r="A508" s="552" t="s">
        <v>1128</v>
      </c>
      <c r="B508" s="670" t="s">
        <v>1129</v>
      </c>
      <c r="C508" s="432"/>
      <c r="D508" s="432"/>
      <c r="E508" s="524"/>
      <c r="F508" s="432"/>
    </row>
    <row r="509" spans="1:8" s="525" customFormat="1" ht="15" customHeight="1">
      <c r="A509" s="695"/>
      <c r="B509" s="681"/>
      <c r="C509" s="441"/>
      <c r="D509" s="441"/>
      <c r="E509" s="442"/>
      <c r="F509" s="678"/>
    </row>
    <row r="510" spans="1:8" s="525" customFormat="1" ht="15" customHeight="1">
      <c r="A510" s="628"/>
      <c r="B510" s="696" t="s">
        <v>1130</v>
      </c>
      <c r="C510" s="536" t="s">
        <v>616</v>
      </c>
      <c r="D510" s="569" t="s">
        <v>585</v>
      </c>
      <c r="E510" s="536"/>
      <c r="F510" s="536" t="s">
        <v>586</v>
      </c>
      <c r="G510" s="697"/>
      <c r="H510" s="697"/>
    </row>
    <row r="511" spans="1:8" s="525" customFormat="1" ht="15" customHeight="1">
      <c r="A511" s="628"/>
      <c r="B511" s="696" t="s">
        <v>1131</v>
      </c>
      <c r="C511" s="536" t="s">
        <v>616</v>
      </c>
      <c r="D511" s="569">
        <v>180</v>
      </c>
      <c r="E511" s="536"/>
      <c r="F511" s="536">
        <f t="shared" ref="F511:F521" si="10">+E511*D511</f>
        <v>0</v>
      </c>
      <c r="G511" s="627"/>
      <c r="H511" s="627"/>
    </row>
    <row r="512" spans="1:8" s="525" customFormat="1" ht="15" customHeight="1">
      <c r="A512" s="628"/>
      <c r="B512" s="696" t="s">
        <v>1132</v>
      </c>
      <c r="C512" s="536" t="s">
        <v>616</v>
      </c>
      <c r="D512" s="536">
        <v>120</v>
      </c>
      <c r="E512" s="536"/>
      <c r="F512" s="536">
        <f t="shared" si="10"/>
        <v>0</v>
      </c>
      <c r="G512" s="697"/>
      <c r="H512" s="697"/>
    </row>
    <row r="513" spans="1:8" s="525" customFormat="1" ht="15" customHeight="1">
      <c r="A513" s="628"/>
      <c r="B513" s="696" t="s">
        <v>1133</v>
      </c>
      <c r="C513" s="536" t="s">
        <v>616</v>
      </c>
      <c r="D513" s="569">
        <v>100</v>
      </c>
      <c r="E513" s="536"/>
      <c r="F513" s="536">
        <f t="shared" si="10"/>
        <v>0</v>
      </c>
      <c r="G513" s="627"/>
      <c r="H513" s="627"/>
    </row>
    <row r="514" spans="1:8" s="525" customFormat="1" ht="15" customHeight="1">
      <c r="A514" s="628"/>
      <c r="B514" s="696" t="s">
        <v>1134</v>
      </c>
      <c r="C514" s="536" t="s">
        <v>616</v>
      </c>
      <c r="D514" s="536">
        <v>110</v>
      </c>
      <c r="E514" s="536"/>
      <c r="F514" s="536">
        <f t="shared" si="10"/>
        <v>0</v>
      </c>
      <c r="G514" s="627"/>
      <c r="H514" s="627"/>
    </row>
    <row r="515" spans="1:8" s="525" customFormat="1" ht="15" customHeight="1">
      <c r="A515" s="628"/>
      <c r="B515" s="696" t="s">
        <v>1135</v>
      </c>
      <c r="C515" s="536" t="s">
        <v>616</v>
      </c>
      <c r="D515" s="536">
        <v>90</v>
      </c>
      <c r="E515" s="536"/>
      <c r="F515" s="536">
        <f t="shared" si="10"/>
        <v>0</v>
      </c>
      <c r="G515" s="627"/>
      <c r="H515" s="627"/>
    </row>
    <row r="516" spans="1:8" s="525" customFormat="1" ht="15" customHeight="1">
      <c r="A516" s="628"/>
      <c r="B516" s="696" t="s">
        <v>1136</v>
      </c>
      <c r="C516" s="536" t="s">
        <v>616</v>
      </c>
      <c r="D516" s="536">
        <v>80</v>
      </c>
      <c r="E516" s="536"/>
      <c r="F516" s="536">
        <f t="shared" si="10"/>
        <v>0</v>
      </c>
      <c r="G516" s="627"/>
      <c r="H516" s="627"/>
    </row>
    <row r="517" spans="1:8" s="525" customFormat="1" ht="15" customHeight="1">
      <c r="A517" s="628"/>
      <c r="B517" s="696" t="s">
        <v>1137</v>
      </c>
      <c r="C517" s="536" t="s">
        <v>616</v>
      </c>
      <c r="D517" s="536">
        <v>100</v>
      </c>
      <c r="E517" s="536"/>
      <c r="F517" s="536">
        <f t="shared" si="10"/>
        <v>0</v>
      </c>
      <c r="G517" s="627"/>
      <c r="H517" s="627"/>
    </row>
    <row r="518" spans="1:8" s="525" customFormat="1" ht="15" customHeight="1">
      <c r="A518" s="628"/>
      <c r="B518" s="696" t="s">
        <v>1138</v>
      </c>
      <c r="C518" s="536" t="s">
        <v>616</v>
      </c>
      <c r="D518" s="536">
        <v>210</v>
      </c>
      <c r="E518" s="536"/>
      <c r="F518" s="536">
        <f t="shared" si="10"/>
        <v>0</v>
      </c>
      <c r="G518" s="627"/>
      <c r="H518" s="627"/>
    </row>
    <row r="519" spans="1:8" s="525" customFormat="1" ht="15" customHeight="1">
      <c r="A519" s="628"/>
      <c r="B519" s="696" t="s">
        <v>1139</v>
      </c>
      <c r="C519" s="536" t="s">
        <v>616</v>
      </c>
      <c r="D519" s="536">
        <v>350</v>
      </c>
      <c r="E519" s="536"/>
      <c r="F519" s="536">
        <f t="shared" si="10"/>
        <v>0</v>
      </c>
      <c r="G519" s="627"/>
      <c r="H519" s="627"/>
    </row>
    <row r="520" spans="1:8" s="525" customFormat="1">
      <c r="A520" s="628"/>
      <c r="B520" s="696" t="s">
        <v>1140</v>
      </c>
      <c r="C520" s="536" t="s">
        <v>616</v>
      </c>
      <c r="D520" s="536">
        <v>250</v>
      </c>
      <c r="E520" s="536"/>
      <c r="F520" s="536">
        <f t="shared" si="10"/>
        <v>0</v>
      </c>
      <c r="G520" s="627"/>
      <c r="H520" s="627"/>
    </row>
    <row r="521" spans="1:8" s="525" customFormat="1" ht="15" customHeight="1">
      <c r="A521" s="628"/>
      <c r="B521" s="696" t="s">
        <v>1141</v>
      </c>
      <c r="C521" s="536" t="s">
        <v>616</v>
      </c>
      <c r="D521" s="536">
        <v>450</v>
      </c>
      <c r="E521" s="536"/>
      <c r="F521" s="536">
        <f t="shared" si="10"/>
        <v>0</v>
      </c>
      <c r="G521" s="627"/>
      <c r="H521" s="627"/>
    </row>
    <row r="522" spans="1:8" s="525" customFormat="1" ht="15" customHeight="1">
      <c r="A522" s="680"/>
      <c r="B522" s="698"/>
      <c r="C522" s="441"/>
      <c r="D522" s="441"/>
      <c r="E522" s="441"/>
      <c r="F522" s="441"/>
    </row>
    <row r="523" spans="1:8" s="525" customFormat="1" ht="50.65" customHeight="1">
      <c r="A523" s="699" t="s">
        <v>1142</v>
      </c>
      <c r="B523" s="453" t="s">
        <v>1143</v>
      </c>
      <c r="C523" s="432"/>
      <c r="D523" s="432"/>
      <c r="E523" s="432"/>
      <c r="F523" s="432"/>
    </row>
    <row r="524" spans="1:8" s="525" customFormat="1" ht="15" customHeight="1">
      <c r="A524" s="700"/>
      <c r="B524" s="701"/>
      <c r="C524" s="441"/>
      <c r="D524" s="441"/>
      <c r="E524" s="441"/>
      <c r="F524" s="441"/>
    </row>
    <row r="525" spans="1:8" s="525" customFormat="1" ht="15" customHeight="1">
      <c r="A525" s="699"/>
      <c r="B525" s="696" t="s">
        <v>1144</v>
      </c>
      <c r="C525" s="536" t="s">
        <v>562</v>
      </c>
      <c r="D525" s="569" t="s">
        <v>585</v>
      </c>
      <c r="E525" s="536"/>
      <c r="F525" s="536" t="s">
        <v>586</v>
      </c>
    </row>
    <row r="526" spans="1:8" s="525" customFormat="1" ht="15" customHeight="1">
      <c r="A526" s="429"/>
      <c r="B526" s="696" t="s">
        <v>1145</v>
      </c>
      <c r="C526" s="536" t="s">
        <v>562</v>
      </c>
      <c r="D526" s="569">
        <v>3</v>
      </c>
      <c r="E526" s="536"/>
      <c r="F526" s="536">
        <f t="shared" ref="F526:F531" si="11">+E526*D526</f>
        <v>0</v>
      </c>
    </row>
    <row r="527" spans="1:8" s="525" customFormat="1" ht="15" customHeight="1">
      <c r="A527" s="429"/>
      <c r="B527" s="696" t="s">
        <v>1132</v>
      </c>
      <c r="C527" s="536" t="s">
        <v>562</v>
      </c>
      <c r="D527" s="569">
        <v>15</v>
      </c>
      <c r="E527" s="536"/>
      <c r="F527" s="536">
        <f t="shared" si="11"/>
        <v>0</v>
      </c>
    </row>
    <row r="528" spans="1:8" s="525" customFormat="1" ht="15" customHeight="1">
      <c r="A528" s="429"/>
      <c r="B528" s="696" t="s">
        <v>1133</v>
      </c>
      <c r="C528" s="536" t="s">
        <v>562</v>
      </c>
      <c r="D528" s="569" t="s">
        <v>585</v>
      </c>
      <c r="E528" s="536"/>
      <c r="F528" s="536" t="s">
        <v>586</v>
      </c>
    </row>
    <row r="529" spans="1:6" s="525" customFormat="1" ht="15" customHeight="1">
      <c r="A529" s="429"/>
      <c r="B529" s="696" t="s">
        <v>1134</v>
      </c>
      <c r="C529" s="536" t="s">
        <v>562</v>
      </c>
      <c r="D529" s="569">
        <v>4</v>
      </c>
      <c r="E529" s="536"/>
      <c r="F529" s="536">
        <f t="shared" si="11"/>
        <v>0</v>
      </c>
    </row>
    <row r="530" spans="1:6" s="525" customFormat="1">
      <c r="A530" s="429"/>
      <c r="B530" s="696" t="s">
        <v>1135</v>
      </c>
      <c r="C530" s="536" t="s">
        <v>562</v>
      </c>
      <c r="D530" s="569">
        <v>14</v>
      </c>
      <c r="E530" s="536"/>
      <c r="F530" s="536">
        <f t="shared" si="11"/>
        <v>0</v>
      </c>
    </row>
    <row r="531" spans="1:6" s="525" customFormat="1" ht="15" customHeight="1">
      <c r="A531" s="429"/>
      <c r="B531" s="696" t="s">
        <v>1136</v>
      </c>
      <c r="C531" s="536" t="s">
        <v>562</v>
      </c>
      <c r="D531" s="569">
        <v>18</v>
      </c>
      <c r="E531" s="569"/>
      <c r="F531" s="536">
        <f t="shared" si="11"/>
        <v>0</v>
      </c>
    </row>
    <row r="532" spans="1:6" s="525" customFormat="1" ht="15" customHeight="1">
      <c r="A532" s="438"/>
      <c r="B532" s="438"/>
      <c r="C532" s="442"/>
      <c r="D532" s="574"/>
      <c r="E532" s="442"/>
      <c r="F532" s="441"/>
    </row>
    <row r="533" spans="1:6" s="525" customFormat="1" ht="43.5">
      <c r="A533" s="552" t="s">
        <v>1146</v>
      </c>
      <c r="B533" s="453" t="s">
        <v>1147</v>
      </c>
      <c r="C533" s="524"/>
      <c r="D533" s="432"/>
      <c r="E533" s="524"/>
      <c r="F533" s="432"/>
    </row>
    <row r="534" spans="1:6" s="525" customFormat="1" ht="15" customHeight="1">
      <c r="A534" s="552"/>
      <c r="B534" s="702"/>
      <c r="C534" s="524"/>
      <c r="D534" s="432"/>
      <c r="E534" s="524"/>
      <c r="F534" s="432"/>
    </row>
    <row r="535" spans="1:6" s="525" customFormat="1" ht="15" customHeight="1">
      <c r="A535" s="552"/>
      <c r="B535" s="462" t="s">
        <v>1102</v>
      </c>
      <c r="C535" s="536" t="s">
        <v>562</v>
      </c>
      <c r="D535" s="569" t="s">
        <v>585</v>
      </c>
      <c r="E535" s="536"/>
      <c r="F535" s="536" t="s">
        <v>586</v>
      </c>
    </row>
    <row r="536" spans="1:6" s="525" customFormat="1" ht="15" customHeight="1">
      <c r="A536" s="552"/>
      <c r="B536" s="462" t="s">
        <v>1148</v>
      </c>
      <c r="C536" s="536" t="s">
        <v>562</v>
      </c>
      <c r="D536" s="569" t="s">
        <v>585</v>
      </c>
      <c r="E536" s="536"/>
      <c r="F536" s="536" t="s">
        <v>586</v>
      </c>
    </row>
    <row r="537" spans="1:6" s="525" customFormat="1" ht="15" customHeight="1">
      <c r="A537" s="429"/>
      <c r="B537" s="462" t="s">
        <v>1149</v>
      </c>
      <c r="C537" s="536" t="s">
        <v>562</v>
      </c>
      <c r="D537" s="569">
        <v>3</v>
      </c>
      <c r="E537" s="536"/>
      <c r="F537" s="536">
        <f>+E537*D537</f>
        <v>0</v>
      </c>
    </row>
    <row r="538" spans="1:6" s="525" customFormat="1" ht="15" customHeight="1">
      <c r="A538" s="438"/>
      <c r="B538" s="703"/>
      <c r="C538" s="441"/>
      <c r="D538" s="574"/>
      <c r="E538" s="441"/>
      <c r="F538" s="441"/>
    </row>
    <row r="539" spans="1:6" s="525" customFormat="1" ht="31.5" customHeight="1">
      <c r="A539" s="552" t="s">
        <v>1150</v>
      </c>
      <c r="B539" s="704" t="s">
        <v>1151</v>
      </c>
      <c r="C539" s="432"/>
      <c r="D539" s="432"/>
      <c r="E539" s="432"/>
      <c r="F539" s="432"/>
    </row>
    <row r="540" spans="1:6" s="525" customFormat="1" ht="15" customHeight="1">
      <c r="A540" s="552"/>
      <c r="B540" s="704"/>
      <c r="C540" s="432"/>
      <c r="D540" s="432"/>
      <c r="E540" s="432"/>
      <c r="F540" s="432"/>
    </row>
    <row r="541" spans="1:6" s="525" customFormat="1" ht="15" customHeight="1">
      <c r="A541" s="552"/>
      <c r="B541" s="462" t="s">
        <v>1152</v>
      </c>
      <c r="C541" s="536" t="s">
        <v>562</v>
      </c>
      <c r="D541" s="569">
        <v>12</v>
      </c>
      <c r="E541" s="705"/>
      <c r="F541" s="536">
        <f>+E541*D541</f>
        <v>0</v>
      </c>
    </row>
    <row r="542" spans="1:6" s="525" customFormat="1" ht="15" customHeight="1">
      <c r="A542" s="552"/>
      <c r="B542" s="462" t="s">
        <v>1153</v>
      </c>
      <c r="C542" s="536" t="s">
        <v>562</v>
      </c>
      <c r="D542" s="569">
        <v>16</v>
      </c>
      <c r="E542" s="706"/>
      <c r="F542" s="536">
        <f>+E542*D542</f>
        <v>0</v>
      </c>
    </row>
    <row r="543" spans="1:6" s="525" customFormat="1" ht="15" customHeight="1">
      <c r="A543" s="628"/>
      <c r="B543" s="462" t="s">
        <v>1154</v>
      </c>
      <c r="C543" s="536" t="s">
        <v>562</v>
      </c>
      <c r="D543" s="569">
        <v>64</v>
      </c>
      <c r="E543" s="705"/>
      <c r="F543" s="536">
        <f>+E543*D543</f>
        <v>0</v>
      </c>
    </row>
    <row r="544" spans="1:6" s="525" customFormat="1" ht="15" customHeight="1">
      <c r="A544" s="628"/>
      <c r="B544" s="462" t="s">
        <v>1155</v>
      </c>
      <c r="C544" s="536" t="s">
        <v>562</v>
      </c>
      <c r="D544" s="536">
        <v>42</v>
      </c>
      <c r="E544" s="705"/>
      <c r="F544" s="536">
        <f>+E544*D544</f>
        <v>0</v>
      </c>
    </row>
    <row r="545" spans="1:6" s="525" customFormat="1">
      <c r="A545" s="628"/>
      <c r="B545" s="462" t="s">
        <v>1156</v>
      </c>
      <c r="C545" s="536" t="s">
        <v>562</v>
      </c>
      <c r="D545" s="569" t="s">
        <v>585</v>
      </c>
      <c r="E545" s="536"/>
      <c r="F545" s="536" t="s">
        <v>586</v>
      </c>
    </row>
    <row r="546" spans="1:6" s="525" customFormat="1" ht="15" customHeight="1">
      <c r="A546" s="680"/>
      <c r="B546" s="438"/>
      <c r="C546" s="441"/>
      <c r="D546" s="574"/>
      <c r="E546" s="441"/>
      <c r="F546" s="441"/>
    </row>
    <row r="547" spans="1:6" s="525" customFormat="1" ht="43.5">
      <c r="A547" s="552" t="s">
        <v>1157</v>
      </c>
      <c r="B547" s="453" t="s">
        <v>1158</v>
      </c>
      <c r="C547" s="432"/>
      <c r="D547" s="432"/>
      <c r="E547" s="432"/>
      <c r="F547" s="432"/>
    </row>
    <row r="548" spans="1:6" s="525" customFormat="1" ht="15" customHeight="1">
      <c r="A548" s="552"/>
      <c r="B548" s="453"/>
      <c r="C548" s="432"/>
      <c r="D548" s="432"/>
      <c r="E548" s="432"/>
      <c r="F548" s="432"/>
    </row>
    <row r="549" spans="1:6" s="525" customFormat="1" ht="15" customHeight="1">
      <c r="A549" s="552"/>
      <c r="B549" s="462" t="s">
        <v>1159</v>
      </c>
      <c r="C549" s="536" t="s">
        <v>562</v>
      </c>
      <c r="D549" s="569">
        <v>3</v>
      </c>
      <c r="E549" s="536"/>
      <c r="F549" s="536">
        <f>E549*D549</f>
        <v>0</v>
      </c>
    </row>
    <row r="550" spans="1:6" ht="15" customHeight="1">
      <c r="A550" s="680"/>
      <c r="B550" s="438"/>
      <c r="C550" s="441"/>
      <c r="D550" s="574"/>
      <c r="E550" s="574"/>
      <c r="F550" s="441"/>
    </row>
    <row r="551" spans="1:6" ht="45.6" customHeight="1">
      <c r="A551" s="552" t="s">
        <v>1160</v>
      </c>
      <c r="B551" s="453" t="s">
        <v>1161</v>
      </c>
      <c r="C551" s="432"/>
      <c r="D551" s="432"/>
      <c r="E551" s="432"/>
      <c r="F551" s="432"/>
    </row>
    <row r="552" spans="1:6" ht="15" customHeight="1">
      <c r="A552" s="552"/>
      <c r="B552" s="453"/>
      <c r="C552" s="432"/>
      <c r="D552" s="432"/>
      <c r="E552" s="432"/>
      <c r="F552" s="432"/>
    </row>
    <row r="553" spans="1:6" ht="15" customHeight="1">
      <c r="A553" s="552"/>
      <c r="B553" s="462" t="s">
        <v>1162</v>
      </c>
      <c r="C553" s="536" t="s">
        <v>562</v>
      </c>
      <c r="D553" s="569">
        <v>3</v>
      </c>
      <c r="E553" s="536"/>
      <c r="F553" s="536">
        <f t="shared" ref="F553:F555" si="12">E553*D553</f>
        <v>0</v>
      </c>
    </row>
    <row r="554" spans="1:6" ht="15" customHeight="1">
      <c r="A554" s="552"/>
      <c r="B554" s="462" t="s">
        <v>1163</v>
      </c>
      <c r="C554" s="536" t="s">
        <v>562</v>
      </c>
      <c r="D554" s="569">
        <v>4</v>
      </c>
      <c r="E554" s="536"/>
      <c r="F554" s="536">
        <f t="shared" si="12"/>
        <v>0</v>
      </c>
    </row>
    <row r="555" spans="1:6" ht="15" customHeight="1">
      <c r="A555" s="628"/>
      <c r="B555" s="462" t="s">
        <v>1164</v>
      </c>
      <c r="C555" s="536" t="s">
        <v>562</v>
      </c>
      <c r="D555" s="569">
        <v>2</v>
      </c>
      <c r="E555" s="536"/>
      <c r="F555" s="536">
        <f t="shared" si="12"/>
        <v>0</v>
      </c>
    </row>
    <row r="556" spans="1:6" ht="15" customHeight="1">
      <c r="A556" s="628"/>
      <c r="B556" s="462" t="s">
        <v>1165</v>
      </c>
      <c r="C556" s="536" t="s">
        <v>562</v>
      </c>
      <c r="D556" s="569" t="s">
        <v>585</v>
      </c>
      <c r="E556" s="536"/>
      <c r="F556" s="536" t="s">
        <v>586</v>
      </c>
    </row>
    <row r="557" spans="1:6" ht="15" customHeight="1">
      <c r="A557" s="628"/>
      <c r="B557" s="462" t="s">
        <v>1166</v>
      </c>
      <c r="C557" s="536" t="s">
        <v>562</v>
      </c>
      <c r="D557" s="569" t="s">
        <v>585</v>
      </c>
      <c r="E557" s="536"/>
      <c r="F557" s="536" t="s">
        <v>586</v>
      </c>
    </row>
    <row r="558" spans="1:6" ht="15" customHeight="1">
      <c r="A558" s="680"/>
      <c r="B558" s="438"/>
      <c r="C558" s="441"/>
      <c r="D558" s="574"/>
      <c r="E558" s="441"/>
      <c r="F558" s="441"/>
    </row>
    <row r="559" spans="1:6" s="525" customFormat="1" ht="57.95">
      <c r="A559" s="552" t="s">
        <v>1167</v>
      </c>
      <c r="B559" s="457" t="s">
        <v>1168</v>
      </c>
      <c r="C559" s="432"/>
      <c r="D559" s="568"/>
      <c r="E559" s="432"/>
      <c r="F559" s="432"/>
    </row>
    <row r="560" spans="1:6" s="525" customFormat="1">
      <c r="A560" s="707"/>
      <c r="B560" s="457"/>
      <c r="C560" s="432"/>
      <c r="D560" s="568"/>
      <c r="E560" s="432"/>
      <c r="F560" s="432"/>
    </row>
    <row r="561" spans="1:8" s="525" customFormat="1">
      <c r="A561" s="708"/>
      <c r="B561" s="462" t="s">
        <v>1169</v>
      </c>
      <c r="C561" s="536" t="s">
        <v>562</v>
      </c>
      <c r="D561" s="569" t="s">
        <v>585</v>
      </c>
      <c r="E561" s="536"/>
      <c r="F561" s="536" t="s">
        <v>586</v>
      </c>
    </row>
    <row r="562" spans="1:8" s="525" customFormat="1">
      <c r="A562" s="708"/>
      <c r="B562" s="462" t="s">
        <v>1170</v>
      </c>
      <c r="C562" s="536" t="s">
        <v>562</v>
      </c>
      <c r="D562" s="569" t="s">
        <v>585</v>
      </c>
      <c r="E562" s="536"/>
      <c r="F562" s="536" t="s">
        <v>586</v>
      </c>
    </row>
    <row r="563" spans="1:8" s="525" customFormat="1">
      <c r="A563" s="708"/>
      <c r="B563" s="462" t="s">
        <v>1171</v>
      </c>
      <c r="C563" s="536" t="s">
        <v>562</v>
      </c>
      <c r="D563" s="569">
        <v>1</v>
      </c>
      <c r="E563" s="569"/>
      <c r="F563" s="536">
        <f t="shared" ref="F563:F564" si="13">+E563*D563</f>
        <v>0</v>
      </c>
    </row>
    <row r="564" spans="1:8" s="525" customFormat="1">
      <c r="A564" s="708"/>
      <c r="B564" s="462" t="s">
        <v>1172</v>
      </c>
      <c r="C564" s="536" t="s">
        <v>562</v>
      </c>
      <c r="D564" s="569">
        <v>2</v>
      </c>
      <c r="E564" s="569"/>
      <c r="F564" s="536">
        <f t="shared" si="13"/>
        <v>0</v>
      </c>
    </row>
    <row r="565" spans="1:8" s="525" customFormat="1">
      <c r="A565" s="709"/>
      <c r="B565" s="462" t="s">
        <v>1173</v>
      </c>
      <c r="C565" s="536" t="s">
        <v>562</v>
      </c>
      <c r="D565" s="569">
        <v>1</v>
      </c>
      <c r="E565" s="569"/>
      <c r="F565" s="536">
        <f>+E565*D565</f>
        <v>0</v>
      </c>
    </row>
    <row r="566" spans="1:8" s="525" customFormat="1">
      <c r="A566" s="709"/>
      <c r="B566" s="462" t="s">
        <v>1174</v>
      </c>
      <c r="C566" s="536" t="s">
        <v>562</v>
      </c>
      <c r="D566" s="569">
        <v>2</v>
      </c>
      <c r="E566" s="569"/>
      <c r="F566" s="536">
        <f>+E566*D566</f>
        <v>0</v>
      </c>
    </row>
    <row r="567" spans="1:8" s="525" customFormat="1">
      <c r="A567" s="709"/>
      <c r="B567" s="462" t="s">
        <v>1175</v>
      </c>
      <c r="C567" s="536" t="s">
        <v>562</v>
      </c>
      <c r="D567" s="569">
        <v>6</v>
      </c>
      <c r="E567" s="536"/>
      <c r="F567" s="536">
        <f>+E567*D567</f>
        <v>0</v>
      </c>
    </row>
    <row r="568" spans="1:8" s="525" customFormat="1">
      <c r="A568" s="709"/>
      <c r="B568" s="462" t="s">
        <v>1176</v>
      </c>
      <c r="C568" s="536" t="s">
        <v>562</v>
      </c>
      <c r="D568" s="569">
        <v>31</v>
      </c>
      <c r="E568" s="536"/>
      <c r="F568" s="536">
        <f>+E568*D568</f>
        <v>0</v>
      </c>
    </row>
    <row r="569" spans="1:8" s="525" customFormat="1">
      <c r="A569" s="709"/>
      <c r="B569" s="462" t="s">
        <v>1177</v>
      </c>
      <c r="C569" s="536" t="s">
        <v>562</v>
      </c>
      <c r="D569" s="569">
        <v>23</v>
      </c>
      <c r="E569" s="710"/>
      <c r="F569" s="536">
        <f>+E569*D569</f>
        <v>0</v>
      </c>
    </row>
    <row r="570" spans="1:8" s="525" customFormat="1">
      <c r="A570" s="709"/>
      <c r="B570" s="462" t="s">
        <v>1178</v>
      </c>
      <c r="C570" s="536" t="s">
        <v>562</v>
      </c>
      <c r="D570" s="569" t="s">
        <v>585</v>
      </c>
      <c r="E570" s="536"/>
      <c r="F570" s="536" t="s">
        <v>586</v>
      </c>
    </row>
    <row r="571" spans="1:8" s="525" customFormat="1" ht="15" customHeight="1">
      <c r="A571" s="680"/>
      <c r="B571" s="438"/>
      <c r="C571" s="441"/>
      <c r="D571" s="574"/>
      <c r="E571" s="441"/>
      <c r="F571" s="441"/>
    </row>
    <row r="572" spans="1:8" s="525" customFormat="1" ht="84.4" customHeight="1">
      <c r="A572" s="552" t="s">
        <v>1179</v>
      </c>
      <c r="B572" s="457" t="s">
        <v>1180</v>
      </c>
      <c r="C572" s="432"/>
      <c r="D572" s="432"/>
      <c r="E572" s="432"/>
      <c r="F572" s="432"/>
    </row>
    <row r="573" spans="1:8" s="525" customFormat="1" ht="15" customHeight="1">
      <c r="A573" s="552"/>
      <c r="B573" s="457"/>
      <c r="C573" s="432"/>
      <c r="D573" s="432"/>
      <c r="E573" s="432"/>
      <c r="F573" s="432"/>
    </row>
    <row r="574" spans="1:8" s="525" customFormat="1" ht="15" customHeight="1">
      <c r="A574" s="552"/>
      <c r="B574" s="462" t="s">
        <v>1181</v>
      </c>
      <c r="C574" s="536" t="s">
        <v>562</v>
      </c>
      <c r="D574" s="569">
        <v>4</v>
      </c>
      <c r="E574" s="536"/>
      <c r="F574" s="536">
        <f>+E574*D574</f>
        <v>0</v>
      </c>
      <c r="G574" s="627"/>
      <c r="H574" s="627"/>
    </row>
    <row r="575" spans="1:8" s="525" customFormat="1">
      <c r="A575" s="552"/>
      <c r="B575" s="462" t="s">
        <v>1182</v>
      </c>
      <c r="C575" s="536" t="s">
        <v>562</v>
      </c>
      <c r="D575" s="536">
        <v>57</v>
      </c>
      <c r="E575" s="536"/>
      <c r="F575" s="536">
        <f>+E575*D575</f>
        <v>0</v>
      </c>
      <c r="G575" s="627"/>
      <c r="H575" s="627"/>
    </row>
    <row r="576" spans="1:8" s="525" customFormat="1">
      <c r="A576" s="695"/>
      <c r="B576" s="450"/>
      <c r="C576" s="441"/>
      <c r="D576" s="441"/>
      <c r="E576" s="441"/>
      <c r="F576" s="441"/>
      <c r="G576" s="697"/>
      <c r="H576" s="697"/>
    </row>
    <row r="577" spans="1:8" s="525" customFormat="1" ht="29.1">
      <c r="A577" s="552" t="s">
        <v>1183</v>
      </c>
      <c r="B577" s="453" t="s">
        <v>1184</v>
      </c>
      <c r="C577" s="432" t="s">
        <v>562</v>
      </c>
      <c r="D577" s="432">
        <v>61</v>
      </c>
      <c r="E577" s="432"/>
      <c r="F577" s="432">
        <f>+E577*D577</f>
        <v>0</v>
      </c>
      <c r="G577" s="697"/>
      <c r="H577" s="697"/>
    </row>
    <row r="578" spans="1:8" ht="15" customHeight="1">
      <c r="A578" s="711"/>
      <c r="B578" s="538"/>
      <c r="C578" s="539"/>
      <c r="D578" s="539"/>
      <c r="E578" s="539"/>
      <c r="F578" s="539"/>
      <c r="G578" s="712"/>
      <c r="H578" s="712"/>
    </row>
    <row r="579" spans="1:8" s="525" customFormat="1" ht="29.1">
      <c r="A579" s="552" t="s">
        <v>1185</v>
      </c>
      <c r="B579" s="453" t="s">
        <v>1186</v>
      </c>
      <c r="C579" s="432"/>
      <c r="D579" s="432"/>
      <c r="E579" s="432"/>
      <c r="F579" s="432"/>
      <c r="G579" s="697"/>
      <c r="H579" s="697"/>
    </row>
    <row r="580" spans="1:8" s="525" customFormat="1" ht="15" customHeight="1">
      <c r="A580" s="552"/>
      <c r="B580" s="453"/>
      <c r="C580" s="432"/>
      <c r="D580" s="432"/>
      <c r="E580" s="432"/>
      <c r="F580" s="432"/>
    </row>
    <row r="581" spans="1:8" s="525" customFormat="1" ht="15" customHeight="1">
      <c r="A581" s="552"/>
      <c r="B581" s="462" t="s">
        <v>1187</v>
      </c>
      <c r="C581" s="536" t="s">
        <v>562</v>
      </c>
      <c r="D581" s="569">
        <v>4</v>
      </c>
      <c r="E581" s="536"/>
      <c r="F581" s="536">
        <f>+E581*D581</f>
        <v>0</v>
      </c>
      <c r="G581" s="627"/>
      <c r="H581" s="627"/>
    </row>
    <row r="582" spans="1:8" s="525" customFormat="1">
      <c r="A582" s="552"/>
      <c r="B582" s="462" t="s">
        <v>1188</v>
      </c>
      <c r="C582" s="536" t="s">
        <v>562</v>
      </c>
      <c r="D582" s="536">
        <v>57</v>
      </c>
      <c r="E582" s="536"/>
      <c r="F582" s="536">
        <f>+E582*D582</f>
        <v>0</v>
      </c>
      <c r="G582" s="627"/>
      <c r="H582" s="627"/>
    </row>
    <row r="583" spans="1:8" s="525" customFormat="1" ht="15" customHeight="1">
      <c r="A583" s="680"/>
      <c r="B583" s="438"/>
      <c r="C583" s="441"/>
      <c r="D583" s="441"/>
      <c r="E583" s="441"/>
      <c r="F583" s="441"/>
    </row>
    <row r="584" spans="1:8" s="525" customFormat="1" ht="29.1">
      <c r="A584" s="552" t="s">
        <v>1189</v>
      </c>
      <c r="B584" s="453" t="s">
        <v>1190</v>
      </c>
      <c r="C584" s="432"/>
      <c r="D584" s="432"/>
      <c r="E584" s="432"/>
      <c r="F584" s="432"/>
    </row>
    <row r="585" spans="1:8" s="525" customFormat="1" ht="15" customHeight="1">
      <c r="A585" s="552"/>
      <c r="B585" s="453"/>
      <c r="C585" s="432"/>
      <c r="D585" s="432"/>
      <c r="E585" s="432"/>
      <c r="F585" s="432"/>
    </row>
    <row r="586" spans="1:8" s="525" customFormat="1" ht="15" customHeight="1">
      <c r="A586" s="552"/>
      <c r="B586" s="462" t="s">
        <v>1191</v>
      </c>
      <c r="C586" s="536" t="s">
        <v>562</v>
      </c>
      <c r="D586" s="569" t="s">
        <v>585</v>
      </c>
      <c r="E586" s="536"/>
      <c r="F586" s="536" t="s">
        <v>586</v>
      </c>
    </row>
    <row r="587" spans="1:8" s="525" customFormat="1" ht="15" customHeight="1">
      <c r="A587" s="628"/>
      <c r="B587" s="462" t="s">
        <v>1091</v>
      </c>
      <c r="C587" s="536" t="s">
        <v>562</v>
      </c>
      <c r="D587" s="569">
        <v>6</v>
      </c>
      <c r="E587" s="536"/>
      <c r="F587" s="536">
        <f>+E587*D587</f>
        <v>0</v>
      </c>
    </row>
    <row r="588" spans="1:8" s="525" customFormat="1">
      <c r="A588" s="628"/>
      <c r="B588" s="462" t="s">
        <v>1192</v>
      </c>
      <c r="C588" s="536" t="s">
        <v>562</v>
      </c>
      <c r="D588" s="569" t="s">
        <v>585</v>
      </c>
      <c r="E588" s="536"/>
      <c r="F588" s="536" t="s">
        <v>586</v>
      </c>
    </row>
    <row r="589" spans="1:8" s="525" customFormat="1" ht="15" customHeight="1">
      <c r="A589" s="680"/>
      <c r="B589" s="438"/>
      <c r="C589" s="441"/>
      <c r="D589" s="441"/>
      <c r="E589" s="441"/>
      <c r="F589" s="441"/>
    </row>
    <row r="590" spans="1:8" s="525" customFormat="1">
      <c r="A590" s="427" t="s">
        <v>1193</v>
      </c>
      <c r="B590" s="453" t="s">
        <v>1194</v>
      </c>
      <c r="C590" s="432"/>
      <c r="D590" s="432"/>
      <c r="E590" s="432"/>
      <c r="F590" s="432"/>
    </row>
    <row r="591" spans="1:8" s="525" customFormat="1" ht="15" customHeight="1">
      <c r="A591" s="427"/>
      <c r="B591" s="453"/>
      <c r="C591" s="432"/>
      <c r="D591" s="432"/>
      <c r="E591" s="432"/>
      <c r="F591" s="432"/>
    </row>
    <row r="592" spans="1:8" s="525" customFormat="1">
      <c r="A592" s="708"/>
      <c r="B592" s="462" t="s">
        <v>1195</v>
      </c>
      <c r="C592" s="536" t="s">
        <v>562</v>
      </c>
      <c r="D592" s="569" t="s">
        <v>585</v>
      </c>
      <c r="E592" s="536"/>
      <c r="F592" s="536" t="s">
        <v>586</v>
      </c>
    </row>
    <row r="593" spans="1:6" s="525" customFormat="1">
      <c r="A593" s="708"/>
      <c r="B593" s="462" t="s">
        <v>1196</v>
      </c>
      <c r="C593" s="536" t="s">
        <v>562</v>
      </c>
      <c r="D593" s="569" t="s">
        <v>585</v>
      </c>
      <c r="E593" s="536"/>
      <c r="F593" s="536" t="s">
        <v>586</v>
      </c>
    </row>
    <row r="594" spans="1:6" s="525" customFormat="1">
      <c r="A594" s="708"/>
      <c r="B594" s="462" t="s">
        <v>1197</v>
      </c>
      <c r="C594" s="536" t="s">
        <v>562</v>
      </c>
      <c r="D594" s="569">
        <v>1</v>
      </c>
      <c r="E594" s="569"/>
      <c r="F594" s="536">
        <f t="shared" ref="F594:F595" si="14">+E594*D594</f>
        <v>0</v>
      </c>
    </row>
    <row r="595" spans="1:6" s="525" customFormat="1">
      <c r="A595" s="708"/>
      <c r="B595" s="462" t="s">
        <v>1198</v>
      </c>
      <c r="C595" s="536" t="s">
        <v>562</v>
      </c>
      <c r="D595" s="569">
        <v>2</v>
      </c>
      <c r="E595" s="569"/>
      <c r="F595" s="536">
        <f t="shared" si="14"/>
        <v>0</v>
      </c>
    </row>
    <row r="596" spans="1:6" s="525" customFormat="1">
      <c r="A596" s="709"/>
      <c r="B596" s="462" t="s">
        <v>1199</v>
      </c>
      <c r="C596" s="536" t="s">
        <v>562</v>
      </c>
      <c r="D596" s="569">
        <v>1</v>
      </c>
      <c r="E596" s="569"/>
      <c r="F596" s="536">
        <f>+E596*D596</f>
        <v>0</v>
      </c>
    </row>
    <row r="597" spans="1:6" s="525" customFormat="1">
      <c r="A597" s="709"/>
      <c r="B597" s="462" t="s">
        <v>1200</v>
      </c>
      <c r="C597" s="536" t="s">
        <v>562</v>
      </c>
      <c r="D597" s="569">
        <v>2</v>
      </c>
      <c r="E597" s="569"/>
      <c r="F597" s="536">
        <f>+E597*D597</f>
        <v>0</v>
      </c>
    </row>
    <row r="598" spans="1:6" s="525" customFormat="1">
      <c r="A598" s="709"/>
      <c r="B598" s="462" t="s">
        <v>1201</v>
      </c>
      <c r="C598" s="536" t="s">
        <v>562</v>
      </c>
      <c r="D598" s="569">
        <v>6</v>
      </c>
      <c r="E598" s="536"/>
      <c r="F598" s="536">
        <f>+E598*D598</f>
        <v>0</v>
      </c>
    </row>
    <row r="599" spans="1:6" s="525" customFormat="1">
      <c r="A599" s="709"/>
      <c r="B599" s="462" t="s">
        <v>1202</v>
      </c>
      <c r="C599" s="536" t="s">
        <v>562</v>
      </c>
      <c r="D599" s="569">
        <v>31</v>
      </c>
      <c r="E599" s="536"/>
      <c r="F599" s="536">
        <f>+E599*D599</f>
        <v>0</v>
      </c>
    </row>
    <row r="600" spans="1:6" s="525" customFormat="1">
      <c r="A600" s="709"/>
      <c r="B600" s="462" t="s">
        <v>1203</v>
      </c>
      <c r="C600" s="536" t="s">
        <v>562</v>
      </c>
      <c r="D600" s="569">
        <v>23</v>
      </c>
      <c r="E600" s="710"/>
      <c r="F600" s="536">
        <f>+E600*D600</f>
        <v>0</v>
      </c>
    </row>
    <row r="601" spans="1:6" s="525" customFormat="1">
      <c r="A601" s="709"/>
      <c r="B601" s="462" t="s">
        <v>1204</v>
      </c>
      <c r="C601" s="536" t="s">
        <v>562</v>
      </c>
      <c r="D601" s="569" t="s">
        <v>585</v>
      </c>
      <c r="E601" s="536"/>
      <c r="F601" s="536" t="s">
        <v>586</v>
      </c>
    </row>
    <row r="602" spans="1:6">
      <c r="A602" s="680"/>
      <c r="B602" s="438"/>
      <c r="C602" s="441"/>
      <c r="D602" s="441"/>
      <c r="E602" s="441"/>
      <c r="F602" s="441"/>
    </row>
    <row r="603" spans="1:6" s="525" customFormat="1" ht="29.1">
      <c r="A603" s="552" t="s">
        <v>1205</v>
      </c>
      <c r="B603" s="453" t="s">
        <v>1206</v>
      </c>
      <c r="C603" s="432" t="s">
        <v>562</v>
      </c>
      <c r="D603" s="432">
        <v>26</v>
      </c>
      <c r="E603" s="432"/>
      <c r="F603" s="432">
        <f>+E603*D603</f>
        <v>0</v>
      </c>
    </row>
    <row r="604" spans="1:6" s="525" customFormat="1">
      <c r="A604" s="552"/>
      <c r="B604" s="453"/>
      <c r="C604" s="432"/>
      <c r="D604" s="432"/>
      <c r="E604" s="432"/>
      <c r="F604" s="432"/>
    </row>
    <row r="605" spans="1:6" s="525" customFormat="1" ht="43.5">
      <c r="A605" s="427" t="s">
        <v>1207</v>
      </c>
      <c r="B605" s="453" t="s">
        <v>1208</v>
      </c>
      <c r="C605" s="432" t="s">
        <v>562</v>
      </c>
      <c r="D605" s="432">
        <v>36</v>
      </c>
      <c r="E605" s="432"/>
      <c r="F605" s="432">
        <f>+E605*D605</f>
        <v>0</v>
      </c>
    </row>
    <row r="606" spans="1:6" s="525" customFormat="1">
      <c r="A606" s="433"/>
      <c r="B606" s="429"/>
      <c r="C606" s="432"/>
      <c r="D606" s="432"/>
      <c r="E606" s="432"/>
      <c r="F606" s="432"/>
    </row>
    <row r="607" spans="1:6" s="525" customFormat="1">
      <c r="A607" s="427" t="s">
        <v>1209</v>
      </c>
      <c r="B607" s="453" t="s">
        <v>1111</v>
      </c>
      <c r="C607" s="432" t="s">
        <v>562</v>
      </c>
      <c r="D607" s="432">
        <v>24</v>
      </c>
      <c r="E607" s="432"/>
      <c r="F607" s="432">
        <f>+E607*D607</f>
        <v>0</v>
      </c>
    </row>
    <row r="608" spans="1:6" ht="15" customHeight="1">
      <c r="A608" s="449"/>
      <c r="B608" s="438"/>
      <c r="C608" s="441"/>
      <c r="D608" s="441"/>
      <c r="E608" s="441"/>
      <c r="F608" s="441"/>
    </row>
    <row r="609" spans="1:6" ht="15" customHeight="1">
      <c r="A609" s="433">
        <v>3.16</v>
      </c>
      <c r="B609" s="713" t="s">
        <v>1210</v>
      </c>
      <c r="C609" s="429"/>
      <c r="D609" s="432"/>
      <c r="E609" s="606"/>
      <c r="F609" s="456"/>
    </row>
    <row r="610" spans="1:6" ht="15" customHeight="1">
      <c r="A610" s="433"/>
      <c r="B610" s="428"/>
      <c r="C610" s="429"/>
      <c r="D610" s="432"/>
      <c r="E610" s="606"/>
      <c r="F610" s="456"/>
    </row>
    <row r="611" spans="1:6" ht="72.599999999999994">
      <c r="A611" s="433"/>
      <c r="B611" s="453" t="s">
        <v>1211</v>
      </c>
      <c r="C611" s="432"/>
      <c r="D611" s="432"/>
      <c r="E611" s="606"/>
      <c r="F611" s="456"/>
    </row>
    <row r="612" spans="1:6" ht="15" customHeight="1">
      <c r="A612" s="433"/>
      <c r="B612" s="453"/>
      <c r="C612" s="432"/>
      <c r="D612" s="432"/>
      <c r="E612" s="606"/>
      <c r="F612" s="456"/>
    </row>
    <row r="613" spans="1:6" ht="15" customHeight="1">
      <c r="A613" s="433"/>
      <c r="B613" s="429" t="s">
        <v>1212</v>
      </c>
      <c r="C613" s="432" t="s">
        <v>277</v>
      </c>
      <c r="D613" s="714" t="s">
        <v>585</v>
      </c>
      <c r="E613" s="715"/>
      <c r="F613" s="432" t="s">
        <v>586</v>
      </c>
    </row>
    <row r="614" spans="1:6" ht="15" customHeight="1">
      <c r="A614" s="433"/>
      <c r="B614" s="429" t="s">
        <v>1213</v>
      </c>
      <c r="C614" s="432" t="s">
        <v>277</v>
      </c>
      <c r="D614" s="714">
        <v>1</v>
      </c>
      <c r="E614" s="715"/>
      <c r="F614" s="432">
        <f>+E614*D614</f>
        <v>0</v>
      </c>
    </row>
    <row r="615" spans="1:6" ht="15" customHeight="1">
      <c r="A615" s="433"/>
      <c r="B615" s="716" t="s">
        <v>1214</v>
      </c>
      <c r="C615" s="432"/>
      <c r="D615" s="432"/>
      <c r="E615" s="606"/>
      <c r="F615" s="456"/>
    </row>
    <row r="616" spans="1:6" s="454" customFormat="1" ht="15" customHeight="1">
      <c r="A616" s="449"/>
      <c r="B616" s="717"/>
      <c r="C616" s="441"/>
      <c r="D616" s="441"/>
      <c r="E616" s="618"/>
      <c r="F616" s="459"/>
    </row>
    <row r="617" spans="1:6" ht="15" customHeight="1">
      <c r="A617" s="433">
        <v>3.17</v>
      </c>
      <c r="B617" s="718" t="s">
        <v>1215</v>
      </c>
      <c r="C617" s="432"/>
      <c r="D617" s="432"/>
      <c r="E617" s="606"/>
      <c r="F617" s="456"/>
    </row>
    <row r="618" spans="1:6" ht="15" customHeight="1">
      <c r="A618" s="433"/>
      <c r="B618" s="718"/>
      <c r="C618" s="432"/>
      <c r="D618" s="432"/>
      <c r="E618" s="606"/>
      <c r="F618" s="456"/>
    </row>
    <row r="619" spans="1:6" ht="72.599999999999994">
      <c r="A619" s="433"/>
      <c r="B619" s="463" t="s">
        <v>1216</v>
      </c>
      <c r="C619" s="432"/>
      <c r="D619" s="432"/>
      <c r="E619" s="456"/>
      <c r="F619" s="456"/>
    </row>
    <row r="620" spans="1:6" ht="15" customHeight="1">
      <c r="A620" s="433"/>
      <c r="B620" s="429" t="s">
        <v>1217</v>
      </c>
      <c r="C620" s="432" t="s">
        <v>277</v>
      </c>
      <c r="D620" s="714" t="s">
        <v>585</v>
      </c>
      <c r="E620" s="715"/>
      <c r="F620" s="432" t="s">
        <v>586</v>
      </c>
    </row>
    <row r="621" spans="1:6" ht="15" customHeight="1">
      <c r="A621" s="433"/>
      <c r="B621" s="429" t="s">
        <v>1218</v>
      </c>
      <c r="C621" s="432" t="s">
        <v>277</v>
      </c>
      <c r="D621" s="714">
        <v>1</v>
      </c>
      <c r="E621" s="715"/>
      <c r="F621" s="432">
        <f>+E621*D621</f>
        <v>0</v>
      </c>
    </row>
    <row r="622" spans="1:6" s="454" customFormat="1" ht="15" customHeight="1">
      <c r="A622" s="449"/>
      <c r="B622" s="541"/>
      <c r="C622" s="441"/>
      <c r="D622" s="441"/>
      <c r="E622" s="618"/>
      <c r="F622" s="459"/>
    </row>
    <row r="623" spans="1:6">
      <c r="A623" s="433">
        <v>3.18</v>
      </c>
      <c r="B623" s="719" t="s">
        <v>1219</v>
      </c>
      <c r="C623" s="432"/>
      <c r="D623" s="432"/>
      <c r="E623" s="606"/>
      <c r="F623" s="456"/>
    </row>
    <row r="624" spans="1:6" ht="15" customHeight="1">
      <c r="A624" s="433"/>
      <c r="B624" s="720"/>
      <c r="C624" s="432"/>
      <c r="D624" s="432"/>
      <c r="E624" s="606"/>
      <c r="F624" s="456"/>
    </row>
    <row r="625" spans="1:8" ht="72.599999999999994">
      <c r="A625" s="433"/>
      <c r="B625" s="721" t="s">
        <v>1220</v>
      </c>
      <c r="C625" s="715" t="s">
        <v>277</v>
      </c>
      <c r="D625" s="714">
        <v>1</v>
      </c>
      <c r="E625" s="715"/>
      <c r="F625" s="432">
        <f>+E625*D625</f>
        <v>0</v>
      </c>
    </row>
    <row r="626" spans="1:8" ht="15" customHeight="1">
      <c r="A626" s="449"/>
      <c r="B626" s="438"/>
      <c r="C626" s="441"/>
      <c r="D626" s="441"/>
      <c r="E626" s="441"/>
      <c r="F626" s="441"/>
    </row>
    <row r="627" spans="1:8" ht="15" customHeight="1">
      <c r="A627" s="449"/>
      <c r="B627" s="438"/>
      <c r="C627" s="441"/>
      <c r="D627" s="441"/>
      <c r="E627" s="441"/>
      <c r="F627" s="441"/>
    </row>
    <row r="628" spans="1:8" ht="29.1">
      <c r="A628" s="427" t="s">
        <v>1221</v>
      </c>
      <c r="B628" s="453" t="s">
        <v>646</v>
      </c>
      <c r="C628" s="432"/>
      <c r="D628" s="432"/>
      <c r="E628" s="432"/>
      <c r="F628" s="432"/>
    </row>
    <row r="629" spans="1:8" ht="15" customHeight="1">
      <c r="A629" s="427"/>
      <c r="B629" s="453"/>
      <c r="C629" s="432"/>
      <c r="D629" s="432"/>
      <c r="E629" s="432"/>
      <c r="F629" s="432"/>
    </row>
    <row r="630" spans="1:8" ht="15" customHeight="1">
      <c r="A630" s="433"/>
      <c r="B630" s="462" t="s">
        <v>1222</v>
      </c>
      <c r="C630" s="536" t="s">
        <v>616</v>
      </c>
      <c r="D630" s="569">
        <v>50</v>
      </c>
      <c r="E630" s="536"/>
      <c r="F630" s="536">
        <f>+E630*D630</f>
        <v>0</v>
      </c>
      <c r="G630" s="722"/>
      <c r="H630" s="722"/>
    </row>
    <row r="631" spans="1:8" ht="15" customHeight="1">
      <c r="A631" s="433"/>
      <c r="B631" s="462" t="s">
        <v>1223</v>
      </c>
      <c r="C631" s="536" t="s">
        <v>616</v>
      </c>
      <c r="D631" s="569">
        <v>30</v>
      </c>
      <c r="E631" s="536"/>
      <c r="F631" s="536">
        <f t="shared" ref="F631:F633" si="15">+E631*D631</f>
        <v>0</v>
      </c>
      <c r="G631" s="722"/>
      <c r="H631" s="722"/>
    </row>
    <row r="632" spans="1:8" ht="15" customHeight="1">
      <c r="A632" s="433"/>
      <c r="B632" s="462" t="s">
        <v>1224</v>
      </c>
      <c r="C632" s="536" t="s">
        <v>616</v>
      </c>
      <c r="D632" s="569">
        <v>30</v>
      </c>
      <c r="E632" s="536"/>
      <c r="F632" s="536">
        <f t="shared" si="15"/>
        <v>0</v>
      </c>
      <c r="G632" s="722"/>
      <c r="H632" s="722"/>
    </row>
    <row r="633" spans="1:8">
      <c r="A633" s="433"/>
      <c r="B633" s="462" t="s">
        <v>1225</v>
      </c>
      <c r="C633" s="536" t="s">
        <v>616</v>
      </c>
      <c r="D633" s="569">
        <v>20</v>
      </c>
      <c r="E633" s="536"/>
      <c r="F633" s="536">
        <f t="shared" si="15"/>
        <v>0</v>
      </c>
      <c r="G633" s="722"/>
      <c r="H633" s="722"/>
    </row>
    <row r="634" spans="1:8" ht="15" customHeight="1">
      <c r="A634" s="433"/>
      <c r="B634" s="462" t="s">
        <v>1226</v>
      </c>
      <c r="C634" s="536" t="s">
        <v>616</v>
      </c>
      <c r="D634" s="569" t="s">
        <v>585</v>
      </c>
      <c r="E634" s="536"/>
      <c r="F634" s="536" t="s">
        <v>586</v>
      </c>
      <c r="G634" s="722"/>
      <c r="H634" s="722"/>
    </row>
    <row r="635" spans="1:8" ht="15" customHeight="1">
      <c r="A635" s="449"/>
      <c r="B635" s="438"/>
      <c r="C635" s="441"/>
      <c r="D635" s="441"/>
      <c r="E635" s="441"/>
      <c r="F635" s="441"/>
    </row>
    <row r="636" spans="1:8" ht="179.65" customHeight="1">
      <c r="A636" s="723">
        <v>3.2</v>
      </c>
      <c r="B636" s="279" t="s">
        <v>649</v>
      </c>
      <c r="C636" s="549"/>
      <c r="D636" s="549"/>
      <c r="E636" s="549"/>
      <c r="F636" s="549"/>
    </row>
    <row r="637" spans="1:8" ht="43.5">
      <c r="A637" s="724"/>
      <c r="B637" s="279" t="s">
        <v>650</v>
      </c>
      <c r="C637" s="549"/>
      <c r="D637" s="549"/>
      <c r="E637" s="549"/>
      <c r="F637" s="549"/>
    </row>
    <row r="638" spans="1:8" ht="29.1">
      <c r="A638" s="724"/>
      <c r="B638" s="725" t="s">
        <v>1227</v>
      </c>
      <c r="C638" s="549"/>
      <c r="D638" s="549"/>
      <c r="E638" s="549"/>
      <c r="F638" s="549"/>
    </row>
    <row r="639" spans="1:8" ht="15" customHeight="1">
      <c r="A639" s="724"/>
      <c r="B639" s="530"/>
      <c r="C639" s="549"/>
      <c r="D639" s="549"/>
      <c r="E639" s="549"/>
      <c r="F639" s="549"/>
    </row>
    <row r="640" spans="1:8" ht="15" customHeight="1">
      <c r="A640" s="724"/>
      <c r="B640" s="423" t="s">
        <v>1222</v>
      </c>
      <c r="C640" s="596" t="s">
        <v>616</v>
      </c>
      <c r="D640" s="596">
        <v>20</v>
      </c>
      <c r="E640" s="596"/>
      <c r="F640" s="596">
        <f>+E640*D640</f>
        <v>0</v>
      </c>
    </row>
    <row r="641" spans="1:6" ht="15" customHeight="1">
      <c r="A641" s="724"/>
      <c r="B641" s="423" t="s">
        <v>1223</v>
      </c>
      <c r="C641" s="596" t="s">
        <v>616</v>
      </c>
      <c r="D641" s="596">
        <v>30</v>
      </c>
      <c r="E641" s="596"/>
      <c r="F641" s="596">
        <f>+E641*D641</f>
        <v>0</v>
      </c>
    </row>
    <row r="642" spans="1:6" ht="15" customHeight="1">
      <c r="A642" s="724"/>
      <c r="B642" s="423" t="s">
        <v>1224</v>
      </c>
      <c r="C642" s="596" t="s">
        <v>616</v>
      </c>
      <c r="D642" s="596">
        <v>120</v>
      </c>
      <c r="E642" s="596"/>
      <c r="F642" s="596">
        <f>+E642*D642</f>
        <v>0</v>
      </c>
    </row>
    <row r="643" spans="1:6" ht="15" customHeight="1">
      <c r="A643" s="724"/>
      <c r="B643" s="423" t="s">
        <v>1225</v>
      </c>
      <c r="C643" s="596" t="s">
        <v>616</v>
      </c>
      <c r="D643" s="596">
        <v>150</v>
      </c>
      <c r="E643" s="596"/>
      <c r="F643" s="596">
        <f>+E643*D643</f>
        <v>0</v>
      </c>
    </row>
    <row r="644" spans="1:6" ht="15" customHeight="1">
      <c r="A644" s="724"/>
      <c r="B644" s="423" t="s">
        <v>1226</v>
      </c>
      <c r="C644" s="596" t="s">
        <v>616</v>
      </c>
      <c r="D644" s="596">
        <v>320</v>
      </c>
      <c r="E644" s="596"/>
      <c r="F644" s="596">
        <f>+E644*D644</f>
        <v>0</v>
      </c>
    </row>
    <row r="645" spans="1:6" ht="15" customHeight="1">
      <c r="A645" s="449"/>
      <c r="B645" s="438"/>
      <c r="C645" s="441"/>
      <c r="D645" s="441"/>
      <c r="E645" s="441"/>
      <c r="F645" s="441"/>
    </row>
    <row r="646" spans="1:6" s="525" customFormat="1" ht="29.1">
      <c r="A646" s="427" t="s">
        <v>1228</v>
      </c>
      <c r="B646" s="453" t="s">
        <v>1229</v>
      </c>
      <c r="C646" s="432"/>
      <c r="D646" s="432"/>
      <c r="E646" s="432"/>
      <c r="F646" s="432"/>
    </row>
    <row r="647" spans="1:6" s="525" customFormat="1" ht="15" customHeight="1">
      <c r="A647" s="427"/>
      <c r="B647" s="453"/>
      <c r="C647" s="432"/>
      <c r="D647" s="432"/>
      <c r="E647" s="432"/>
      <c r="F647" s="432"/>
    </row>
    <row r="648" spans="1:6" s="525" customFormat="1" ht="15" customHeight="1">
      <c r="A648" s="427"/>
      <c r="B648" s="462" t="s">
        <v>1191</v>
      </c>
      <c r="C648" s="536" t="s">
        <v>562</v>
      </c>
      <c r="D648" s="569" t="s">
        <v>585</v>
      </c>
      <c r="E648" s="536"/>
      <c r="F648" s="536" t="s">
        <v>586</v>
      </c>
    </row>
    <row r="649" spans="1:6" s="525" customFormat="1" ht="15" customHeight="1">
      <c r="A649" s="433"/>
      <c r="B649" s="462" t="s">
        <v>1091</v>
      </c>
      <c r="C649" s="536" t="s">
        <v>562</v>
      </c>
      <c r="D649" s="569">
        <v>18</v>
      </c>
      <c r="E649" s="536"/>
      <c r="F649" s="536">
        <f>+E649*D649</f>
        <v>0</v>
      </c>
    </row>
    <row r="650" spans="1:6" s="525" customFormat="1" ht="15" customHeight="1">
      <c r="A650" s="433"/>
      <c r="B650" s="462" t="s">
        <v>1092</v>
      </c>
      <c r="C650" s="536" t="s">
        <v>562</v>
      </c>
      <c r="D650" s="569" t="s">
        <v>585</v>
      </c>
      <c r="E650" s="536"/>
      <c r="F650" s="536" t="s">
        <v>586</v>
      </c>
    </row>
    <row r="651" spans="1:6" s="525" customFormat="1">
      <c r="A651" s="433"/>
      <c r="B651" s="429"/>
      <c r="C651" s="432"/>
      <c r="D651" s="568"/>
      <c r="E651" s="432"/>
      <c r="F651" s="432"/>
    </row>
    <row r="652" spans="1:6" s="525" customFormat="1" ht="29.1">
      <c r="A652" s="427" t="s">
        <v>1230</v>
      </c>
      <c r="B652" s="453" t="s">
        <v>1231</v>
      </c>
      <c r="C652" s="432" t="s">
        <v>1118</v>
      </c>
      <c r="D652" s="568" t="s">
        <v>585</v>
      </c>
      <c r="E652" s="432"/>
      <c r="F652" s="432" t="s">
        <v>586</v>
      </c>
    </row>
    <row r="653" spans="1:6" s="525" customFormat="1" ht="15" customHeight="1">
      <c r="A653" s="433"/>
      <c r="B653" s="429"/>
      <c r="C653" s="432"/>
      <c r="D653" s="432"/>
      <c r="E653" s="432"/>
      <c r="F653" s="432"/>
    </row>
    <row r="654" spans="1:6" s="525" customFormat="1" ht="72.599999999999994">
      <c r="A654" s="427" t="s">
        <v>1232</v>
      </c>
      <c r="B654" s="683" t="s">
        <v>1233</v>
      </c>
      <c r="C654" s="432"/>
      <c r="D654" s="432"/>
      <c r="E654" s="432"/>
      <c r="F654" s="432"/>
    </row>
    <row r="655" spans="1:6" s="525" customFormat="1" ht="15" customHeight="1">
      <c r="A655" s="427"/>
      <c r="B655" s="453"/>
      <c r="C655" s="432"/>
      <c r="D655" s="432"/>
      <c r="E655" s="432"/>
      <c r="F655" s="432"/>
    </row>
    <row r="656" spans="1:6" s="525" customFormat="1" ht="15" customHeight="1">
      <c r="A656" s="427"/>
      <c r="B656" s="462" t="s">
        <v>1191</v>
      </c>
      <c r="C656" s="536" t="s">
        <v>562</v>
      </c>
      <c r="D656" s="569" t="s">
        <v>585</v>
      </c>
      <c r="E656" s="536"/>
      <c r="F656" s="536" t="s">
        <v>586</v>
      </c>
    </row>
    <row r="657" spans="1:6" s="525" customFormat="1" ht="15" customHeight="1">
      <c r="A657" s="433"/>
      <c r="B657" s="462" t="s">
        <v>1091</v>
      </c>
      <c r="C657" s="536" t="s">
        <v>562</v>
      </c>
      <c r="D657" s="569">
        <v>6</v>
      </c>
      <c r="E657" s="536"/>
      <c r="F657" s="536">
        <f>+E657*D657</f>
        <v>0</v>
      </c>
    </row>
    <row r="658" spans="1:6" ht="15" customHeight="1">
      <c r="A658" s="449"/>
      <c r="B658" s="438"/>
      <c r="C658" s="441"/>
      <c r="D658" s="574"/>
      <c r="E658" s="441"/>
      <c r="F658" s="441"/>
    </row>
    <row r="659" spans="1:6" ht="43.5">
      <c r="A659" s="726" t="s">
        <v>1234</v>
      </c>
      <c r="B659" s="727" t="s">
        <v>1235</v>
      </c>
      <c r="C659" s="596" t="s">
        <v>562</v>
      </c>
      <c r="D659" s="597">
        <v>236</v>
      </c>
      <c r="E659" s="596"/>
      <c r="F659" s="596">
        <f>+E659*D659</f>
        <v>0</v>
      </c>
    </row>
    <row r="660" spans="1:6">
      <c r="A660" s="684"/>
      <c r="B660" s="541"/>
      <c r="C660" s="441"/>
      <c r="D660" s="574"/>
      <c r="E660" s="441"/>
      <c r="F660" s="441"/>
    </row>
    <row r="661" spans="1:6">
      <c r="A661" s="427" t="s">
        <v>1236</v>
      </c>
      <c r="B661" s="451" t="s">
        <v>1237</v>
      </c>
      <c r="C661" s="432"/>
      <c r="D661" s="568"/>
      <c r="E661" s="432"/>
      <c r="F661" s="432"/>
    </row>
    <row r="662" spans="1:6">
      <c r="A662" s="728"/>
      <c r="B662" s="453"/>
      <c r="C662" s="432"/>
      <c r="D662" s="568"/>
      <c r="E662" s="432"/>
      <c r="F662" s="432"/>
    </row>
    <row r="663" spans="1:6" ht="43.5">
      <c r="A663" s="728"/>
      <c r="B663" s="453" t="s">
        <v>1238</v>
      </c>
      <c r="C663" s="432"/>
      <c r="D663" s="568"/>
      <c r="E663" s="432"/>
      <c r="F663" s="432"/>
    </row>
    <row r="664" spans="1:6" ht="57.95">
      <c r="A664" s="728"/>
      <c r="B664" s="453" t="s">
        <v>1239</v>
      </c>
      <c r="C664" s="432"/>
      <c r="D664" s="568"/>
      <c r="E664" s="432"/>
      <c r="F664" s="432"/>
    </row>
    <row r="665" spans="1:6">
      <c r="A665" s="728"/>
      <c r="B665" s="453"/>
      <c r="C665" s="432"/>
      <c r="D665" s="568"/>
      <c r="E665" s="432"/>
      <c r="F665" s="432"/>
    </row>
    <row r="666" spans="1:6">
      <c r="A666" s="728"/>
      <c r="B666" s="462" t="s">
        <v>1240</v>
      </c>
      <c r="C666" s="536" t="s">
        <v>562</v>
      </c>
      <c r="D666" s="569" t="s">
        <v>585</v>
      </c>
      <c r="E666" s="536"/>
      <c r="F666" s="536" t="s">
        <v>586</v>
      </c>
    </row>
    <row r="667" spans="1:6">
      <c r="A667" s="728"/>
      <c r="B667" s="462" t="s">
        <v>1241</v>
      </c>
      <c r="C667" s="536" t="s">
        <v>562</v>
      </c>
      <c r="D667" s="569" t="s">
        <v>585</v>
      </c>
      <c r="E667" s="536"/>
      <c r="F667" s="536" t="s">
        <v>586</v>
      </c>
    </row>
    <row r="668" spans="1:6">
      <c r="A668" s="427"/>
      <c r="B668" s="462" t="s">
        <v>1242</v>
      </c>
      <c r="C668" s="536" t="s">
        <v>562</v>
      </c>
      <c r="D668" s="569" t="s">
        <v>585</v>
      </c>
      <c r="E668" s="536"/>
      <c r="F668" s="536" t="s">
        <v>586</v>
      </c>
    </row>
    <row r="669" spans="1:6">
      <c r="A669" s="684"/>
      <c r="B669" s="541"/>
      <c r="C669" s="441"/>
      <c r="D669" s="574"/>
      <c r="E669" s="441"/>
      <c r="F669" s="441"/>
    </row>
    <row r="670" spans="1:6">
      <c r="A670" s="689" t="s">
        <v>1243</v>
      </c>
      <c r="B670" s="729"/>
      <c r="C670" s="662"/>
      <c r="D670" s="662"/>
      <c r="E670" s="663"/>
      <c r="F670" s="692">
        <f>SUM(F509:F669)</f>
        <v>0</v>
      </c>
    </row>
    <row r="671" spans="1:6" ht="12" customHeight="1">
      <c r="A671" s="693"/>
      <c r="B671" s="438"/>
      <c r="C671" s="442"/>
      <c r="D671" s="441"/>
      <c r="E671" s="441"/>
      <c r="F671" s="694"/>
    </row>
    <row r="672" spans="1:6">
      <c r="A672" s="730" t="s">
        <v>1244</v>
      </c>
      <c r="B672" s="424" t="s">
        <v>545</v>
      </c>
      <c r="C672" s="549"/>
      <c r="D672" s="549"/>
      <c r="E672" s="731"/>
      <c r="F672" s="549"/>
    </row>
    <row r="673" spans="1:10">
      <c r="A673" s="730"/>
      <c r="B673" s="424"/>
      <c r="C673" s="549"/>
      <c r="D673" s="549"/>
      <c r="E673" s="731"/>
      <c r="F673" s="549"/>
    </row>
    <row r="674" spans="1:10">
      <c r="A674" s="730" t="s">
        <v>1245</v>
      </c>
      <c r="B674" s="424" t="s">
        <v>681</v>
      </c>
      <c r="C674" s="549"/>
      <c r="D674" s="549"/>
      <c r="E674" s="731"/>
      <c r="F674" s="549"/>
    </row>
    <row r="675" spans="1:10">
      <c r="A675" s="402"/>
      <c r="B675" s="530"/>
      <c r="C675" s="549"/>
      <c r="D675" s="549"/>
      <c r="E675" s="731"/>
      <c r="F675" s="549"/>
    </row>
    <row r="676" spans="1:10">
      <c r="A676" s="732" t="s">
        <v>575</v>
      </c>
      <c r="B676" s="530" t="s">
        <v>682</v>
      </c>
      <c r="C676" s="412"/>
      <c r="D676" s="549"/>
      <c r="E676" s="549"/>
      <c r="F676" s="549"/>
    </row>
    <row r="677" spans="1:10">
      <c r="A677" s="411"/>
      <c r="B677" s="530"/>
      <c r="C677" s="412"/>
      <c r="D677" s="549"/>
      <c r="E677" s="549"/>
      <c r="F677" s="549"/>
    </row>
    <row r="678" spans="1:10" ht="57.95">
      <c r="A678" s="411"/>
      <c r="B678" s="725" t="s">
        <v>1246</v>
      </c>
      <c r="C678" s="408"/>
      <c r="D678" s="408"/>
      <c r="E678" s="530"/>
      <c r="I678" s="733"/>
      <c r="J678" s="733"/>
    </row>
    <row r="679" spans="1:10">
      <c r="A679" s="402"/>
      <c r="B679" s="424"/>
      <c r="C679" s="734"/>
      <c r="D679" s="529"/>
      <c r="E679" s="529"/>
      <c r="F679" s="529"/>
      <c r="I679" s="733"/>
      <c r="J679" s="733"/>
    </row>
    <row r="680" spans="1:10">
      <c r="A680" s="402"/>
      <c r="B680" s="423" t="s">
        <v>1247</v>
      </c>
      <c r="C680" s="735" t="s">
        <v>685</v>
      </c>
      <c r="D680" s="596">
        <v>2500</v>
      </c>
      <c r="E680" s="596"/>
      <c r="F680" s="596">
        <f t="shared" ref="F680:F685" si="16">E680*D680</f>
        <v>0</v>
      </c>
      <c r="I680" s="733"/>
      <c r="J680" s="733"/>
    </row>
    <row r="681" spans="1:10">
      <c r="A681" s="402"/>
      <c r="B681" s="423" t="s">
        <v>686</v>
      </c>
      <c r="C681" s="735" t="s">
        <v>685</v>
      </c>
      <c r="D681" s="596">
        <v>3860</v>
      </c>
      <c r="E681" s="596"/>
      <c r="F681" s="596">
        <f t="shared" si="16"/>
        <v>0</v>
      </c>
      <c r="I681" s="733"/>
      <c r="J681" s="733"/>
    </row>
    <row r="682" spans="1:10">
      <c r="A682" s="402"/>
      <c r="B682" s="423" t="s">
        <v>687</v>
      </c>
      <c r="C682" s="735" t="s">
        <v>685</v>
      </c>
      <c r="D682" s="596">
        <v>2130</v>
      </c>
      <c r="E682" s="596"/>
      <c r="F682" s="596">
        <f t="shared" si="16"/>
        <v>0</v>
      </c>
      <c r="I682" s="733"/>
      <c r="J682" s="733"/>
    </row>
    <row r="683" spans="1:10">
      <c r="A683" s="402"/>
      <c r="B683" s="423" t="s">
        <v>688</v>
      </c>
      <c r="C683" s="735" t="s">
        <v>685</v>
      </c>
      <c r="D683" s="596">
        <v>250</v>
      </c>
      <c r="E683" s="596"/>
      <c r="F683" s="596">
        <f t="shared" si="16"/>
        <v>0</v>
      </c>
      <c r="I683" s="733"/>
      <c r="J683" s="733"/>
    </row>
    <row r="684" spans="1:10">
      <c r="A684" s="402"/>
      <c r="B684" s="423" t="s">
        <v>689</v>
      </c>
      <c r="C684" s="735" t="s">
        <v>685</v>
      </c>
      <c r="D684" s="597">
        <v>150</v>
      </c>
      <c r="E684" s="596"/>
      <c r="F684" s="596">
        <f t="shared" si="16"/>
        <v>0</v>
      </c>
    </row>
    <row r="685" spans="1:10">
      <c r="A685" s="402"/>
      <c r="B685" s="423" t="s">
        <v>690</v>
      </c>
      <c r="C685" s="735" t="s">
        <v>685</v>
      </c>
      <c r="D685" s="597">
        <v>50</v>
      </c>
      <c r="E685" s="596"/>
      <c r="F685" s="596">
        <f t="shared" si="16"/>
        <v>0</v>
      </c>
    </row>
    <row r="686" spans="1:10" s="454" customFormat="1">
      <c r="A686" s="736"/>
      <c r="B686" s="548"/>
      <c r="C686" s="737"/>
      <c r="D686" s="537"/>
      <c r="E686" s="537"/>
      <c r="F686" s="537"/>
    </row>
    <row r="687" spans="1:10">
      <c r="A687" s="738" t="s">
        <v>589</v>
      </c>
      <c r="B687" s="279" t="s">
        <v>691</v>
      </c>
      <c r="C687" s="412"/>
      <c r="D687" s="549"/>
      <c r="E687" s="549"/>
      <c r="F687" s="549"/>
    </row>
    <row r="688" spans="1:10">
      <c r="A688" s="738"/>
      <c r="B688" s="279"/>
      <c r="C688" s="412"/>
      <c r="D688" s="549"/>
      <c r="E688" s="549"/>
      <c r="F688" s="549"/>
    </row>
    <row r="689" spans="1:6" ht="29.1">
      <c r="A689" s="411"/>
      <c r="B689" s="725" t="s">
        <v>1248</v>
      </c>
      <c r="C689" s="412"/>
      <c r="D689" s="549"/>
      <c r="E689" s="549"/>
      <c r="F689" s="549"/>
    </row>
    <row r="690" spans="1:6">
      <c r="A690" s="411"/>
      <c r="B690" s="739"/>
      <c r="C690" s="412"/>
      <c r="D690" s="549"/>
      <c r="E690" s="549"/>
      <c r="F690" s="549"/>
    </row>
    <row r="691" spans="1:6">
      <c r="A691" s="411"/>
      <c r="B691" s="423" t="s">
        <v>693</v>
      </c>
      <c r="C691" s="735" t="s">
        <v>685</v>
      </c>
      <c r="D691" s="596">
        <v>400</v>
      </c>
      <c r="E691" s="596"/>
      <c r="F691" s="596">
        <f>E691*D691</f>
        <v>0</v>
      </c>
    </row>
    <row r="692" spans="1:6">
      <c r="A692" s="411"/>
      <c r="B692" s="423" t="s">
        <v>694</v>
      </c>
      <c r="C692" s="735" t="s">
        <v>685</v>
      </c>
      <c r="D692" s="596">
        <v>100</v>
      </c>
      <c r="E692" s="596"/>
      <c r="F692" s="596">
        <f>E692*D692</f>
        <v>0</v>
      </c>
    </row>
    <row r="693" spans="1:6" s="454" customFormat="1">
      <c r="A693" s="740"/>
      <c r="B693" s="741"/>
      <c r="C693" s="565"/>
      <c r="D693" s="539"/>
      <c r="E693" s="539"/>
      <c r="F693" s="539"/>
    </row>
    <row r="694" spans="1:6" ht="29.1">
      <c r="A694" s="742" t="s">
        <v>597</v>
      </c>
      <c r="B694" s="725" t="s">
        <v>697</v>
      </c>
      <c r="C694" s="412"/>
      <c r="D694" s="549"/>
      <c r="E694" s="549"/>
      <c r="F694" s="549"/>
    </row>
    <row r="695" spans="1:6">
      <c r="A695" s="738"/>
      <c r="B695" s="725"/>
      <c r="C695" s="412"/>
      <c r="D695" s="549"/>
      <c r="E695" s="549"/>
      <c r="F695" s="549"/>
    </row>
    <row r="696" spans="1:6">
      <c r="A696" s="411"/>
      <c r="B696" s="530" t="s">
        <v>698</v>
      </c>
      <c r="C696" s="412" t="s">
        <v>685</v>
      </c>
      <c r="D696" s="549">
        <v>40</v>
      </c>
      <c r="E696" s="549"/>
      <c r="F696" s="549">
        <f>E696*D696</f>
        <v>0</v>
      </c>
    </row>
    <row r="697" spans="1:6">
      <c r="A697" s="530"/>
      <c r="B697" s="530"/>
      <c r="C697" s="412"/>
      <c r="D697" s="412"/>
      <c r="E697" s="549"/>
      <c r="F697" s="412"/>
    </row>
    <row r="698" spans="1:6" ht="57.95">
      <c r="A698" s="724" t="s">
        <v>699</v>
      </c>
      <c r="B698" s="743" t="s">
        <v>700</v>
      </c>
      <c r="C698" s="412"/>
      <c r="D698" s="744"/>
      <c r="E698" s="549"/>
      <c r="F698" s="412"/>
    </row>
    <row r="699" spans="1:6">
      <c r="A699" s="411"/>
      <c r="B699" s="745" t="s">
        <v>698</v>
      </c>
      <c r="C699" s="746" t="s">
        <v>685</v>
      </c>
      <c r="D699" s="597">
        <v>1050</v>
      </c>
      <c r="E699" s="596"/>
      <c r="F699" s="596">
        <f>E699*D699</f>
        <v>0</v>
      </c>
    </row>
    <row r="700" spans="1:6" s="454" customFormat="1">
      <c r="A700" s="747"/>
      <c r="B700" s="438"/>
      <c r="C700" s="565"/>
      <c r="D700" s="565"/>
      <c r="E700" s="539"/>
      <c r="F700" s="565"/>
    </row>
    <row r="701" spans="1:6" ht="59.45" customHeight="1">
      <c r="A701" s="724" t="s">
        <v>621</v>
      </c>
      <c r="B701" s="748" t="s">
        <v>1249</v>
      </c>
      <c r="C701" s="749" t="s">
        <v>685</v>
      </c>
      <c r="D701" s="750">
        <v>250</v>
      </c>
      <c r="E701" s="549"/>
      <c r="F701" s="412">
        <f>E701*D701</f>
        <v>0</v>
      </c>
    </row>
    <row r="702" spans="1:6" s="454" customFormat="1">
      <c r="A702" s="747"/>
      <c r="B702" s="747"/>
      <c r="C702" s="565"/>
      <c r="D702" s="565"/>
      <c r="E702" s="539"/>
      <c r="F702" s="565"/>
    </row>
    <row r="703" spans="1:6" ht="29.1">
      <c r="A703" s="726">
        <v>4.2</v>
      </c>
      <c r="B703" s="725" t="s">
        <v>701</v>
      </c>
      <c r="C703" s="549" t="s">
        <v>616</v>
      </c>
      <c r="D703" s="751">
        <v>590</v>
      </c>
      <c r="E703" s="549"/>
      <c r="F703" s="333">
        <f>D703*E703</f>
        <v>0</v>
      </c>
    </row>
    <row r="704" spans="1:6" s="454" customFormat="1">
      <c r="A704" s="752"/>
      <c r="B704" s="538"/>
      <c r="C704" s="539"/>
      <c r="D704" s="539"/>
      <c r="E704" s="539"/>
      <c r="F704" s="539"/>
    </row>
    <row r="705" spans="1:6" ht="43.5">
      <c r="A705" s="726">
        <v>4.3</v>
      </c>
      <c r="B705" s="725" t="s">
        <v>702</v>
      </c>
      <c r="C705" s="549" t="s">
        <v>685</v>
      </c>
      <c r="D705" s="751">
        <v>80</v>
      </c>
      <c r="E705" s="549"/>
      <c r="F705" s="333">
        <f>D705*E705</f>
        <v>0</v>
      </c>
    </row>
    <row r="706" spans="1:6" s="454" customFormat="1">
      <c r="A706" s="752"/>
      <c r="B706" s="538"/>
      <c r="C706" s="539"/>
      <c r="D706" s="539"/>
      <c r="E706" s="539"/>
      <c r="F706" s="539"/>
    </row>
    <row r="707" spans="1:6" ht="43.5">
      <c r="A707" s="726">
        <v>4.4000000000000004</v>
      </c>
      <c r="B707" s="725" t="s">
        <v>703</v>
      </c>
      <c r="C707" s="549" t="s">
        <v>685</v>
      </c>
      <c r="D707" s="751">
        <v>35</v>
      </c>
      <c r="E707" s="549"/>
      <c r="F707" s="333">
        <f>D707*E707</f>
        <v>0</v>
      </c>
    </row>
    <row r="708" spans="1:6" s="454" customFormat="1">
      <c r="A708" s="747"/>
      <c r="B708" s="753"/>
      <c r="C708" s="539"/>
      <c r="D708" s="539"/>
      <c r="E708" s="754"/>
      <c r="F708" s="539"/>
    </row>
    <row r="709" spans="1:6" ht="43.5">
      <c r="A709" s="726">
        <v>4.5</v>
      </c>
      <c r="B709" s="755" t="s">
        <v>704</v>
      </c>
      <c r="C709" s="549" t="s">
        <v>705</v>
      </c>
      <c r="D709" s="751">
        <v>20</v>
      </c>
      <c r="E709" s="549"/>
      <c r="F709" s="333">
        <f>D709*E709</f>
        <v>0</v>
      </c>
    </row>
    <row r="710" spans="1:6">
      <c r="A710" s="726"/>
      <c r="B710" s="755"/>
      <c r="C710" s="549"/>
      <c r="D710" s="751"/>
      <c r="E710" s="549"/>
      <c r="F710" s="352"/>
    </row>
    <row r="711" spans="1:6" ht="57.95">
      <c r="A711" s="726">
        <v>4.5999999999999996</v>
      </c>
      <c r="B711" s="341" t="s">
        <v>706</v>
      </c>
      <c r="C711" s="549"/>
      <c r="D711" s="549"/>
      <c r="E711" s="756"/>
      <c r="F711" s="412"/>
    </row>
    <row r="712" spans="1:6">
      <c r="A712" s="530"/>
      <c r="B712" s="279"/>
      <c r="C712" s="549"/>
      <c r="D712" s="549"/>
      <c r="E712" s="756"/>
      <c r="F712" s="412"/>
    </row>
    <row r="713" spans="1:6">
      <c r="A713" s="530"/>
      <c r="B713" s="343" t="s">
        <v>707</v>
      </c>
      <c r="C713" s="344" t="s">
        <v>685</v>
      </c>
      <c r="D713" s="346">
        <v>15</v>
      </c>
      <c r="E713" s="412"/>
      <c r="F713" s="550">
        <f>D713*E713</f>
        <v>0</v>
      </c>
    </row>
    <row r="714" spans="1:6">
      <c r="A714" s="530"/>
      <c r="B714" s="343"/>
      <c r="C714" s="344"/>
      <c r="D714" s="344"/>
      <c r="E714" s="412"/>
      <c r="F714" s="412"/>
    </row>
    <row r="715" spans="1:6">
      <c r="A715" s="530"/>
      <c r="B715" s="345" t="s">
        <v>708</v>
      </c>
      <c r="C715" s="344" t="s">
        <v>562</v>
      </c>
      <c r="D715" s="346">
        <v>30</v>
      </c>
      <c r="E715" s="412"/>
      <c r="F715" s="550">
        <f>D715*E715</f>
        <v>0</v>
      </c>
    </row>
    <row r="716" spans="1:6">
      <c r="A716" s="530"/>
      <c r="B716" s="345"/>
      <c r="C716" s="344"/>
      <c r="D716" s="346"/>
      <c r="E716" s="412"/>
      <c r="F716" s="550"/>
    </row>
    <row r="717" spans="1:6">
      <c r="A717" s="530"/>
      <c r="B717" s="345" t="s">
        <v>1250</v>
      </c>
      <c r="C717" s="344" t="s">
        <v>562</v>
      </c>
      <c r="D717" s="346">
        <v>10</v>
      </c>
      <c r="E717" s="412"/>
      <c r="F717" s="550">
        <f>D717*E717</f>
        <v>0</v>
      </c>
    </row>
    <row r="718" spans="1:6" s="454" customFormat="1">
      <c r="A718" s="747"/>
      <c r="B718" s="747" t="s">
        <v>713</v>
      </c>
      <c r="C718" s="565"/>
      <c r="D718" s="565"/>
      <c r="E718" s="565"/>
      <c r="F718" s="565"/>
    </row>
    <row r="719" spans="1:6" ht="43.5">
      <c r="A719" s="726">
        <v>4.7</v>
      </c>
      <c r="B719" s="725" t="s">
        <v>710</v>
      </c>
      <c r="C719" s="412"/>
      <c r="D719" s="412"/>
      <c r="E719" s="412"/>
      <c r="F719" s="549"/>
    </row>
    <row r="720" spans="1:6">
      <c r="A720" s="530"/>
      <c r="B720" s="530"/>
      <c r="C720" s="412"/>
      <c r="D720" s="412"/>
      <c r="E720" s="412"/>
      <c r="F720" s="412"/>
    </row>
    <row r="721" spans="1:6">
      <c r="A721" s="530"/>
      <c r="B721" s="725" t="s">
        <v>711</v>
      </c>
      <c r="C721" s="412"/>
      <c r="D721" s="412"/>
      <c r="E721" s="412"/>
      <c r="F721" s="412"/>
    </row>
    <row r="722" spans="1:6">
      <c r="A722" s="530"/>
      <c r="B722" s="530"/>
      <c r="C722" s="412"/>
      <c r="D722" s="412"/>
      <c r="E722" s="412"/>
      <c r="F722" s="412"/>
    </row>
    <row r="723" spans="1:6" ht="29.1">
      <c r="A723" s="530"/>
      <c r="B723" s="725" t="s">
        <v>712</v>
      </c>
      <c r="C723" s="412" t="s">
        <v>562</v>
      </c>
      <c r="D723" s="751">
        <v>30</v>
      </c>
      <c r="E723" s="549"/>
      <c r="F723" s="550">
        <f>D723*E723</f>
        <v>0</v>
      </c>
    </row>
    <row r="724" spans="1:6">
      <c r="A724" s="530"/>
      <c r="B724" s="530" t="s">
        <v>713</v>
      </c>
      <c r="C724" s="412"/>
      <c r="D724" s="412"/>
      <c r="E724" s="412"/>
      <c r="F724" s="412"/>
    </row>
    <row r="725" spans="1:6" ht="29.1">
      <c r="A725" s="726">
        <v>4.8</v>
      </c>
      <c r="B725" s="725" t="s">
        <v>714</v>
      </c>
      <c r="C725" s="412"/>
      <c r="D725" s="412"/>
      <c r="E725" s="412"/>
      <c r="F725" s="412"/>
    </row>
    <row r="726" spans="1:6">
      <c r="A726" s="530"/>
      <c r="B726" s="530"/>
      <c r="C726" s="412"/>
      <c r="D726" s="412"/>
      <c r="E726" s="412"/>
      <c r="F726" s="412"/>
    </row>
    <row r="727" spans="1:6">
      <c r="A727" s="530"/>
      <c r="B727" s="725" t="s">
        <v>711</v>
      </c>
      <c r="C727" s="412"/>
      <c r="D727" s="412"/>
      <c r="E727" s="412"/>
      <c r="F727" s="412"/>
    </row>
    <row r="728" spans="1:6">
      <c r="A728" s="530"/>
      <c r="B728" s="530"/>
      <c r="C728" s="412"/>
      <c r="D728" s="412"/>
      <c r="E728" s="412"/>
      <c r="F728" s="412"/>
    </row>
    <row r="729" spans="1:6">
      <c r="A729" s="530"/>
      <c r="B729" s="725" t="s">
        <v>715</v>
      </c>
      <c r="C729" s="412" t="s">
        <v>562</v>
      </c>
      <c r="D729" s="751">
        <v>30</v>
      </c>
      <c r="E729" s="549"/>
      <c r="F729" s="550">
        <f>D729*E729</f>
        <v>0</v>
      </c>
    </row>
    <row r="730" spans="1:6" s="454" customFormat="1">
      <c r="A730" s="747"/>
      <c r="B730" s="747"/>
      <c r="C730" s="565"/>
      <c r="D730" s="566"/>
      <c r="E730" s="565"/>
      <c r="F730" s="565"/>
    </row>
    <row r="731" spans="1:6" ht="33.75" customHeight="1">
      <c r="A731" s="757">
        <v>4.9000000000000004</v>
      </c>
      <c r="B731" s="725" t="s">
        <v>716</v>
      </c>
      <c r="C731" s="549"/>
      <c r="D731" s="549"/>
      <c r="E731" s="756"/>
      <c r="F731" s="412"/>
    </row>
    <row r="732" spans="1:6" ht="7.5" customHeight="1">
      <c r="A732" s="411"/>
      <c r="B732" s="530"/>
      <c r="C732" s="549"/>
      <c r="D732" s="549"/>
      <c r="E732" s="756"/>
      <c r="F732" s="549"/>
    </row>
    <row r="733" spans="1:6">
      <c r="A733" s="411"/>
      <c r="B733" s="725" t="s">
        <v>717</v>
      </c>
      <c r="C733" s="549"/>
      <c r="D733" s="751"/>
      <c r="E733" s="751"/>
      <c r="F733" s="549"/>
    </row>
    <row r="734" spans="1:6">
      <c r="A734" s="411"/>
      <c r="B734" s="758" t="s">
        <v>713</v>
      </c>
      <c r="C734" s="549"/>
      <c r="D734" s="549"/>
      <c r="E734" s="756"/>
      <c r="F734" s="549"/>
    </row>
    <row r="735" spans="1:6">
      <c r="A735" s="530"/>
      <c r="B735" s="423" t="s">
        <v>718</v>
      </c>
      <c r="C735" s="759" t="s">
        <v>685</v>
      </c>
      <c r="D735" s="597">
        <v>50</v>
      </c>
      <c r="E735" s="596"/>
      <c r="F735" s="349">
        <f>D735*E735</f>
        <v>0</v>
      </c>
    </row>
    <row r="736" spans="1:6">
      <c r="A736" s="406"/>
      <c r="B736" s="423" t="s">
        <v>719</v>
      </c>
      <c r="C736" s="759" t="s">
        <v>685</v>
      </c>
      <c r="D736" s="597">
        <v>20</v>
      </c>
      <c r="E736" s="596"/>
      <c r="F736" s="349">
        <f>D736*E736</f>
        <v>0</v>
      </c>
    </row>
    <row r="737" spans="1:6" s="454" customFormat="1">
      <c r="A737" s="563"/>
      <c r="B737" s="747"/>
      <c r="C737" s="760"/>
      <c r="D737" s="673"/>
      <c r="E737" s="565"/>
      <c r="F737" s="761"/>
    </row>
    <row r="738" spans="1:6" ht="29.1">
      <c r="A738" s="762">
        <v>4.0999999999999996</v>
      </c>
      <c r="B738" s="725" t="s">
        <v>720</v>
      </c>
      <c r="C738" s="412"/>
      <c r="D738" s="412"/>
      <c r="E738" s="412"/>
      <c r="F738" s="412"/>
    </row>
    <row r="739" spans="1:6">
      <c r="A739" s="406"/>
      <c r="B739" s="530"/>
      <c r="C739" s="412"/>
      <c r="D739" s="412"/>
      <c r="E739" s="412"/>
      <c r="F739" s="412"/>
    </row>
    <row r="740" spans="1:6">
      <c r="A740" s="406"/>
      <c r="B740" s="725" t="s">
        <v>721</v>
      </c>
      <c r="C740" s="412"/>
      <c r="D740" s="412"/>
      <c r="E740" s="412"/>
      <c r="F740" s="412"/>
    </row>
    <row r="741" spans="1:6">
      <c r="A741" s="406"/>
      <c r="B741" s="530" t="s">
        <v>713</v>
      </c>
      <c r="C741" s="412"/>
      <c r="D741" s="412"/>
      <c r="E741" s="412"/>
      <c r="F741" s="412"/>
    </row>
    <row r="742" spans="1:6">
      <c r="A742" s="406"/>
      <c r="B742" s="727" t="s">
        <v>722</v>
      </c>
      <c r="C742" s="735" t="s">
        <v>685</v>
      </c>
      <c r="D742" s="597">
        <v>70</v>
      </c>
      <c r="E742" s="596"/>
      <c r="F742" s="349">
        <f>D742*E742</f>
        <v>0</v>
      </c>
    </row>
    <row r="743" spans="1:6" s="454" customFormat="1">
      <c r="A743" s="563"/>
      <c r="B743" s="747"/>
      <c r="C743" s="539"/>
      <c r="D743" s="539"/>
      <c r="E743" s="539"/>
      <c r="F743" s="539"/>
    </row>
    <row r="744" spans="1:6" ht="29.1">
      <c r="A744" s="762">
        <v>4.1100000000000003</v>
      </c>
      <c r="B744" s="725" t="s">
        <v>723</v>
      </c>
      <c r="C744" s="412"/>
      <c r="D744" s="412"/>
      <c r="E744" s="412"/>
      <c r="F744" s="412"/>
    </row>
    <row r="745" spans="1:6">
      <c r="A745" s="406"/>
      <c r="B745" s="725"/>
      <c r="C745" s="412"/>
      <c r="D745" s="412"/>
      <c r="E745" s="412"/>
      <c r="F745" s="412"/>
    </row>
    <row r="746" spans="1:6">
      <c r="A746" s="406"/>
      <c r="B746" s="423" t="s">
        <v>1251</v>
      </c>
      <c r="C746" s="596" t="s">
        <v>616</v>
      </c>
      <c r="D746" s="597">
        <v>510</v>
      </c>
      <c r="E746" s="763"/>
      <c r="F746" s="596">
        <f>E746*D746</f>
        <v>0</v>
      </c>
    </row>
    <row r="747" spans="1:6">
      <c r="A747" s="406"/>
      <c r="B747" s="423" t="s">
        <v>1252</v>
      </c>
      <c r="C747" s="596" t="s">
        <v>616</v>
      </c>
      <c r="D747" s="597">
        <v>350</v>
      </c>
      <c r="E747" s="763"/>
      <c r="F747" s="596">
        <f>E747*D747</f>
        <v>0</v>
      </c>
    </row>
    <row r="748" spans="1:6">
      <c r="A748" s="406"/>
      <c r="B748" s="423" t="s">
        <v>1253</v>
      </c>
      <c r="C748" s="596" t="s">
        <v>616</v>
      </c>
      <c r="D748" s="597">
        <v>200</v>
      </c>
      <c r="E748" s="763"/>
      <c r="F748" s="596">
        <f>E748*D748</f>
        <v>0</v>
      </c>
    </row>
    <row r="749" spans="1:6" s="454" customFormat="1">
      <c r="A749" s="563"/>
      <c r="B749" s="747"/>
      <c r="C749" s="565"/>
      <c r="D749" s="764"/>
      <c r="E749" s="765"/>
      <c r="F749" s="565"/>
    </row>
    <row r="750" spans="1:6" ht="29.1">
      <c r="A750" s="762">
        <v>4.12</v>
      </c>
      <c r="B750" s="725" t="s">
        <v>728</v>
      </c>
      <c r="C750" s="412" t="s">
        <v>685</v>
      </c>
      <c r="D750" s="412">
        <v>5</v>
      </c>
      <c r="E750" s="412"/>
      <c r="F750" s="412">
        <f>E750*D750</f>
        <v>0</v>
      </c>
    </row>
    <row r="751" spans="1:6" s="454" customFormat="1">
      <c r="A751" s="563"/>
      <c r="B751" s="538"/>
      <c r="C751" s="565"/>
      <c r="D751" s="565"/>
      <c r="E751" s="565"/>
      <c r="F751" s="565"/>
    </row>
    <row r="752" spans="1:6" ht="29.1">
      <c r="A752" s="762">
        <v>4.13</v>
      </c>
      <c r="B752" s="725" t="s">
        <v>1254</v>
      </c>
      <c r="C752" s="412" t="s">
        <v>685</v>
      </c>
      <c r="D752" s="412">
        <v>10</v>
      </c>
      <c r="E752" s="412"/>
      <c r="F752" s="412">
        <f>E752*D752</f>
        <v>0</v>
      </c>
    </row>
    <row r="753" spans="1:6" s="454" customFormat="1">
      <c r="A753" s="563"/>
      <c r="B753" s="753"/>
      <c r="C753" s="565"/>
      <c r="D753" s="539"/>
      <c r="E753" s="539"/>
      <c r="F753" s="539"/>
    </row>
    <row r="754" spans="1:6" ht="29.1">
      <c r="A754" s="762">
        <v>4.1399999999999997</v>
      </c>
      <c r="B754" s="725" t="s">
        <v>731</v>
      </c>
      <c r="C754" s="412"/>
      <c r="D754" s="412"/>
      <c r="E754" s="412"/>
      <c r="F754" s="412"/>
    </row>
    <row r="755" spans="1:6">
      <c r="A755" s="406"/>
      <c r="B755" s="530"/>
      <c r="C755" s="412"/>
      <c r="D755" s="412"/>
      <c r="E755" s="412"/>
      <c r="F755" s="412"/>
    </row>
    <row r="756" spans="1:6">
      <c r="A756" s="406"/>
      <c r="B756" s="423" t="s">
        <v>1251</v>
      </c>
      <c r="C756" s="596" t="s">
        <v>562</v>
      </c>
      <c r="D756" s="597">
        <f>+D746*2</f>
        <v>1020</v>
      </c>
      <c r="E756" s="766"/>
      <c r="F756" s="596">
        <f>E756*D756</f>
        <v>0</v>
      </c>
    </row>
    <row r="757" spans="1:6">
      <c r="A757" s="406"/>
      <c r="B757" s="423" t="s">
        <v>1252</v>
      </c>
      <c r="C757" s="596" t="s">
        <v>562</v>
      </c>
      <c r="D757" s="597">
        <f>+D747*2</f>
        <v>700</v>
      </c>
      <c r="E757" s="766"/>
      <c r="F757" s="596">
        <f>E757*D757</f>
        <v>0</v>
      </c>
    </row>
    <row r="758" spans="1:6">
      <c r="A758" s="406"/>
      <c r="B758" s="423" t="s">
        <v>1253</v>
      </c>
      <c r="C758" s="596" t="s">
        <v>562</v>
      </c>
      <c r="D758" s="597">
        <f>+D748*2</f>
        <v>400</v>
      </c>
      <c r="E758" s="596"/>
      <c r="F758" s="596">
        <f>E758*D758</f>
        <v>0</v>
      </c>
    </row>
    <row r="759" spans="1:6" s="454" customFormat="1">
      <c r="A759" s="563"/>
      <c r="B759" s="747"/>
      <c r="C759" s="767"/>
      <c r="D759" s="566"/>
      <c r="E759" s="565"/>
      <c r="F759" s="565"/>
    </row>
    <row r="760" spans="1:6">
      <c r="A760" s="762">
        <v>4.1500000000000004</v>
      </c>
      <c r="B760" s="725" t="s">
        <v>1255</v>
      </c>
      <c r="C760" s="722" t="s">
        <v>685</v>
      </c>
      <c r="D760" s="751">
        <v>5</v>
      </c>
      <c r="E760" s="549"/>
      <c r="F760" s="412">
        <f>E760*D760</f>
        <v>0</v>
      </c>
    </row>
    <row r="761" spans="1:6">
      <c r="A761" s="406"/>
      <c r="B761" s="530"/>
      <c r="C761" s="549"/>
      <c r="D761" s="549"/>
      <c r="E761" s="549"/>
      <c r="F761" s="549"/>
    </row>
    <row r="762" spans="1:6">
      <c r="A762" s="768" t="s">
        <v>732</v>
      </c>
      <c r="B762" s="769"/>
      <c r="C762" s="770"/>
      <c r="D762" s="770"/>
      <c r="E762" s="770"/>
      <c r="F762" s="771">
        <f>SUM(F676:F761)</f>
        <v>0</v>
      </c>
    </row>
    <row r="763" spans="1:6" s="454" customFormat="1" ht="15" customHeight="1">
      <c r="A763" s="772"/>
      <c r="B763" s="538"/>
      <c r="C763" s="754"/>
      <c r="D763" s="754"/>
      <c r="E763" s="754"/>
      <c r="F763" s="773"/>
    </row>
    <row r="764" spans="1:6">
      <c r="A764" s="406" t="s">
        <v>1256</v>
      </c>
      <c r="B764" s="424" t="s">
        <v>734</v>
      </c>
      <c r="C764" s="549"/>
      <c r="D764" s="549"/>
      <c r="E764" s="756"/>
      <c r="F764" s="549"/>
    </row>
    <row r="765" spans="1:6">
      <c r="A765" s="406"/>
      <c r="B765" s="424"/>
      <c r="C765" s="549"/>
      <c r="D765" s="549"/>
      <c r="E765" s="756"/>
      <c r="F765" s="549"/>
    </row>
    <row r="766" spans="1:6" ht="43.5">
      <c r="A766" s="726">
        <v>5.0999999999999996</v>
      </c>
      <c r="B766" s="774" t="s">
        <v>1257</v>
      </c>
      <c r="C766" s="549"/>
      <c r="D766" s="549"/>
      <c r="E766" s="549"/>
      <c r="F766" s="549"/>
    </row>
    <row r="767" spans="1:6">
      <c r="A767" s="406"/>
      <c r="B767" s="423" t="s">
        <v>736</v>
      </c>
      <c r="C767" s="596" t="s">
        <v>685</v>
      </c>
      <c r="D767" s="597" t="s">
        <v>585</v>
      </c>
      <c r="E767" s="596"/>
      <c r="F767" s="596" t="s">
        <v>586</v>
      </c>
    </row>
    <row r="768" spans="1:6">
      <c r="A768" s="406"/>
      <c r="B768" s="423" t="s">
        <v>737</v>
      </c>
      <c r="C768" s="596" t="s">
        <v>685</v>
      </c>
      <c r="D768" s="596">
        <v>720</v>
      </c>
      <c r="E768" s="596"/>
      <c r="F768" s="596">
        <f>E768*D768</f>
        <v>0</v>
      </c>
    </row>
    <row r="769" spans="1:11" s="454" customFormat="1">
      <c r="A769" s="563"/>
      <c r="B769" s="747"/>
      <c r="C769" s="539"/>
      <c r="D769" s="539"/>
      <c r="E769" s="539"/>
      <c r="F769" s="539"/>
    </row>
    <row r="770" spans="1:11" ht="57.95">
      <c r="A770" s="726">
        <v>5.2</v>
      </c>
      <c r="B770" s="279" t="s">
        <v>1258</v>
      </c>
      <c r="C770" s="549"/>
      <c r="D770" s="549"/>
      <c r="E770" s="549"/>
      <c r="F770" s="549"/>
    </row>
    <row r="771" spans="1:11">
      <c r="A771" s="406"/>
      <c r="B771" s="423" t="s">
        <v>739</v>
      </c>
      <c r="C771" s="766" t="s">
        <v>685</v>
      </c>
      <c r="D771" s="735">
        <v>5840</v>
      </c>
      <c r="E771" s="596"/>
      <c r="F771" s="596">
        <f>E771*D771</f>
        <v>0</v>
      </c>
    </row>
    <row r="772" spans="1:11">
      <c r="A772" s="406"/>
      <c r="B772" s="414" t="s">
        <v>740</v>
      </c>
      <c r="C772" s="596" t="s">
        <v>685</v>
      </c>
      <c r="D772" s="735">
        <v>1050</v>
      </c>
      <c r="E772" s="596"/>
      <c r="F772" s="596">
        <f>E772*D772</f>
        <v>0</v>
      </c>
    </row>
    <row r="773" spans="1:11" s="454" customFormat="1">
      <c r="A773" s="563"/>
      <c r="B773" s="548"/>
      <c r="C773" s="539"/>
      <c r="D773" s="539"/>
      <c r="E773" s="754"/>
      <c r="F773" s="539"/>
    </row>
    <row r="774" spans="1:11" ht="29.1">
      <c r="A774" s="427" t="s">
        <v>1259</v>
      </c>
      <c r="B774" s="453" t="s">
        <v>1260</v>
      </c>
      <c r="C774" s="432"/>
      <c r="D774" s="432"/>
      <c r="E774" s="432"/>
      <c r="F774" s="432"/>
    </row>
    <row r="775" spans="1:11" ht="29.1">
      <c r="A775" s="464"/>
      <c r="B775" s="463" t="s">
        <v>1261</v>
      </c>
      <c r="C775" s="432"/>
      <c r="D775" s="432"/>
      <c r="E775" s="432"/>
      <c r="F775" s="432"/>
      <c r="I775" s="775"/>
      <c r="J775" s="722"/>
      <c r="K775" s="712"/>
    </row>
    <row r="776" spans="1:11">
      <c r="A776" s="464"/>
      <c r="B776" s="696" t="s">
        <v>1262</v>
      </c>
      <c r="C776" s="536" t="s">
        <v>616</v>
      </c>
      <c r="D776" s="569" t="s">
        <v>585</v>
      </c>
      <c r="E776" s="536"/>
      <c r="F776" s="536" t="s">
        <v>586</v>
      </c>
      <c r="I776" s="775"/>
      <c r="J776" s="722"/>
      <c r="K776" s="712"/>
    </row>
    <row r="777" spans="1:11">
      <c r="A777" s="464"/>
      <c r="B777" s="696" t="s">
        <v>1263</v>
      </c>
      <c r="C777" s="536" t="s">
        <v>616</v>
      </c>
      <c r="D777" s="569" t="s">
        <v>585</v>
      </c>
      <c r="E777" s="536"/>
      <c r="F777" s="536" t="s">
        <v>586</v>
      </c>
      <c r="I777" s="775"/>
      <c r="J777" s="722"/>
      <c r="K777" s="722"/>
    </row>
    <row r="778" spans="1:11">
      <c r="A778" s="464"/>
      <c r="B778" s="696" t="s">
        <v>1264</v>
      </c>
      <c r="C778" s="536" t="s">
        <v>616</v>
      </c>
      <c r="D778" s="569">
        <f t="shared" ref="D778:D788" si="17">D511</f>
        <v>180</v>
      </c>
      <c r="E778" s="710"/>
      <c r="F778" s="536">
        <f t="shared" ref="F778:F788" si="18">E778*D778</f>
        <v>0</v>
      </c>
      <c r="I778" s="775"/>
      <c r="J778" s="722"/>
      <c r="K778" s="712"/>
    </row>
    <row r="779" spans="1:11">
      <c r="A779" s="464"/>
      <c r="B779" s="696" t="s">
        <v>1265</v>
      </c>
      <c r="C779" s="536" t="s">
        <v>616</v>
      </c>
      <c r="D779" s="569">
        <f t="shared" si="17"/>
        <v>120</v>
      </c>
      <c r="E779" s="710"/>
      <c r="F779" s="536">
        <f t="shared" si="18"/>
        <v>0</v>
      </c>
      <c r="I779" s="775"/>
      <c r="J779" s="722"/>
      <c r="K779" s="722"/>
    </row>
    <row r="780" spans="1:11">
      <c r="A780" s="464"/>
      <c r="B780" s="696" t="s">
        <v>1266</v>
      </c>
      <c r="C780" s="536" t="s">
        <v>616</v>
      </c>
      <c r="D780" s="569">
        <f t="shared" si="17"/>
        <v>100</v>
      </c>
      <c r="E780" s="710"/>
      <c r="F780" s="536">
        <f t="shared" si="18"/>
        <v>0</v>
      </c>
      <c r="I780" s="775"/>
      <c r="J780" s="722"/>
      <c r="K780" s="722"/>
    </row>
    <row r="781" spans="1:11">
      <c r="A781" s="464"/>
      <c r="B781" s="696" t="s">
        <v>1267</v>
      </c>
      <c r="C781" s="536" t="s">
        <v>616</v>
      </c>
      <c r="D781" s="569">
        <f t="shared" si="17"/>
        <v>110</v>
      </c>
      <c r="E781" s="710"/>
      <c r="F781" s="536">
        <f t="shared" si="18"/>
        <v>0</v>
      </c>
      <c r="I781" s="775"/>
      <c r="J781" s="722"/>
      <c r="K781" s="722"/>
    </row>
    <row r="782" spans="1:11">
      <c r="A782" s="464"/>
      <c r="B782" s="696" t="s">
        <v>1268</v>
      </c>
      <c r="C782" s="536" t="s">
        <v>616</v>
      </c>
      <c r="D782" s="569">
        <f t="shared" si="17"/>
        <v>90</v>
      </c>
      <c r="E782" s="710"/>
      <c r="F782" s="536">
        <f t="shared" si="18"/>
        <v>0</v>
      </c>
      <c r="I782" s="775"/>
      <c r="J782" s="722"/>
      <c r="K782" s="722"/>
    </row>
    <row r="783" spans="1:11">
      <c r="A783" s="464"/>
      <c r="B783" s="696" t="s">
        <v>1269</v>
      </c>
      <c r="C783" s="536" t="s">
        <v>616</v>
      </c>
      <c r="D783" s="569">
        <f t="shared" si="17"/>
        <v>80</v>
      </c>
      <c r="E783" s="710"/>
      <c r="F783" s="536">
        <f t="shared" si="18"/>
        <v>0</v>
      </c>
      <c r="I783" s="775"/>
      <c r="J783" s="722"/>
      <c r="K783" s="722"/>
    </row>
    <row r="784" spans="1:11">
      <c r="A784" s="464"/>
      <c r="B784" s="696" t="s">
        <v>1270</v>
      </c>
      <c r="C784" s="536" t="s">
        <v>616</v>
      </c>
      <c r="D784" s="569">
        <f t="shared" si="17"/>
        <v>100</v>
      </c>
      <c r="E784" s="710"/>
      <c r="F784" s="536">
        <f t="shared" si="18"/>
        <v>0</v>
      </c>
      <c r="I784" s="775"/>
      <c r="J784" s="722"/>
      <c r="K784" s="722"/>
    </row>
    <row r="785" spans="1:11">
      <c r="A785" s="464"/>
      <c r="B785" s="696" t="s">
        <v>1271</v>
      </c>
      <c r="C785" s="536" t="s">
        <v>616</v>
      </c>
      <c r="D785" s="569">
        <f t="shared" si="17"/>
        <v>210</v>
      </c>
      <c r="E785" s="710"/>
      <c r="F785" s="536">
        <f t="shared" si="18"/>
        <v>0</v>
      </c>
      <c r="I785" s="775"/>
      <c r="J785" s="722"/>
      <c r="K785" s="722"/>
    </row>
    <row r="786" spans="1:11">
      <c r="A786" s="464"/>
      <c r="B786" s="696" t="s">
        <v>1272</v>
      </c>
      <c r="C786" s="536" t="s">
        <v>616</v>
      </c>
      <c r="D786" s="569">
        <f t="shared" si="17"/>
        <v>350</v>
      </c>
      <c r="E786" s="710"/>
      <c r="F786" s="536">
        <f t="shared" si="18"/>
        <v>0</v>
      </c>
      <c r="I786" s="775"/>
      <c r="J786" s="722"/>
      <c r="K786" s="722"/>
    </row>
    <row r="787" spans="1:11">
      <c r="A787" s="464"/>
      <c r="B787" s="696" t="s">
        <v>1273</v>
      </c>
      <c r="C787" s="536" t="s">
        <v>616</v>
      </c>
      <c r="D787" s="569">
        <f t="shared" si="17"/>
        <v>250</v>
      </c>
      <c r="E787" s="710"/>
      <c r="F787" s="536">
        <f t="shared" si="18"/>
        <v>0</v>
      </c>
    </row>
    <row r="788" spans="1:11">
      <c r="A788" s="464"/>
      <c r="B788" s="696" t="s">
        <v>1274</v>
      </c>
      <c r="C788" s="536" t="s">
        <v>616</v>
      </c>
      <c r="D788" s="569">
        <f t="shared" si="17"/>
        <v>450</v>
      </c>
      <c r="E788" s="776"/>
      <c r="F788" s="536">
        <f t="shared" si="18"/>
        <v>0</v>
      </c>
    </row>
    <row r="789" spans="1:11">
      <c r="A789" s="572"/>
      <c r="B789" s="438"/>
      <c r="C789" s="441"/>
      <c r="D789" s="441"/>
      <c r="E789" s="441"/>
      <c r="F789" s="441"/>
    </row>
    <row r="790" spans="1:11" ht="29.1">
      <c r="A790" s="427" t="s">
        <v>1275</v>
      </c>
      <c r="B790" s="463" t="s">
        <v>1276</v>
      </c>
      <c r="C790" s="432"/>
      <c r="D790" s="432"/>
      <c r="E790" s="432"/>
      <c r="F790" s="432"/>
    </row>
    <row r="791" spans="1:11">
      <c r="A791" s="427"/>
      <c r="B791" s="463"/>
      <c r="C791" s="432"/>
      <c r="D791" s="432"/>
      <c r="E791" s="432"/>
      <c r="F791" s="432"/>
    </row>
    <row r="792" spans="1:11">
      <c r="A792" s="464"/>
      <c r="B792" s="462" t="s">
        <v>1222</v>
      </c>
      <c r="C792" s="536" t="s">
        <v>616</v>
      </c>
      <c r="D792" s="536">
        <f>D640+D630</f>
        <v>70</v>
      </c>
      <c r="E792" s="536"/>
      <c r="F792" s="536">
        <f>E792*D792</f>
        <v>0</v>
      </c>
    </row>
    <row r="793" spans="1:11">
      <c r="A793" s="464"/>
      <c r="B793" s="462" t="s">
        <v>1223</v>
      </c>
      <c r="C793" s="536" t="s">
        <v>616</v>
      </c>
      <c r="D793" s="536">
        <f>D641+D631</f>
        <v>60</v>
      </c>
      <c r="E793" s="536"/>
      <c r="F793" s="536">
        <f>E793*D793</f>
        <v>0</v>
      </c>
    </row>
    <row r="794" spans="1:11">
      <c r="A794" s="464"/>
      <c r="B794" s="462" t="s">
        <v>1224</v>
      </c>
      <c r="C794" s="536" t="s">
        <v>616</v>
      </c>
      <c r="D794" s="536">
        <f>D642+D632</f>
        <v>150</v>
      </c>
      <c r="E794" s="536"/>
      <c r="F794" s="536">
        <f>E794*D794</f>
        <v>0</v>
      </c>
    </row>
    <row r="795" spans="1:11">
      <c r="A795" s="464"/>
      <c r="B795" s="777" t="s">
        <v>1225</v>
      </c>
      <c r="C795" s="536" t="s">
        <v>616</v>
      </c>
      <c r="D795" s="536">
        <f>D643+D633</f>
        <v>170</v>
      </c>
      <c r="E795" s="536"/>
      <c r="F795" s="536">
        <f>E795*D795</f>
        <v>0</v>
      </c>
    </row>
    <row r="796" spans="1:11" ht="17.25" customHeight="1">
      <c r="A796" s="464"/>
      <c r="B796" s="777" t="s">
        <v>1226</v>
      </c>
      <c r="C796" s="536" t="s">
        <v>616</v>
      </c>
      <c r="D796" s="536">
        <f>D644</f>
        <v>320</v>
      </c>
      <c r="E796" s="536"/>
      <c r="F796" s="536">
        <f>E796*D796</f>
        <v>0</v>
      </c>
    </row>
    <row r="797" spans="1:11">
      <c r="A797" s="572"/>
      <c r="B797" s="438"/>
      <c r="C797" s="582"/>
      <c r="D797" s="441"/>
      <c r="E797" s="441"/>
      <c r="F797" s="441"/>
    </row>
    <row r="798" spans="1:11" ht="43.5">
      <c r="A798" s="699" t="s">
        <v>1277</v>
      </c>
      <c r="B798" s="463" t="s">
        <v>1278</v>
      </c>
      <c r="C798" s="432"/>
      <c r="D798" s="432"/>
      <c r="E798" s="432"/>
      <c r="F798" s="432"/>
    </row>
    <row r="799" spans="1:11">
      <c r="A799" s="699"/>
      <c r="B799" s="463"/>
      <c r="C799" s="432"/>
      <c r="D799" s="432"/>
      <c r="E799" s="432"/>
      <c r="F799" s="432"/>
    </row>
    <row r="800" spans="1:11">
      <c r="A800" s="464"/>
      <c r="B800" s="462" t="s">
        <v>1279</v>
      </c>
      <c r="C800" s="536" t="s">
        <v>685</v>
      </c>
      <c r="D800" s="569">
        <v>120</v>
      </c>
      <c r="E800" s="536"/>
      <c r="F800" s="536">
        <f>E800*D800</f>
        <v>0</v>
      </c>
    </row>
    <row r="801" spans="1:37">
      <c r="A801" s="572"/>
      <c r="B801" s="438"/>
      <c r="C801" s="441"/>
      <c r="D801" s="441"/>
      <c r="E801" s="441"/>
      <c r="F801" s="441"/>
    </row>
    <row r="802" spans="1:37" ht="57.95">
      <c r="A802" s="427" t="s">
        <v>1280</v>
      </c>
      <c r="B802" s="463" t="s">
        <v>1281</v>
      </c>
      <c r="C802" s="432" t="s">
        <v>685</v>
      </c>
      <c r="D802" s="432">
        <v>530</v>
      </c>
      <c r="E802" s="432"/>
      <c r="F802" s="524">
        <f>E802*D802</f>
        <v>0</v>
      </c>
    </row>
    <row r="803" spans="1:37" s="454" customFormat="1">
      <c r="A803" s="684"/>
      <c r="B803" s="778"/>
      <c r="C803" s="441"/>
      <c r="D803" s="441"/>
      <c r="E803" s="441"/>
      <c r="F803" s="442"/>
    </row>
    <row r="804" spans="1:37" ht="29.1">
      <c r="A804" s="427" t="s">
        <v>1282</v>
      </c>
      <c r="B804" s="463" t="s">
        <v>1283</v>
      </c>
      <c r="C804" s="432" t="s">
        <v>685</v>
      </c>
      <c r="D804" s="568">
        <v>250</v>
      </c>
      <c r="E804" s="432"/>
      <c r="F804" s="524">
        <f>E804*D804</f>
        <v>0</v>
      </c>
    </row>
    <row r="805" spans="1:37" s="454" customFormat="1">
      <c r="A805" s="684"/>
      <c r="B805" s="778"/>
      <c r="C805" s="441"/>
      <c r="D805" s="574"/>
      <c r="E805" s="441"/>
      <c r="F805" s="442"/>
    </row>
    <row r="806" spans="1:37" ht="43.5">
      <c r="A806" s="427" t="s">
        <v>1284</v>
      </c>
      <c r="B806" s="779" t="s">
        <v>743</v>
      </c>
      <c r="C806" s="432"/>
      <c r="D806" s="432"/>
      <c r="E806" s="432"/>
      <c r="F806" s="524"/>
    </row>
    <row r="807" spans="1:37" s="454" customFormat="1">
      <c r="A807" s="684"/>
      <c r="B807" s="423" t="s">
        <v>736</v>
      </c>
      <c r="C807" s="780" t="s">
        <v>685</v>
      </c>
      <c r="D807" s="536">
        <v>1250</v>
      </c>
      <c r="E807" s="536"/>
      <c r="F807" s="579">
        <f>E807*D807</f>
        <v>0</v>
      </c>
    </row>
    <row r="808" spans="1:37" s="454" customFormat="1">
      <c r="A808" s="429"/>
      <c r="B808" s="428"/>
      <c r="C808" s="549"/>
      <c r="D808" s="549"/>
      <c r="E808" s="549"/>
      <c r="F808" s="549"/>
    </row>
    <row r="809" spans="1:37" s="784" customFormat="1">
      <c r="A809" s="768" t="s">
        <v>744</v>
      </c>
      <c r="B809" s="781"/>
      <c r="C809" s="782"/>
      <c r="D809" s="782"/>
      <c r="E809" s="770"/>
      <c r="F809" s="783">
        <f>SUM(F766:F808)</f>
        <v>0</v>
      </c>
      <c r="G809" s="454"/>
      <c r="H809" s="454"/>
      <c r="I809" s="454"/>
      <c r="J809" s="454"/>
      <c r="K809" s="454"/>
      <c r="L809" s="454"/>
      <c r="M809" s="454"/>
      <c r="N809" s="454"/>
      <c r="O809" s="454"/>
      <c r="P809" s="454"/>
      <c r="Q809" s="454"/>
      <c r="R809" s="454"/>
      <c r="S809" s="454"/>
      <c r="T809" s="454"/>
      <c r="U809" s="454"/>
      <c r="V809" s="454"/>
      <c r="W809" s="454"/>
      <c r="X809" s="454"/>
      <c r="Y809" s="454"/>
      <c r="Z809" s="454"/>
      <c r="AA809" s="454"/>
      <c r="AB809" s="454"/>
      <c r="AC809" s="454"/>
      <c r="AD809" s="454"/>
      <c r="AE809" s="454"/>
      <c r="AF809" s="454"/>
      <c r="AG809" s="454"/>
      <c r="AH809" s="454"/>
      <c r="AI809" s="454"/>
      <c r="AJ809" s="454"/>
      <c r="AK809" s="454"/>
    </row>
    <row r="810" spans="1:37" s="454" customFormat="1">
      <c r="A810" s="785"/>
      <c r="B810" s="747"/>
      <c r="C810" s="539"/>
      <c r="D810" s="539"/>
      <c r="E810" s="786"/>
      <c r="F810" s="787"/>
    </row>
    <row r="811" spans="1:37">
      <c r="A811" s="788">
        <v>6</v>
      </c>
      <c r="B811" s="424" t="s">
        <v>1285</v>
      </c>
      <c r="C811" s="412"/>
      <c r="D811" s="412"/>
      <c r="E811" s="789"/>
      <c r="F811" s="549"/>
    </row>
    <row r="812" spans="1:37">
      <c r="A812" s="790"/>
      <c r="B812" s="530"/>
      <c r="C812" s="412"/>
      <c r="D812" s="412"/>
      <c r="E812" s="789"/>
      <c r="F812" s="549"/>
    </row>
    <row r="813" spans="1:37" ht="14.25" customHeight="1">
      <c r="A813" s="464" t="s">
        <v>1286</v>
      </c>
      <c r="B813" s="428" t="s">
        <v>1287</v>
      </c>
      <c r="C813" s="432"/>
      <c r="D813" s="432"/>
      <c r="E813" s="432"/>
      <c r="F813" s="432"/>
    </row>
    <row r="814" spans="1:37" ht="14.25" customHeight="1">
      <c r="A814" s="464"/>
      <c r="B814" s="428"/>
      <c r="C814" s="432"/>
      <c r="D814" s="432"/>
      <c r="E814" s="432"/>
      <c r="F814" s="432"/>
    </row>
    <row r="815" spans="1:37" ht="57.95">
      <c r="A815" s="464"/>
      <c r="B815" s="463" t="s">
        <v>1288</v>
      </c>
      <c r="C815" s="432"/>
      <c r="D815" s="432"/>
      <c r="E815" s="432"/>
      <c r="F815" s="432"/>
    </row>
    <row r="816" spans="1:37" ht="14.25" customHeight="1">
      <c r="A816" s="464"/>
      <c r="B816" s="428"/>
      <c r="C816" s="432"/>
      <c r="D816" s="432"/>
      <c r="E816" s="432"/>
      <c r="F816" s="432"/>
    </row>
    <row r="817" spans="1:6" ht="19.5" customHeight="1">
      <c r="A817" s="464" t="s">
        <v>1289</v>
      </c>
      <c r="B817" s="428" t="s">
        <v>1290</v>
      </c>
      <c r="C817" s="432"/>
      <c r="D817" s="432"/>
      <c r="E817" s="432"/>
      <c r="F817" s="432"/>
    </row>
    <row r="818" spans="1:6">
      <c r="A818" s="431"/>
      <c r="B818" s="428" t="s">
        <v>1291</v>
      </c>
      <c r="C818" s="432"/>
      <c r="D818" s="432"/>
      <c r="E818" s="432"/>
      <c r="F818" s="432"/>
    </row>
    <row r="819" spans="1:6" ht="14.25" customHeight="1">
      <c r="A819" s="572"/>
      <c r="B819" s="466"/>
      <c r="C819" s="441"/>
      <c r="D819" s="441"/>
      <c r="E819" s="441"/>
      <c r="F819" s="441"/>
    </row>
    <row r="820" spans="1:6">
      <c r="A820" s="464"/>
      <c r="B820" s="428" t="s">
        <v>1292</v>
      </c>
      <c r="C820" s="432"/>
      <c r="D820" s="432"/>
      <c r="E820" s="432"/>
      <c r="F820" s="432"/>
    </row>
    <row r="821" spans="1:6">
      <c r="A821" s="464"/>
      <c r="B821" s="429"/>
      <c r="C821" s="432"/>
      <c r="D821" s="432"/>
      <c r="E821" s="432"/>
      <c r="F821" s="432"/>
    </row>
    <row r="822" spans="1:6">
      <c r="A822" s="791" t="s">
        <v>575</v>
      </c>
      <c r="B822" s="554" t="s">
        <v>1293</v>
      </c>
      <c r="C822" s="432"/>
      <c r="D822" s="432"/>
      <c r="E822" s="432"/>
      <c r="F822" s="432"/>
    </row>
    <row r="823" spans="1:6">
      <c r="A823" s="464"/>
      <c r="B823" s="453" t="s">
        <v>1294</v>
      </c>
      <c r="C823" s="432"/>
      <c r="D823" s="432"/>
      <c r="E823" s="432"/>
      <c r="F823" s="432"/>
    </row>
    <row r="824" spans="1:6">
      <c r="A824" s="464"/>
      <c r="B824" s="554"/>
      <c r="C824" s="432"/>
      <c r="D824" s="432"/>
      <c r="E824" s="432"/>
      <c r="F824" s="432"/>
    </row>
    <row r="825" spans="1:6" ht="29.1">
      <c r="A825" s="433" t="s">
        <v>589</v>
      </c>
      <c r="B825" s="453" t="s">
        <v>1295</v>
      </c>
      <c r="C825" s="432"/>
      <c r="D825" s="432"/>
      <c r="E825" s="432"/>
      <c r="F825" s="432"/>
    </row>
    <row r="826" spans="1:6">
      <c r="A826" s="433"/>
      <c r="B826" s="429"/>
      <c r="C826" s="432"/>
      <c r="D826" s="432"/>
      <c r="E826" s="432"/>
      <c r="F826" s="432"/>
    </row>
    <row r="827" spans="1:6">
      <c r="A827" s="464"/>
      <c r="B827" s="792" t="s">
        <v>1296</v>
      </c>
      <c r="C827" s="432"/>
      <c r="D827" s="432"/>
      <c r="E827" s="432"/>
      <c r="F827" s="432"/>
    </row>
    <row r="828" spans="1:6" ht="14.25" customHeight="1">
      <c r="A828" s="464"/>
      <c r="B828" s="554"/>
      <c r="C828" s="432"/>
      <c r="D828" s="432"/>
      <c r="E828" s="432"/>
      <c r="F828" s="432"/>
    </row>
    <row r="829" spans="1:6" ht="14.25" customHeight="1">
      <c r="A829" s="464"/>
      <c r="B829" s="554" t="s">
        <v>1297</v>
      </c>
      <c r="C829" s="432"/>
      <c r="D829" s="432"/>
      <c r="E829" s="432"/>
      <c r="F829" s="432"/>
    </row>
    <row r="830" spans="1:6">
      <c r="A830" s="464"/>
      <c r="B830" s="554"/>
      <c r="C830" s="432"/>
      <c r="D830" s="432"/>
      <c r="E830" s="432"/>
      <c r="F830" s="432"/>
    </row>
    <row r="831" spans="1:6" ht="15" customHeight="1">
      <c r="A831" s="464"/>
      <c r="B831" s="428" t="s">
        <v>1298</v>
      </c>
      <c r="C831" s="432"/>
      <c r="D831" s="432"/>
      <c r="E831" s="432"/>
      <c r="F831" s="432"/>
    </row>
    <row r="832" spans="1:6">
      <c r="A832" s="464"/>
      <c r="B832" s="429"/>
      <c r="C832" s="432"/>
      <c r="D832" s="432"/>
      <c r="E832" s="432"/>
      <c r="F832" s="432"/>
    </row>
    <row r="833" spans="1:6" ht="29.1">
      <c r="A833" s="464"/>
      <c r="B833" s="793" t="s">
        <v>1299</v>
      </c>
      <c r="C833" s="432"/>
      <c r="D833" s="432"/>
      <c r="E833" s="432"/>
      <c r="F833" s="432"/>
    </row>
    <row r="834" spans="1:6" s="794" customFormat="1" ht="17.25" customHeight="1">
      <c r="A834" s="464"/>
      <c r="B834" s="429"/>
      <c r="C834" s="432"/>
      <c r="D834" s="432"/>
      <c r="E834" s="432"/>
      <c r="F834" s="432"/>
    </row>
    <row r="835" spans="1:6" s="794" customFormat="1">
      <c r="A835" s="464"/>
      <c r="B835" s="428" t="s">
        <v>1300</v>
      </c>
      <c r="C835" s="432"/>
      <c r="D835" s="432"/>
      <c r="E835" s="432"/>
      <c r="F835" s="432"/>
    </row>
    <row r="836" spans="1:6" s="794" customFormat="1">
      <c r="A836" s="464"/>
      <c r="B836" s="429"/>
      <c r="C836" s="432"/>
      <c r="D836" s="432"/>
      <c r="E836" s="432"/>
      <c r="F836" s="432"/>
    </row>
    <row r="837" spans="1:6" s="794" customFormat="1" ht="29.1">
      <c r="A837" s="464"/>
      <c r="B837" s="463" t="s">
        <v>1301</v>
      </c>
      <c r="C837" s="432"/>
      <c r="D837" s="432"/>
      <c r="E837" s="432"/>
      <c r="F837" s="432"/>
    </row>
    <row r="838" spans="1:6" s="794" customFormat="1">
      <c r="A838" s="464"/>
      <c r="B838" s="463" t="s">
        <v>713</v>
      </c>
      <c r="C838" s="432"/>
      <c r="D838" s="432"/>
      <c r="E838" s="432"/>
      <c r="F838" s="432"/>
    </row>
    <row r="839" spans="1:6" s="794" customFormat="1" ht="43.5">
      <c r="A839" s="464"/>
      <c r="B839" s="453" t="s">
        <v>1302</v>
      </c>
      <c r="C839" s="432"/>
      <c r="D839" s="432"/>
      <c r="E839" s="432"/>
      <c r="F839" s="432"/>
    </row>
    <row r="840" spans="1:6" s="794" customFormat="1">
      <c r="A840" s="464"/>
      <c r="B840" s="463"/>
      <c r="C840" s="432"/>
      <c r="D840" s="432"/>
      <c r="E840" s="432"/>
      <c r="F840" s="432"/>
    </row>
    <row r="841" spans="1:6" ht="43.5">
      <c r="A841" s="464"/>
      <c r="B841" s="453" t="s">
        <v>1303</v>
      </c>
      <c r="C841" s="432"/>
      <c r="D841" s="432"/>
      <c r="E841" s="432"/>
      <c r="F841" s="432"/>
    </row>
    <row r="842" spans="1:6">
      <c r="A842" s="464"/>
      <c r="B842" s="429"/>
      <c r="C842" s="432"/>
      <c r="D842" s="432"/>
      <c r="E842" s="432"/>
      <c r="F842" s="432"/>
    </row>
    <row r="843" spans="1:6" ht="29.1">
      <c r="A843" s="464"/>
      <c r="B843" s="453" t="s">
        <v>1304</v>
      </c>
      <c r="C843" s="432"/>
      <c r="D843" s="432"/>
      <c r="E843" s="432"/>
      <c r="F843" s="432"/>
    </row>
    <row r="844" spans="1:6">
      <c r="A844" s="464"/>
      <c r="B844" s="453"/>
      <c r="C844" s="432"/>
      <c r="D844" s="432"/>
      <c r="E844" s="432"/>
      <c r="F844" s="432"/>
    </row>
    <row r="845" spans="1:6" ht="43.5">
      <c r="A845" s="464"/>
      <c r="B845" s="453" t="s">
        <v>1305</v>
      </c>
      <c r="C845" s="432"/>
      <c r="D845" s="432"/>
      <c r="E845" s="432"/>
      <c r="F845" s="432"/>
    </row>
    <row r="846" spans="1:6">
      <c r="A846" s="464"/>
      <c r="B846" s="429"/>
      <c r="C846" s="432"/>
      <c r="D846" s="432"/>
      <c r="E846" s="432"/>
      <c r="F846" s="432"/>
    </row>
    <row r="847" spans="1:6" ht="29.1">
      <c r="A847" s="464"/>
      <c r="B847" s="453" t="s">
        <v>1306</v>
      </c>
      <c r="C847" s="432"/>
      <c r="D847" s="432"/>
      <c r="E847" s="432"/>
      <c r="F847" s="432"/>
    </row>
    <row r="848" spans="1:6">
      <c r="A848" s="464"/>
      <c r="B848" s="453"/>
      <c r="C848" s="432"/>
      <c r="D848" s="432"/>
      <c r="E848" s="432"/>
      <c r="F848" s="432"/>
    </row>
    <row r="849" spans="1:6">
      <c r="A849" s="464"/>
      <c r="B849" s="543" t="s">
        <v>1307</v>
      </c>
      <c r="C849" s="432"/>
      <c r="D849" s="432"/>
      <c r="E849" s="432"/>
      <c r="F849" s="432"/>
    </row>
    <row r="850" spans="1:6">
      <c r="A850" s="464"/>
      <c r="B850" s="429"/>
      <c r="C850" s="432"/>
      <c r="D850" s="432"/>
      <c r="E850" s="432"/>
      <c r="F850" s="432"/>
    </row>
    <row r="851" spans="1:6" ht="29.1">
      <c r="A851" s="464"/>
      <c r="B851" s="453" t="s">
        <v>1308</v>
      </c>
      <c r="C851" s="432"/>
      <c r="D851" s="432"/>
      <c r="E851" s="432"/>
      <c r="F851" s="432"/>
    </row>
    <row r="852" spans="1:6">
      <c r="A852" s="464"/>
      <c r="B852" s="429" t="s">
        <v>1309</v>
      </c>
      <c r="C852" s="432"/>
      <c r="D852" s="432"/>
      <c r="E852" s="432"/>
      <c r="F852" s="432"/>
    </row>
    <row r="853" spans="1:6" ht="13.5" customHeight="1">
      <c r="A853" s="464"/>
      <c r="B853" s="429" t="s">
        <v>1310</v>
      </c>
      <c r="C853" s="432"/>
      <c r="D853" s="432"/>
      <c r="E853" s="432"/>
      <c r="F853" s="432"/>
    </row>
    <row r="854" spans="1:6" ht="14.25" customHeight="1">
      <c r="A854" s="464"/>
      <c r="B854" s="429" t="s">
        <v>1311</v>
      </c>
      <c r="C854" s="432"/>
      <c r="D854" s="432"/>
      <c r="E854" s="432"/>
      <c r="F854" s="432"/>
    </row>
    <row r="855" spans="1:6">
      <c r="A855" s="464"/>
      <c r="B855" s="429" t="s">
        <v>1312</v>
      </c>
      <c r="C855" s="432"/>
      <c r="D855" s="432"/>
      <c r="E855" s="432"/>
      <c r="F855" s="432"/>
    </row>
    <row r="856" spans="1:6">
      <c r="A856" s="464"/>
      <c r="B856" s="429" t="s">
        <v>1313</v>
      </c>
      <c r="C856" s="432"/>
      <c r="D856" s="432"/>
      <c r="E856" s="432"/>
      <c r="F856" s="432"/>
    </row>
    <row r="857" spans="1:6">
      <c r="A857" s="464"/>
      <c r="B857" s="429" t="s">
        <v>1314</v>
      </c>
      <c r="C857" s="432"/>
      <c r="D857" s="432"/>
      <c r="E857" s="432"/>
      <c r="F857" s="432"/>
    </row>
    <row r="858" spans="1:6">
      <c r="A858" s="464"/>
      <c r="B858" s="429"/>
      <c r="C858" s="432"/>
      <c r="D858" s="432"/>
      <c r="E858" s="432"/>
      <c r="F858" s="432"/>
    </row>
    <row r="859" spans="1:6" ht="14.25" customHeight="1">
      <c r="A859" s="464"/>
      <c r="B859" s="453" t="s">
        <v>1315</v>
      </c>
      <c r="C859" s="432"/>
      <c r="D859" s="432"/>
      <c r="E859" s="432"/>
      <c r="F859" s="432"/>
    </row>
    <row r="860" spans="1:6" ht="14.25" customHeight="1">
      <c r="A860" s="464"/>
      <c r="B860" s="429"/>
      <c r="C860" s="432"/>
      <c r="D860" s="432"/>
      <c r="E860" s="432"/>
      <c r="F860" s="432"/>
    </row>
    <row r="861" spans="1:6" ht="14.25" customHeight="1">
      <c r="A861" s="464"/>
      <c r="B861" s="429" t="s">
        <v>1316</v>
      </c>
      <c r="C861" s="432" t="s">
        <v>562</v>
      </c>
      <c r="D861" s="432">
        <v>1</v>
      </c>
      <c r="E861" s="432"/>
      <c r="F861" s="524">
        <f>+E861*D861</f>
        <v>0</v>
      </c>
    </row>
    <row r="862" spans="1:6" ht="14.25" customHeight="1">
      <c r="A862" s="573"/>
      <c r="B862" s="438"/>
      <c r="C862" s="441"/>
      <c r="D862" s="441"/>
      <c r="E862" s="441"/>
      <c r="F862" s="442"/>
    </row>
    <row r="863" spans="1:6" s="525" customFormat="1">
      <c r="A863" s="470">
        <v>6.2</v>
      </c>
      <c r="B863" s="428" t="s">
        <v>1317</v>
      </c>
      <c r="C863" s="432"/>
      <c r="D863" s="432"/>
      <c r="E863" s="432"/>
      <c r="F863" s="524"/>
    </row>
    <row r="864" spans="1:6" s="525" customFormat="1" ht="45" customHeight="1">
      <c r="A864" s="470"/>
      <c r="B864" s="793" t="s">
        <v>1318</v>
      </c>
      <c r="C864" s="432"/>
      <c r="D864" s="432"/>
      <c r="E864" s="432"/>
      <c r="F864" s="524"/>
    </row>
    <row r="865" spans="1:6" s="525" customFormat="1">
      <c r="A865" s="470"/>
      <c r="B865" s="429"/>
      <c r="C865" s="524"/>
      <c r="D865" s="432"/>
      <c r="E865" s="432"/>
      <c r="F865" s="524"/>
    </row>
    <row r="866" spans="1:6" s="525" customFormat="1">
      <c r="A866" s="470" t="s">
        <v>1319</v>
      </c>
      <c r="B866" s="428" t="s">
        <v>1320</v>
      </c>
      <c r="C866" s="524"/>
      <c r="D866" s="432"/>
      <c r="E866" s="432"/>
      <c r="F866" s="432"/>
    </row>
    <row r="867" spans="1:6" s="525" customFormat="1">
      <c r="A867" s="470"/>
      <c r="B867" s="428"/>
      <c r="C867" s="524"/>
      <c r="D867" s="432"/>
      <c r="E867" s="432"/>
      <c r="F867" s="432"/>
    </row>
    <row r="868" spans="1:6" s="525" customFormat="1">
      <c r="A868" s="470"/>
      <c r="B868" s="428" t="s">
        <v>1321</v>
      </c>
      <c r="C868" s="524"/>
      <c r="D868" s="432"/>
      <c r="E868" s="432"/>
      <c r="F868" s="432"/>
    </row>
    <row r="869" spans="1:6" s="525" customFormat="1">
      <c r="A869" s="470"/>
      <c r="B869" s="429"/>
      <c r="C869" s="524"/>
      <c r="D869" s="432"/>
      <c r="E869" s="432"/>
      <c r="F869" s="432"/>
    </row>
    <row r="870" spans="1:6" s="525" customFormat="1">
      <c r="A870" s="470"/>
      <c r="B870" s="429" t="s">
        <v>1322</v>
      </c>
      <c r="C870" s="524"/>
      <c r="D870" s="432"/>
      <c r="E870" s="432"/>
      <c r="F870" s="432"/>
    </row>
    <row r="871" spans="1:6" s="525" customFormat="1">
      <c r="A871" s="470"/>
      <c r="B871" s="429" t="s">
        <v>713</v>
      </c>
      <c r="C871" s="524"/>
      <c r="D871" s="432"/>
      <c r="E871" s="432"/>
      <c r="F871" s="432"/>
    </row>
    <row r="872" spans="1:6" s="525" customFormat="1">
      <c r="A872" s="470"/>
      <c r="B872" s="429" t="s">
        <v>1323</v>
      </c>
      <c r="C872" s="524"/>
      <c r="D872" s="432"/>
      <c r="E872" s="432"/>
      <c r="F872" s="432"/>
    </row>
    <row r="873" spans="1:6" s="525" customFormat="1">
      <c r="A873" s="470"/>
      <c r="B873" s="429"/>
      <c r="C873" s="524"/>
      <c r="D873" s="432"/>
      <c r="E873" s="432"/>
      <c r="F873" s="432"/>
    </row>
    <row r="874" spans="1:6" s="525" customFormat="1">
      <c r="A874" s="470"/>
      <c r="B874" s="453" t="s">
        <v>1324</v>
      </c>
      <c r="C874" s="524"/>
      <c r="D874" s="432"/>
      <c r="E874" s="432"/>
      <c r="F874" s="432"/>
    </row>
    <row r="875" spans="1:6" s="525" customFormat="1">
      <c r="A875" s="470"/>
      <c r="B875" s="429" t="s">
        <v>1325</v>
      </c>
      <c r="C875" s="524"/>
      <c r="D875" s="432"/>
      <c r="E875" s="432"/>
      <c r="F875" s="432"/>
    </row>
    <row r="876" spans="1:6" s="525" customFormat="1" ht="29.1">
      <c r="A876" s="470"/>
      <c r="B876" s="453" t="s">
        <v>1326</v>
      </c>
      <c r="C876" s="524"/>
      <c r="D876" s="432"/>
      <c r="E876" s="432"/>
      <c r="F876" s="432"/>
    </row>
    <row r="877" spans="1:6" s="525" customFormat="1">
      <c r="A877" s="470"/>
      <c r="B877" s="429"/>
      <c r="C877" s="524"/>
      <c r="D877" s="432"/>
      <c r="E877" s="432"/>
      <c r="F877" s="432"/>
    </row>
    <row r="878" spans="1:6" s="525" customFormat="1">
      <c r="A878" s="470"/>
      <c r="B878" s="429" t="s">
        <v>1327</v>
      </c>
      <c r="C878" s="524" t="s">
        <v>562</v>
      </c>
      <c r="D878" s="432">
        <v>4</v>
      </c>
      <c r="E878" s="432"/>
      <c r="F878" s="524">
        <f>+E878*D878</f>
        <v>0</v>
      </c>
    </row>
    <row r="879" spans="1:6" s="525" customFormat="1">
      <c r="A879" s="470"/>
      <c r="B879" s="429"/>
      <c r="C879" s="524"/>
      <c r="D879" s="524"/>
      <c r="E879" s="432"/>
      <c r="F879" s="524"/>
    </row>
    <row r="880" spans="1:6" s="525" customFormat="1">
      <c r="A880" s="470" t="s">
        <v>1328</v>
      </c>
      <c r="B880" s="428" t="s">
        <v>1329</v>
      </c>
      <c r="C880" s="432"/>
      <c r="D880" s="432"/>
      <c r="E880" s="432"/>
      <c r="F880" s="432"/>
    </row>
    <row r="881" spans="1:6" s="525" customFormat="1">
      <c r="A881" s="470"/>
      <c r="B881" s="428"/>
      <c r="C881" s="432"/>
      <c r="D881" s="432"/>
      <c r="E881" s="432"/>
      <c r="F881" s="432"/>
    </row>
    <row r="882" spans="1:6" s="525" customFormat="1">
      <c r="A882" s="470"/>
      <c r="B882" s="428" t="s">
        <v>1330</v>
      </c>
      <c r="C882" s="432"/>
      <c r="D882" s="432"/>
      <c r="E882" s="432"/>
      <c r="F882" s="432"/>
    </row>
    <row r="883" spans="1:6" s="525" customFormat="1">
      <c r="A883" s="470"/>
      <c r="B883" s="429"/>
      <c r="C883" s="432"/>
      <c r="D883" s="432"/>
      <c r="E883" s="432"/>
      <c r="F883" s="432"/>
    </row>
    <row r="884" spans="1:6" s="525" customFormat="1">
      <c r="A884" s="470"/>
      <c r="B884" s="428" t="s">
        <v>1292</v>
      </c>
      <c r="C884" s="432"/>
      <c r="D884" s="432"/>
      <c r="E884" s="432"/>
      <c r="F884" s="432"/>
    </row>
    <row r="885" spans="1:6" s="525" customFormat="1">
      <c r="A885" s="470"/>
      <c r="B885" s="429"/>
      <c r="C885" s="432"/>
      <c r="D885" s="432"/>
      <c r="E885" s="432"/>
      <c r="F885" s="432"/>
    </row>
    <row r="886" spans="1:6" s="525" customFormat="1">
      <c r="A886" s="470"/>
      <c r="B886" s="429" t="s">
        <v>1331</v>
      </c>
      <c r="C886" s="432"/>
      <c r="D886" s="432"/>
      <c r="E886" s="432"/>
      <c r="F886" s="432"/>
    </row>
    <row r="887" spans="1:6" s="525" customFormat="1">
      <c r="A887" s="470"/>
      <c r="B887" s="429"/>
      <c r="C887" s="432"/>
      <c r="D887" s="432"/>
      <c r="E887" s="432"/>
      <c r="F887" s="432"/>
    </row>
    <row r="888" spans="1:6" s="525" customFormat="1">
      <c r="A888" s="470"/>
      <c r="B888" s="429" t="s">
        <v>1323</v>
      </c>
      <c r="C888" s="432"/>
      <c r="D888" s="432"/>
      <c r="E888" s="432"/>
      <c r="F888" s="432"/>
    </row>
    <row r="889" spans="1:6" s="525" customFormat="1">
      <c r="A889" s="470"/>
      <c r="B889" s="429"/>
      <c r="C889" s="432"/>
      <c r="D889" s="432"/>
      <c r="E889" s="432"/>
      <c r="F889" s="432"/>
    </row>
    <row r="890" spans="1:6" s="525" customFormat="1">
      <c r="A890" s="470"/>
      <c r="B890" s="453" t="s">
        <v>1332</v>
      </c>
      <c r="C890" s="432"/>
      <c r="D890" s="432"/>
      <c r="E890" s="432"/>
      <c r="F890" s="432"/>
    </row>
    <row r="891" spans="1:6" s="525" customFormat="1">
      <c r="A891" s="470"/>
      <c r="B891" s="453"/>
      <c r="C891" s="432"/>
      <c r="D891" s="432"/>
      <c r="E891" s="432"/>
      <c r="F891" s="432"/>
    </row>
    <row r="892" spans="1:6" s="525" customFormat="1">
      <c r="A892" s="470"/>
      <c r="B892" s="428" t="s">
        <v>1298</v>
      </c>
      <c r="C892" s="432"/>
      <c r="D892" s="432"/>
      <c r="E892" s="432"/>
      <c r="F892" s="432"/>
    </row>
    <row r="893" spans="1:6" s="525" customFormat="1">
      <c r="A893" s="470"/>
      <c r="B893" s="429"/>
      <c r="C893" s="432"/>
      <c r="D893" s="432"/>
      <c r="E893" s="432"/>
      <c r="F893" s="432"/>
    </row>
    <row r="894" spans="1:6" s="525" customFormat="1" ht="29.1">
      <c r="A894" s="470"/>
      <c r="B894" s="453" t="s">
        <v>1333</v>
      </c>
      <c r="C894" s="432"/>
      <c r="D894" s="432"/>
      <c r="E894" s="432"/>
      <c r="F894" s="432"/>
    </row>
    <row r="895" spans="1:6" s="525" customFormat="1">
      <c r="A895" s="470"/>
      <c r="B895" s="429"/>
      <c r="C895" s="432"/>
      <c r="D895" s="432"/>
      <c r="E895" s="432"/>
      <c r="F895" s="432"/>
    </row>
    <row r="896" spans="1:6" s="525" customFormat="1">
      <c r="A896" s="470"/>
      <c r="B896" s="428" t="s">
        <v>1300</v>
      </c>
      <c r="C896" s="432"/>
      <c r="D896" s="432"/>
      <c r="E896" s="432"/>
      <c r="F896" s="432"/>
    </row>
    <row r="897" spans="1:6" s="525" customFormat="1">
      <c r="A897" s="470"/>
      <c r="B897" s="429"/>
      <c r="C897" s="432"/>
      <c r="D897" s="432"/>
      <c r="E897" s="432"/>
      <c r="F897" s="432"/>
    </row>
    <row r="898" spans="1:6" s="525" customFormat="1" ht="29.1">
      <c r="A898" s="470"/>
      <c r="B898" s="453" t="s">
        <v>1334</v>
      </c>
      <c r="C898" s="432"/>
      <c r="D898" s="432"/>
      <c r="E898" s="432"/>
      <c r="F898" s="432"/>
    </row>
    <row r="899" spans="1:6" s="525" customFormat="1">
      <c r="A899" s="470"/>
      <c r="B899" s="429" t="s">
        <v>1325</v>
      </c>
      <c r="C899" s="432"/>
      <c r="D899" s="432"/>
      <c r="E899" s="432"/>
      <c r="F899" s="432"/>
    </row>
    <row r="900" spans="1:6" s="525" customFormat="1">
      <c r="A900" s="470"/>
      <c r="B900" s="453" t="s">
        <v>1335</v>
      </c>
      <c r="C900" s="432"/>
      <c r="D900" s="432"/>
      <c r="E900" s="432"/>
      <c r="F900" s="432"/>
    </row>
    <row r="901" spans="1:6" s="525" customFormat="1">
      <c r="A901" s="470"/>
      <c r="B901" s="429" t="s">
        <v>1325</v>
      </c>
      <c r="C901" s="432"/>
      <c r="D901" s="432"/>
      <c r="E901" s="432"/>
      <c r="F901" s="432"/>
    </row>
    <row r="902" spans="1:6" s="525" customFormat="1" ht="29.1">
      <c r="A902" s="470"/>
      <c r="B902" s="453" t="s">
        <v>1336</v>
      </c>
      <c r="C902" s="432"/>
      <c r="D902" s="432"/>
      <c r="E902" s="432"/>
      <c r="F902" s="432"/>
    </row>
    <row r="903" spans="1:6" s="525" customFormat="1">
      <c r="A903" s="470"/>
      <c r="B903" s="429" t="s">
        <v>1325</v>
      </c>
      <c r="C903" s="432"/>
      <c r="D903" s="432"/>
      <c r="E903" s="432"/>
      <c r="F903" s="432"/>
    </row>
    <row r="904" spans="1:6" s="525" customFormat="1">
      <c r="A904" s="470"/>
      <c r="B904" s="429" t="s">
        <v>1337</v>
      </c>
      <c r="C904" s="432" t="s">
        <v>562</v>
      </c>
      <c r="D904" s="432">
        <v>9</v>
      </c>
      <c r="E904" s="432"/>
      <c r="F904" s="432">
        <f>+E904*D904</f>
        <v>0</v>
      </c>
    </row>
    <row r="905" spans="1:6" s="525" customFormat="1">
      <c r="A905" s="470"/>
      <c r="B905" s="429"/>
      <c r="C905" s="524"/>
      <c r="D905" s="524"/>
      <c r="E905" s="432"/>
      <c r="F905" s="524"/>
    </row>
    <row r="906" spans="1:6" s="525" customFormat="1">
      <c r="A906" s="470" t="s">
        <v>1338</v>
      </c>
      <c r="B906" s="428" t="s">
        <v>1339</v>
      </c>
      <c r="C906" s="432"/>
      <c r="D906" s="432"/>
      <c r="E906" s="432"/>
      <c r="F906" s="432"/>
    </row>
    <row r="907" spans="1:6" s="525" customFormat="1">
      <c r="A907" s="470"/>
      <c r="B907" s="428"/>
      <c r="C907" s="432"/>
      <c r="D907" s="432"/>
      <c r="E907" s="432"/>
      <c r="F907" s="432"/>
    </row>
    <row r="908" spans="1:6" s="525" customFormat="1">
      <c r="A908" s="470"/>
      <c r="B908" s="428" t="s">
        <v>1330</v>
      </c>
      <c r="C908" s="432"/>
      <c r="D908" s="432"/>
      <c r="E908" s="432"/>
      <c r="F908" s="432"/>
    </row>
    <row r="909" spans="1:6" s="525" customFormat="1">
      <c r="A909" s="470"/>
      <c r="B909" s="429"/>
      <c r="C909" s="432"/>
      <c r="D909" s="432"/>
      <c r="E909" s="432"/>
      <c r="F909" s="432"/>
    </row>
    <row r="910" spans="1:6" s="525" customFormat="1">
      <c r="A910" s="470"/>
      <c r="B910" s="428" t="s">
        <v>1292</v>
      </c>
      <c r="C910" s="432"/>
      <c r="D910" s="432"/>
      <c r="E910" s="432"/>
      <c r="F910" s="432"/>
    </row>
    <row r="911" spans="1:6" s="525" customFormat="1">
      <c r="A911" s="470"/>
      <c r="B911" s="429"/>
      <c r="C911" s="432"/>
      <c r="D911" s="432"/>
      <c r="E911" s="432"/>
      <c r="F911" s="432"/>
    </row>
    <row r="912" spans="1:6" s="525" customFormat="1">
      <c r="A912" s="470"/>
      <c r="B912" s="429" t="s">
        <v>1340</v>
      </c>
      <c r="C912" s="432"/>
      <c r="D912" s="432"/>
      <c r="E912" s="432"/>
      <c r="F912" s="432"/>
    </row>
    <row r="913" spans="1:6" s="525" customFormat="1">
      <c r="A913" s="470"/>
      <c r="B913" s="429"/>
      <c r="C913" s="432"/>
      <c r="D913" s="432"/>
      <c r="E913" s="432"/>
      <c r="F913" s="432"/>
    </row>
    <row r="914" spans="1:6" s="525" customFormat="1">
      <c r="A914" s="470"/>
      <c r="B914" s="429" t="s">
        <v>1323</v>
      </c>
      <c r="C914" s="432"/>
      <c r="D914" s="432"/>
      <c r="E914" s="432"/>
      <c r="F914" s="432"/>
    </row>
    <row r="915" spans="1:6" s="525" customFormat="1">
      <c r="A915" s="470"/>
      <c r="B915" s="429"/>
      <c r="C915" s="432"/>
      <c r="D915" s="432"/>
      <c r="E915" s="432"/>
      <c r="F915" s="432"/>
    </row>
    <row r="916" spans="1:6" s="525" customFormat="1">
      <c r="A916" s="470"/>
      <c r="B916" s="453" t="s">
        <v>1332</v>
      </c>
      <c r="C916" s="432"/>
      <c r="D916" s="432"/>
      <c r="E916" s="432"/>
      <c r="F916" s="432"/>
    </row>
    <row r="917" spans="1:6" s="525" customFormat="1">
      <c r="A917" s="470"/>
      <c r="B917" s="453"/>
      <c r="C917" s="432"/>
      <c r="D917" s="432"/>
      <c r="E917" s="432"/>
      <c r="F917" s="432"/>
    </row>
    <row r="918" spans="1:6" s="525" customFormat="1">
      <c r="A918" s="470"/>
      <c r="B918" s="428" t="s">
        <v>1298</v>
      </c>
      <c r="C918" s="432"/>
      <c r="D918" s="432"/>
      <c r="E918" s="432"/>
      <c r="F918" s="432"/>
    </row>
    <row r="919" spans="1:6" s="525" customFormat="1">
      <c r="A919" s="470"/>
      <c r="B919" s="429"/>
      <c r="C919" s="432"/>
      <c r="D919" s="432"/>
      <c r="E919" s="432"/>
      <c r="F919" s="432"/>
    </row>
    <row r="920" spans="1:6" s="525" customFormat="1" ht="29.1">
      <c r="A920" s="470"/>
      <c r="B920" s="453" t="s">
        <v>1341</v>
      </c>
      <c r="C920" s="432"/>
      <c r="D920" s="432"/>
      <c r="E920" s="432"/>
      <c r="F920" s="432"/>
    </row>
    <row r="921" spans="1:6" s="525" customFormat="1">
      <c r="A921" s="470"/>
      <c r="B921" s="429"/>
      <c r="C921" s="432"/>
      <c r="D921" s="432"/>
      <c r="E921" s="432"/>
      <c r="F921" s="432"/>
    </row>
    <row r="922" spans="1:6" s="525" customFormat="1">
      <c r="A922" s="470"/>
      <c r="B922" s="428" t="s">
        <v>1300</v>
      </c>
      <c r="C922" s="432"/>
      <c r="D922" s="432"/>
      <c r="E922" s="432"/>
      <c r="F922" s="432"/>
    </row>
    <row r="923" spans="1:6" s="525" customFormat="1">
      <c r="A923" s="470"/>
      <c r="B923" s="429"/>
      <c r="C923" s="432"/>
      <c r="D923" s="432"/>
      <c r="E923" s="432"/>
      <c r="F923" s="432"/>
    </row>
    <row r="924" spans="1:6" s="525" customFormat="1" ht="29.1">
      <c r="A924" s="470"/>
      <c r="B924" s="453" t="s">
        <v>1342</v>
      </c>
      <c r="C924" s="432"/>
      <c r="D924" s="432"/>
      <c r="E924" s="432"/>
      <c r="F924" s="432"/>
    </row>
    <row r="925" spans="1:6" s="525" customFormat="1">
      <c r="A925" s="470"/>
      <c r="B925" s="429" t="s">
        <v>1325</v>
      </c>
      <c r="C925" s="432"/>
      <c r="D925" s="432"/>
      <c r="E925" s="432"/>
      <c r="F925" s="432"/>
    </row>
    <row r="926" spans="1:6" s="525" customFormat="1">
      <c r="A926" s="470"/>
      <c r="B926" s="453" t="s">
        <v>1335</v>
      </c>
      <c r="C926" s="432"/>
      <c r="D926" s="432"/>
      <c r="E926" s="432"/>
      <c r="F926" s="432"/>
    </row>
    <row r="927" spans="1:6" s="525" customFormat="1">
      <c r="A927" s="470"/>
      <c r="B927" s="429" t="s">
        <v>1325</v>
      </c>
      <c r="C927" s="432"/>
      <c r="D927" s="432"/>
      <c r="E927" s="432"/>
      <c r="F927" s="432"/>
    </row>
    <row r="928" spans="1:6" s="525" customFormat="1" ht="29.1">
      <c r="A928" s="470"/>
      <c r="B928" s="453" t="s">
        <v>1336</v>
      </c>
      <c r="C928" s="432"/>
      <c r="D928" s="432"/>
      <c r="E928" s="432"/>
      <c r="F928" s="432"/>
    </row>
    <row r="929" spans="1:6" s="525" customFormat="1">
      <c r="A929" s="470"/>
      <c r="B929" s="429" t="s">
        <v>1325</v>
      </c>
      <c r="C929" s="432"/>
      <c r="D929" s="432"/>
      <c r="E929" s="432"/>
      <c r="F929" s="432"/>
    </row>
    <row r="930" spans="1:6" s="525" customFormat="1">
      <c r="A930" s="470"/>
      <c r="B930" s="429" t="s">
        <v>1337</v>
      </c>
      <c r="C930" s="432" t="s">
        <v>562</v>
      </c>
      <c r="D930" s="432">
        <v>6</v>
      </c>
      <c r="E930" s="432"/>
      <c r="F930" s="432">
        <f>+E930*D930</f>
        <v>0</v>
      </c>
    </row>
    <row r="931" spans="1:6" s="525" customFormat="1">
      <c r="A931" s="470"/>
      <c r="B931" s="429"/>
      <c r="C931" s="524"/>
      <c r="D931" s="524"/>
      <c r="E931" s="432"/>
      <c r="F931" s="524"/>
    </row>
    <row r="932" spans="1:6" s="525" customFormat="1">
      <c r="A932" s="470" t="s">
        <v>1343</v>
      </c>
      <c r="B932" s="428" t="s">
        <v>1344</v>
      </c>
      <c r="C932" s="432"/>
      <c r="D932" s="432"/>
      <c r="E932" s="432"/>
      <c r="F932" s="432"/>
    </row>
    <row r="933" spans="1:6" s="525" customFormat="1">
      <c r="A933" s="470"/>
      <c r="B933" s="428"/>
      <c r="C933" s="432"/>
      <c r="D933" s="432"/>
      <c r="E933" s="432"/>
      <c r="F933" s="432"/>
    </row>
    <row r="934" spans="1:6" s="525" customFormat="1">
      <c r="A934" s="470"/>
      <c r="B934" s="428" t="s">
        <v>1330</v>
      </c>
      <c r="C934" s="432"/>
      <c r="D934" s="432"/>
      <c r="E934" s="432"/>
      <c r="F934" s="432"/>
    </row>
    <row r="935" spans="1:6" s="525" customFormat="1">
      <c r="A935" s="470"/>
      <c r="B935" s="429"/>
      <c r="C935" s="432"/>
      <c r="D935" s="432"/>
      <c r="E935" s="432"/>
      <c r="F935" s="432"/>
    </row>
    <row r="936" spans="1:6" s="525" customFormat="1">
      <c r="A936" s="470"/>
      <c r="B936" s="428" t="s">
        <v>1292</v>
      </c>
      <c r="C936" s="432"/>
      <c r="D936" s="432"/>
      <c r="E936" s="432"/>
      <c r="F936" s="432"/>
    </row>
    <row r="937" spans="1:6" s="525" customFormat="1">
      <c r="A937" s="470"/>
      <c r="B937" s="429"/>
      <c r="C937" s="432"/>
      <c r="D937" s="432"/>
      <c r="E937" s="432"/>
      <c r="F937" s="432"/>
    </row>
    <row r="938" spans="1:6" s="525" customFormat="1">
      <c r="A938" s="470"/>
      <c r="B938" s="429" t="s">
        <v>1340</v>
      </c>
      <c r="C938" s="432"/>
      <c r="D938" s="432"/>
      <c r="E938" s="432"/>
      <c r="F938" s="432"/>
    </row>
    <row r="939" spans="1:6" s="525" customFormat="1">
      <c r="A939" s="470"/>
      <c r="B939" s="429"/>
      <c r="C939" s="432"/>
      <c r="D939" s="432"/>
      <c r="E939" s="432"/>
      <c r="F939" s="432"/>
    </row>
    <row r="940" spans="1:6" s="525" customFormat="1">
      <c r="A940" s="470"/>
      <c r="B940" s="429" t="s">
        <v>1323</v>
      </c>
      <c r="C940" s="432"/>
      <c r="D940" s="432"/>
      <c r="E940" s="432"/>
      <c r="F940" s="432"/>
    </row>
    <row r="941" spans="1:6" s="525" customFormat="1">
      <c r="A941" s="470"/>
      <c r="B941" s="429"/>
      <c r="C941" s="432"/>
      <c r="D941" s="432"/>
      <c r="E941" s="432"/>
      <c r="F941" s="432"/>
    </row>
    <row r="942" spans="1:6" s="525" customFormat="1">
      <c r="A942" s="470"/>
      <c r="B942" s="453" t="s">
        <v>1332</v>
      </c>
      <c r="C942" s="432"/>
      <c r="D942" s="432"/>
      <c r="E942" s="432"/>
      <c r="F942" s="432"/>
    </row>
    <row r="943" spans="1:6" s="525" customFormat="1">
      <c r="A943" s="470"/>
      <c r="B943" s="453"/>
      <c r="C943" s="432"/>
      <c r="D943" s="432"/>
      <c r="E943" s="432"/>
      <c r="F943" s="432"/>
    </row>
    <row r="944" spans="1:6" s="525" customFormat="1">
      <c r="A944" s="470"/>
      <c r="B944" s="428" t="s">
        <v>1298</v>
      </c>
      <c r="C944" s="432"/>
      <c r="D944" s="432"/>
      <c r="E944" s="432"/>
      <c r="F944" s="432"/>
    </row>
    <row r="945" spans="1:6" s="525" customFormat="1">
      <c r="A945" s="470"/>
      <c r="B945" s="429"/>
      <c r="C945" s="432"/>
      <c r="D945" s="432"/>
      <c r="E945" s="432"/>
      <c r="F945" s="432"/>
    </row>
    <row r="946" spans="1:6" s="525" customFormat="1" ht="29.1">
      <c r="A946" s="470"/>
      <c r="B946" s="453" t="s">
        <v>1341</v>
      </c>
      <c r="C946" s="432"/>
      <c r="D946" s="432"/>
      <c r="E946" s="432"/>
      <c r="F946" s="432"/>
    </row>
    <row r="947" spans="1:6" s="525" customFormat="1">
      <c r="A947" s="470"/>
      <c r="B947" s="429"/>
      <c r="C947" s="432"/>
      <c r="D947" s="432"/>
      <c r="E947" s="432"/>
      <c r="F947" s="432"/>
    </row>
    <row r="948" spans="1:6" s="525" customFormat="1">
      <c r="A948" s="470"/>
      <c r="B948" s="428" t="s">
        <v>1300</v>
      </c>
      <c r="C948" s="432"/>
      <c r="D948" s="432"/>
      <c r="E948" s="432"/>
      <c r="F948" s="432"/>
    </row>
    <row r="949" spans="1:6" s="525" customFormat="1">
      <c r="A949" s="470"/>
      <c r="B949" s="429"/>
      <c r="C949" s="432"/>
      <c r="D949" s="432"/>
      <c r="E949" s="432"/>
      <c r="F949" s="432"/>
    </row>
    <row r="950" spans="1:6" s="525" customFormat="1" ht="29.1">
      <c r="A950" s="470"/>
      <c r="B950" s="453" t="s">
        <v>1345</v>
      </c>
      <c r="C950" s="432"/>
      <c r="D950" s="432"/>
      <c r="E950" s="432"/>
      <c r="F950" s="432"/>
    </row>
    <row r="951" spans="1:6" s="525" customFormat="1">
      <c r="A951" s="470"/>
      <c r="B951" s="429" t="s">
        <v>1325</v>
      </c>
      <c r="C951" s="432"/>
      <c r="D951" s="432"/>
      <c r="E951" s="432"/>
      <c r="F951" s="432"/>
    </row>
    <row r="952" spans="1:6" s="525" customFormat="1">
      <c r="A952" s="470"/>
      <c r="B952" s="453" t="s">
        <v>1346</v>
      </c>
      <c r="C952" s="432"/>
      <c r="D952" s="432"/>
      <c r="E952" s="432"/>
      <c r="F952" s="432"/>
    </row>
    <row r="953" spans="1:6" s="525" customFormat="1">
      <c r="A953" s="470"/>
      <c r="B953" s="429" t="s">
        <v>1325</v>
      </c>
      <c r="C953" s="432"/>
      <c r="D953" s="432"/>
      <c r="E953" s="432"/>
      <c r="F953" s="432"/>
    </row>
    <row r="954" spans="1:6" s="525" customFormat="1" ht="29.1">
      <c r="A954" s="470"/>
      <c r="B954" s="453" t="s">
        <v>1336</v>
      </c>
      <c r="C954" s="432"/>
      <c r="D954" s="432"/>
      <c r="E954" s="432"/>
      <c r="F954" s="432"/>
    </row>
    <row r="955" spans="1:6" s="525" customFormat="1">
      <c r="A955" s="470"/>
      <c r="B955" s="429" t="s">
        <v>1325</v>
      </c>
      <c r="C955" s="432"/>
      <c r="D955" s="432"/>
      <c r="E955" s="432"/>
      <c r="F955" s="432"/>
    </row>
    <row r="956" spans="1:6" s="525" customFormat="1">
      <c r="A956" s="470"/>
      <c r="B956" s="429" t="s">
        <v>1337</v>
      </c>
      <c r="C956" s="432" t="s">
        <v>562</v>
      </c>
      <c r="D956" s="432">
        <v>1</v>
      </c>
      <c r="E956" s="432"/>
      <c r="F956" s="432">
        <f>+E956*D956</f>
        <v>0</v>
      </c>
    </row>
    <row r="957" spans="1:6" s="525" customFormat="1">
      <c r="A957" s="470"/>
      <c r="B957" s="429"/>
      <c r="C957" s="432"/>
      <c r="D957" s="432"/>
      <c r="E957" s="432"/>
      <c r="F957" s="432"/>
    </row>
    <row r="958" spans="1:6" s="525" customFormat="1">
      <c r="A958" s="470"/>
      <c r="B958" s="428" t="s">
        <v>1347</v>
      </c>
      <c r="C958" s="524"/>
      <c r="D958" s="524"/>
      <c r="E958" s="432"/>
      <c r="F958" s="524"/>
    </row>
    <row r="959" spans="1:6" s="525" customFormat="1">
      <c r="A959" s="470"/>
      <c r="B959" s="428"/>
      <c r="C959" s="524"/>
      <c r="D959" s="524"/>
      <c r="E959" s="432"/>
      <c r="F959" s="524"/>
    </row>
    <row r="960" spans="1:6" s="525" customFormat="1">
      <c r="A960" s="470"/>
      <c r="B960" s="453" t="s">
        <v>1348</v>
      </c>
      <c r="C960" s="524"/>
      <c r="D960" s="524"/>
      <c r="E960" s="432"/>
      <c r="F960" s="524"/>
    </row>
    <row r="961" spans="1:6" s="525" customFormat="1">
      <c r="A961" s="470"/>
      <c r="B961" s="429" t="s">
        <v>1325</v>
      </c>
      <c r="C961" s="524"/>
      <c r="D961" s="524"/>
      <c r="E961" s="432"/>
      <c r="F961" s="524"/>
    </row>
    <row r="962" spans="1:6" s="525" customFormat="1" ht="29.1">
      <c r="A962" s="470"/>
      <c r="B962" s="453" t="s">
        <v>1349</v>
      </c>
      <c r="C962" s="524"/>
      <c r="D962" s="524"/>
      <c r="E962" s="432"/>
      <c r="F962" s="524"/>
    </row>
    <row r="963" spans="1:6" s="525" customFormat="1">
      <c r="A963" s="470"/>
      <c r="B963" s="429" t="s">
        <v>713</v>
      </c>
      <c r="C963" s="524"/>
      <c r="D963" s="524"/>
      <c r="E963" s="432"/>
      <c r="F963" s="524"/>
    </row>
    <row r="964" spans="1:6" s="525" customFormat="1" ht="16.5" customHeight="1">
      <c r="A964" s="470"/>
      <c r="B964" s="453" t="s">
        <v>1350</v>
      </c>
      <c r="C964" s="524"/>
      <c r="D964" s="524"/>
      <c r="E964" s="432"/>
      <c r="F964" s="524"/>
    </row>
    <row r="965" spans="1:6" s="525" customFormat="1">
      <c r="A965" s="470"/>
      <c r="B965" s="429" t="s">
        <v>1325</v>
      </c>
      <c r="C965" s="524"/>
      <c r="D965" s="524"/>
      <c r="E965" s="432"/>
      <c r="F965" s="524"/>
    </row>
    <row r="966" spans="1:6" s="525" customFormat="1">
      <c r="A966" s="470"/>
      <c r="B966" s="453" t="s">
        <v>1351</v>
      </c>
      <c r="C966" s="524"/>
      <c r="D966" s="524"/>
      <c r="E966" s="432"/>
      <c r="F966" s="524"/>
    </row>
    <row r="967" spans="1:6" s="525" customFormat="1">
      <c r="A967" s="470"/>
      <c r="B967" s="429" t="s">
        <v>1325</v>
      </c>
      <c r="C967" s="524"/>
      <c r="D967" s="524"/>
      <c r="E967" s="432"/>
      <c r="F967" s="524"/>
    </row>
    <row r="968" spans="1:6" s="525" customFormat="1">
      <c r="A968" s="470"/>
      <c r="B968" s="453" t="s">
        <v>1352</v>
      </c>
      <c r="C968" s="524"/>
      <c r="D968" s="524"/>
      <c r="E968" s="432"/>
      <c r="F968" s="524"/>
    </row>
    <row r="969" spans="1:6" s="525" customFormat="1">
      <c r="A969" s="470"/>
      <c r="B969" s="429" t="s">
        <v>713</v>
      </c>
      <c r="C969" s="524"/>
      <c r="D969" s="524"/>
      <c r="E969" s="432"/>
      <c r="F969" s="524"/>
    </row>
    <row r="970" spans="1:6" s="525" customFormat="1">
      <c r="A970" s="470"/>
      <c r="B970" s="453" t="s">
        <v>1353</v>
      </c>
      <c r="C970" s="524"/>
      <c r="D970" s="524"/>
      <c r="E970" s="432"/>
      <c r="F970" s="524"/>
    </row>
    <row r="971" spans="1:6">
      <c r="A971" s="790"/>
      <c r="B971" s="530"/>
      <c r="C971" s="412"/>
      <c r="D971" s="412"/>
      <c r="E971" s="549"/>
      <c r="F971" s="412"/>
    </row>
    <row r="972" spans="1:6">
      <c r="A972" s="790"/>
      <c r="B972" s="725" t="s">
        <v>1354</v>
      </c>
      <c r="C972" s="412"/>
      <c r="D972" s="412"/>
      <c r="E972" s="549"/>
      <c r="F972" s="412"/>
    </row>
    <row r="973" spans="1:6" s="454" customFormat="1">
      <c r="A973" s="785"/>
      <c r="B973" s="747"/>
      <c r="C973" s="565"/>
      <c r="D973" s="565"/>
      <c r="E973" s="539"/>
      <c r="F973" s="565"/>
    </row>
    <row r="974" spans="1:6">
      <c r="A974" s="411">
        <v>6.3</v>
      </c>
      <c r="B974" s="404" t="s">
        <v>746</v>
      </c>
      <c r="C974" s="549"/>
      <c r="D974" s="549"/>
      <c r="E974" s="549"/>
      <c r="F974" s="549"/>
    </row>
    <row r="975" spans="1:6">
      <c r="A975" s="411"/>
      <c r="C975" s="549"/>
      <c r="D975" s="549"/>
      <c r="E975" s="549"/>
      <c r="F975" s="549"/>
    </row>
    <row r="976" spans="1:6" ht="94.5" customHeight="1">
      <c r="A976" s="724"/>
      <c r="B976" s="795" t="s">
        <v>1355</v>
      </c>
      <c r="C976" s="549"/>
      <c r="D976" s="549"/>
      <c r="E976" s="549"/>
      <c r="F976" s="549"/>
    </row>
    <row r="977" spans="1:6">
      <c r="A977" s="411"/>
      <c r="C977" s="549"/>
      <c r="D977" s="549"/>
      <c r="E977" s="549"/>
      <c r="F977" s="549"/>
    </row>
    <row r="978" spans="1:6">
      <c r="A978" s="411"/>
      <c r="B978" s="424" t="s">
        <v>1356</v>
      </c>
      <c r="C978" s="549"/>
      <c r="D978" s="549"/>
      <c r="E978" s="549"/>
      <c r="F978" s="549"/>
    </row>
    <row r="979" spans="1:6">
      <c r="A979" s="411"/>
      <c r="B979" s="423" t="s">
        <v>1357</v>
      </c>
      <c r="C979" s="596" t="s">
        <v>616</v>
      </c>
      <c r="D979" s="596">
        <v>120</v>
      </c>
      <c r="E979" s="596"/>
      <c r="F979" s="596">
        <f>E979*D979</f>
        <v>0</v>
      </c>
    </row>
    <row r="980" spans="1:6">
      <c r="A980" s="411"/>
      <c r="B980" s="423" t="s">
        <v>1358</v>
      </c>
      <c r="C980" s="596" t="s">
        <v>616</v>
      </c>
      <c r="D980" s="596" t="s">
        <v>585</v>
      </c>
      <c r="E980" s="596"/>
      <c r="F980" s="596" t="s">
        <v>586</v>
      </c>
    </row>
    <row r="981" spans="1:6">
      <c r="A981" s="411"/>
      <c r="B981" s="423" t="s">
        <v>1359</v>
      </c>
      <c r="C981" s="596" t="s">
        <v>616</v>
      </c>
      <c r="D981" s="596" t="s">
        <v>585</v>
      </c>
      <c r="E981" s="596"/>
      <c r="F981" s="596" t="s">
        <v>586</v>
      </c>
    </row>
    <row r="982" spans="1:6">
      <c r="A982" s="411"/>
      <c r="B982" s="423" t="s">
        <v>1360</v>
      </c>
      <c r="C982" s="596" t="s">
        <v>616</v>
      </c>
      <c r="D982" s="596" t="s">
        <v>585</v>
      </c>
      <c r="E982" s="596"/>
      <c r="F982" s="596" t="s">
        <v>586</v>
      </c>
    </row>
    <row r="983" spans="1:6">
      <c r="A983" s="411"/>
      <c r="B983" s="423" t="s">
        <v>1361</v>
      </c>
      <c r="C983" s="596" t="s">
        <v>616</v>
      </c>
      <c r="D983" s="596">
        <v>110</v>
      </c>
      <c r="E983" s="796"/>
      <c r="F983" s="596">
        <f t="shared" ref="F983:F989" si="19">E983*D983</f>
        <v>0</v>
      </c>
    </row>
    <row r="984" spans="1:6">
      <c r="A984" s="411"/>
      <c r="B984" s="423" t="s">
        <v>1362</v>
      </c>
      <c r="C984" s="596" t="s">
        <v>616</v>
      </c>
      <c r="D984" s="596">
        <v>50</v>
      </c>
      <c r="E984" s="796"/>
      <c r="F984" s="596">
        <f t="shared" si="19"/>
        <v>0</v>
      </c>
    </row>
    <row r="985" spans="1:6">
      <c r="A985" s="411"/>
      <c r="B985" s="423" t="s">
        <v>1363</v>
      </c>
      <c r="C985" s="596" t="s">
        <v>616</v>
      </c>
      <c r="D985" s="596">
        <v>280</v>
      </c>
      <c r="E985" s="796"/>
      <c r="F985" s="596">
        <f t="shared" si="19"/>
        <v>0</v>
      </c>
    </row>
    <row r="986" spans="1:6">
      <c r="A986" s="411"/>
      <c r="B986" s="423" t="s">
        <v>1364</v>
      </c>
      <c r="C986" s="596" t="s">
        <v>616</v>
      </c>
      <c r="D986" s="596">
        <v>180</v>
      </c>
      <c r="E986" s="796"/>
      <c r="F986" s="596">
        <f t="shared" si="19"/>
        <v>0</v>
      </c>
    </row>
    <row r="987" spans="1:6">
      <c r="A987" s="411"/>
      <c r="B987" s="423" t="s">
        <v>1365</v>
      </c>
      <c r="C987" s="596" t="s">
        <v>616</v>
      </c>
      <c r="D987" s="596">
        <v>200</v>
      </c>
      <c r="E987" s="796"/>
      <c r="F987" s="596">
        <f t="shared" si="19"/>
        <v>0</v>
      </c>
    </row>
    <row r="988" spans="1:6">
      <c r="A988" s="411"/>
      <c r="B988" s="423" t="s">
        <v>1366</v>
      </c>
      <c r="C988" s="596" t="s">
        <v>616</v>
      </c>
      <c r="D988" s="596">
        <v>50</v>
      </c>
      <c r="E988" s="796"/>
      <c r="F988" s="596">
        <f t="shared" si="19"/>
        <v>0</v>
      </c>
    </row>
    <row r="989" spans="1:6">
      <c r="A989" s="411"/>
      <c r="B989" s="423" t="s">
        <v>1367</v>
      </c>
      <c r="C989" s="596" t="s">
        <v>616</v>
      </c>
      <c r="D989" s="596">
        <v>150</v>
      </c>
      <c r="E989" s="796"/>
      <c r="F989" s="596">
        <f t="shared" si="19"/>
        <v>0</v>
      </c>
    </row>
    <row r="990" spans="1:6" s="454" customFormat="1">
      <c r="A990" s="785"/>
      <c r="B990" s="747"/>
      <c r="C990" s="565"/>
      <c r="D990" s="565"/>
      <c r="E990" s="797"/>
      <c r="F990" s="539"/>
    </row>
    <row r="991" spans="1:6">
      <c r="A991" s="530"/>
      <c r="B991" s="424" t="s">
        <v>1368</v>
      </c>
      <c r="C991" s="549"/>
      <c r="D991" s="798"/>
      <c r="E991" s="549"/>
      <c r="F991" s="549"/>
    </row>
    <row r="992" spans="1:6">
      <c r="A992" s="530"/>
      <c r="B992" s="423" t="s">
        <v>1369</v>
      </c>
      <c r="C992" s="596" t="s">
        <v>616</v>
      </c>
      <c r="D992" s="799">
        <v>80</v>
      </c>
      <c r="E992" s="596"/>
      <c r="F992" s="596">
        <f>E992*D992</f>
        <v>0</v>
      </c>
    </row>
    <row r="993" spans="1:8">
      <c r="A993" s="530"/>
      <c r="B993" s="423" t="s">
        <v>1370</v>
      </c>
      <c r="C993" s="596" t="s">
        <v>616</v>
      </c>
      <c r="D993" s="799">
        <v>180</v>
      </c>
      <c r="E993" s="596"/>
      <c r="F993" s="596">
        <f>E993*D993</f>
        <v>0</v>
      </c>
    </row>
    <row r="994" spans="1:8">
      <c r="A994" s="530"/>
      <c r="B994" s="423" t="s">
        <v>1371</v>
      </c>
      <c r="C994" s="596" t="s">
        <v>616</v>
      </c>
      <c r="D994" s="799">
        <v>310</v>
      </c>
      <c r="E994" s="596"/>
      <c r="F994" s="596">
        <f>E994*D994</f>
        <v>0</v>
      </c>
    </row>
    <row r="995" spans="1:8">
      <c r="A995" s="530"/>
      <c r="B995" s="423" t="s">
        <v>1372</v>
      </c>
      <c r="C995" s="596" t="s">
        <v>616</v>
      </c>
      <c r="D995" s="799" t="s">
        <v>585</v>
      </c>
      <c r="E995" s="596"/>
      <c r="F995" s="596" t="s">
        <v>586</v>
      </c>
    </row>
    <row r="996" spans="1:8" s="454" customFormat="1">
      <c r="A996" s="747"/>
      <c r="B996" s="800"/>
      <c r="C996" s="539"/>
      <c r="D996" s="539"/>
      <c r="E996" s="539"/>
      <c r="F996" s="539"/>
    </row>
    <row r="997" spans="1:8">
      <c r="A997" s="411">
        <v>6.4</v>
      </c>
      <c r="B997" s="404" t="s">
        <v>1373</v>
      </c>
      <c r="C997" s="549"/>
      <c r="D997" s="549"/>
      <c r="E997" s="549"/>
      <c r="F997" s="549"/>
    </row>
    <row r="998" spans="1:8">
      <c r="A998" s="411"/>
      <c r="C998" s="549"/>
      <c r="D998" s="549"/>
      <c r="E998" s="549"/>
      <c r="F998" s="549"/>
    </row>
    <row r="999" spans="1:8" ht="78" customHeight="1">
      <c r="A999" s="411"/>
      <c r="B999" s="795" t="s">
        <v>1374</v>
      </c>
      <c r="C999" s="549"/>
      <c r="D999" s="549"/>
      <c r="E999" s="549"/>
      <c r="F999" s="549"/>
    </row>
    <row r="1000" spans="1:8">
      <c r="A1000" s="411"/>
      <c r="C1000" s="549"/>
      <c r="D1000" s="549"/>
      <c r="E1000" s="549"/>
      <c r="F1000" s="549"/>
    </row>
    <row r="1001" spans="1:8">
      <c r="A1001" s="411"/>
      <c r="B1001" s="423" t="s">
        <v>1375</v>
      </c>
      <c r="C1001" s="596" t="s">
        <v>616</v>
      </c>
      <c r="D1001" s="596" t="s">
        <v>585</v>
      </c>
      <c r="E1001" s="596"/>
      <c r="F1001" s="596" t="s">
        <v>586</v>
      </c>
      <c r="G1001" s="722"/>
      <c r="H1001" s="722"/>
    </row>
    <row r="1002" spans="1:8">
      <c r="A1002" s="411"/>
      <c r="B1002" s="423" t="s">
        <v>1376</v>
      </c>
      <c r="C1002" s="596" t="s">
        <v>616</v>
      </c>
      <c r="D1002" s="596">
        <v>500</v>
      </c>
      <c r="E1002" s="596"/>
      <c r="F1002" s="596">
        <f>E1002*D1002</f>
        <v>0</v>
      </c>
      <c r="G1002" s="722"/>
      <c r="H1002" s="722"/>
    </row>
    <row r="1003" spans="1:8">
      <c r="A1003" s="411"/>
      <c r="B1003" s="423" t="s">
        <v>1377</v>
      </c>
      <c r="C1003" s="596" t="s">
        <v>616</v>
      </c>
      <c r="D1003" s="596">
        <v>300</v>
      </c>
      <c r="E1003" s="596"/>
      <c r="F1003" s="596">
        <f>E1003*D1003</f>
        <v>0</v>
      </c>
      <c r="G1003" s="722"/>
      <c r="H1003" s="722"/>
    </row>
    <row r="1004" spans="1:8">
      <c r="A1004" s="411"/>
      <c r="B1004" s="423" t="s">
        <v>1378</v>
      </c>
      <c r="C1004" s="596" t="s">
        <v>616</v>
      </c>
      <c r="D1004" s="596">
        <v>250</v>
      </c>
      <c r="E1004" s="596"/>
      <c r="F1004" s="596">
        <f>E1004*D1004</f>
        <v>0</v>
      </c>
      <c r="G1004" s="722"/>
      <c r="H1004" s="722"/>
    </row>
    <row r="1005" spans="1:8">
      <c r="A1005" s="411"/>
      <c r="B1005" s="423" t="s">
        <v>1379</v>
      </c>
      <c r="C1005" s="596" t="s">
        <v>616</v>
      </c>
      <c r="D1005" s="596">
        <v>150</v>
      </c>
      <c r="E1005" s="596"/>
      <c r="F1005" s="596">
        <f>E1005*D1005</f>
        <v>0</v>
      </c>
      <c r="G1005" s="722"/>
      <c r="H1005" s="722"/>
    </row>
    <row r="1006" spans="1:8">
      <c r="A1006" s="411"/>
      <c r="B1006" s="423" t="s">
        <v>1380</v>
      </c>
      <c r="C1006" s="596" t="s">
        <v>616</v>
      </c>
      <c r="D1006" s="596" t="s">
        <v>585</v>
      </c>
      <c r="E1006" s="596"/>
      <c r="F1006" s="596" t="s">
        <v>586</v>
      </c>
      <c r="G1006" s="722"/>
      <c r="H1006" s="722"/>
    </row>
    <row r="1007" spans="1:8" s="454" customFormat="1">
      <c r="A1007" s="740"/>
      <c r="B1007" s="801"/>
      <c r="C1007" s="787"/>
      <c r="D1007" s="787"/>
      <c r="E1007" s="787"/>
      <c r="F1007" s="787"/>
    </row>
    <row r="1008" spans="1:8">
      <c r="A1008" s="411">
        <v>6.5</v>
      </c>
      <c r="B1008" s="404" t="s">
        <v>753</v>
      </c>
      <c r="C1008" s="549"/>
      <c r="D1008" s="549"/>
      <c r="E1008" s="549"/>
      <c r="F1008" s="549"/>
    </row>
    <row r="1009" spans="1:6">
      <c r="A1009" s="411"/>
      <c r="C1009" s="549"/>
      <c r="D1009" s="549"/>
      <c r="E1009" s="549"/>
      <c r="F1009" s="549"/>
    </row>
    <row r="1010" spans="1:6" ht="29.1">
      <c r="A1010" s="411"/>
      <c r="B1010" s="795" t="s">
        <v>1381</v>
      </c>
      <c r="C1010" s="549"/>
      <c r="D1010" s="549"/>
      <c r="E1010" s="549"/>
      <c r="F1010" s="549"/>
    </row>
    <row r="1011" spans="1:6">
      <c r="A1011" s="411"/>
      <c r="B1011" s="395"/>
      <c r="C1011" s="802"/>
      <c r="D1011" s="802"/>
      <c r="E1011" s="802"/>
      <c r="F1011" s="802"/>
    </row>
    <row r="1012" spans="1:6">
      <c r="A1012" s="411"/>
      <c r="B1012" s="423" t="s">
        <v>1382</v>
      </c>
      <c r="C1012" s="596" t="s">
        <v>616</v>
      </c>
      <c r="D1012" s="596">
        <v>150</v>
      </c>
      <c r="E1012" s="596"/>
      <c r="F1012" s="596">
        <f>E1012*D1012</f>
        <v>0</v>
      </c>
    </row>
    <row r="1013" spans="1:6">
      <c r="A1013" s="411"/>
      <c r="B1013" s="423" t="s">
        <v>1383</v>
      </c>
      <c r="C1013" s="596" t="s">
        <v>616</v>
      </c>
      <c r="D1013" s="596">
        <v>100</v>
      </c>
      <c r="E1013" s="597"/>
      <c r="F1013" s="596">
        <f>E1013*D1013</f>
        <v>0</v>
      </c>
    </row>
    <row r="1014" spans="1:6">
      <c r="A1014" s="411"/>
      <c r="B1014" s="423" t="s">
        <v>1384</v>
      </c>
      <c r="C1014" s="596" t="s">
        <v>616</v>
      </c>
      <c r="D1014" s="596">
        <v>3250</v>
      </c>
      <c r="E1014" s="596"/>
      <c r="F1014" s="596">
        <f>E1014*D1014</f>
        <v>0</v>
      </c>
    </row>
    <row r="1015" spans="1:6">
      <c r="A1015" s="411"/>
      <c r="B1015" s="423" t="s">
        <v>1385</v>
      </c>
      <c r="C1015" s="596" t="s">
        <v>616</v>
      </c>
      <c r="D1015" s="596" t="s">
        <v>585</v>
      </c>
      <c r="E1015" s="597"/>
      <c r="F1015" s="596" t="s">
        <v>586</v>
      </c>
    </row>
    <row r="1016" spans="1:6" s="454" customFormat="1">
      <c r="A1016" s="740"/>
      <c r="C1016" s="539"/>
      <c r="D1016" s="539"/>
      <c r="E1016" s="539"/>
      <c r="F1016" s="539"/>
    </row>
    <row r="1017" spans="1:6">
      <c r="A1017" s="724">
        <v>6.6</v>
      </c>
      <c r="B1017" s="725" t="s">
        <v>1386</v>
      </c>
      <c r="C1017" s="549" t="s">
        <v>562</v>
      </c>
      <c r="D1017" s="549">
        <v>4</v>
      </c>
      <c r="E1017" s="549"/>
      <c r="F1017" s="412">
        <f>E1017*D1017</f>
        <v>0</v>
      </c>
    </row>
    <row r="1018" spans="1:6" s="454" customFormat="1">
      <c r="A1018" s="740"/>
      <c r="C1018" s="539"/>
      <c r="D1018" s="539"/>
      <c r="E1018" s="539"/>
      <c r="F1018" s="539"/>
    </row>
    <row r="1019" spans="1:6" ht="29.1">
      <c r="A1019" s="724">
        <v>6.7</v>
      </c>
      <c r="B1019" s="795" t="s">
        <v>1387</v>
      </c>
      <c r="C1019" s="549" t="s">
        <v>616</v>
      </c>
      <c r="D1019" s="549">
        <v>15</v>
      </c>
      <c r="E1019" s="549"/>
      <c r="F1019" s="549">
        <f>E1019*D1019</f>
        <v>0</v>
      </c>
    </row>
    <row r="1020" spans="1:6">
      <c r="A1020" s="790"/>
      <c r="B1020" s="530"/>
      <c r="C1020" s="549"/>
      <c r="D1020" s="549"/>
      <c r="E1020" s="798"/>
      <c r="F1020" s="412"/>
    </row>
    <row r="1021" spans="1:6">
      <c r="A1021" s="768" t="s">
        <v>1388</v>
      </c>
      <c r="B1021" s="803"/>
      <c r="C1021" s="782"/>
      <c r="D1021" s="782"/>
      <c r="E1021" s="804"/>
      <c r="F1021" s="805">
        <f>SUM(F863:F1020)</f>
        <v>0</v>
      </c>
    </row>
    <row r="1022" spans="1:6">
      <c r="A1022" s="806"/>
      <c r="B1022" s="807"/>
      <c r="C1022" s="807"/>
      <c r="D1022" s="807"/>
      <c r="E1022" s="807"/>
      <c r="F1022" s="807"/>
    </row>
    <row r="1023" spans="1:6">
      <c r="A1023" s="996" t="s">
        <v>800</v>
      </c>
      <c r="B1023" s="996"/>
      <c r="C1023" s="996"/>
      <c r="D1023" s="996"/>
      <c r="E1023" s="996"/>
      <c r="F1023" s="996"/>
    </row>
    <row r="1024" spans="1:6">
      <c r="A1024" s="391" t="s">
        <v>1389</v>
      </c>
      <c r="B1024" s="808"/>
      <c r="C1024" s="808"/>
      <c r="D1024" s="808"/>
      <c r="E1024" s="808"/>
      <c r="F1024" s="808"/>
    </row>
    <row r="1025" spans="1:6">
      <c r="A1025" s="391" t="s">
        <v>1390</v>
      </c>
      <c r="E1025" s="722"/>
      <c r="F1025" s="722"/>
    </row>
    <row r="1026" spans="1:6">
      <c r="A1026" s="391"/>
      <c r="E1026" s="722"/>
      <c r="F1026" s="722"/>
    </row>
    <row r="1027" spans="1:6">
      <c r="A1027" s="809" t="s">
        <v>1391</v>
      </c>
      <c r="E1027" s="722"/>
      <c r="F1027" s="722"/>
    </row>
    <row r="1028" spans="1:6">
      <c r="A1028" s="997" t="s">
        <v>1392</v>
      </c>
      <c r="B1028" s="997"/>
      <c r="C1028" s="997"/>
      <c r="D1028" s="997"/>
      <c r="E1028" s="997"/>
      <c r="F1028" s="997"/>
    </row>
    <row r="1029" spans="1:6">
      <c r="A1029" s="810" t="s">
        <v>1393</v>
      </c>
      <c r="B1029" s="810"/>
      <c r="C1029" s="810"/>
      <c r="D1029" s="810"/>
      <c r="E1029" s="810"/>
      <c r="F1029" s="810"/>
    </row>
    <row r="1030" spans="1:6">
      <c r="A1030" s="810" t="s">
        <v>1394</v>
      </c>
      <c r="B1030" s="810"/>
      <c r="C1030" s="810"/>
      <c r="D1030" s="810"/>
      <c r="E1030" s="810"/>
      <c r="F1030" s="810"/>
    </row>
    <row r="1031" spans="1:6">
      <c r="A1031" s="810" t="s">
        <v>1395</v>
      </c>
      <c r="B1031" s="810"/>
      <c r="C1031" s="810"/>
      <c r="D1031" s="810"/>
      <c r="E1031" s="810"/>
      <c r="F1031" s="810"/>
    </row>
    <row r="1032" spans="1:6">
      <c r="F1032" s="391"/>
    </row>
    <row r="1033" spans="1:6">
      <c r="F1033" s="391"/>
    </row>
    <row r="1034" spans="1:6" s="454" customFormat="1">
      <c r="A1034" s="811"/>
    </row>
    <row r="1035" spans="1:6" s="454" customFormat="1">
      <c r="A1035" s="811"/>
    </row>
    <row r="1036" spans="1:6" s="454" customFormat="1">
      <c r="A1036" s="811"/>
    </row>
    <row r="1037" spans="1:6" s="454" customFormat="1">
      <c r="A1037" s="811"/>
    </row>
    <row r="1038" spans="1:6" s="454" customFormat="1">
      <c r="A1038" s="811"/>
    </row>
    <row r="1039" spans="1:6" s="454" customFormat="1">
      <c r="A1039" s="811"/>
      <c r="F1039" s="812"/>
    </row>
    <row r="1040" spans="1:6" s="454" customFormat="1">
      <c r="A1040" s="811"/>
      <c r="F1040" s="812"/>
    </row>
    <row r="1041" spans="1:6" s="454" customFormat="1">
      <c r="A1041" s="811"/>
      <c r="F1041" s="812"/>
    </row>
    <row r="1042" spans="1:6" s="454" customFormat="1">
      <c r="A1042" s="811"/>
      <c r="F1042" s="812"/>
    </row>
    <row r="1043" spans="1:6" s="454" customFormat="1">
      <c r="A1043" s="811"/>
      <c r="F1043" s="812"/>
    </row>
    <row r="1044" spans="1:6" s="454" customFormat="1">
      <c r="A1044" s="811"/>
      <c r="F1044" s="812"/>
    </row>
    <row r="1045" spans="1:6" s="454" customFormat="1">
      <c r="A1045" s="811"/>
      <c r="F1045" s="812"/>
    </row>
    <row r="1046" spans="1:6" s="454" customFormat="1">
      <c r="A1046" s="811"/>
      <c r="F1046" s="812"/>
    </row>
    <row r="1047" spans="1:6" s="454" customFormat="1">
      <c r="A1047" s="811"/>
      <c r="F1047" s="812"/>
    </row>
    <row r="1048" spans="1:6" s="454" customFormat="1">
      <c r="A1048" s="811"/>
      <c r="F1048" s="812"/>
    </row>
    <row r="1049" spans="1:6" s="454" customFormat="1">
      <c r="A1049" s="811"/>
      <c r="F1049" s="812"/>
    </row>
    <row r="1050" spans="1:6" s="454" customFormat="1">
      <c r="A1050" s="811"/>
      <c r="F1050" s="812"/>
    </row>
    <row r="1051" spans="1:6" s="454" customFormat="1">
      <c r="A1051" s="811"/>
      <c r="F1051" s="812"/>
    </row>
    <row r="1052" spans="1:6" s="454" customFormat="1">
      <c r="A1052" s="811"/>
      <c r="F1052" s="812"/>
    </row>
    <row r="1053" spans="1:6" s="454" customFormat="1">
      <c r="A1053" s="811"/>
      <c r="F1053" s="812"/>
    </row>
    <row r="1054" spans="1:6" s="454" customFormat="1">
      <c r="A1054" s="811"/>
      <c r="F1054" s="812"/>
    </row>
    <row r="1055" spans="1:6" s="454" customFormat="1">
      <c r="A1055" s="811"/>
      <c r="F1055" s="812"/>
    </row>
    <row r="1056" spans="1:6" s="454" customFormat="1">
      <c r="A1056" s="811"/>
      <c r="F1056" s="812"/>
    </row>
    <row r="1057" spans="1:6" s="454" customFormat="1">
      <c r="A1057" s="811"/>
      <c r="F1057" s="812"/>
    </row>
    <row r="1058" spans="1:6" s="454" customFormat="1">
      <c r="A1058" s="811"/>
      <c r="F1058" s="812"/>
    </row>
    <row r="1059" spans="1:6" s="454" customFormat="1">
      <c r="A1059" s="811"/>
      <c r="F1059" s="812"/>
    </row>
    <row r="1060" spans="1:6" s="454" customFormat="1">
      <c r="A1060" s="811"/>
      <c r="F1060" s="812"/>
    </row>
    <row r="1061" spans="1:6" s="454" customFormat="1">
      <c r="A1061" s="811"/>
      <c r="F1061" s="812"/>
    </row>
    <row r="1062" spans="1:6" s="454" customFormat="1">
      <c r="A1062" s="811"/>
      <c r="F1062" s="812"/>
    </row>
    <row r="1063" spans="1:6" s="454" customFormat="1">
      <c r="A1063" s="811"/>
      <c r="F1063" s="812"/>
    </row>
    <row r="1064" spans="1:6" s="454" customFormat="1">
      <c r="A1064" s="811"/>
      <c r="F1064" s="812"/>
    </row>
    <row r="1065" spans="1:6" s="454" customFormat="1">
      <c r="A1065" s="811"/>
      <c r="F1065" s="812"/>
    </row>
    <row r="1066" spans="1:6" s="454" customFormat="1">
      <c r="A1066" s="811"/>
      <c r="F1066" s="812"/>
    </row>
    <row r="1067" spans="1:6" s="454" customFormat="1">
      <c r="A1067" s="811"/>
      <c r="F1067" s="812"/>
    </row>
    <row r="1068" spans="1:6" s="454" customFormat="1">
      <c r="A1068" s="811"/>
      <c r="F1068" s="812"/>
    </row>
    <row r="1069" spans="1:6" s="454" customFormat="1">
      <c r="A1069" s="811"/>
      <c r="F1069" s="812"/>
    </row>
    <row r="1070" spans="1:6" s="454" customFormat="1">
      <c r="A1070" s="811"/>
      <c r="F1070" s="812"/>
    </row>
    <row r="1071" spans="1:6" s="454" customFormat="1">
      <c r="A1071" s="811"/>
      <c r="F1071" s="812"/>
    </row>
    <row r="1072" spans="1:6" s="454" customFormat="1">
      <c r="A1072" s="811"/>
      <c r="F1072" s="812"/>
    </row>
    <row r="1073" spans="1:6" s="454" customFormat="1">
      <c r="A1073" s="811"/>
      <c r="F1073" s="812"/>
    </row>
    <row r="1074" spans="1:6" s="454" customFormat="1">
      <c r="A1074" s="811"/>
      <c r="F1074" s="812"/>
    </row>
    <row r="1075" spans="1:6" s="454" customFormat="1">
      <c r="A1075" s="811"/>
      <c r="F1075" s="812"/>
    </row>
    <row r="1076" spans="1:6" s="454" customFormat="1">
      <c r="A1076" s="811"/>
      <c r="F1076" s="812"/>
    </row>
    <row r="1077" spans="1:6" s="454" customFormat="1">
      <c r="A1077" s="811"/>
      <c r="F1077" s="812"/>
    </row>
    <row r="1078" spans="1:6" s="454" customFormat="1">
      <c r="A1078" s="811"/>
      <c r="F1078" s="812"/>
    </row>
    <row r="1079" spans="1:6" s="454" customFormat="1">
      <c r="A1079" s="811"/>
      <c r="F1079" s="812"/>
    </row>
    <row r="1080" spans="1:6" s="454" customFormat="1">
      <c r="A1080" s="811"/>
      <c r="F1080" s="812"/>
    </row>
    <row r="1081" spans="1:6" s="454" customFormat="1">
      <c r="A1081" s="811"/>
      <c r="F1081" s="812"/>
    </row>
    <row r="1082" spans="1:6" s="454" customFormat="1">
      <c r="A1082" s="811"/>
      <c r="F1082" s="812"/>
    </row>
    <row r="1083" spans="1:6" s="454" customFormat="1">
      <c r="A1083" s="811"/>
      <c r="F1083" s="812"/>
    </row>
    <row r="1084" spans="1:6" s="454" customFormat="1">
      <c r="A1084" s="811"/>
      <c r="F1084" s="812"/>
    </row>
    <row r="1085" spans="1:6" s="454" customFormat="1">
      <c r="A1085" s="811"/>
      <c r="F1085" s="812"/>
    </row>
    <row r="1086" spans="1:6" s="454" customFormat="1">
      <c r="A1086" s="811"/>
      <c r="F1086" s="812"/>
    </row>
    <row r="1087" spans="1:6" s="454" customFormat="1">
      <c r="A1087" s="811"/>
      <c r="F1087" s="812"/>
    </row>
    <row r="1088" spans="1:6" s="454" customFormat="1">
      <c r="A1088" s="811"/>
      <c r="F1088" s="812"/>
    </row>
    <row r="1089" spans="1:6" s="454" customFormat="1">
      <c r="A1089" s="811"/>
      <c r="F1089" s="812"/>
    </row>
    <row r="1090" spans="1:6" s="454" customFormat="1">
      <c r="A1090" s="811"/>
      <c r="F1090" s="812"/>
    </row>
    <row r="1091" spans="1:6" s="454" customFormat="1">
      <c r="A1091" s="811"/>
      <c r="F1091" s="812"/>
    </row>
    <row r="1092" spans="1:6" s="454" customFormat="1">
      <c r="A1092" s="811"/>
      <c r="F1092" s="812"/>
    </row>
    <row r="1093" spans="1:6" s="454" customFormat="1">
      <c r="A1093" s="811"/>
      <c r="F1093" s="812"/>
    </row>
    <row r="1094" spans="1:6" s="454" customFormat="1">
      <c r="A1094" s="811"/>
      <c r="F1094" s="812"/>
    </row>
    <row r="1095" spans="1:6" s="454" customFormat="1">
      <c r="A1095" s="811"/>
      <c r="F1095" s="812"/>
    </row>
    <row r="1096" spans="1:6" s="454" customFormat="1">
      <c r="A1096" s="811"/>
      <c r="F1096" s="812"/>
    </row>
    <row r="1097" spans="1:6" s="454" customFormat="1">
      <c r="A1097" s="811"/>
      <c r="F1097" s="812"/>
    </row>
    <row r="1098" spans="1:6" s="454" customFormat="1">
      <c r="A1098" s="811"/>
      <c r="F1098" s="812"/>
    </row>
    <row r="1099" spans="1:6" s="454" customFormat="1">
      <c r="A1099" s="811"/>
      <c r="F1099" s="812"/>
    </row>
    <row r="1100" spans="1:6" s="454" customFormat="1">
      <c r="A1100" s="811"/>
      <c r="F1100" s="812"/>
    </row>
    <row r="1101" spans="1:6" s="454" customFormat="1">
      <c r="A1101" s="811"/>
      <c r="F1101" s="812"/>
    </row>
    <row r="1102" spans="1:6" s="454" customFormat="1">
      <c r="A1102" s="811"/>
      <c r="F1102" s="812"/>
    </row>
    <row r="1103" spans="1:6" s="454" customFormat="1">
      <c r="A1103" s="811"/>
      <c r="F1103" s="812"/>
    </row>
    <row r="1104" spans="1:6" s="454" customFormat="1">
      <c r="A1104" s="811"/>
      <c r="F1104" s="812"/>
    </row>
    <row r="1105" spans="1:6" s="454" customFormat="1">
      <c r="A1105" s="811"/>
      <c r="F1105" s="812"/>
    </row>
    <row r="1106" spans="1:6" s="454" customFormat="1">
      <c r="A1106" s="811"/>
      <c r="F1106" s="812"/>
    </row>
    <row r="1107" spans="1:6" s="454" customFormat="1">
      <c r="A1107" s="811"/>
      <c r="F1107" s="812"/>
    </row>
    <row r="1108" spans="1:6" s="454" customFormat="1">
      <c r="A1108" s="811"/>
      <c r="F1108" s="812"/>
    </row>
    <row r="1109" spans="1:6" s="454" customFormat="1">
      <c r="A1109" s="811"/>
      <c r="F1109" s="812"/>
    </row>
    <row r="1110" spans="1:6" s="454" customFormat="1">
      <c r="A1110" s="811"/>
      <c r="F1110" s="812"/>
    </row>
    <row r="1111" spans="1:6" s="454" customFormat="1">
      <c r="A1111" s="811"/>
      <c r="F1111" s="812"/>
    </row>
    <row r="1112" spans="1:6" s="454" customFormat="1">
      <c r="A1112" s="811"/>
      <c r="F1112" s="812"/>
    </row>
    <row r="1113" spans="1:6" s="454" customFormat="1">
      <c r="A1113" s="811"/>
      <c r="F1113" s="812"/>
    </row>
    <row r="1114" spans="1:6" s="454" customFormat="1">
      <c r="A1114" s="811"/>
      <c r="F1114" s="812"/>
    </row>
    <row r="1115" spans="1:6" s="454" customFormat="1">
      <c r="A1115" s="811"/>
      <c r="F1115" s="812"/>
    </row>
    <row r="1116" spans="1:6" s="454" customFormat="1">
      <c r="A1116" s="811"/>
      <c r="F1116" s="812"/>
    </row>
    <row r="1117" spans="1:6" s="454" customFormat="1">
      <c r="A1117" s="811"/>
      <c r="F1117" s="812"/>
    </row>
    <row r="1118" spans="1:6" s="454" customFormat="1">
      <c r="A1118" s="811"/>
      <c r="F1118" s="812"/>
    </row>
    <row r="1119" spans="1:6" s="454" customFormat="1">
      <c r="A1119" s="811"/>
      <c r="F1119" s="812"/>
    </row>
    <row r="1120" spans="1:6" s="454" customFormat="1">
      <c r="A1120" s="811"/>
      <c r="F1120" s="812"/>
    </row>
    <row r="1121" spans="1:6" s="454" customFormat="1">
      <c r="A1121" s="811"/>
      <c r="F1121" s="812"/>
    </row>
    <row r="1122" spans="1:6" s="454" customFormat="1">
      <c r="A1122" s="811"/>
      <c r="F1122" s="812"/>
    </row>
    <row r="1123" spans="1:6" s="454" customFormat="1">
      <c r="A1123" s="811"/>
      <c r="F1123" s="812"/>
    </row>
    <row r="1124" spans="1:6" s="454" customFormat="1">
      <c r="A1124" s="811"/>
      <c r="F1124" s="812"/>
    </row>
    <row r="1125" spans="1:6" s="454" customFormat="1">
      <c r="A1125" s="811"/>
      <c r="F1125" s="812"/>
    </row>
    <row r="1126" spans="1:6" s="454" customFormat="1">
      <c r="A1126" s="811"/>
      <c r="F1126" s="812"/>
    </row>
    <row r="1127" spans="1:6" s="454" customFormat="1">
      <c r="A1127" s="811"/>
      <c r="F1127" s="812"/>
    </row>
    <row r="1128" spans="1:6" s="454" customFormat="1">
      <c r="A1128" s="811"/>
      <c r="F1128" s="812"/>
    </row>
    <row r="1129" spans="1:6" s="454" customFormat="1">
      <c r="A1129" s="811"/>
      <c r="F1129" s="812"/>
    </row>
    <row r="1130" spans="1:6" s="454" customFormat="1">
      <c r="A1130" s="811"/>
      <c r="F1130" s="812"/>
    </row>
    <row r="1131" spans="1:6" s="454" customFormat="1">
      <c r="A1131" s="811"/>
      <c r="F1131" s="812"/>
    </row>
    <row r="1132" spans="1:6" s="454" customFormat="1">
      <c r="A1132" s="811"/>
      <c r="F1132" s="812"/>
    </row>
    <row r="1133" spans="1:6" s="454" customFormat="1">
      <c r="A1133" s="811"/>
      <c r="F1133" s="812"/>
    </row>
    <row r="1134" spans="1:6" s="454" customFormat="1">
      <c r="A1134" s="811"/>
      <c r="F1134" s="812"/>
    </row>
    <row r="1135" spans="1:6" s="454" customFormat="1">
      <c r="A1135" s="811"/>
      <c r="F1135" s="812"/>
    </row>
    <row r="1136" spans="1:6" s="454" customFormat="1">
      <c r="A1136" s="811"/>
      <c r="F1136" s="812"/>
    </row>
    <row r="1137" spans="1:6" s="454" customFormat="1">
      <c r="A1137" s="811"/>
      <c r="F1137" s="812"/>
    </row>
    <row r="1138" spans="1:6" s="454" customFormat="1">
      <c r="A1138" s="811"/>
      <c r="F1138" s="812"/>
    </row>
    <row r="1139" spans="1:6" s="454" customFormat="1">
      <c r="A1139" s="811"/>
      <c r="F1139" s="812"/>
    </row>
    <row r="1140" spans="1:6" s="454" customFormat="1">
      <c r="A1140" s="811"/>
      <c r="F1140" s="812"/>
    </row>
    <row r="1141" spans="1:6" s="454" customFormat="1">
      <c r="A1141" s="811"/>
      <c r="F1141" s="812"/>
    </row>
    <row r="1142" spans="1:6" s="454" customFormat="1">
      <c r="A1142" s="811"/>
      <c r="F1142" s="812"/>
    </row>
    <row r="1143" spans="1:6" s="454" customFormat="1">
      <c r="A1143" s="811"/>
      <c r="F1143" s="812"/>
    </row>
    <row r="1144" spans="1:6" s="454" customFormat="1">
      <c r="A1144" s="811"/>
      <c r="F1144" s="812"/>
    </row>
    <row r="1145" spans="1:6" s="454" customFormat="1">
      <c r="A1145" s="811"/>
      <c r="F1145" s="812"/>
    </row>
    <row r="1146" spans="1:6" s="454" customFormat="1">
      <c r="A1146" s="811"/>
      <c r="F1146" s="812"/>
    </row>
    <row r="1147" spans="1:6" s="454" customFormat="1">
      <c r="A1147" s="811"/>
      <c r="F1147" s="812"/>
    </row>
    <row r="1148" spans="1:6" s="454" customFormat="1">
      <c r="A1148" s="811"/>
      <c r="F1148" s="812"/>
    </row>
    <row r="1149" spans="1:6" s="454" customFormat="1">
      <c r="A1149" s="811"/>
      <c r="F1149" s="812"/>
    </row>
    <row r="1150" spans="1:6" s="454" customFormat="1">
      <c r="A1150" s="811"/>
      <c r="F1150" s="812"/>
    </row>
    <row r="1151" spans="1:6" s="454" customFormat="1">
      <c r="A1151" s="811"/>
      <c r="F1151" s="812"/>
    </row>
    <row r="1152" spans="1:6" s="454" customFormat="1">
      <c r="A1152" s="811"/>
      <c r="F1152" s="812"/>
    </row>
    <row r="1153" spans="1:6" s="454" customFormat="1">
      <c r="A1153" s="811"/>
      <c r="F1153" s="812"/>
    </row>
    <row r="1154" spans="1:6" s="454" customFormat="1">
      <c r="A1154" s="811"/>
      <c r="F1154" s="812"/>
    </row>
    <row r="1155" spans="1:6" s="454" customFormat="1">
      <c r="A1155" s="811"/>
      <c r="F1155" s="812"/>
    </row>
    <row r="1156" spans="1:6" s="454" customFormat="1">
      <c r="A1156" s="811"/>
      <c r="F1156" s="812"/>
    </row>
    <row r="1157" spans="1:6" s="454" customFormat="1">
      <c r="A1157" s="811"/>
      <c r="F1157" s="812"/>
    </row>
    <row r="1158" spans="1:6" s="454" customFormat="1">
      <c r="A1158" s="811"/>
      <c r="F1158" s="812"/>
    </row>
    <row r="1159" spans="1:6" s="454" customFormat="1">
      <c r="A1159" s="811"/>
      <c r="F1159" s="812"/>
    </row>
    <row r="1160" spans="1:6" s="454" customFormat="1">
      <c r="A1160" s="811"/>
      <c r="F1160" s="812"/>
    </row>
    <row r="1161" spans="1:6" s="454" customFormat="1">
      <c r="A1161" s="811"/>
      <c r="F1161" s="812"/>
    </row>
    <row r="1162" spans="1:6" s="454" customFormat="1">
      <c r="A1162" s="811"/>
      <c r="F1162" s="812"/>
    </row>
    <row r="1163" spans="1:6" s="454" customFormat="1">
      <c r="A1163" s="811"/>
      <c r="F1163" s="812"/>
    </row>
    <row r="1164" spans="1:6" s="454" customFormat="1">
      <c r="A1164" s="811"/>
      <c r="F1164" s="812"/>
    </row>
    <row r="1165" spans="1:6" s="454" customFormat="1">
      <c r="A1165" s="811"/>
      <c r="F1165" s="812"/>
    </row>
    <row r="1166" spans="1:6" s="454" customFormat="1">
      <c r="A1166" s="811"/>
      <c r="F1166" s="812"/>
    </row>
    <row r="1167" spans="1:6" s="454" customFormat="1">
      <c r="A1167" s="811"/>
      <c r="F1167" s="812"/>
    </row>
    <row r="1168" spans="1:6" s="454" customFormat="1">
      <c r="A1168" s="811"/>
      <c r="F1168" s="812"/>
    </row>
    <row r="1169" spans="1:6" s="454" customFormat="1">
      <c r="A1169" s="811"/>
      <c r="F1169" s="812"/>
    </row>
    <row r="1170" spans="1:6" s="454" customFormat="1">
      <c r="A1170" s="811"/>
      <c r="F1170" s="812"/>
    </row>
    <row r="1171" spans="1:6" s="454" customFormat="1">
      <c r="A1171" s="811"/>
      <c r="F1171" s="812"/>
    </row>
    <row r="1172" spans="1:6" s="454" customFormat="1">
      <c r="A1172" s="811"/>
      <c r="F1172" s="812"/>
    </row>
    <row r="1173" spans="1:6" s="454" customFormat="1">
      <c r="A1173" s="811"/>
      <c r="F1173" s="812"/>
    </row>
    <row r="1174" spans="1:6" s="454" customFormat="1">
      <c r="A1174" s="811"/>
      <c r="F1174" s="812"/>
    </row>
    <row r="1175" spans="1:6" s="454" customFormat="1">
      <c r="A1175" s="811"/>
      <c r="F1175" s="812"/>
    </row>
    <row r="1176" spans="1:6" s="454" customFormat="1">
      <c r="A1176" s="811"/>
      <c r="F1176" s="812"/>
    </row>
    <row r="1177" spans="1:6" s="454" customFormat="1">
      <c r="A1177" s="811"/>
      <c r="F1177" s="812"/>
    </row>
    <row r="1178" spans="1:6" s="454" customFormat="1">
      <c r="A1178" s="811"/>
      <c r="F1178" s="812"/>
    </row>
    <row r="1179" spans="1:6" s="454" customFormat="1">
      <c r="A1179" s="811"/>
      <c r="F1179" s="812"/>
    </row>
    <row r="1180" spans="1:6" s="454" customFormat="1">
      <c r="A1180" s="811"/>
      <c r="F1180" s="812"/>
    </row>
    <row r="1181" spans="1:6" s="454" customFormat="1">
      <c r="A1181" s="811"/>
      <c r="F1181" s="812"/>
    </row>
    <row r="1182" spans="1:6" s="454" customFormat="1">
      <c r="A1182" s="811"/>
      <c r="F1182" s="812"/>
    </row>
    <row r="1183" spans="1:6" s="454" customFormat="1">
      <c r="A1183" s="811"/>
      <c r="F1183" s="812"/>
    </row>
    <row r="1184" spans="1:6" s="454" customFormat="1">
      <c r="A1184" s="811"/>
      <c r="F1184" s="812"/>
    </row>
    <row r="1185" spans="1:6" s="454" customFormat="1">
      <c r="A1185" s="811"/>
      <c r="F1185" s="812"/>
    </row>
    <row r="1186" spans="1:6" s="454" customFormat="1">
      <c r="A1186" s="811"/>
      <c r="F1186" s="812"/>
    </row>
    <row r="1187" spans="1:6" s="454" customFormat="1">
      <c r="A1187" s="811"/>
      <c r="F1187" s="812"/>
    </row>
    <row r="1188" spans="1:6" s="454" customFormat="1">
      <c r="A1188" s="811"/>
      <c r="F1188" s="812"/>
    </row>
    <row r="1189" spans="1:6" s="454" customFormat="1">
      <c r="A1189" s="811"/>
      <c r="F1189" s="812"/>
    </row>
    <row r="1190" spans="1:6" s="454" customFormat="1">
      <c r="A1190" s="811"/>
      <c r="F1190" s="812"/>
    </row>
    <row r="1191" spans="1:6" s="454" customFormat="1">
      <c r="A1191" s="811"/>
      <c r="F1191" s="812"/>
    </row>
    <row r="1192" spans="1:6" s="454" customFormat="1">
      <c r="A1192" s="811"/>
      <c r="F1192" s="812"/>
    </row>
    <row r="1193" spans="1:6" s="454" customFormat="1">
      <c r="A1193" s="811"/>
      <c r="F1193" s="812"/>
    </row>
    <row r="1194" spans="1:6" s="454" customFormat="1">
      <c r="A1194" s="811"/>
      <c r="F1194" s="812"/>
    </row>
    <row r="1195" spans="1:6" s="454" customFormat="1">
      <c r="A1195" s="811"/>
      <c r="F1195" s="812"/>
    </row>
    <row r="1196" spans="1:6" s="454" customFormat="1">
      <c r="A1196" s="811"/>
      <c r="F1196" s="812"/>
    </row>
    <row r="1197" spans="1:6" s="454" customFormat="1">
      <c r="A1197" s="811"/>
      <c r="F1197" s="812"/>
    </row>
    <row r="1198" spans="1:6" s="454" customFormat="1">
      <c r="A1198" s="811"/>
      <c r="F1198" s="812"/>
    </row>
    <row r="1199" spans="1:6" s="454" customFormat="1">
      <c r="A1199" s="811"/>
      <c r="F1199" s="812"/>
    </row>
    <row r="1200" spans="1:6" s="454" customFormat="1">
      <c r="A1200" s="811"/>
      <c r="F1200" s="812"/>
    </row>
    <row r="1201" spans="1:6" s="454" customFormat="1">
      <c r="A1201" s="811"/>
      <c r="F1201" s="812"/>
    </row>
    <row r="1202" spans="1:6" s="454" customFormat="1">
      <c r="A1202" s="811"/>
      <c r="F1202" s="812"/>
    </row>
    <row r="1203" spans="1:6" s="454" customFormat="1">
      <c r="A1203" s="811"/>
      <c r="F1203" s="812"/>
    </row>
    <row r="1204" spans="1:6" s="454" customFormat="1">
      <c r="A1204" s="811"/>
      <c r="F1204" s="812"/>
    </row>
    <row r="1205" spans="1:6" s="454" customFormat="1">
      <c r="A1205" s="811"/>
      <c r="F1205" s="812"/>
    </row>
    <row r="1206" spans="1:6" s="454" customFormat="1">
      <c r="A1206" s="811"/>
      <c r="F1206" s="812"/>
    </row>
    <row r="1207" spans="1:6" s="454" customFormat="1">
      <c r="A1207" s="811"/>
      <c r="F1207" s="812"/>
    </row>
    <row r="1208" spans="1:6" s="454" customFormat="1">
      <c r="A1208" s="811"/>
      <c r="F1208" s="812"/>
    </row>
    <row r="1209" spans="1:6" s="454" customFormat="1">
      <c r="A1209" s="811"/>
      <c r="F1209" s="812"/>
    </row>
    <row r="1210" spans="1:6" s="454" customFormat="1">
      <c r="A1210" s="811"/>
      <c r="F1210" s="812"/>
    </row>
    <row r="1211" spans="1:6" s="454" customFormat="1">
      <c r="A1211" s="811"/>
      <c r="F1211" s="812"/>
    </row>
    <row r="1212" spans="1:6" s="454" customFormat="1">
      <c r="A1212" s="811"/>
      <c r="F1212" s="812"/>
    </row>
    <row r="1213" spans="1:6" s="454" customFormat="1">
      <c r="A1213" s="811"/>
      <c r="F1213" s="812"/>
    </row>
    <row r="1214" spans="1:6" s="454" customFormat="1">
      <c r="A1214" s="811"/>
      <c r="F1214" s="812"/>
    </row>
    <row r="1215" spans="1:6" s="454" customFormat="1">
      <c r="A1215" s="811"/>
      <c r="F1215" s="812"/>
    </row>
    <row r="1216" spans="1:6" s="454" customFormat="1">
      <c r="A1216" s="811"/>
      <c r="F1216" s="812"/>
    </row>
    <row r="1217" spans="1:6" s="454" customFormat="1">
      <c r="A1217" s="811"/>
      <c r="F1217" s="812"/>
    </row>
    <row r="1218" spans="1:6" s="454" customFormat="1">
      <c r="A1218" s="811"/>
      <c r="F1218" s="812"/>
    </row>
    <row r="1219" spans="1:6" s="454" customFormat="1">
      <c r="A1219" s="811"/>
      <c r="F1219" s="812"/>
    </row>
    <row r="1220" spans="1:6" s="454" customFormat="1">
      <c r="A1220" s="811"/>
      <c r="F1220" s="812"/>
    </row>
    <row r="1221" spans="1:6" s="454" customFormat="1">
      <c r="A1221" s="811"/>
      <c r="F1221" s="812"/>
    </row>
    <row r="1222" spans="1:6" s="454" customFormat="1">
      <c r="A1222" s="811"/>
      <c r="F1222" s="812"/>
    </row>
    <row r="1223" spans="1:6" s="454" customFormat="1">
      <c r="A1223" s="811"/>
      <c r="F1223" s="812"/>
    </row>
    <row r="1224" spans="1:6" s="454" customFormat="1">
      <c r="A1224" s="811"/>
      <c r="F1224" s="812"/>
    </row>
    <row r="1225" spans="1:6" s="454" customFormat="1">
      <c r="A1225" s="811"/>
      <c r="F1225" s="812"/>
    </row>
    <row r="1226" spans="1:6" s="454" customFormat="1">
      <c r="A1226" s="811"/>
      <c r="F1226" s="812"/>
    </row>
    <row r="1227" spans="1:6" s="454" customFormat="1">
      <c r="A1227" s="811"/>
      <c r="F1227" s="812"/>
    </row>
    <row r="1228" spans="1:6" s="454" customFormat="1">
      <c r="A1228" s="811"/>
      <c r="F1228" s="812"/>
    </row>
    <row r="1229" spans="1:6" s="454" customFormat="1">
      <c r="A1229" s="811"/>
      <c r="F1229" s="812"/>
    </row>
    <row r="1230" spans="1:6" s="454" customFormat="1">
      <c r="A1230" s="811"/>
      <c r="F1230" s="812"/>
    </row>
    <row r="1231" spans="1:6" s="454" customFormat="1">
      <c r="A1231" s="811"/>
      <c r="F1231" s="812"/>
    </row>
    <row r="1232" spans="1:6" s="454" customFormat="1">
      <c r="A1232" s="811"/>
      <c r="F1232" s="812"/>
    </row>
    <row r="1233" spans="1:6" s="454" customFormat="1">
      <c r="A1233" s="811"/>
      <c r="F1233" s="812"/>
    </row>
    <row r="1234" spans="1:6" s="454" customFormat="1">
      <c r="A1234" s="811"/>
      <c r="F1234" s="812"/>
    </row>
    <row r="1235" spans="1:6" s="454" customFormat="1">
      <c r="A1235" s="811"/>
      <c r="F1235" s="812"/>
    </row>
    <row r="1236" spans="1:6" s="454" customFormat="1">
      <c r="A1236" s="811"/>
      <c r="F1236" s="812"/>
    </row>
    <row r="1237" spans="1:6" s="454" customFormat="1">
      <c r="A1237" s="811"/>
      <c r="F1237" s="812"/>
    </row>
    <row r="1238" spans="1:6" s="454" customFormat="1">
      <c r="A1238" s="811"/>
      <c r="F1238" s="812"/>
    </row>
    <row r="1239" spans="1:6" s="454" customFormat="1">
      <c r="A1239" s="811"/>
      <c r="F1239" s="812"/>
    </row>
    <row r="1240" spans="1:6" s="454" customFormat="1">
      <c r="A1240" s="811"/>
      <c r="F1240" s="812"/>
    </row>
    <row r="1241" spans="1:6" s="454" customFormat="1">
      <c r="A1241" s="811"/>
      <c r="F1241" s="812"/>
    </row>
    <row r="1242" spans="1:6" s="454" customFormat="1">
      <c r="A1242" s="811"/>
      <c r="F1242" s="812"/>
    </row>
    <row r="1243" spans="1:6" s="454" customFormat="1">
      <c r="A1243" s="811"/>
      <c r="F1243" s="812"/>
    </row>
    <row r="1244" spans="1:6" s="454" customFormat="1">
      <c r="A1244" s="811"/>
      <c r="F1244" s="812"/>
    </row>
    <row r="1245" spans="1:6" s="454" customFormat="1">
      <c r="A1245" s="811"/>
      <c r="F1245" s="812"/>
    </row>
    <row r="1246" spans="1:6" s="454" customFormat="1">
      <c r="A1246" s="811"/>
      <c r="F1246" s="812"/>
    </row>
    <row r="1247" spans="1:6" s="454" customFormat="1">
      <c r="A1247" s="811"/>
      <c r="F1247" s="812"/>
    </row>
    <row r="1248" spans="1:6" s="454" customFormat="1">
      <c r="A1248" s="811"/>
      <c r="F1248" s="812"/>
    </row>
    <row r="1249" spans="1:6" s="454" customFormat="1">
      <c r="A1249" s="811"/>
      <c r="F1249" s="812"/>
    </row>
    <row r="1250" spans="1:6" s="454" customFormat="1">
      <c r="A1250" s="811"/>
      <c r="F1250" s="812"/>
    </row>
    <row r="1251" spans="1:6" s="454" customFormat="1">
      <c r="A1251" s="811"/>
      <c r="F1251" s="812"/>
    </row>
    <row r="1252" spans="1:6" s="454" customFormat="1">
      <c r="A1252" s="811"/>
      <c r="F1252" s="812"/>
    </row>
    <row r="1253" spans="1:6" s="454" customFormat="1">
      <c r="A1253" s="811"/>
      <c r="F1253" s="812"/>
    </row>
    <row r="1254" spans="1:6" s="454" customFormat="1">
      <c r="A1254" s="811"/>
      <c r="F1254" s="812"/>
    </row>
    <row r="1255" spans="1:6" s="454" customFormat="1">
      <c r="A1255" s="811"/>
      <c r="F1255" s="812"/>
    </row>
    <row r="1256" spans="1:6" s="454" customFormat="1">
      <c r="A1256" s="811"/>
      <c r="F1256" s="812"/>
    </row>
    <row r="1257" spans="1:6" s="454" customFormat="1">
      <c r="A1257" s="811"/>
      <c r="F1257" s="812"/>
    </row>
    <row r="1258" spans="1:6" s="454" customFormat="1">
      <c r="A1258" s="811"/>
      <c r="F1258" s="812"/>
    </row>
    <row r="1259" spans="1:6" s="454" customFormat="1">
      <c r="A1259" s="811"/>
      <c r="F1259" s="812"/>
    </row>
    <row r="1260" spans="1:6" s="454" customFormat="1">
      <c r="A1260" s="811"/>
      <c r="F1260" s="812"/>
    </row>
    <row r="1261" spans="1:6" s="454" customFormat="1">
      <c r="A1261" s="811"/>
      <c r="F1261" s="812"/>
    </row>
    <row r="1262" spans="1:6" s="454" customFormat="1">
      <c r="A1262" s="811"/>
      <c r="F1262" s="812"/>
    </row>
    <row r="1263" spans="1:6" s="454" customFormat="1">
      <c r="A1263" s="811"/>
      <c r="F1263" s="812"/>
    </row>
    <row r="1264" spans="1:6" s="454" customFormat="1">
      <c r="A1264" s="811"/>
      <c r="F1264" s="812"/>
    </row>
    <row r="1265" spans="1:6" s="454" customFormat="1">
      <c r="A1265" s="811"/>
      <c r="F1265" s="812"/>
    </row>
    <row r="1266" spans="1:6" s="454" customFormat="1">
      <c r="A1266" s="811"/>
      <c r="F1266" s="812"/>
    </row>
    <row r="1267" spans="1:6" s="454" customFormat="1">
      <c r="A1267" s="811"/>
      <c r="F1267" s="812"/>
    </row>
    <row r="1268" spans="1:6" s="454" customFormat="1">
      <c r="A1268" s="811"/>
      <c r="F1268" s="812"/>
    </row>
    <row r="1269" spans="1:6" s="454" customFormat="1">
      <c r="A1269" s="811"/>
      <c r="F1269" s="812"/>
    </row>
    <row r="1270" spans="1:6" s="454" customFormat="1">
      <c r="A1270" s="811"/>
      <c r="F1270" s="812"/>
    </row>
    <row r="1271" spans="1:6" s="454" customFormat="1">
      <c r="A1271" s="811"/>
      <c r="F1271" s="812"/>
    </row>
    <row r="1272" spans="1:6" s="454" customFormat="1">
      <c r="A1272" s="811"/>
      <c r="F1272" s="812"/>
    </row>
    <row r="1273" spans="1:6" s="454" customFormat="1">
      <c r="A1273" s="811"/>
      <c r="F1273" s="812"/>
    </row>
    <row r="1274" spans="1:6" s="454" customFormat="1">
      <c r="A1274" s="811"/>
      <c r="F1274" s="812"/>
    </row>
    <row r="1275" spans="1:6" s="454" customFormat="1">
      <c r="A1275" s="811"/>
      <c r="F1275" s="812"/>
    </row>
    <row r="1276" spans="1:6" s="454" customFormat="1">
      <c r="A1276" s="811"/>
      <c r="F1276" s="812"/>
    </row>
    <row r="1277" spans="1:6" s="454" customFormat="1">
      <c r="A1277" s="811"/>
      <c r="F1277" s="812"/>
    </row>
    <row r="1278" spans="1:6" s="454" customFormat="1">
      <c r="A1278" s="811"/>
      <c r="F1278" s="812"/>
    </row>
    <row r="1279" spans="1:6" s="454" customFormat="1">
      <c r="A1279" s="811"/>
      <c r="F1279" s="812"/>
    </row>
    <row r="1280" spans="1:6" s="454" customFormat="1">
      <c r="A1280" s="811"/>
      <c r="F1280" s="812"/>
    </row>
    <row r="1281" spans="1:6" s="454" customFormat="1">
      <c r="A1281" s="811"/>
      <c r="F1281" s="812"/>
    </row>
    <row r="1282" spans="1:6" s="454" customFormat="1">
      <c r="A1282" s="811"/>
      <c r="F1282" s="812"/>
    </row>
    <row r="1283" spans="1:6" s="454" customFormat="1">
      <c r="A1283" s="811"/>
      <c r="F1283" s="812"/>
    </row>
    <row r="1284" spans="1:6" s="454" customFormat="1">
      <c r="A1284" s="811"/>
      <c r="F1284" s="812"/>
    </row>
    <row r="1285" spans="1:6" s="454" customFormat="1">
      <c r="A1285" s="811"/>
      <c r="F1285" s="812"/>
    </row>
    <row r="1286" spans="1:6" s="454" customFormat="1">
      <c r="A1286" s="811"/>
      <c r="F1286" s="812"/>
    </row>
    <row r="1287" spans="1:6" s="454" customFormat="1">
      <c r="A1287" s="811"/>
      <c r="F1287" s="812"/>
    </row>
    <row r="1288" spans="1:6" s="454" customFormat="1">
      <c r="A1288" s="811"/>
      <c r="F1288" s="812"/>
    </row>
    <row r="1289" spans="1:6" s="454" customFormat="1">
      <c r="A1289" s="811"/>
      <c r="F1289" s="812"/>
    </row>
    <row r="1290" spans="1:6" s="454" customFormat="1">
      <c r="A1290" s="811"/>
      <c r="F1290" s="812"/>
    </row>
    <row r="1291" spans="1:6" s="454" customFormat="1">
      <c r="A1291" s="811"/>
      <c r="F1291" s="812"/>
    </row>
    <row r="1292" spans="1:6" s="454" customFormat="1">
      <c r="A1292" s="811"/>
      <c r="F1292" s="812"/>
    </row>
    <row r="1293" spans="1:6" s="454" customFormat="1">
      <c r="A1293" s="811"/>
      <c r="F1293" s="812"/>
    </row>
    <row r="1294" spans="1:6" s="454" customFormat="1">
      <c r="A1294" s="811"/>
      <c r="F1294" s="812"/>
    </row>
    <row r="1295" spans="1:6" s="454" customFormat="1">
      <c r="A1295" s="811"/>
      <c r="F1295" s="812"/>
    </row>
    <row r="1296" spans="1:6" s="454" customFormat="1">
      <c r="A1296" s="811"/>
      <c r="F1296" s="812"/>
    </row>
    <row r="1297" spans="1:6" s="454" customFormat="1">
      <c r="A1297" s="811"/>
      <c r="F1297" s="812"/>
    </row>
    <row r="1298" spans="1:6" s="454" customFormat="1">
      <c r="A1298" s="811"/>
      <c r="F1298" s="812"/>
    </row>
    <row r="1299" spans="1:6" s="454" customFormat="1">
      <c r="A1299" s="811"/>
      <c r="F1299" s="812"/>
    </row>
    <row r="1300" spans="1:6" s="454" customFormat="1">
      <c r="A1300" s="811"/>
      <c r="F1300" s="812"/>
    </row>
    <row r="1301" spans="1:6" s="454" customFormat="1">
      <c r="A1301" s="811"/>
      <c r="F1301" s="812"/>
    </row>
    <row r="1302" spans="1:6" s="454" customFormat="1">
      <c r="A1302" s="811"/>
      <c r="F1302" s="812"/>
    </row>
    <row r="1303" spans="1:6" s="454" customFormat="1">
      <c r="A1303" s="811"/>
      <c r="F1303" s="812"/>
    </row>
    <row r="1304" spans="1:6" s="454" customFormat="1">
      <c r="A1304" s="811"/>
      <c r="F1304" s="812"/>
    </row>
    <row r="1305" spans="1:6" s="454" customFormat="1">
      <c r="A1305" s="811"/>
      <c r="F1305" s="812"/>
    </row>
    <row r="1306" spans="1:6" s="454" customFormat="1">
      <c r="A1306" s="811"/>
      <c r="F1306" s="812"/>
    </row>
    <row r="1307" spans="1:6" s="454" customFormat="1">
      <c r="A1307" s="811"/>
      <c r="F1307" s="812"/>
    </row>
    <row r="1308" spans="1:6" s="454" customFormat="1">
      <c r="A1308" s="811"/>
      <c r="F1308" s="812"/>
    </row>
    <row r="1309" spans="1:6" s="454" customFormat="1">
      <c r="A1309" s="811"/>
      <c r="F1309" s="812"/>
    </row>
    <row r="1310" spans="1:6" s="454" customFormat="1">
      <c r="A1310" s="811"/>
      <c r="F1310" s="812"/>
    </row>
    <row r="1311" spans="1:6" s="454" customFormat="1">
      <c r="A1311" s="811"/>
      <c r="F1311" s="812"/>
    </row>
    <row r="1312" spans="1:6" s="454" customFormat="1">
      <c r="A1312" s="811"/>
      <c r="F1312" s="812"/>
    </row>
    <row r="1313" spans="1:6" s="454" customFormat="1">
      <c r="A1313" s="811"/>
      <c r="F1313" s="812"/>
    </row>
    <row r="1314" spans="1:6" s="454" customFormat="1">
      <c r="A1314" s="811"/>
      <c r="F1314" s="812"/>
    </row>
    <row r="1315" spans="1:6" s="454" customFormat="1">
      <c r="A1315" s="811"/>
      <c r="F1315" s="812"/>
    </row>
    <row r="1316" spans="1:6" s="454" customFormat="1">
      <c r="A1316" s="811"/>
      <c r="F1316" s="812"/>
    </row>
    <row r="1317" spans="1:6" s="454" customFormat="1">
      <c r="A1317" s="811"/>
      <c r="F1317" s="812"/>
    </row>
    <row r="1318" spans="1:6" s="454" customFormat="1">
      <c r="A1318" s="811"/>
      <c r="F1318" s="812"/>
    </row>
    <row r="1319" spans="1:6" s="454" customFormat="1">
      <c r="A1319" s="811"/>
      <c r="F1319" s="812"/>
    </row>
    <row r="1320" spans="1:6" s="454" customFormat="1">
      <c r="A1320" s="811"/>
      <c r="F1320" s="812"/>
    </row>
    <row r="1321" spans="1:6" s="454" customFormat="1">
      <c r="A1321" s="811"/>
      <c r="F1321" s="812"/>
    </row>
    <row r="1322" spans="1:6" s="454" customFormat="1">
      <c r="A1322" s="811"/>
      <c r="F1322" s="812"/>
    </row>
    <row r="1323" spans="1:6" s="454" customFormat="1">
      <c r="A1323" s="811"/>
      <c r="F1323" s="812"/>
    </row>
    <row r="1324" spans="1:6" s="454" customFormat="1">
      <c r="A1324" s="811"/>
      <c r="F1324" s="812"/>
    </row>
    <row r="1325" spans="1:6" s="454" customFormat="1">
      <c r="A1325" s="811"/>
      <c r="F1325" s="812"/>
    </row>
    <row r="1326" spans="1:6" s="454" customFormat="1">
      <c r="A1326" s="811"/>
      <c r="F1326" s="812"/>
    </row>
    <row r="1327" spans="1:6" s="454" customFormat="1">
      <c r="A1327" s="811"/>
      <c r="F1327" s="812"/>
    </row>
    <row r="1328" spans="1:6" s="454" customFormat="1">
      <c r="A1328" s="811"/>
      <c r="F1328" s="812"/>
    </row>
    <row r="1329" spans="1:6" s="454" customFormat="1">
      <c r="A1329" s="811"/>
      <c r="F1329" s="812"/>
    </row>
    <row r="1330" spans="1:6" s="454" customFormat="1">
      <c r="A1330" s="811"/>
      <c r="F1330" s="812"/>
    </row>
    <row r="1331" spans="1:6" s="454" customFormat="1">
      <c r="A1331" s="811"/>
      <c r="F1331" s="812"/>
    </row>
    <row r="1332" spans="1:6" s="454" customFormat="1">
      <c r="A1332" s="811"/>
      <c r="F1332" s="812"/>
    </row>
    <row r="1333" spans="1:6" s="454" customFormat="1">
      <c r="A1333" s="811"/>
      <c r="F1333" s="812"/>
    </row>
    <row r="1334" spans="1:6" s="454" customFormat="1">
      <c r="A1334" s="811"/>
      <c r="F1334" s="812"/>
    </row>
    <row r="1335" spans="1:6" s="454" customFormat="1">
      <c r="A1335" s="811"/>
      <c r="F1335" s="812"/>
    </row>
    <row r="1336" spans="1:6" s="454" customFormat="1">
      <c r="A1336" s="811"/>
      <c r="F1336" s="812"/>
    </row>
    <row r="1337" spans="1:6" s="454" customFormat="1">
      <c r="A1337" s="811"/>
      <c r="F1337" s="812"/>
    </row>
    <row r="1338" spans="1:6" s="454" customFormat="1">
      <c r="A1338" s="811"/>
      <c r="F1338" s="812"/>
    </row>
    <row r="1339" spans="1:6" s="454" customFormat="1">
      <c r="A1339" s="811"/>
      <c r="F1339" s="812"/>
    </row>
    <row r="1340" spans="1:6" s="454" customFormat="1">
      <c r="A1340" s="811"/>
      <c r="F1340" s="812"/>
    </row>
    <row r="1341" spans="1:6" s="454" customFormat="1">
      <c r="A1341" s="811"/>
      <c r="F1341" s="812"/>
    </row>
    <row r="1342" spans="1:6" s="454" customFormat="1">
      <c r="A1342" s="811"/>
      <c r="F1342" s="812"/>
    </row>
    <row r="1343" spans="1:6" s="454" customFormat="1">
      <c r="A1343" s="811"/>
      <c r="F1343" s="812"/>
    </row>
    <row r="1344" spans="1:6" s="454" customFormat="1">
      <c r="A1344" s="811"/>
      <c r="F1344" s="812"/>
    </row>
    <row r="1345" spans="1:6" s="454" customFormat="1">
      <c r="A1345" s="811"/>
      <c r="F1345" s="812"/>
    </row>
    <row r="1346" spans="1:6" s="454" customFormat="1">
      <c r="A1346" s="811"/>
      <c r="F1346" s="812"/>
    </row>
    <row r="1347" spans="1:6" s="454" customFormat="1">
      <c r="A1347" s="811"/>
      <c r="F1347" s="812"/>
    </row>
    <row r="1348" spans="1:6" s="454" customFormat="1">
      <c r="A1348" s="811"/>
      <c r="F1348" s="812"/>
    </row>
    <row r="1349" spans="1:6" s="454" customFormat="1">
      <c r="A1349" s="811"/>
      <c r="F1349" s="812"/>
    </row>
    <row r="1350" spans="1:6" s="454" customFormat="1">
      <c r="A1350" s="811"/>
      <c r="F1350" s="812"/>
    </row>
    <row r="1351" spans="1:6" s="454" customFormat="1">
      <c r="A1351" s="811"/>
      <c r="F1351" s="812"/>
    </row>
    <row r="1352" spans="1:6" s="454" customFormat="1">
      <c r="A1352" s="811"/>
      <c r="F1352" s="812"/>
    </row>
    <row r="1353" spans="1:6" s="454" customFormat="1">
      <c r="A1353" s="811"/>
      <c r="F1353" s="812"/>
    </row>
    <row r="1354" spans="1:6" s="454" customFormat="1">
      <c r="A1354" s="811"/>
      <c r="F1354" s="812"/>
    </row>
    <row r="1355" spans="1:6" s="454" customFormat="1">
      <c r="A1355" s="811"/>
      <c r="F1355" s="812"/>
    </row>
    <row r="1356" spans="1:6" s="454" customFormat="1">
      <c r="A1356" s="811"/>
      <c r="F1356" s="812"/>
    </row>
    <row r="1357" spans="1:6" s="454" customFormat="1">
      <c r="A1357" s="811"/>
      <c r="F1357" s="812"/>
    </row>
    <row r="1358" spans="1:6" s="454" customFormat="1">
      <c r="A1358" s="811"/>
      <c r="F1358" s="812"/>
    </row>
    <row r="1359" spans="1:6" s="454" customFormat="1">
      <c r="A1359" s="811"/>
      <c r="F1359" s="812"/>
    </row>
    <row r="1360" spans="1:6" s="454" customFormat="1">
      <c r="A1360" s="811"/>
      <c r="F1360" s="812"/>
    </row>
    <row r="1361" spans="1:6" s="454" customFormat="1">
      <c r="A1361" s="811"/>
      <c r="F1361" s="812"/>
    </row>
    <row r="1362" spans="1:6" s="454" customFormat="1">
      <c r="A1362" s="811"/>
      <c r="F1362" s="812"/>
    </row>
    <row r="1363" spans="1:6" s="454" customFormat="1">
      <c r="A1363" s="811"/>
      <c r="F1363" s="812"/>
    </row>
    <row r="1364" spans="1:6" s="454" customFormat="1">
      <c r="A1364" s="811"/>
      <c r="F1364" s="812"/>
    </row>
    <row r="1365" spans="1:6" s="454" customFormat="1">
      <c r="A1365" s="811"/>
      <c r="F1365" s="812"/>
    </row>
    <row r="1366" spans="1:6" s="454" customFormat="1">
      <c r="A1366" s="811"/>
      <c r="F1366" s="812"/>
    </row>
    <row r="1367" spans="1:6" s="454" customFormat="1">
      <c r="A1367" s="811"/>
      <c r="F1367" s="812"/>
    </row>
    <row r="1368" spans="1:6" s="454" customFormat="1">
      <c r="A1368" s="811"/>
      <c r="F1368" s="812"/>
    </row>
    <row r="1369" spans="1:6" s="454" customFormat="1">
      <c r="A1369" s="811"/>
      <c r="F1369" s="812"/>
    </row>
    <row r="1370" spans="1:6" s="454" customFormat="1">
      <c r="A1370" s="811"/>
      <c r="F1370" s="812"/>
    </row>
    <row r="1371" spans="1:6" s="454" customFormat="1">
      <c r="A1371" s="811"/>
      <c r="F1371" s="812"/>
    </row>
    <row r="1372" spans="1:6" s="454" customFormat="1">
      <c r="A1372" s="811"/>
      <c r="F1372" s="812"/>
    </row>
    <row r="1373" spans="1:6" s="454" customFormat="1">
      <c r="A1373" s="811"/>
      <c r="F1373" s="812"/>
    </row>
    <row r="1374" spans="1:6" s="454" customFormat="1">
      <c r="A1374" s="811"/>
      <c r="F1374" s="812"/>
    </row>
    <row r="1375" spans="1:6" s="454" customFormat="1">
      <c r="A1375" s="811"/>
      <c r="F1375" s="812"/>
    </row>
    <row r="1376" spans="1:6" s="454" customFormat="1">
      <c r="A1376" s="811"/>
      <c r="F1376" s="812"/>
    </row>
    <row r="1377" spans="1:6" s="454" customFormat="1">
      <c r="A1377" s="811"/>
      <c r="F1377" s="812"/>
    </row>
    <row r="1378" spans="1:6" s="454" customFormat="1">
      <c r="A1378" s="811"/>
      <c r="F1378" s="812"/>
    </row>
    <row r="1379" spans="1:6" s="454" customFormat="1">
      <c r="A1379" s="811"/>
      <c r="F1379" s="812"/>
    </row>
    <row r="1380" spans="1:6" s="454" customFormat="1">
      <c r="A1380" s="811"/>
      <c r="F1380" s="812"/>
    </row>
    <row r="1381" spans="1:6" s="454" customFormat="1">
      <c r="A1381" s="811"/>
      <c r="F1381" s="812"/>
    </row>
    <row r="1382" spans="1:6" s="454" customFormat="1">
      <c r="A1382" s="811"/>
      <c r="F1382" s="812"/>
    </row>
    <row r="1383" spans="1:6" s="454" customFormat="1">
      <c r="A1383" s="811"/>
      <c r="F1383" s="812"/>
    </row>
    <row r="1384" spans="1:6" s="454" customFormat="1">
      <c r="A1384" s="811"/>
      <c r="F1384" s="812"/>
    </row>
    <row r="1385" spans="1:6" s="454" customFormat="1">
      <c r="A1385" s="811"/>
      <c r="F1385" s="812"/>
    </row>
    <row r="1386" spans="1:6" s="454" customFormat="1">
      <c r="A1386" s="811"/>
      <c r="F1386" s="812"/>
    </row>
    <row r="1387" spans="1:6" s="454" customFormat="1">
      <c r="A1387" s="811"/>
      <c r="F1387" s="812"/>
    </row>
    <row r="1388" spans="1:6" s="454" customFormat="1">
      <c r="A1388" s="811"/>
      <c r="F1388" s="812"/>
    </row>
    <row r="1389" spans="1:6" s="454" customFormat="1">
      <c r="A1389" s="811"/>
      <c r="F1389" s="812"/>
    </row>
    <row r="1390" spans="1:6" s="454" customFormat="1">
      <c r="A1390" s="811"/>
      <c r="F1390" s="812"/>
    </row>
    <row r="1391" spans="1:6" s="454" customFormat="1">
      <c r="A1391" s="811"/>
      <c r="F1391" s="812"/>
    </row>
    <row r="1392" spans="1:6" s="454" customFormat="1">
      <c r="A1392" s="811"/>
      <c r="F1392" s="812"/>
    </row>
    <row r="1393" spans="1:6" s="454" customFormat="1">
      <c r="A1393" s="811"/>
      <c r="F1393" s="812"/>
    </row>
    <row r="1394" spans="1:6" s="454" customFormat="1">
      <c r="A1394" s="811"/>
      <c r="F1394" s="812"/>
    </row>
    <row r="1395" spans="1:6" s="454" customFormat="1">
      <c r="A1395" s="811"/>
      <c r="F1395" s="812"/>
    </row>
    <row r="1396" spans="1:6" s="454" customFormat="1">
      <c r="A1396" s="811"/>
      <c r="F1396" s="812"/>
    </row>
    <row r="1397" spans="1:6" s="454" customFormat="1">
      <c r="A1397" s="811"/>
      <c r="F1397" s="812"/>
    </row>
    <row r="1398" spans="1:6" s="454" customFormat="1">
      <c r="A1398" s="811"/>
      <c r="F1398" s="812"/>
    </row>
    <row r="1399" spans="1:6" s="454" customFormat="1">
      <c r="A1399" s="811"/>
      <c r="F1399" s="812"/>
    </row>
    <row r="1400" spans="1:6" s="454" customFormat="1">
      <c r="A1400" s="811"/>
      <c r="F1400" s="812"/>
    </row>
    <row r="1401" spans="1:6" s="454" customFormat="1">
      <c r="A1401" s="811"/>
      <c r="F1401" s="812"/>
    </row>
    <row r="1402" spans="1:6" s="454" customFormat="1">
      <c r="A1402" s="811"/>
      <c r="F1402" s="812"/>
    </row>
    <row r="1403" spans="1:6" s="454" customFormat="1">
      <c r="A1403" s="811"/>
      <c r="F1403" s="812"/>
    </row>
    <row r="1404" spans="1:6" s="454" customFormat="1">
      <c r="A1404" s="811"/>
      <c r="F1404" s="812"/>
    </row>
    <row r="1405" spans="1:6" s="454" customFormat="1">
      <c r="A1405" s="811"/>
      <c r="F1405" s="812"/>
    </row>
    <row r="1406" spans="1:6" s="454" customFormat="1">
      <c r="A1406" s="811"/>
      <c r="F1406" s="812"/>
    </row>
    <row r="1407" spans="1:6" s="454" customFormat="1">
      <c r="A1407" s="811"/>
      <c r="F1407" s="812"/>
    </row>
    <row r="1408" spans="1:6" s="454" customFormat="1">
      <c r="A1408" s="811"/>
      <c r="F1408" s="812"/>
    </row>
    <row r="1409" spans="1:6" s="454" customFormat="1">
      <c r="A1409" s="811"/>
      <c r="F1409" s="812"/>
    </row>
    <row r="1410" spans="1:6" s="454" customFormat="1">
      <c r="A1410" s="811"/>
      <c r="F1410" s="812"/>
    </row>
    <row r="1411" spans="1:6" s="454" customFormat="1">
      <c r="A1411" s="811"/>
      <c r="F1411" s="812"/>
    </row>
    <row r="1412" spans="1:6" s="454" customFormat="1">
      <c r="A1412" s="811"/>
      <c r="F1412" s="812"/>
    </row>
    <row r="1413" spans="1:6" s="454" customFormat="1">
      <c r="A1413" s="811"/>
      <c r="F1413" s="812"/>
    </row>
    <row r="1414" spans="1:6" s="454" customFormat="1">
      <c r="A1414" s="811"/>
      <c r="F1414" s="812"/>
    </row>
    <row r="1415" spans="1:6" s="454" customFormat="1">
      <c r="A1415" s="811"/>
      <c r="F1415" s="812"/>
    </row>
    <row r="1416" spans="1:6" s="454" customFormat="1">
      <c r="A1416" s="811"/>
      <c r="F1416" s="812"/>
    </row>
    <row r="1417" spans="1:6" s="454" customFormat="1">
      <c r="A1417" s="811"/>
      <c r="F1417" s="812"/>
    </row>
    <row r="1418" spans="1:6" s="454" customFormat="1">
      <c r="A1418" s="811"/>
      <c r="F1418" s="812"/>
    </row>
    <row r="1419" spans="1:6" s="454" customFormat="1">
      <c r="A1419" s="811"/>
      <c r="F1419" s="812"/>
    </row>
    <row r="1420" spans="1:6" s="454" customFormat="1">
      <c r="A1420" s="811"/>
      <c r="F1420" s="812"/>
    </row>
    <row r="1421" spans="1:6" s="454" customFormat="1">
      <c r="A1421" s="811"/>
      <c r="F1421" s="812"/>
    </row>
    <row r="1422" spans="1:6" s="454" customFormat="1">
      <c r="A1422" s="811"/>
      <c r="F1422" s="812"/>
    </row>
    <row r="1423" spans="1:6" s="454" customFormat="1">
      <c r="A1423" s="811"/>
      <c r="F1423" s="812"/>
    </row>
    <row r="1424" spans="1:6" s="454" customFormat="1">
      <c r="A1424" s="811"/>
      <c r="F1424" s="812"/>
    </row>
    <row r="1425" spans="1:6" s="454" customFormat="1">
      <c r="A1425" s="811"/>
      <c r="F1425" s="812"/>
    </row>
    <row r="1426" spans="1:6" s="454" customFormat="1">
      <c r="A1426" s="811"/>
      <c r="F1426" s="812"/>
    </row>
    <row r="1427" spans="1:6" s="454" customFormat="1">
      <c r="A1427" s="811"/>
      <c r="F1427" s="812"/>
    </row>
    <row r="1428" spans="1:6" s="454" customFormat="1">
      <c r="A1428" s="811"/>
      <c r="F1428" s="812"/>
    </row>
    <row r="1429" spans="1:6" s="454" customFormat="1">
      <c r="A1429" s="811"/>
      <c r="F1429" s="812"/>
    </row>
    <row r="1430" spans="1:6" s="454" customFormat="1">
      <c r="A1430" s="811"/>
      <c r="F1430" s="812"/>
    </row>
    <row r="1431" spans="1:6" s="454" customFormat="1">
      <c r="A1431" s="811"/>
      <c r="F1431" s="812"/>
    </row>
    <row r="1432" spans="1:6" s="454" customFormat="1">
      <c r="A1432" s="811"/>
      <c r="F1432" s="812"/>
    </row>
    <row r="1433" spans="1:6" s="454" customFormat="1">
      <c r="A1433" s="811"/>
      <c r="F1433" s="812"/>
    </row>
    <row r="1434" spans="1:6" s="454" customFormat="1">
      <c r="A1434" s="811"/>
      <c r="F1434" s="812"/>
    </row>
    <row r="1435" spans="1:6" s="454" customFormat="1">
      <c r="A1435" s="811"/>
      <c r="F1435" s="812"/>
    </row>
    <row r="1436" spans="1:6" s="454" customFormat="1">
      <c r="A1436" s="811"/>
      <c r="F1436" s="812"/>
    </row>
    <row r="1437" spans="1:6" s="454" customFormat="1">
      <c r="A1437" s="811"/>
      <c r="F1437" s="812"/>
    </row>
    <row r="1438" spans="1:6" s="454" customFormat="1">
      <c r="A1438" s="811"/>
      <c r="F1438" s="812"/>
    </row>
    <row r="1439" spans="1:6" s="454" customFormat="1">
      <c r="A1439" s="811"/>
      <c r="F1439" s="812"/>
    </row>
    <row r="1440" spans="1:6" s="454" customFormat="1">
      <c r="A1440" s="811"/>
      <c r="F1440" s="812"/>
    </row>
    <row r="1441" spans="1:6" s="454" customFormat="1">
      <c r="A1441" s="811"/>
      <c r="F1441" s="812"/>
    </row>
    <row r="1442" spans="1:6" s="454" customFormat="1">
      <c r="A1442" s="811"/>
      <c r="F1442" s="812"/>
    </row>
    <row r="1443" spans="1:6" s="454" customFormat="1">
      <c r="A1443" s="811"/>
      <c r="F1443" s="812"/>
    </row>
    <row r="1444" spans="1:6" s="454" customFormat="1">
      <c r="A1444" s="811"/>
      <c r="F1444" s="812"/>
    </row>
    <row r="1445" spans="1:6" s="454" customFormat="1">
      <c r="A1445" s="811"/>
      <c r="F1445" s="812"/>
    </row>
    <row r="1446" spans="1:6" s="454" customFormat="1">
      <c r="A1446" s="811"/>
      <c r="F1446" s="812"/>
    </row>
    <row r="1447" spans="1:6" s="454" customFormat="1">
      <c r="A1447" s="811"/>
      <c r="F1447" s="812"/>
    </row>
    <row r="1448" spans="1:6" s="454" customFormat="1">
      <c r="A1448" s="811"/>
      <c r="F1448" s="812"/>
    </row>
    <row r="1449" spans="1:6" s="454" customFormat="1">
      <c r="A1449" s="811"/>
      <c r="F1449" s="812"/>
    </row>
    <row r="1450" spans="1:6" s="454" customFormat="1">
      <c r="A1450" s="811"/>
      <c r="F1450" s="812"/>
    </row>
    <row r="1451" spans="1:6" s="454" customFormat="1">
      <c r="A1451" s="811"/>
      <c r="F1451" s="812"/>
    </row>
    <row r="1452" spans="1:6" s="454" customFormat="1">
      <c r="A1452" s="811"/>
      <c r="F1452" s="812"/>
    </row>
    <row r="1453" spans="1:6" s="454" customFormat="1">
      <c r="A1453" s="811"/>
      <c r="F1453" s="812"/>
    </row>
    <row r="1454" spans="1:6" s="454" customFormat="1">
      <c r="A1454" s="811"/>
      <c r="F1454" s="812"/>
    </row>
    <row r="1455" spans="1:6" s="454" customFormat="1">
      <c r="A1455" s="811"/>
      <c r="F1455" s="812"/>
    </row>
    <row r="1456" spans="1:6" s="454" customFormat="1">
      <c r="A1456" s="811"/>
      <c r="F1456" s="812"/>
    </row>
    <row r="1457" spans="1:6" s="454" customFormat="1">
      <c r="A1457" s="811"/>
      <c r="F1457" s="812"/>
    </row>
    <row r="1458" spans="1:6" s="454" customFormat="1">
      <c r="A1458" s="811"/>
      <c r="F1458" s="812"/>
    </row>
    <row r="1459" spans="1:6" s="454" customFormat="1">
      <c r="A1459" s="811"/>
      <c r="F1459" s="812"/>
    </row>
    <row r="1460" spans="1:6" s="454" customFormat="1">
      <c r="A1460" s="811"/>
      <c r="F1460" s="812"/>
    </row>
    <row r="1461" spans="1:6" s="454" customFormat="1">
      <c r="A1461" s="811"/>
      <c r="F1461" s="812"/>
    </row>
    <row r="1462" spans="1:6" s="454" customFormat="1">
      <c r="A1462" s="811"/>
      <c r="F1462" s="812"/>
    </row>
    <row r="1463" spans="1:6" s="454" customFormat="1">
      <c r="A1463" s="811"/>
      <c r="F1463" s="812"/>
    </row>
    <row r="1464" spans="1:6" s="454" customFormat="1">
      <c r="A1464" s="811"/>
      <c r="F1464" s="812"/>
    </row>
    <row r="1465" spans="1:6" s="454" customFormat="1">
      <c r="A1465" s="811"/>
      <c r="F1465" s="812"/>
    </row>
    <row r="1466" spans="1:6" s="454" customFormat="1">
      <c r="A1466" s="811"/>
      <c r="F1466" s="812"/>
    </row>
    <row r="1467" spans="1:6" s="454" customFormat="1">
      <c r="A1467" s="811"/>
      <c r="F1467" s="812"/>
    </row>
    <row r="1468" spans="1:6" s="454" customFormat="1">
      <c r="A1468" s="811"/>
      <c r="F1468" s="812"/>
    </row>
    <row r="1469" spans="1:6" s="454" customFormat="1">
      <c r="A1469" s="811"/>
      <c r="F1469" s="812"/>
    </row>
    <row r="1470" spans="1:6" s="454" customFormat="1">
      <c r="A1470" s="811"/>
      <c r="F1470" s="812"/>
    </row>
    <row r="1471" spans="1:6" s="454" customFormat="1">
      <c r="A1471" s="811"/>
      <c r="F1471" s="812"/>
    </row>
    <row r="1472" spans="1:6" s="454" customFormat="1">
      <c r="A1472" s="811"/>
      <c r="F1472" s="812"/>
    </row>
    <row r="1473" spans="1:6" s="454" customFormat="1">
      <c r="A1473" s="811"/>
      <c r="F1473" s="812"/>
    </row>
    <row r="1474" spans="1:6" s="454" customFormat="1">
      <c r="A1474" s="811"/>
      <c r="F1474" s="812"/>
    </row>
    <row r="1475" spans="1:6" s="454" customFormat="1">
      <c r="A1475" s="811"/>
      <c r="F1475" s="812"/>
    </row>
    <row r="1476" spans="1:6" s="454" customFormat="1">
      <c r="A1476" s="811"/>
      <c r="F1476" s="812"/>
    </row>
    <row r="1477" spans="1:6" s="454" customFormat="1">
      <c r="A1477" s="811"/>
      <c r="F1477" s="812"/>
    </row>
    <row r="1478" spans="1:6" s="454" customFormat="1">
      <c r="A1478" s="811"/>
      <c r="F1478" s="812"/>
    </row>
    <row r="1479" spans="1:6" s="454" customFormat="1">
      <c r="A1479" s="811"/>
      <c r="F1479" s="812"/>
    </row>
    <row r="1480" spans="1:6" s="454" customFormat="1">
      <c r="A1480" s="811"/>
      <c r="F1480" s="812"/>
    </row>
    <row r="1481" spans="1:6" s="454" customFormat="1">
      <c r="A1481" s="811"/>
      <c r="F1481" s="812"/>
    </row>
    <row r="1482" spans="1:6" s="454" customFormat="1">
      <c r="A1482" s="811"/>
      <c r="F1482" s="812"/>
    </row>
    <row r="1483" spans="1:6" s="454" customFormat="1">
      <c r="A1483" s="811"/>
      <c r="F1483" s="812"/>
    </row>
    <row r="1484" spans="1:6" s="454" customFormat="1">
      <c r="A1484" s="811"/>
      <c r="F1484" s="812"/>
    </row>
    <row r="1485" spans="1:6" s="454" customFormat="1">
      <c r="A1485" s="811"/>
      <c r="F1485" s="812"/>
    </row>
    <row r="1486" spans="1:6" s="454" customFormat="1">
      <c r="A1486" s="811"/>
      <c r="F1486" s="812"/>
    </row>
    <row r="1487" spans="1:6" s="454" customFormat="1">
      <c r="A1487" s="811"/>
      <c r="F1487" s="812"/>
    </row>
    <row r="1488" spans="1:6" s="454" customFormat="1">
      <c r="A1488" s="811"/>
      <c r="F1488" s="812"/>
    </row>
    <row r="1489" spans="1:6" s="454" customFormat="1">
      <c r="A1489" s="811"/>
      <c r="F1489" s="812"/>
    </row>
    <row r="1490" spans="1:6" s="454" customFormat="1">
      <c r="A1490" s="811"/>
      <c r="F1490" s="812"/>
    </row>
    <row r="1491" spans="1:6" s="454" customFormat="1">
      <c r="A1491" s="811"/>
      <c r="F1491" s="812"/>
    </row>
    <row r="1492" spans="1:6" s="454" customFormat="1">
      <c r="A1492" s="811"/>
      <c r="F1492" s="812"/>
    </row>
    <row r="1493" spans="1:6" s="454" customFormat="1">
      <c r="A1493" s="811"/>
      <c r="F1493" s="812"/>
    </row>
    <row r="1494" spans="1:6" s="454" customFormat="1">
      <c r="A1494" s="811"/>
      <c r="F1494" s="812"/>
    </row>
    <row r="1495" spans="1:6" s="454" customFormat="1">
      <c r="A1495" s="811"/>
      <c r="F1495" s="812"/>
    </row>
    <row r="1496" spans="1:6" s="454" customFormat="1">
      <c r="A1496" s="811"/>
      <c r="F1496" s="812"/>
    </row>
    <row r="1497" spans="1:6" s="454" customFormat="1">
      <c r="A1497" s="811"/>
      <c r="F1497" s="812"/>
    </row>
    <row r="1498" spans="1:6" s="454" customFormat="1">
      <c r="A1498" s="811"/>
      <c r="F1498" s="812"/>
    </row>
    <row r="1499" spans="1:6" s="454" customFormat="1">
      <c r="A1499" s="811"/>
      <c r="F1499" s="812"/>
    </row>
    <row r="1500" spans="1:6" s="454" customFormat="1">
      <c r="A1500" s="811"/>
      <c r="F1500" s="812"/>
    </row>
    <row r="1501" spans="1:6" s="454" customFormat="1">
      <c r="A1501" s="811"/>
      <c r="F1501" s="812"/>
    </row>
    <row r="1502" spans="1:6" s="454" customFormat="1">
      <c r="A1502" s="811"/>
      <c r="F1502" s="812"/>
    </row>
    <row r="1503" spans="1:6" s="454" customFormat="1">
      <c r="A1503" s="811"/>
      <c r="F1503" s="812"/>
    </row>
    <row r="1504" spans="1:6" s="454" customFormat="1">
      <c r="A1504" s="811"/>
      <c r="F1504" s="812"/>
    </row>
    <row r="1505" spans="1:6" s="454" customFormat="1">
      <c r="A1505" s="811"/>
      <c r="F1505" s="812"/>
    </row>
    <row r="1506" spans="1:6" s="454" customFormat="1">
      <c r="A1506" s="811"/>
      <c r="F1506" s="812"/>
    </row>
    <row r="1507" spans="1:6" s="454" customFormat="1">
      <c r="A1507" s="811"/>
      <c r="F1507" s="812"/>
    </row>
    <row r="1508" spans="1:6" s="454" customFormat="1">
      <c r="A1508" s="811"/>
      <c r="F1508" s="812"/>
    </row>
    <row r="1509" spans="1:6" s="454" customFormat="1">
      <c r="A1509" s="811"/>
      <c r="F1509" s="812"/>
    </row>
    <row r="1510" spans="1:6" s="454" customFormat="1">
      <c r="A1510" s="811"/>
      <c r="F1510" s="812"/>
    </row>
    <row r="1511" spans="1:6" s="454" customFormat="1">
      <c r="A1511" s="811"/>
      <c r="F1511" s="812"/>
    </row>
    <row r="1512" spans="1:6" s="454" customFormat="1">
      <c r="A1512" s="811"/>
      <c r="F1512" s="812"/>
    </row>
    <row r="1513" spans="1:6" s="454" customFormat="1">
      <c r="A1513" s="811"/>
      <c r="F1513" s="812"/>
    </row>
    <row r="1514" spans="1:6" s="454" customFormat="1">
      <c r="A1514" s="811"/>
      <c r="F1514" s="812"/>
    </row>
    <row r="1515" spans="1:6" s="454" customFormat="1">
      <c r="A1515" s="811"/>
      <c r="F1515" s="812"/>
    </row>
    <row r="1516" spans="1:6" s="454" customFormat="1">
      <c r="A1516" s="811"/>
      <c r="F1516" s="812"/>
    </row>
    <row r="1517" spans="1:6" s="454" customFormat="1">
      <c r="A1517" s="811"/>
      <c r="F1517" s="812"/>
    </row>
    <row r="1518" spans="1:6" s="454" customFormat="1">
      <c r="A1518" s="811"/>
      <c r="F1518" s="812"/>
    </row>
    <row r="1519" spans="1:6" s="454" customFormat="1">
      <c r="A1519" s="811"/>
      <c r="F1519" s="812"/>
    </row>
    <row r="1520" spans="1:6" s="454" customFormat="1">
      <c r="A1520" s="811"/>
      <c r="F1520" s="812"/>
    </row>
    <row r="1521" spans="1:6" s="454" customFormat="1">
      <c r="A1521" s="811"/>
      <c r="F1521" s="812"/>
    </row>
    <row r="1522" spans="1:6" s="454" customFormat="1">
      <c r="A1522" s="811"/>
      <c r="F1522" s="812"/>
    </row>
    <row r="1523" spans="1:6" s="454" customFormat="1">
      <c r="A1523" s="811"/>
      <c r="F1523" s="812"/>
    </row>
    <row r="1524" spans="1:6" s="454" customFormat="1">
      <c r="A1524" s="811"/>
      <c r="F1524" s="812"/>
    </row>
    <row r="1525" spans="1:6" s="454" customFormat="1">
      <c r="A1525" s="811"/>
      <c r="F1525" s="812"/>
    </row>
    <row r="1526" spans="1:6" s="454" customFormat="1">
      <c r="A1526" s="811"/>
      <c r="F1526" s="812"/>
    </row>
    <row r="1527" spans="1:6" s="454" customFormat="1">
      <c r="A1527" s="811"/>
      <c r="F1527" s="812"/>
    </row>
    <row r="1528" spans="1:6" s="454" customFormat="1">
      <c r="A1528" s="811"/>
      <c r="F1528" s="812"/>
    </row>
    <row r="1529" spans="1:6" s="454" customFormat="1">
      <c r="A1529" s="811"/>
      <c r="F1529" s="812"/>
    </row>
    <row r="1530" spans="1:6" s="454" customFormat="1">
      <c r="A1530" s="811"/>
      <c r="F1530" s="812"/>
    </row>
    <row r="1531" spans="1:6" s="454" customFormat="1">
      <c r="A1531" s="811"/>
      <c r="F1531" s="812"/>
    </row>
    <row r="1532" spans="1:6" s="454" customFormat="1">
      <c r="A1532" s="811"/>
      <c r="F1532" s="812"/>
    </row>
    <row r="1533" spans="1:6" s="454" customFormat="1">
      <c r="A1533" s="811"/>
      <c r="F1533" s="812"/>
    </row>
    <row r="1534" spans="1:6" s="454" customFormat="1">
      <c r="A1534" s="811"/>
      <c r="F1534" s="812"/>
    </row>
    <row r="1535" spans="1:6" s="454" customFormat="1">
      <c r="A1535" s="811"/>
      <c r="F1535" s="812"/>
    </row>
    <row r="1536" spans="1:6" s="454" customFormat="1">
      <c r="A1536" s="811"/>
      <c r="F1536" s="812"/>
    </row>
    <row r="1537" spans="1:6" s="454" customFormat="1">
      <c r="A1537" s="811"/>
      <c r="F1537" s="812"/>
    </row>
    <row r="1538" spans="1:6" s="454" customFormat="1">
      <c r="A1538" s="811"/>
      <c r="F1538" s="812"/>
    </row>
    <row r="1539" spans="1:6" s="454" customFormat="1">
      <c r="A1539" s="811"/>
      <c r="F1539" s="812"/>
    </row>
    <row r="1540" spans="1:6" s="454" customFormat="1">
      <c r="A1540" s="811"/>
      <c r="F1540" s="812"/>
    </row>
    <row r="1541" spans="1:6" s="454" customFormat="1">
      <c r="A1541" s="811"/>
      <c r="F1541" s="812"/>
    </row>
    <row r="1542" spans="1:6" s="454" customFormat="1">
      <c r="A1542" s="811"/>
      <c r="F1542" s="812"/>
    </row>
    <row r="1543" spans="1:6" s="454" customFormat="1">
      <c r="A1543" s="811"/>
      <c r="F1543" s="812"/>
    </row>
    <row r="1544" spans="1:6" s="454" customFormat="1">
      <c r="A1544" s="811"/>
      <c r="F1544" s="812"/>
    </row>
    <row r="1545" spans="1:6" s="454" customFormat="1">
      <c r="A1545" s="811"/>
      <c r="F1545" s="812"/>
    </row>
    <row r="1546" spans="1:6" s="454" customFormat="1">
      <c r="A1546" s="811"/>
      <c r="F1546" s="812"/>
    </row>
    <row r="1547" spans="1:6" s="454" customFormat="1">
      <c r="A1547" s="811"/>
      <c r="F1547" s="812"/>
    </row>
    <row r="1548" spans="1:6" s="454" customFormat="1">
      <c r="A1548" s="811"/>
      <c r="F1548" s="812"/>
    </row>
    <row r="1549" spans="1:6" s="454" customFormat="1">
      <c r="A1549" s="811"/>
      <c r="F1549" s="812"/>
    </row>
    <row r="1550" spans="1:6" s="454" customFormat="1">
      <c r="A1550" s="811"/>
      <c r="F1550" s="812"/>
    </row>
    <row r="1551" spans="1:6" s="454" customFormat="1">
      <c r="A1551" s="811"/>
      <c r="F1551" s="812"/>
    </row>
    <row r="1552" spans="1:6" s="454" customFormat="1">
      <c r="A1552" s="811"/>
      <c r="F1552" s="812"/>
    </row>
    <row r="1553" spans="1:6" s="454" customFormat="1">
      <c r="A1553" s="811"/>
      <c r="F1553" s="812"/>
    </row>
    <row r="1554" spans="1:6" s="454" customFormat="1">
      <c r="A1554" s="811"/>
      <c r="F1554" s="812"/>
    </row>
    <row r="1555" spans="1:6" s="454" customFormat="1">
      <c r="A1555" s="811"/>
      <c r="F1555" s="812"/>
    </row>
    <row r="1556" spans="1:6" s="454" customFormat="1">
      <c r="A1556" s="811"/>
      <c r="F1556" s="812"/>
    </row>
    <row r="1557" spans="1:6" s="454" customFormat="1">
      <c r="A1557" s="811"/>
      <c r="F1557" s="812"/>
    </row>
    <row r="1558" spans="1:6" s="454" customFormat="1">
      <c r="A1558" s="811"/>
      <c r="F1558" s="812"/>
    </row>
    <row r="1559" spans="1:6" s="454" customFormat="1">
      <c r="A1559" s="811"/>
      <c r="F1559" s="812"/>
    </row>
    <row r="1560" spans="1:6" s="454" customFormat="1">
      <c r="A1560" s="811"/>
      <c r="F1560" s="812"/>
    </row>
    <row r="1561" spans="1:6" s="454" customFormat="1">
      <c r="A1561" s="811"/>
      <c r="F1561" s="812"/>
    </row>
    <row r="1562" spans="1:6" s="454" customFormat="1">
      <c r="A1562" s="811"/>
      <c r="F1562" s="812"/>
    </row>
    <row r="1563" spans="1:6" s="454" customFormat="1">
      <c r="A1563" s="811"/>
      <c r="F1563" s="812"/>
    </row>
    <row r="1564" spans="1:6" s="454" customFormat="1">
      <c r="A1564" s="811"/>
      <c r="F1564" s="812"/>
    </row>
    <row r="1565" spans="1:6" s="454" customFormat="1">
      <c r="A1565" s="811"/>
      <c r="F1565" s="812"/>
    </row>
    <row r="1566" spans="1:6" s="454" customFormat="1">
      <c r="A1566" s="811"/>
      <c r="F1566" s="812"/>
    </row>
    <row r="1567" spans="1:6" s="454" customFormat="1">
      <c r="A1567" s="811"/>
      <c r="F1567" s="812"/>
    </row>
    <row r="1568" spans="1:6" s="454" customFormat="1">
      <c r="A1568" s="811"/>
      <c r="F1568" s="812"/>
    </row>
    <row r="1569" spans="1:6" s="454" customFormat="1">
      <c r="A1569" s="811"/>
      <c r="F1569" s="812"/>
    </row>
    <row r="1570" spans="1:6" s="454" customFormat="1">
      <c r="A1570" s="811"/>
      <c r="F1570" s="812"/>
    </row>
    <row r="1571" spans="1:6" s="454" customFormat="1">
      <c r="A1571" s="811"/>
      <c r="F1571" s="812"/>
    </row>
    <row r="1572" spans="1:6" s="454" customFormat="1">
      <c r="A1572" s="811"/>
      <c r="F1572" s="812"/>
    </row>
    <row r="1573" spans="1:6" s="454" customFormat="1">
      <c r="A1573" s="811"/>
      <c r="F1573" s="812"/>
    </row>
    <row r="1574" spans="1:6" s="454" customFormat="1">
      <c r="A1574" s="811"/>
      <c r="F1574" s="812"/>
    </row>
    <row r="1575" spans="1:6" s="454" customFormat="1">
      <c r="A1575" s="811"/>
      <c r="F1575" s="812"/>
    </row>
    <row r="1576" spans="1:6" s="454" customFormat="1">
      <c r="A1576" s="811"/>
      <c r="F1576" s="812"/>
    </row>
    <row r="1577" spans="1:6" s="454" customFormat="1">
      <c r="A1577" s="811"/>
      <c r="F1577" s="812"/>
    </row>
    <row r="1578" spans="1:6" s="454" customFormat="1">
      <c r="A1578" s="811"/>
      <c r="F1578" s="812"/>
    </row>
  </sheetData>
  <mergeCells count="18">
    <mergeCell ref="A116:A117"/>
    <mergeCell ref="F116:F117"/>
    <mergeCell ref="A1:F1"/>
    <mergeCell ref="A2:F2"/>
    <mergeCell ref="E6:F6"/>
    <mergeCell ref="E8:F8"/>
    <mergeCell ref="E10:F10"/>
    <mergeCell ref="E12:F12"/>
    <mergeCell ref="E14:F14"/>
    <mergeCell ref="E16:F16"/>
    <mergeCell ref="E18:F18"/>
    <mergeCell ref="B84:B85"/>
    <mergeCell ref="B108:B109"/>
    <mergeCell ref="E132:E133"/>
    <mergeCell ref="F132:F133"/>
    <mergeCell ref="G154:G157"/>
    <mergeCell ref="A1023:F1023"/>
    <mergeCell ref="A1028:F1028"/>
  </mergeCells>
  <printOptions gridLinesSet="0"/>
  <pageMargins left="0.72" right="0" top="0.73" bottom="0.72" header="0.32" footer="0.33"/>
  <pageSetup paperSize="9" scale="48" orientation="portrait" useFirstPageNumber="1" horizontalDpi="300" verticalDpi="300" r:id="rId1"/>
  <headerFooter alignWithMargins="0">
    <oddHeader>&amp;L&amp;"-,Regular"TVC DAPPAR&amp;C
&amp;R&amp;"-,Regular"HVAC  WORK</oddHeader>
    <oddFooter xml:space="preserve">&amp;C&amp;"-,Regular"&amp;P&amp;R&amp;"-,Regular"UDAYAN CHAUDHARI &amp;&amp; ASSOCIATES PVT LTD </oddFooter>
  </headerFooter>
  <rowBreaks count="14" manualBreakCount="14">
    <brk id="57" max="6" man="1"/>
    <brk id="80" max="6" man="1"/>
    <brk id="120" max="6" man="1"/>
    <brk id="245" max="6" man="1"/>
    <brk id="287" max="6" man="1"/>
    <brk id="358" max="6" man="1"/>
    <brk id="407" max="6" man="1"/>
    <brk id="521" max="6" man="1"/>
    <brk id="577" max="6" man="1"/>
    <brk id="622" max="6" man="1"/>
    <brk id="660" max="6" man="1"/>
    <brk id="796" max="6" man="1"/>
    <brk id="941" max="6" man="1"/>
    <brk id="102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1259-8EF3-4EC4-8E67-E79B0359252D}">
  <sheetPr codeName="Sheet5"/>
  <dimension ref="A1:T547"/>
  <sheetViews>
    <sheetView showGridLines="0" defaultGridColor="0" view="pageBreakPreview" topLeftCell="B15" colorId="8" zoomScale="70" zoomScaleNormal="85" zoomScaleSheetLayoutView="70" zoomScalePageLayoutView="85" workbookViewId="0">
      <selection activeCell="B15" sqref="B15"/>
    </sheetView>
  </sheetViews>
  <sheetFormatPr defaultColWidth="9.140625" defaultRowHeight="14.45"/>
  <cols>
    <col min="1" max="1" width="7.42578125" style="407" customWidth="1"/>
    <col min="2" max="2" width="102.85546875" style="391" customWidth="1"/>
    <col min="3" max="3" width="6.140625" style="391" customWidth="1"/>
    <col min="4" max="4" width="7.85546875" style="391" customWidth="1"/>
    <col min="5" max="5" width="14.5703125" style="391" customWidth="1"/>
    <col min="6" max="6" width="13.85546875" style="408" bestFit="1" customWidth="1"/>
    <col min="7" max="8" width="10.5703125" style="391" customWidth="1"/>
    <col min="9" max="9" width="10" style="391" customWidth="1"/>
    <col min="10" max="16384" width="9.140625" style="391"/>
  </cols>
  <sheetData>
    <row r="1" spans="1:20" s="392" customFormat="1" ht="38.25" customHeight="1">
      <c r="A1" s="999" t="s">
        <v>759</v>
      </c>
      <c r="B1" s="999"/>
      <c r="C1" s="999"/>
      <c r="D1" s="999"/>
      <c r="E1" s="999"/>
      <c r="F1" s="999"/>
      <c r="G1" s="391"/>
      <c r="H1" s="391"/>
      <c r="I1" s="391"/>
      <c r="J1" s="391"/>
      <c r="K1" s="391"/>
      <c r="L1" s="391"/>
      <c r="M1" s="391"/>
      <c r="N1" s="391"/>
      <c r="O1" s="391"/>
      <c r="P1" s="391"/>
      <c r="Q1" s="391"/>
      <c r="R1" s="391"/>
      <c r="S1" s="391"/>
      <c r="T1" s="391"/>
    </row>
    <row r="2" spans="1:20" ht="15.6">
      <c r="A2" s="1000" t="s">
        <v>760</v>
      </c>
      <c r="B2" s="1000"/>
      <c r="C2" s="1000"/>
      <c r="D2" s="1000"/>
      <c r="E2" s="1000"/>
      <c r="F2" s="1000"/>
    </row>
    <row r="3" spans="1:20">
      <c r="A3" s="393"/>
      <c r="B3" s="394"/>
      <c r="C3" s="395"/>
      <c r="D3" s="395"/>
      <c r="E3" s="395"/>
      <c r="F3" s="395"/>
    </row>
    <row r="4" spans="1:20" ht="20.100000000000001" customHeight="1">
      <c r="A4" s="396" t="s">
        <v>541</v>
      </c>
      <c r="B4" s="397" t="s">
        <v>542</v>
      </c>
      <c r="C4" s="398"/>
      <c r="D4" s="399"/>
      <c r="E4" s="400" t="s">
        <v>761</v>
      </c>
      <c r="F4" s="401"/>
    </row>
    <row r="5" spans="1:20">
      <c r="A5" s="402"/>
      <c r="B5" s="403"/>
      <c r="C5" s="404"/>
      <c r="D5" s="405"/>
      <c r="E5" s="403"/>
      <c r="F5" s="405"/>
    </row>
    <row r="6" spans="1:20">
      <c r="A6" s="406" t="s">
        <v>762</v>
      </c>
      <c r="B6" s="407" t="s">
        <v>544</v>
      </c>
      <c r="D6" s="408"/>
      <c r="E6" s="1001">
        <f>F63</f>
        <v>0</v>
      </c>
      <c r="F6" s="1002"/>
    </row>
    <row r="7" spans="1:20">
      <c r="A7" s="402"/>
      <c r="B7" s="403"/>
      <c r="C7" s="404"/>
      <c r="D7" s="405"/>
      <c r="E7" s="403"/>
      <c r="F7" s="405"/>
    </row>
    <row r="8" spans="1:20">
      <c r="A8" s="413" t="s">
        <v>771</v>
      </c>
      <c r="B8" s="414"/>
      <c r="C8" s="415"/>
      <c r="D8" s="416"/>
      <c r="E8" s="1004">
        <f>SUM(E6:F7)</f>
        <v>0</v>
      </c>
      <c r="F8" s="1005"/>
    </row>
    <row r="9" spans="1:20">
      <c r="A9" s="417"/>
      <c r="B9" s="392"/>
      <c r="C9" s="392"/>
      <c r="D9" s="392"/>
      <c r="E9" s="392"/>
      <c r="F9" s="418"/>
    </row>
    <row r="10" spans="1:20">
      <c r="A10" s="419" t="s">
        <v>541</v>
      </c>
      <c r="B10" s="419" t="s">
        <v>542</v>
      </c>
      <c r="C10" s="420" t="s">
        <v>550</v>
      </c>
      <c r="D10" s="420" t="s">
        <v>551</v>
      </c>
      <c r="E10" s="421" t="s">
        <v>552</v>
      </c>
      <c r="F10" s="422" t="s">
        <v>543</v>
      </c>
    </row>
    <row r="11" spans="1:20" ht="22.5" customHeight="1">
      <c r="A11" s="406" t="s">
        <v>553</v>
      </c>
      <c r="B11" s="424" t="s">
        <v>544</v>
      </c>
      <c r="C11" s="425"/>
      <c r="D11" s="425"/>
      <c r="E11" s="426"/>
      <c r="F11" s="426"/>
    </row>
    <row r="12" spans="1:20">
      <c r="A12" s="425"/>
      <c r="B12" s="425"/>
      <c r="C12" s="425"/>
      <c r="D12" s="425"/>
      <c r="E12" s="426"/>
      <c r="F12" s="426"/>
    </row>
    <row r="13" spans="1:20" s="430" customFormat="1">
      <c r="A13" s="427" t="s">
        <v>555</v>
      </c>
      <c r="B13" s="428" t="s">
        <v>773</v>
      </c>
      <c r="C13" s="429"/>
      <c r="D13" s="429"/>
      <c r="E13" s="429"/>
      <c r="F13" s="429"/>
    </row>
    <row r="14" spans="1:20" s="430" customFormat="1" ht="12" customHeight="1">
      <c r="A14" s="431"/>
      <c r="B14" s="429"/>
      <c r="C14" s="432"/>
      <c r="D14" s="432"/>
      <c r="E14" s="432"/>
      <c r="F14" s="432"/>
    </row>
    <row r="15" spans="1:20" s="434" customFormat="1" ht="225" customHeight="1">
      <c r="A15" s="433" t="s">
        <v>557</v>
      </c>
      <c r="B15" s="246" t="s">
        <v>774</v>
      </c>
      <c r="C15" s="429"/>
      <c r="D15" s="429"/>
      <c r="E15" s="429"/>
      <c r="F15" s="429"/>
    </row>
    <row r="16" spans="1:20" s="434" customFormat="1" ht="29.1">
      <c r="A16" s="431"/>
      <c r="B16" s="435" t="s">
        <v>775</v>
      </c>
      <c r="C16" s="429"/>
      <c r="D16" s="429"/>
      <c r="E16" s="429"/>
      <c r="F16" s="429"/>
    </row>
    <row r="17" spans="1:6" s="439" customFormat="1" ht="8.25" customHeight="1">
      <c r="A17" s="436"/>
      <c r="B17" s="437"/>
      <c r="C17" s="438"/>
      <c r="D17" s="438"/>
      <c r="E17" s="438"/>
      <c r="F17" s="438"/>
    </row>
    <row r="18" spans="1:6" s="439" customFormat="1">
      <c r="A18" s="436"/>
      <c r="B18" s="440" t="s">
        <v>776</v>
      </c>
      <c r="C18" s="438"/>
      <c r="D18" s="438"/>
      <c r="E18" s="438"/>
      <c r="F18" s="438"/>
    </row>
    <row r="19" spans="1:6" s="439" customFormat="1">
      <c r="A19" s="436"/>
      <c r="B19" s="440" t="s">
        <v>777</v>
      </c>
      <c r="C19" s="438"/>
      <c r="D19" s="438"/>
      <c r="E19" s="438"/>
      <c r="F19" s="438"/>
    </row>
    <row r="20" spans="1:6" s="439" customFormat="1" ht="7.5" customHeight="1">
      <c r="A20" s="436"/>
      <c r="B20" s="440"/>
      <c r="C20" s="438"/>
      <c r="D20" s="438"/>
      <c r="E20" s="438"/>
      <c r="F20" s="438"/>
    </row>
    <row r="21" spans="1:6" s="439" customFormat="1">
      <c r="A21" s="436"/>
      <c r="B21" s="440" t="s">
        <v>778</v>
      </c>
      <c r="C21" s="438"/>
      <c r="D21" s="438"/>
      <c r="E21" s="438"/>
      <c r="F21" s="438"/>
    </row>
    <row r="22" spans="1:6" s="439" customFormat="1">
      <c r="A22" s="436"/>
      <c r="B22" s="440" t="s">
        <v>779</v>
      </c>
      <c r="C22" s="438"/>
      <c r="D22" s="438"/>
      <c r="E22" s="438"/>
      <c r="F22" s="438"/>
    </row>
    <row r="23" spans="1:6" s="439" customFormat="1" ht="9.75" customHeight="1">
      <c r="A23" s="436"/>
      <c r="B23" s="440"/>
      <c r="C23" s="438"/>
      <c r="D23" s="438"/>
      <c r="E23" s="438"/>
      <c r="F23" s="438"/>
    </row>
    <row r="24" spans="1:6" s="439" customFormat="1">
      <c r="A24" s="436"/>
      <c r="B24" s="440" t="s">
        <v>780</v>
      </c>
      <c r="C24" s="438"/>
      <c r="D24" s="438"/>
      <c r="E24" s="438"/>
      <c r="F24" s="438"/>
    </row>
    <row r="25" spans="1:6" s="439" customFormat="1" ht="7.5" customHeight="1">
      <c r="A25" s="436"/>
      <c r="B25" s="440"/>
      <c r="C25" s="438"/>
      <c r="D25" s="438"/>
      <c r="E25" s="438"/>
      <c r="F25" s="438"/>
    </row>
    <row r="26" spans="1:6" s="439" customFormat="1">
      <c r="A26" s="436"/>
      <c r="B26" s="440" t="s">
        <v>781</v>
      </c>
      <c r="C26" s="438"/>
      <c r="D26" s="438"/>
      <c r="E26" s="438"/>
      <c r="F26" s="438"/>
    </row>
    <row r="27" spans="1:6" s="439" customFormat="1">
      <c r="A27" s="436"/>
      <c r="B27" s="440" t="s">
        <v>782</v>
      </c>
      <c r="C27" s="438"/>
      <c r="D27" s="438"/>
      <c r="E27" s="438"/>
      <c r="F27" s="438"/>
    </row>
    <row r="28" spans="1:6" s="439" customFormat="1" ht="8.25" customHeight="1">
      <c r="A28" s="436"/>
      <c r="B28" s="440"/>
      <c r="C28" s="438"/>
      <c r="D28" s="438"/>
      <c r="E28" s="438"/>
      <c r="F28" s="438"/>
    </row>
    <row r="29" spans="1:6" s="439" customFormat="1" ht="12" customHeight="1">
      <c r="A29" s="436"/>
      <c r="B29" s="440" t="s">
        <v>783</v>
      </c>
      <c r="C29" s="438"/>
      <c r="D29" s="438"/>
      <c r="E29" s="438"/>
      <c r="F29" s="438"/>
    </row>
    <row r="30" spans="1:6" s="439" customFormat="1">
      <c r="A30" s="436"/>
      <c r="B30" s="440" t="s">
        <v>784</v>
      </c>
      <c r="C30" s="438"/>
      <c r="D30" s="438"/>
      <c r="E30" s="438"/>
      <c r="F30" s="438"/>
    </row>
    <row r="31" spans="1:6" s="439" customFormat="1" ht="9" customHeight="1">
      <c r="A31" s="436"/>
      <c r="B31" s="440"/>
      <c r="C31" s="438"/>
      <c r="D31" s="438"/>
      <c r="E31" s="438"/>
      <c r="F31" s="438"/>
    </row>
    <row r="32" spans="1:6" s="439" customFormat="1">
      <c r="A32" s="436"/>
      <c r="B32" s="440" t="s">
        <v>785</v>
      </c>
      <c r="C32" s="438"/>
      <c r="D32" s="438"/>
      <c r="E32" s="438"/>
      <c r="F32" s="438"/>
    </row>
    <row r="33" spans="1:6" s="439" customFormat="1" ht="9" customHeight="1">
      <c r="A33" s="436"/>
      <c r="B33" s="440"/>
      <c r="C33" s="438"/>
      <c r="D33" s="438"/>
      <c r="E33" s="438"/>
      <c r="F33" s="438"/>
    </row>
    <row r="34" spans="1:6" s="439" customFormat="1">
      <c r="A34" s="436"/>
      <c r="B34" s="440" t="s">
        <v>786</v>
      </c>
      <c r="C34" s="438"/>
      <c r="D34" s="438"/>
      <c r="E34" s="438"/>
      <c r="F34" s="438"/>
    </row>
    <row r="35" spans="1:6" s="439" customFormat="1" ht="9.75" customHeight="1">
      <c r="A35" s="436"/>
      <c r="B35" s="440"/>
      <c r="C35" s="438"/>
      <c r="D35" s="438"/>
      <c r="E35" s="438"/>
      <c r="F35" s="438"/>
    </row>
    <row r="36" spans="1:6" s="439" customFormat="1">
      <c r="A36" s="436"/>
      <c r="B36" s="440" t="s">
        <v>787</v>
      </c>
      <c r="C36" s="438"/>
      <c r="D36" s="438"/>
      <c r="E36" s="438"/>
      <c r="F36" s="438"/>
    </row>
    <row r="37" spans="1:6" s="439" customFormat="1" ht="9" customHeight="1">
      <c r="A37" s="436"/>
      <c r="B37" s="440"/>
      <c r="C37" s="438"/>
      <c r="D37" s="438"/>
      <c r="E37" s="438"/>
      <c r="F37" s="438"/>
    </row>
    <row r="38" spans="1:6" s="439" customFormat="1">
      <c r="A38" s="436"/>
      <c r="B38" s="440" t="s">
        <v>788</v>
      </c>
      <c r="C38" s="438"/>
      <c r="D38" s="438"/>
      <c r="E38" s="438"/>
      <c r="F38" s="438"/>
    </row>
    <row r="39" spans="1:6" s="439" customFormat="1">
      <c r="A39" s="436"/>
      <c r="B39" s="440" t="s">
        <v>789</v>
      </c>
      <c r="C39" s="438"/>
      <c r="D39" s="438"/>
      <c r="E39" s="438"/>
      <c r="F39" s="438"/>
    </row>
    <row r="40" spans="1:6" s="439" customFormat="1">
      <c r="A40" s="436"/>
      <c r="B40" s="440"/>
      <c r="C40" s="441"/>
      <c r="D40" s="441"/>
      <c r="E40" s="441"/>
      <c r="F40" s="441"/>
    </row>
    <row r="41" spans="1:6" s="439" customFormat="1" ht="10.5" customHeight="1">
      <c r="A41" s="436"/>
      <c r="B41" s="440" t="s">
        <v>790</v>
      </c>
      <c r="C41" s="441"/>
      <c r="D41" s="441"/>
      <c r="E41" s="441"/>
      <c r="F41" s="441"/>
    </row>
    <row r="42" spans="1:6" s="439" customFormat="1">
      <c r="A42" s="436"/>
      <c r="B42" s="440" t="s">
        <v>791</v>
      </c>
      <c r="C42" s="441"/>
      <c r="D42" s="441"/>
      <c r="E42" s="441"/>
      <c r="F42" s="441"/>
    </row>
    <row r="43" spans="1:6" s="439" customFormat="1" ht="12" customHeight="1">
      <c r="A43" s="436"/>
      <c r="B43" s="440"/>
      <c r="C43" s="441"/>
      <c r="D43" s="441"/>
      <c r="E43" s="441"/>
      <c r="F43" s="442"/>
    </row>
    <row r="44" spans="1:6" s="439" customFormat="1" ht="43.5">
      <c r="A44" s="436"/>
      <c r="B44" s="440" t="s">
        <v>792</v>
      </c>
      <c r="C44" s="441"/>
      <c r="D44" s="441"/>
      <c r="E44" s="441"/>
      <c r="F44" s="813" t="s">
        <v>797</v>
      </c>
    </row>
    <row r="45" spans="1:6" s="439" customFormat="1">
      <c r="A45" s="436"/>
      <c r="B45" s="440"/>
      <c r="C45" s="441"/>
      <c r="D45" s="441"/>
      <c r="E45" s="441"/>
      <c r="F45" s="442"/>
    </row>
    <row r="46" spans="1:6" s="439" customFormat="1" ht="15.6">
      <c r="A46" s="436"/>
      <c r="B46" s="440" t="s">
        <v>793</v>
      </c>
      <c r="C46" s="441"/>
      <c r="D46" s="441"/>
      <c r="E46" s="443"/>
      <c r="F46" s="443"/>
    </row>
    <row r="47" spans="1:6" s="439" customFormat="1" ht="15.6">
      <c r="A47" s="436"/>
      <c r="B47" s="440"/>
      <c r="C47" s="441"/>
      <c r="D47" s="441"/>
      <c r="E47" s="443"/>
      <c r="F47" s="443"/>
    </row>
    <row r="48" spans="1:6" s="439" customFormat="1" ht="15.6">
      <c r="A48" s="436"/>
      <c r="B48" s="440" t="s">
        <v>794</v>
      </c>
      <c r="C48" s="441"/>
      <c r="D48" s="441"/>
      <c r="E48" s="443"/>
      <c r="F48" s="443"/>
    </row>
    <row r="49" spans="1:6" s="439" customFormat="1" ht="15.6">
      <c r="A49" s="436"/>
      <c r="B49" s="331"/>
      <c r="C49" s="441"/>
      <c r="D49" s="441"/>
      <c r="E49" s="443"/>
      <c r="F49" s="443"/>
    </row>
    <row r="50" spans="1:6" s="439" customFormat="1">
      <c r="A50" s="436"/>
      <c r="B50" s="444" t="s">
        <v>795</v>
      </c>
      <c r="C50" s="432" t="s">
        <v>562</v>
      </c>
      <c r="D50" s="432">
        <v>2</v>
      </c>
      <c r="E50" s="471"/>
      <c r="F50" s="432">
        <f>E50*D50</f>
        <v>0</v>
      </c>
    </row>
    <row r="51" spans="1:6" s="439" customFormat="1">
      <c r="A51" s="445"/>
      <c r="B51" s="446"/>
      <c r="C51" s="446"/>
      <c r="D51" s="447"/>
      <c r="E51" s="441"/>
      <c r="F51" s="441"/>
    </row>
    <row r="52" spans="1:6" s="439" customFormat="1" ht="29.1">
      <c r="A52" s="433" t="s">
        <v>572</v>
      </c>
      <c r="B52" s="448" t="s">
        <v>798</v>
      </c>
      <c r="C52" s="432" t="s">
        <v>562</v>
      </c>
      <c r="D52" s="432">
        <v>2</v>
      </c>
      <c r="E52" s="432"/>
      <c r="F52" s="432" t="s">
        <v>1396</v>
      </c>
    </row>
    <row r="53" spans="1:6" s="439" customFormat="1">
      <c r="A53" s="449"/>
      <c r="B53" s="450"/>
      <c r="C53" s="441"/>
      <c r="D53" s="441"/>
      <c r="E53" s="438"/>
      <c r="F53" s="438"/>
    </row>
    <row r="54" spans="1:6" s="439" customFormat="1" ht="29.1">
      <c r="A54" s="436"/>
      <c r="B54" s="451" t="s">
        <v>799</v>
      </c>
      <c r="C54" s="441"/>
      <c r="D54" s="441"/>
      <c r="E54" s="438"/>
      <c r="F54" s="438"/>
    </row>
    <row r="55" spans="1:6" s="439" customFormat="1" ht="4.5" customHeight="1">
      <c r="A55" s="436"/>
      <c r="B55" s="438"/>
      <c r="C55" s="438"/>
      <c r="D55" s="438"/>
      <c r="E55" s="438"/>
      <c r="F55" s="438"/>
    </row>
    <row r="56" spans="1:6" s="439" customFormat="1">
      <c r="A56" s="436"/>
      <c r="B56" s="428" t="s">
        <v>800</v>
      </c>
      <c r="C56" s="441"/>
      <c r="D56" s="441"/>
      <c r="E56" s="441"/>
      <c r="F56" s="442"/>
    </row>
    <row r="57" spans="1:6" s="439" customFormat="1" ht="8.25" customHeight="1">
      <c r="A57" s="436"/>
      <c r="B57" s="452"/>
      <c r="C57" s="441"/>
      <c r="D57" s="441"/>
      <c r="E57" s="441"/>
      <c r="F57" s="442"/>
    </row>
    <row r="58" spans="1:6" s="540" customFormat="1">
      <c r="A58" s="436"/>
      <c r="B58" s="814" t="s">
        <v>1397</v>
      </c>
      <c r="C58" s="815"/>
      <c r="D58" s="815"/>
      <c r="E58" s="816"/>
      <c r="F58" s="815"/>
    </row>
    <row r="59" spans="1:6" s="540" customFormat="1">
      <c r="A59" s="436"/>
      <c r="B59" s="817"/>
      <c r="C59" s="815"/>
      <c r="D59" s="815"/>
      <c r="E59" s="816"/>
      <c r="F59" s="815"/>
    </row>
    <row r="60" spans="1:6" s="540" customFormat="1">
      <c r="A60" s="436"/>
      <c r="B60" s="817" t="s">
        <v>1398</v>
      </c>
      <c r="C60" s="815"/>
      <c r="D60" s="815"/>
      <c r="E60" s="816"/>
      <c r="F60" s="815"/>
    </row>
    <row r="61" spans="1:6" s="439" customFormat="1">
      <c r="A61" s="436"/>
      <c r="B61" s="455"/>
      <c r="C61" s="441"/>
      <c r="D61" s="441"/>
      <c r="E61" s="441"/>
      <c r="F61" s="442"/>
    </row>
    <row r="62" spans="1:6">
      <c r="A62" s="449"/>
      <c r="B62" s="657"/>
      <c r="C62" s="658"/>
      <c r="D62" s="441"/>
      <c r="E62" s="442"/>
      <c r="F62" s="442"/>
    </row>
    <row r="63" spans="1:6" ht="15.75" customHeight="1">
      <c r="A63" s="659" t="s">
        <v>1079</v>
      </c>
      <c r="B63" s="660"/>
      <c r="C63" s="661"/>
      <c r="D63" s="662"/>
      <c r="E63" s="663"/>
      <c r="F63" s="664">
        <f>SUM(F14:F62)</f>
        <v>0</v>
      </c>
    </row>
    <row r="64" spans="1:6" s="454" customFormat="1">
      <c r="A64" s="811"/>
      <c r="F64" s="812"/>
    </row>
    <row r="65" spans="1:6" s="454" customFormat="1">
      <c r="A65" s="811"/>
      <c r="F65" s="812"/>
    </row>
    <row r="66" spans="1:6" s="454" customFormat="1">
      <c r="A66" s="811"/>
      <c r="F66" s="812"/>
    </row>
    <row r="67" spans="1:6" s="454" customFormat="1">
      <c r="A67" s="811"/>
      <c r="F67" s="812"/>
    </row>
    <row r="68" spans="1:6" s="454" customFormat="1">
      <c r="A68" s="811"/>
      <c r="F68" s="812"/>
    </row>
    <row r="69" spans="1:6" s="454" customFormat="1">
      <c r="A69" s="811"/>
      <c r="F69" s="812"/>
    </row>
    <row r="70" spans="1:6" s="454" customFormat="1">
      <c r="A70" s="811"/>
      <c r="F70" s="812"/>
    </row>
    <row r="71" spans="1:6" s="454" customFormat="1">
      <c r="A71" s="811"/>
      <c r="F71" s="812"/>
    </row>
    <row r="72" spans="1:6" s="454" customFormat="1">
      <c r="A72" s="811"/>
      <c r="F72" s="812"/>
    </row>
    <row r="73" spans="1:6" s="454" customFormat="1">
      <c r="A73" s="811"/>
      <c r="F73" s="812"/>
    </row>
    <row r="74" spans="1:6" s="454" customFormat="1">
      <c r="A74" s="811"/>
      <c r="F74" s="812"/>
    </row>
    <row r="75" spans="1:6" s="454" customFormat="1">
      <c r="A75" s="811"/>
      <c r="F75" s="812"/>
    </row>
    <row r="76" spans="1:6" s="454" customFormat="1">
      <c r="A76" s="811"/>
      <c r="F76" s="812"/>
    </row>
    <row r="77" spans="1:6" s="454" customFormat="1">
      <c r="A77" s="811"/>
      <c r="F77" s="812"/>
    </row>
    <row r="78" spans="1:6" s="454" customFormat="1">
      <c r="A78" s="811"/>
      <c r="F78" s="812"/>
    </row>
    <row r="79" spans="1:6" s="454" customFormat="1">
      <c r="A79" s="811"/>
      <c r="F79" s="812"/>
    </row>
    <row r="80" spans="1:6" s="454" customFormat="1">
      <c r="A80" s="811"/>
      <c r="F80" s="812"/>
    </row>
    <row r="81" spans="1:6" s="454" customFormat="1">
      <c r="A81" s="811"/>
      <c r="F81" s="812"/>
    </row>
    <row r="82" spans="1:6" s="454" customFormat="1">
      <c r="A82" s="811"/>
      <c r="F82" s="812"/>
    </row>
    <row r="83" spans="1:6" s="454" customFormat="1">
      <c r="A83" s="811"/>
      <c r="F83" s="812"/>
    </row>
    <row r="84" spans="1:6" s="454" customFormat="1">
      <c r="A84" s="811"/>
      <c r="F84" s="812"/>
    </row>
    <row r="85" spans="1:6" s="454" customFormat="1">
      <c r="A85" s="811"/>
      <c r="F85" s="812"/>
    </row>
    <row r="86" spans="1:6" s="454" customFormat="1">
      <c r="A86" s="811"/>
      <c r="F86" s="812"/>
    </row>
    <row r="87" spans="1:6" s="454" customFormat="1">
      <c r="A87" s="811"/>
      <c r="F87" s="812"/>
    </row>
    <row r="88" spans="1:6" s="454" customFormat="1">
      <c r="A88" s="811"/>
      <c r="F88" s="812"/>
    </row>
    <row r="89" spans="1:6" s="454" customFormat="1">
      <c r="A89" s="811"/>
      <c r="F89" s="812"/>
    </row>
    <row r="90" spans="1:6" s="454" customFormat="1">
      <c r="A90" s="811"/>
      <c r="F90" s="812"/>
    </row>
    <row r="91" spans="1:6" s="454" customFormat="1">
      <c r="A91" s="811"/>
      <c r="F91" s="812"/>
    </row>
    <row r="92" spans="1:6" s="454" customFormat="1">
      <c r="A92" s="811"/>
      <c r="F92" s="812"/>
    </row>
    <row r="93" spans="1:6" s="454" customFormat="1">
      <c r="A93" s="811"/>
      <c r="F93" s="812"/>
    </row>
    <row r="94" spans="1:6" s="454" customFormat="1">
      <c r="A94" s="811"/>
      <c r="F94" s="812"/>
    </row>
    <row r="95" spans="1:6" s="454" customFormat="1">
      <c r="A95" s="811"/>
      <c r="F95" s="812"/>
    </row>
    <row r="96" spans="1:6" s="454" customFormat="1">
      <c r="A96" s="811"/>
      <c r="F96" s="812"/>
    </row>
    <row r="97" spans="1:6" s="454" customFormat="1">
      <c r="A97" s="811"/>
      <c r="F97" s="812"/>
    </row>
    <row r="98" spans="1:6" s="454" customFormat="1">
      <c r="A98" s="811"/>
      <c r="F98" s="812"/>
    </row>
    <row r="99" spans="1:6" s="454" customFormat="1">
      <c r="A99" s="811"/>
      <c r="F99" s="812"/>
    </row>
    <row r="100" spans="1:6" s="454" customFormat="1">
      <c r="A100" s="811"/>
      <c r="F100" s="812"/>
    </row>
    <row r="101" spans="1:6" s="454" customFormat="1">
      <c r="A101" s="811"/>
      <c r="F101" s="812"/>
    </row>
    <row r="102" spans="1:6" s="454" customFormat="1">
      <c r="A102" s="811"/>
      <c r="F102" s="812"/>
    </row>
    <row r="103" spans="1:6" s="454" customFormat="1">
      <c r="A103" s="811"/>
      <c r="F103" s="812"/>
    </row>
    <row r="104" spans="1:6" s="454" customFormat="1">
      <c r="A104" s="811"/>
      <c r="F104" s="812"/>
    </row>
    <row r="105" spans="1:6" s="454" customFormat="1">
      <c r="A105" s="811"/>
      <c r="F105" s="812"/>
    </row>
    <row r="106" spans="1:6" s="454" customFormat="1">
      <c r="A106" s="811"/>
      <c r="F106" s="812"/>
    </row>
    <row r="107" spans="1:6" s="454" customFormat="1">
      <c r="A107" s="811"/>
      <c r="F107" s="812"/>
    </row>
    <row r="108" spans="1:6" s="454" customFormat="1">
      <c r="A108" s="811"/>
      <c r="F108" s="812"/>
    </row>
    <row r="109" spans="1:6" s="454" customFormat="1">
      <c r="A109" s="811"/>
      <c r="F109" s="812"/>
    </row>
    <row r="110" spans="1:6" s="454" customFormat="1">
      <c r="A110" s="811"/>
      <c r="F110" s="812"/>
    </row>
    <row r="111" spans="1:6" s="454" customFormat="1">
      <c r="A111" s="811"/>
      <c r="F111" s="812"/>
    </row>
    <row r="112" spans="1:6" s="454" customFormat="1">
      <c r="A112" s="811"/>
      <c r="F112" s="812"/>
    </row>
    <row r="113" spans="1:6" s="454" customFormat="1">
      <c r="A113" s="811"/>
      <c r="F113" s="812"/>
    </row>
    <row r="114" spans="1:6" s="454" customFormat="1">
      <c r="A114" s="811"/>
      <c r="F114" s="812"/>
    </row>
    <row r="115" spans="1:6" s="454" customFormat="1">
      <c r="A115" s="811"/>
      <c r="F115" s="812"/>
    </row>
    <row r="116" spans="1:6" s="454" customFormat="1">
      <c r="A116" s="811"/>
      <c r="F116" s="812"/>
    </row>
    <row r="117" spans="1:6" s="454" customFormat="1">
      <c r="A117" s="811"/>
      <c r="F117" s="812"/>
    </row>
    <row r="118" spans="1:6" s="454" customFormat="1">
      <c r="A118" s="811"/>
      <c r="F118" s="812"/>
    </row>
    <row r="119" spans="1:6" s="454" customFormat="1">
      <c r="A119" s="811"/>
      <c r="F119" s="812"/>
    </row>
    <row r="120" spans="1:6" s="454" customFormat="1">
      <c r="A120" s="811"/>
      <c r="F120" s="812"/>
    </row>
    <row r="121" spans="1:6" s="454" customFormat="1">
      <c r="A121" s="811"/>
      <c r="F121" s="812"/>
    </row>
    <row r="122" spans="1:6" s="454" customFormat="1">
      <c r="A122" s="811"/>
      <c r="F122" s="812"/>
    </row>
    <row r="123" spans="1:6" s="454" customFormat="1">
      <c r="A123" s="811"/>
      <c r="F123" s="812"/>
    </row>
    <row r="124" spans="1:6" s="454" customFormat="1">
      <c r="A124" s="811"/>
      <c r="F124" s="812"/>
    </row>
    <row r="125" spans="1:6" s="454" customFormat="1">
      <c r="A125" s="811"/>
      <c r="F125" s="812"/>
    </row>
    <row r="126" spans="1:6" s="454" customFormat="1">
      <c r="A126" s="811"/>
      <c r="F126" s="812"/>
    </row>
    <row r="127" spans="1:6" s="454" customFormat="1">
      <c r="A127" s="811"/>
      <c r="F127" s="812"/>
    </row>
    <row r="128" spans="1:6" s="454" customFormat="1">
      <c r="A128" s="811"/>
      <c r="F128" s="812"/>
    </row>
    <row r="129" spans="1:6" s="454" customFormat="1">
      <c r="A129" s="811"/>
      <c r="F129" s="812"/>
    </row>
    <row r="130" spans="1:6" s="454" customFormat="1">
      <c r="A130" s="811"/>
      <c r="F130" s="812"/>
    </row>
    <row r="131" spans="1:6" s="454" customFormat="1">
      <c r="A131" s="811"/>
      <c r="F131" s="812"/>
    </row>
    <row r="132" spans="1:6" s="454" customFormat="1">
      <c r="A132" s="811"/>
      <c r="F132" s="812"/>
    </row>
    <row r="133" spans="1:6" s="454" customFormat="1">
      <c r="A133" s="811"/>
      <c r="F133" s="812"/>
    </row>
    <row r="134" spans="1:6" s="454" customFormat="1">
      <c r="A134" s="811"/>
      <c r="F134" s="812"/>
    </row>
    <row r="135" spans="1:6" s="454" customFormat="1">
      <c r="A135" s="811"/>
      <c r="F135" s="812"/>
    </row>
    <row r="136" spans="1:6" s="454" customFormat="1">
      <c r="A136" s="811"/>
      <c r="F136" s="812"/>
    </row>
    <row r="137" spans="1:6" s="454" customFormat="1">
      <c r="A137" s="811"/>
      <c r="F137" s="812"/>
    </row>
    <row r="138" spans="1:6" s="454" customFormat="1">
      <c r="A138" s="811"/>
      <c r="F138" s="812"/>
    </row>
    <row r="139" spans="1:6" s="454" customFormat="1">
      <c r="A139" s="811"/>
      <c r="F139" s="812"/>
    </row>
    <row r="140" spans="1:6" s="454" customFormat="1">
      <c r="A140" s="811"/>
      <c r="F140" s="812"/>
    </row>
    <row r="141" spans="1:6" s="454" customFormat="1">
      <c r="A141" s="811"/>
      <c r="F141" s="812"/>
    </row>
    <row r="142" spans="1:6" s="454" customFormat="1">
      <c r="A142" s="811"/>
      <c r="F142" s="812"/>
    </row>
    <row r="143" spans="1:6" s="454" customFormat="1">
      <c r="A143" s="811"/>
      <c r="F143" s="812"/>
    </row>
    <row r="144" spans="1:6" s="454" customFormat="1">
      <c r="A144" s="811"/>
      <c r="F144" s="812"/>
    </row>
    <row r="145" spans="1:6" s="454" customFormat="1">
      <c r="A145" s="811"/>
      <c r="F145" s="812"/>
    </row>
    <row r="146" spans="1:6" s="454" customFormat="1">
      <c r="A146" s="811"/>
      <c r="F146" s="812"/>
    </row>
    <row r="147" spans="1:6" s="454" customFormat="1">
      <c r="A147" s="811"/>
      <c r="F147" s="812"/>
    </row>
    <row r="148" spans="1:6" s="454" customFormat="1">
      <c r="A148" s="811"/>
      <c r="F148" s="812"/>
    </row>
    <row r="149" spans="1:6" s="454" customFormat="1">
      <c r="A149" s="811"/>
      <c r="F149" s="812"/>
    </row>
    <row r="150" spans="1:6" s="454" customFormat="1">
      <c r="A150" s="811"/>
      <c r="F150" s="812"/>
    </row>
    <row r="151" spans="1:6" s="454" customFormat="1">
      <c r="A151" s="811"/>
      <c r="F151" s="812"/>
    </row>
    <row r="152" spans="1:6" s="454" customFormat="1">
      <c r="A152" s="811"/>
      <c r="F152" s="812"/>
    </row>
    <row r="153" spans="1:6" s="454" customFormat="1">
      <c r="A153" s="811"/>
      <c r="F153" s="812"/>
    </row>
    <row r="154" spans="1:6" s="454" customFormat="1">
      <c r="A154" s="811"/>
      <c r="F154" s="812"/>
    </row>
    <row r="155" spans="1:6" s="454" customFormat="1">
      <c r="A155" s="811"/>
      <c r="F155" s="812"/>
    </row>
    <row r="156" spans="1:6" s="454" customFormat="1">
      <c r="A156" s="811"/>
      <c r="F156" s="812"/>
    </row>
    <row r="157" spans="1:6" s="454" customFormat="1">
      <c r="A157" s="811"/>
      <c r="F157" s="812"/>
    </row>
    <row r="158" spans="1:6" s="454" customFormat="1">
      <c r="A158" s="811"/>
      <c r="F158" s="812"/>
    </row>
    <row r="159" spans="1:6" s="454" customFormat="1">
      <c r="A159" s="811"/>
      <c r="F159" s="812"/>
    </row>
    <row r="160" spans="1:6" s="454" customFormat="1">
      <c r="A160" s="811"/>
      <c r="F160" s="812"/>
    </row>
    <row r="161" spans="1:6" s="454" customFormat="1">
      <c r="A161" s="811"/>
      <c r="F161" s="812"/>
    </row>
    <row r="162" spans="1:6" s="454" customFormat="1">
      <c r="A162" s="811"/>
      <c r="F162" s="812"/>
    </row>
    <row r="163" spans="1:6" s="454" customFormat="1">
      <c r="A163" s="811"/>
      <c r="F163" s="812"/>
    </row>
    <row r="164" spans="1:6" s="454" customFormat="1">
      <c r="A164" s="811"/>
      <c r="F164" s="812"/>
    </row>
    <row r="165" spans="1:6" s="454" customFormat="1">
      <c r="A165" s="811"/>
      <c r="F165" s="812"/>
    </row>
    <row r="166" spans="1:6" s="454" customFormat="1">
      <c r="A166" s="811"/>
      <c r="F166" s="812"/>
    </row>
    <row r="167" spans="1:6" s="454" customFormat="1">
      <c r="A167" s="811"/>
      <c r="F167" s="812"/>
    </row>
    <row r="168" spans="1:6" s="454" customFormat="1">
      <c r="A168" s="811"/>
      <c r="F168" s="812"/>
    </row>
    <row r="169" spans="1:6" s="454" customFormat="1">
      <c r="A169" s="811"/>
      <c r="F169" s="812"/>
    </row>
    <row r="170" spans="1:6" s="454" customFormat="1">
      <c r="A170" s="811"/>
      <c r="F170" s="812"/>
    </row>
    <row r="171" spans="1:6" s="454" customFormat="1">
      <c r="A171" s="811"/>
      <c r="F171" s="812"/>
    </row>
    <row r="172" spans="1:6" s="454" customFormat="1">
      <c r="A172" s="811"/>
      <c r="F172" s="812"/>
    </row>
    <row r="173" spans="1:6" s="454" customFormat="1">
      <c r="A173" s="811"/>
      <c r="F173" s="812"/>
    </row>
    <row r="174" spans="1:6" s="454" customFormat="1">
      <c r="A174" s="811"/>
      <c r="F174" s="812"/>
    </row>
    <row r="175" spans="1:6" s="454" customFormat="1">
      <c r="A175" s="811"/>
      <c r="F175" s="812"/>
    </row>
    <row r="176" spans="1:6" s="454" customFormat="1">
      <c r="A176" s="811"/>
      <c r="F176" s="812"/>
    </row>
    <row r="177" spans="1:6" s="454" customFormat="1">
      <c r="A177" s="811"/>
      <c r="F177" s="812"/>
    </row>
    <row r="178" spans="1:6" s="454" customFormat="1">
      <c r="A178" s="811"/>
      <c r="F178" s="812"/>
    </row>
    <row r="179" spans="1:6" s="454" customFormat="1">
      <c r="A179" s="811"/>
      <c r="F179" s="812"/>
    </row>
    <row r="180" spans="1:6" s="454" customFormat="1">
      <c r="A180" s="811"/>
      <c r="F180" s="812"/>
    </row>
    <row r="181" spans="1:6" s="454" customFormat="1">
      <c r="A181" s="811"/>
      <c r="F181" s="812"/>
    </row>
    <row r="182" spans="1:6" s="454" customFormat="1">
      <c r="A182" s="811"/>
      <c r="F182" s="812"/>
    </row>
    <row r="183" spans="1:6" s="454" customFormat="1">
      <c r="A183" s="811"/>
      <c r="F183" s="812"/>
    </row>
    <row r="184" spans="1:6" s="454" customFormat="1">
      <c r="A184" s="811"/>
      <c r="F184" s="812"/>
    </row>
    <row r="185" spans="1:6" s="454" customFormat="1">
      <c r="A185" s="811"/>
      <c r="F185" s="812"/>
    </row>
    <row r="186" spans="1:6" s="454" customFormat="1">
      <c r="A186" s="811"/>
      <c r="F186" s="812"/>
    </row>
    <row r="187" spans="1:6" s="454" customFormat="1">
      <c r="A187" s="811"/>
      <c r="F187" s="812"/>
    </row>
    <row r="188" spans="1:6" s="454" customFormat="1">
      <c r="A188" s="811"/>
      <c r="F188" s="812"/>
    </row>
    <row r="189" spans="1:6" s="454" customFormat="1">
      <c r="A189" s="811"/>
      <c r="F189" s="812"/>
    </row>
    <row r="190" spans="1:6" s="454" customFormat="1">
      <c r="A190" s="811"/>
      <c r="F190" s="812"/>
    </row>
    <row r="191" spans="1:6" s="454" customFormat="1">
      <c r="A191" s="811"/>
      <c r="F191" s="812"/>
    </row>
    <row r="192" spans="1:6" s="454" customFormat="1">
      <c r="A192" s="811"/>
      <c r="F192" s="812"/>
    </row>
    <row r="193" spans="1:6" s="454" customFormat="1">
      <c r="A193" s="811"/>
      <c r="F193" s="812"/>
    </row>
    <row r="194" spans="1:6" s="454" customFormat="1">
      <c r="A194" s="811"/>
      <c r="F194" s="812"/>
    </row>
    <row r="195" spans="1:6" s="454" customFormat="1">
      <c r="A195" s="811"/>
      <c r="F195" s="812"/>
    </row>
    <row r="196" spans="1:6" s="454" customFormat="1">
      <c r="A196" s="811"/>
      <c r="F196" s="812"/>
    </row>
    <row r="197" spans="1:6" s="454" customFormat="1">
      <c r="A197" s="811"/>
      <c r="F197" s="812"/>
    </row>
    <row r="198" spans="1:6" s="454" customFormat="1">
      <c r="A198" s="811"/>
      <c r="F198" s="812"/>
    </row>
    <row r="199" spans="1:6" s="454" customFormat="1">
      <c r="A199" s="811"/>
      <c r="F199" s="812"/>
    </row>
    <row r="200" spans="1:6" s="454" customFormat="1">
      <c r="A200" s="811"/>
      <c r="F200" s="812"/>
    </row>
    <row r="201" spans="1:6" s="454" customFormat="1">
      <c r="A201" s="811"/>
      <c r="F201" s="812"/>
    </row>
    <row r="202" spans="1:6" s="454" customFormat="1">
      <c r="A202" s="811"/>
      <c r="F202" s="812"/>
    </row>
    <row r="203" spans="1:6" s="454" customFormat="1">
      <c r="A203" s="811"/>
      <c r="F203" s="812"/>
    </row>
    <row r="204" spans="1:6" s="454" customFormat="1">
      <c r="A204" s="811"/>
      <c r="F204" s="812"/>
    </row>
    <row r="205" spans="1:6" s="454" customFormat="1">
      <c r="A205" s="811"/>
      <c r="F205" s="812"/>
    </row>
    <row r="206" spans="1:6" s="454" customFormat="1">
      <c r="A206" s="811"/>
      <c r="F206" s="812"/>
    </row>
    <row r="207" spans="1:6" s="454" customFormat="1">
      <c r="A207" s="811"/>
      <c r="F207" s="812"/>
    </row>
    <row r="208" spans="1:6" s="454" customFormat="1">
      <c r="A208" s="811"/>
      <c r="F208" s="812"/>
    </row>
    <row r="209" spans="1:6" s="454" customFormat="1">
      <c r="A209" s="811"/>
      <c r="F209" s="812"/>
    </row>
    <row r="210" spans="1:6" s="454" customFormat="1">
      <c r="A210" s="811"/>
      <c r="F210" s="812"/>
    </row>
    <row r="211" spans="1:6" s="454" customFormat="1">
      <c r="A211" s="811"/>
      <c r="F211" s="812"/>
    </row>
    <row r="212" spans="1:6" s="454" customFormat="1">
      <c r="A212" s="811"/>
      <c r="F212" s="812"/>
    </row>
    <row r="213" spans="1:6" s="454" customFormat="1">
      <c r="A213" s="811"/>
      <c r="F213" s="812"/>
    </row>
    <row r="214" spans="1:6" s="454" customFormat="1">
      <c r="A214" s="811"/>
      <c r="F214" s="812"/>
    </row>
    <row r="215" spans="1:6" s="454" customFormat="1">
      <c r="A215" s="811"/>
      <c r="F215" s="812"/>
    </row>
    <row r="216" spans="1:6" s="454" customFormat="1">
      <c r="A216" s="811"/>
      <c r="F216" s="812"/>
    </row>
    <row r="217" spans="1:6" s="454" customFormat="1">
      <c r="A217" s="811"/>
      <c r="F217" s="812"/>
    </row>
    <row r="218" spans="1:6" s="454" customFormat="1">
      <c r="A218" s="811"/>
      <c r="F218" s="812"/>
    </row>
    <row r="219" spans="1:6" s="454" customFormat="1">
      <c r="A219" s="811"/>
      <c r="F219" s="812"/>
    </row>
    <row r="220" spans="1:6" s="454" customFormat="1">
      <c r="A220" s="811"/>
      <c r="F220" s="812"/>
    </row>
    <row r="221" spans="1:6" s="454" customFormat="1">
      <c r="A221" s="811"/>
      <c r="F221" s="812"/>
    </row>
    <row r="222" spans="1:6" s="454" customFormat="1">
      <c r="A222" s="811"/>
      <c r="F222" s="812"/>
    </row>
    <row r="223" spans="1:6" s="454" customFormat="1">
      <c r="A223" s="811"/>
      <c r="F223" s="812"/>
    </row>
    <row r="224" spans="1:6" s="454" customFormat="1">
      <c r="A224" s="811"/>
      <c r="F224" s="812"/>
    </row>
    <row r="225" spans="1:6" s="454" customFormat="1">
      <c r="A225" s="811"/>
      <c r="F225" s="812"/>
    </row>
    <row r="226" spans="1:6" s="454" customFormat="1">
      <c r="A226" s="811"/>
      <c r="F226" s="812"/>
    </row>
    <row r="227" spans="1:6" s="454" customFormat="1">
      <c r="A227" s="811"/>
      <c r="F227" s="812"/>
    </row>
    <row r="228" spans="1:6" s="454" customFormat="1">
      <c r="A228" s="811"/>
      <c r="F228" s="812"/>
    </row>
    <row r="229" spans="1:6" s="454" customFormat="1">
      <c r="A229" s="811"/>
      <c r="F229" s="812"/>
    </row>
    <row r="230" spans="1:6" s="454" customFormat="1">
      <c r="A230" s="811"/>
      <c r="F230" s="812"/>
    </row>
    <row r="231" spans="1:6" s="454" customFormat="1">
      <c r="A231" s="811"/>
      <c r="F231" s="812"/>
    </row>
    <row r="232" spans="1:6" s="454" customFormat="1">
      <c r="A232" s="811"/>
      <c r="F232" s="812"/>
    </row>
    <row r="233" spans="1:6" s="454" customFormat="1">
      <c r="A233" s="811"/>
      <c r="F233" s="812"/>
    </row>
    <row r="234" spans="1:6" s="454" customFormat="1">
      <c r="A234" s="811"/>
      <c r="F234" s="812"/>
    </row>
    <row r="235" spans="1:6" s="454" customFormat="1">
      <c r="A235" s="811"/>
      <c r="F235" s="812"/>
    </row>
    <row r="236" spans="1:6" s="454" customFormat="1">
      <c r="A236" s="811"/>
      <c r="F236" s="812"/>
    </row>
    <row r="237" spans="1:6" s="454" customFormat="1">
      <c r="A237" s="811"/>
      <c r="F237" s="812"/>
    </row>
    <row r="238" spans="1:6" s="454" customFormat="1">
      <c r="A238" s="811"/>
      <c r="F238" s="812"/>
    </row>
    <row r="239" spans="1:6" s="454" customFormat="1">
      <c r="A239" s="811"/>
      <c r="F239" s="812"/>
    </row>
    <row r="240" spans="1:6" s="454" customFormat="1">
      <c r="A240" s="811"/>
      <c r="F240" s="812"/>
    </row>
    <row r="241" spans="1:6" s="454" customFormat="1">
      <c r="A241" s="811"/>
      <c r="F241" s="812"/>
    </row>
    <row r="242" spans="1:6" s="454" customFormat="1">
      <c r="A242" s="811"/>
      <c r="F242" s="812"/>
    </row>
    <row r="243" spans="1:6" s="454" customFormat="1">
      <c r="A243" s="811"/>
      <c r="F243" s="812"/>
    </row>
    <row r="244" spans="1:6" s="454" customFormat="1">
      <c r="A244" s="811"/>
      <c r="F244" s="812"/>
    </row>
    <row r="245" spans="1:6" s="454" customFormat="1">
      <c r="A245" s="811"/>
      <c r="F245" s="812"/>
    </row>
    <row r="246" spans="1:6" s="454" customFormat="1">
      <c r="A246" s="811"/>
      <c r="F246" s="812"/>
    </row>
    <row r="247" spans="1:6" s="454" customFormat="1">
      <c r="A247" s="811"/>
      <c r="F247" s="812"/>
    </row>
    <row r="248" spans="1:6" s="454" customFormat="1">
      <c r="A248" s="811"/>
      <c r="F248" s="812"/>
    </row>
    <row r="249" spans="1:6" s="454" customFormat="1">
      <c r="A249" s="811"/>
      <c r="F249" s="812"/>
    </row>
    <row r="250" spans="1:6" s="454" customFormat="1">
      <c r="A250" s="811"/>
      <c r="F250" s="812"/>
    </row>
    <row r="251" spans="1:6" s="454" customFormat="1">
      <c r="A251" s="811"/>
      <c r="F251" s="812"/>
    </row>
    <row r="252" spans="1:6" s="454" customFormat="1">
      <c r="A252" s="811"/>
      <c r="F252" s="812"/>
    </row>
    <row r="253" spans="1:6" s="454" customFormat="1">
      <c r="A253" s="811"/>
      <c r="F253" s="812"/>
    </row>
    <row r="254" spans="1:6" s="454" customFormat="1">
      <c r="A254" s="811"/>
      <c r="F254" s="812"/>
    </row>
    <row r="255" spans="1:6" s="454" customFormat="1">
      <c r="A255" s="811"/>
      <c r="F255" s="812"/>
    </row>
    <row r="256" spans="1:6" s="454" customFormat="1">
      <c r="A256" s="811"/>
      <c r="F256" s="812"/>
    </row>
    <row r="257" spans="1:6" s="454" customFormat="1">
      <c r="A257" s="811"/>
      <c r="F257" s="812"/>
    </row>
    <row r="258" spans="1:6" s="454" customFormat="1">
      <c r="A258" s="811"/>
      <c r="F258" s="812"/>
    </row>
    <row r="259" spans="1:6" s="454" customFormat="1">
      <c r="A259" s="811"/>
      <c r="F259" s="812"/>
    </row>
    <row r="260" spans="1:6" s="454" customFormat="1">
      <c r="A260" s="811"/>
      <c r="F260" s="812"/>
    </row>
    <row r="261" spans="1:6" s="454" customFormat="1">
      <c r="A261" s="811"/>
      <c r="F261" s="812"/>
    </row>
    <row r="262" spans="1:6" s="454" customFormat="1">
      <c r="A262" s="811"/>
      <c r="F262" s="812"/>
    </row>
    <row r="263" spans="1:6" s="454" customFormat="1">
      <c r="A263" s="811"/>
      <c r="F263" s="812"/>
    </row>
    <row r="264" spans="1:6" s="454" customFormat="1">
      <c r="A264" s="811"/>
      <c r="F264" s="812"/>
    </row>
    <row r="265" spans="1:6" s="454" customFormat="1">
      <c r="A265" s="811"/>
      <c r="F265" s="812"/>
    </row>
    <row r="266" spans="1:6" s="454" customFormat="1">
      <c r="A266" s="811"/>
      <c r="F266" s="812"/>
    </row>
    <row r="267" spans="1:6" s="454" customFormat="1">
      <c r="A267" s="811"/>
      <c r="F267" s="812"/>
    </row>
    <row r="268" spans="1:6" s="454" customFormat="1">
      <c r="A268" s="811"/>
      <c r="F268" s="812"/>
    </row>
    <row r="269" spans="1:6" s="454" customFormat="1">
      <c r="A269" s="811"/>
      <c r="F269" s="812"/>
    </row>
    <row r="270" spans="1:6" s="454" customFormat="1">
      <c r="A270" s="811"/>
      <c r="F270" s="812"/>
    </row>
    <row r="271" spans="1:6" s="454" customFormat="1">
      <c r="A271" s="811"/>
      <c r="F271" s="812"/>
    </row>
    <row r="272" spans="1:6" s="454" customFormat="1">
      <c r="A272" s="811"/>
      <c r="F272" s="812"/>
    </row>
    <row r="273" spans="1:6" s="454" customFormat="1">
      <c r="A273" s="811"/>
      <c r="F273" s="812"/>
    </row>
    <row r="274" spans="1:6" s="454" customFormat="1">
      <c r="A274" s="811"/>
      <c r="F274" s="812"/>
    </row>
    <row r="275" spans="1:6" s="454" customFormat="1">
      <c r="A275" s="811"/>
      <c r="F275" s="812"/>
    </row>
    <row r="276" spans="1:6" s="454" customFormat="1">
      <c r="A276" s="811"/>
      <c r="F276" s="812"/>
    </row>
    <row r="277" spans="1:6" s="454" customFormat="1">
      <c r="A277" s="811"/>
      <c r="F277" s="812"/>
    </row>
    <row r="278" spans="1:6" s="454" customFormat="1">
      <c r="A278" s="811"/>
      <c r="F278" s="812"/>
    </row>
    <row r="279" spans="1:6" s="454" customFormat="1">
      <c r="A279" s="811"/>
      <c r="F279" s="812"/>
    </row>
    <row r="280" spans="1:6" s="454" customFormat="1">
      <c r="A280" s="811"/>
      <c r="F280" s="812"/>
    </row>
    <row r="281" spans="1:6" s="454" customFormat="1">
      <c r="A281" s="811"/>
      <c r="F281" s="812"/>
    </row>
    <row r="282" spans="1:6" s="454" customFormat="1">
      <c r="A282" s="811"/>
      <c r="F282" s="812"/>
    </row>
    <row r="283" spans="1:6" s="454" customFormat="1">
      <c r="A283" s="811"/>
      <c r="F283" s="812"/>
    </row>
    <row r="284" spans="1:6" s="454" customFormat="1">
      <c r="A284" s="811"/>
      <c r="F284" s="812"/>
    </row>
    <row r="285" spans="1:6" s="454" customFormat="1">
      <c r="A285" s="811"/>
      <c r="F285" s="812"/>
    </row>
    <row r="286" spans="1:6" s="454" customFormat="1">
      <c r="A286" s="811"/>
      <c r="F286" s="812"/>
    </row>
    <row r="287" spans="1:6" s="454" customFormat="1">
      <c r="A287" s="811"/>
      <c r="F287" s="812"/>
    </row>
    <row r="288" spans="1:6" s="454" customFormat="1">
      <c r="A288" s="811"/>
      <c r="F288" s="812"/>
    </row>
    <row r="289" spans="1:6" s="454" customFormat="1">
      <c r="A289" s="811"/>
      <c r="F289" s="812"/>
    </row>
    <row r="290" spans="1:6" s="454" customFormat="1">
      <c r="A290" s="811"/>
      <c r="F290" s="812"/>
    </row>
    <row r="291" spans="1:6" s="454" customFormat="1">
      <c r="A291" s="811"/>
      <c r="F291" s="812"/>
    </row>
    <row r="292" spans="1:6" s="454" customFormat="1">
      <c r="A292" s="811"/>
      <c r="F292" s="812"/>
    </row>
    <row r="293" spans="1:6" s="454" customFormat="1">
      <c r="A293" s="811"/>
      <c r="F293" s="812"/>
    </row>
    <row r="294" spans="1:6" s="454" customFormat="1">
      <c r="A294" s="811"/>
      <c r="F294" s="812"/>
    </row>
    <row r="295" spans="1:6" s="454" customFormat="1">
      <c r="A295" s="811"/>
      <c r="F295" s="812"/>
    </row>
    <row r="296" spans="1:6" s="454" customFormat="1">
      <c r="A296" s="811"/>
      <c r="F296" s="812"/>
    </row>
    <row r="297" spans="1:6" s="454" customFormat="1">
      <c r="A297" s="811"/>
      <c r="F297" s="812"/>
    </row>
    <row r="298" spans="1:6" s="454" customFormat="1">
      <c r="A298" s="811"/>
      <c r="F298" s="812"/>
    </row>
    <row r="299" spans="1:6" s="454" customFormat="1">
      <c r="A299" s="811"/>
      <c r="F299" s="812"/>
    </row>
    <row r="300" spans="1:6" s="454" customFormat="1">
      <c r="A300" s="811"/>
      <c r="F300" s="812"/>
    </row>
    <row r="301" spans="1:6" s="454" customFormat="1">
      <c r="A301" s="811"/>
      <c r="F301" s="812"/>
    </row>
    <row r="302" spans="1:6" s="454" customFormat="1">
      <c r="A302" s="811"/>
      <c r="F302" s="812"/>
    </row>
    <row r="303" spans="1:6" s="454" customFormat="1">
      <c r="A303" s="811"/>
      <c r="F303" s="812"/>
    </row>
    <row r="304" spans="1:6" s="454" customFormat="1">
      <c r="A304" s="811"/>
      <c r="F304" s="812"/>
    </row>
    <row r="305" spans="1:6" s="454" customFormat="1">
      <c r="A305" s="811"/>
      <c r="F305" s="812"/>
    </row>
    <row r="306" spans="1:6" s="454" customFormat="1">
      <c r="A306" s="811"/>
      <c r="F306" s="812"/>
    </row>
    <row r="307" spans="1:6" s="454" customFormat="1">
      <c r="A307" s="811"/>
      <c r="F307" s="812"/>
    </row>
    <row r="308" spans="1:6" s="454" customFormat="1">
      <c r="A308" s="811"/>
      <c r="F308" s="812"/>
    </row>
    <row r="309" spans="1:6" s="454" customFormat="1">
      <c r="A309" s="811"/>
      <c r="F309" s="812"/>
    </row>
    <row r="310" spans="1:6" s="454" customFormat="1">
      <c r="A310" s="811"/>
      <c r="F310" s="812"/>
    </row>
    <row r="311" spans="1:6" s="454" customFormat="1">
      <c r="A311" s="811"/>
      <c r="F311" s="812"/>
    </row>
    <row r="312" spans="1:6" s="454" customFormat="1">
      <c r="A312" s="811"/>
      <c r="F312" s="812"/>
    </row>
    <row r="313" spans="1:6" s="454" customFormat="1">
      <c r="A313" s="811"/>
      <c r="F313" s="812"/>
    </row>
    <row r="314" spans="1:6" s="454" customFormat="1">
      <c r="A314" s="811"/>
      <c r="F314" s="812"/>
    </row>
    <row r="315" spans="1:6" s="454" customFormat="1">
      <c r="A315" s="811"/>
      <c r="F315" s="812"/>
    </row>
    <row r="316" spans="1:6" s="454" customFormat="1">
      <c r="A316" s="811"/>
      <c r="F316" s="812"/>
    </row>
    <row r="317" spans="1:6" s="454" customFormat="1">
      <c r="A317" s="811"/>
      <c r="F317" s="812"/>
    </row>
    <row r="318" spans="1:6" s="454" customFormat="1">
      <c r="A318" s="811"/>
      <c r="F318" s="812"/>
    </row>
    <row r="319" spans="1:6" s="454" customFormat="1">
      <c r="A319" s="811"/>
      <c r="F319" s="812"/>
    </row>
    <row r="320" spans="1:6" s="454" customFormat="1">
      <c r="A320" s="811"/>
      <c r="F320" s="812"/>
    </row>
    <row r="321" spans="1:6" s="454" customFormat="1">
      <c r="A321" s="811"/>
      <c r="F321" s="812"/>
    </row>
    <row r="322" spans="1:6" s="454" customFormat="1">
      <c r="A322" s="811"/>
      <c r="F322" s="812"/>
    </row>
    <row r="323" spans="1:6" s="454" customFormat="1">
      <c r="A323" s="811"/>
      <c r="F323" s="812"/>
    </row>
    <row r="324" spans="1:6" s="454" customFormat="1">
      <c r="A324" s="811"/>
      <c r="F324" s="812"/>
    </row>
    <row r="325" spans="1:6" s="454" customFormat="1">
      <c r="A325" s="811"/>
      <c r="F325" s="812"/>
    </row>
    <row r="326" spans="1:6" s="454" customFormat="1">
      <c r="A326" s="811"/>
      <c r="F326" s="812"/>
    </row>
    <row r="327" spans="1:6" s="454" customFormat="1">
      <c r="A327" s="811"/>
      <c r="F327" s="812"/>
    </row>
    <row r="328" spans="1:6" s="454" customFormat="1">
      <c r="A328" s="811"/>
      <c r="F328" s="812"/>
    </row>
    <row r="329" spans="1:6" s="454" customFormat="1">
      <c r="A329" s="811"/>
      <c r="F329" s="812"/>
    </row>
    <row r="330" spans="1:6" s="454" customFormat="1">
      <c r="A330" s="811"/>
      <c r="F330" s="812"/>
    </row>
    <row r="331" spans="1:6" s="454" customFormat="1">
      <c r="A331" s="811"/>
      <c r="F331" s="812"/>
    </row>
    <row r="332" spans="1:6" s="454" customFormat="1">
      <c r="A332" s="811"/>
      <c r="F332" s="812"/>
    </row>
    <row r="333" spans="1:6" s="454" customFormat="1">
      <c r="A333" s="811"/>
      <c r="F333" s="812"/>
    </row>
    <row r="334" spans="1:6" s="454" customFormat="1">
      <c r="A334" s="811"/>
      <c r="F334" s="812"/>
    </row>
    <row r="335" spans="1:6" s="454" customFormat="1">
      <c r="A335" s="811"/>
      <c r="F335" s="812"/>
    </row>
    <row r="336" spans="1:6" s="454" customFormat="1">
      <c r="A336" s="811"/>
      <c r="F336" s="812"/>
    </row>
    <row r="337" spans="1:6" s="454" customFormat="1">
      <c r="A337" s="811"/>
      <c r="F337" s="812"/>
    </row>
    <row r="338" spans="1:6" s="454" customFormat="1">
      <c r="A338" s="811"/>
      <c r="F338" s="812"/>
    </row>
    <row r="339" spans="1:6" s="454" customFormat="1">
      <c r="A339" s="811"/>
      <c r="F339" s="812"/>
    </row>
    <row r="340" spans="1:6" s="454" customFormat="1">
      <c r="A340" s="811"/>
      <c r="F340" s="812"/>
    </row>
    <row r="341" spans="1:6" s="454" customFormat="1">
      <c r="A341" s="811"/>
      <c r="F341" s="812"/>
    </row>
    <row r="342" spans="1:6" s="454" customFormat="1">
      <c r="A342" s="811"/>
      <c r="F342" s="812"/>
    </row>
    <row r="343" spans="1:6" s="454" customFormat="1">
      <c r="A343" s="811"/>
      <c r="F343" s="812"/>
    </row>
    <row r="344" spans="1:6" s="454" customFormat="1">
      <c r="A344" s="811"/>
      <c r="F344" s="812"/>
    </row>
    <row r="345" spans="1:6" s="454" customFormat="1">
      <c r="A345" s="811"/>
      <c r="F345" s="812"/>
    </row>
    <row r="346" spans="1:6" s="454" customFormat="1">
      <c r="A346" s="811"/>
      <c r="F346" s="812"/>
    </row>
    <row r="347" spans="1:6" s="454" customFormat="1">
      <c r="A347" s="811"/>
      <c r="F347" s="812"/>
    </row>
    <row r="348" spans="1:6" s="454" customFormat="1">
      <c r="A348" s="811"/>
      <c r="F348" s="812"/>
    </row>
    <row r="349" spans="1:6" s="454" customFormat="1">
      <c r="A349" s="811"/>
      <c r="F349" s="812"/>
    </row>
    <row r="350" spans="1:6" s="454" customFormat="1">
      <c r="A350" s="811"/>
      <c r="F350" s="812"/>
    </row>
    <row r="351" spans="1:6" s="454" customFormat="1">
      <c r="A351" s="811"/>
      <c r="F351" s="812"/>
    </row>
    <row r="352" spans="1:6" s="454" customFormat="1">
      <c r="A352" s="811"/>
      <c r="F352" s="812"/>
    </row>
    <row r="353" spans="1:6" s="454" customFormat="1">
      <c r="A353" s="811"/>
      <c r="F353" s="812"/>
    </row>
    <row r="354" spans="1:6" s="454" customFormat="1">
      <c r="A354" s="811"/>
      <c r="F354" s="812"/>
    </row>
    <row r="355" spans="1:6" s="454" customFormat="1">
      <c r="A355" s="811"/>
      <c r="F355" s="812"/>
    </row>
    <row r="356" spans="1:6" s="454" customFormat="1">
      <c r="A356" s="811"/>
      <c r="F356" s="812"/>
    </row>
    <row r="357" spans="1:6" s="454" customFormat="1">
      <c r="A357" s="811"/>
      <c r="F357" s="812"/>
    </row>
    <row r="358" spans="1:6" s="454" customFormat="1">
      <c r="A358" s="811"/>
      <c r="F358" s="812"/>
    </row>
    <row r="359" spans="1:6" s="454" customFormat="1">
      <c r="A359" s="811"/>
      <c r="F359" s="812"/>
    </row>
    <row r="360" spans="1:6" s="454" customFormat="1">
      <c r="A360" s="811"/>
      <c r="F360" s="812"/>
    </row>
    <row r="361" spans="1:6" s="454" customFormat="1">
      <c r="A361" s="811"/>
      <c r="F361" s="812"/>
    </row>
    <row r="362" spans="1:6" s="454" customFormat="1">
      <c r="A362" s="811"/>
      <c r="F362" s="812"/>
    </row>
    <row r="363" spans="1:6" s="454" customFormat="1">
      <c r="A363" s="811"/>
      <c r="F363" s="812"/>
    </row>
    <row r="364" spans="1:6" s="454" customFormat="1">
      <c r="A364" s="811"/>
      <c r="F364" s="812"/>
    </row>
    <row r="365" spans="1:6" s="454" customFormat="1">
      <c r="A365" s="811"/>
      <c r="F365" s="812"/>
    </row>
    <row r="366" spans="1:6" s="454" customFormat="1">
      <c r="A366" s="811"/>
      <c r="F366" s="812"/>
    </row>
    <row r="367" spans="1:6" s="454" customFormat="1">
      <c r="A367" s="811"/>
      <c r="F367" s="812"/>
    </row>
    <row r="368" spans="1:6" s="454" customFormat="1">
      <c r="A368" s="811"/>
      <c r="F368" s="812"/>
    </row>
    <row r="369" spans="1:6" s="454" customFormat="1">
      <c r="A369" s="811"/>
      <c r="F369" s="812"/>
    </row>
    <row r="370" spans="1:6" s="454" customFormat="1">
      <c r="A370" s="811"/>
      <c r="F370" s="812"/>
    </row>
    <row r="371" spans="1:6" s="454" customFormat="1">
      <c r="A371" s="811"/>
      <c r="F371" s="812"/>
    </row>
    <row r="372" spans="1:6" s="454" customFormat="1">
      <c r="A372" s="811"/>
      <c r="F372" s="812"/>
    </row>
    <row r="373" spans="1:6" s="454" customFormat="1">
      <c r="A373" s="811"/>
      <c r="F373" s="812"/>
    </row>
    <row r="374" spans="1:6" s="454" customFormat="1">
      <c r="A374" s="811"/>
      <c r="F374" s="812"/>
    </row>
    <row r="375" spans="1:6" s="454" customFormat="1">
      <c r="A375" s="811"/>
      <c r="F375" s="812"/>
    </row>
    <row r="376" spans="1:6" s="454" customFormat="1">
      <c r="A376" s="811"/>
      <c r="F376" s="812"/>
    </row>
    <row r="377" spans="1:6" s="454" customFormat="1">
      <c r="A377" s="811"/>
      <c r="F377" s="812"/>
    </row>
    <row r="378" spans="1:6" s="454" customFormat="1">
      <c r="A378" s="811"/>
      <c r="F378" s="812"/>
    </row>
    <row r="379" spans="1:6" s="454" customFormat="1">
      <c r="A379" s="811"/>
      <c r="F379" s="812"/>
    </row>
    <row r="380" spans="1:6" s="454" customFormat="1">
      <c r="A380" s="811"/>
      <c r="F380" s="812"/>
    </row>
    <row r="381" spans="1:6" s="454" customFormat="1">
      <c r="A381" s="811"/>
      <c r="F381" s="812"/>
    </row>
    <row r="382" spans="1:6" s="454" customFormat="1">
      <c r="A382" s="811"/>
      <c r="F382" s="812"/>
    </row>
    <row r="383" spans="1:6" s="454" customFormat="1">
      <c r="A383" s="811"/>
      <c r="F383" s="812"/>
    </row>
    <row r="384" spans="1:6" s="454" customFormat="1">
      <c r="A384" s="811"/>
      <c r="F384" s="812"/>
    </row>
    <row r="385" spans="1:6" s="454" customFormat="1">
      <c r="A385" s="811"/>
      <c r="F385" s="812"/>
    </row>
    <row r="386" spans="1:6" s="454" customFormat="1">
      <c r="A386" s="811"/>
      <c r="F386" s="812"/>
    </row>
    <row r="387" spans="1:6" s="454" customFormat="1">
      <c r="A387" s="811"/>
      <c r="F387" s="812"/>
    </row>
    <row r="388" spans="1:6" s="454" customFormat="1">
      <c r="A388" s="811"/>
      <c r="F388" s="812"/>
    </row>
    <row r="389" spans="1:6" s="454" customFormat="1">
      <c r="A389" s="811"/>
      <c r="F389" s="812"/>
    </row>
    <row r="390" spans="1:6" s="454" customFormat="1">
      <c r="A390" s="811"/>
      <c r="F390" s="812"/>
    </row>
    <row r="391" spans="1:6" s="454" customFormat="1">
      <c r="A391" s="811"/>
      <c r="F391" s="812"/>
    </row>
    <row r="392" spans="1:6" s="454" customFormat="1">
      <c r="A392" s="811"/>
      <c r="F392" s="812"/>
    </row>
    <row r="393" spans="1:6" s="454" customFormat="1">
      <c r="A393" s="811"/>
      <c r="F393" s="812"/>
    </row>
    <row r="394" spans="1:6" s="454" customFormat="1">
      <c r="A394" s="811"/>
      <c r="F394" s="812"/>
    </row>
    <row r="395" spans="1:6" s="454" customFormat="1">
      <c r="A395" s="811"/>
      <c r="F395" s="812"/>
    </row>
    <row r="396" spans="1:6" s="454" customFormat="1">
      <c r="A396" s="811"/>
      <c r="F396" s="812"/>
    </row>
    <row r="397" spans="1:6" s="454" customFormat="1">
      <c r="A397" s="811"/>
      <c r="F397" s="812"/>
    </row>
    <row r="398" spans="1:6" s="454" customFormat="1">
      <c r="A398" s="811"/>
      <c r="F398" s="812"/>
    </row>
    <row r="399" spans="1:6" s="454" customFormat="1">
      <c r="A399" s="811"/>
      <c r="F399" s="812"/>
    </row>
    <row r="400" spans="1:6" s="454" customFormat="1">
      <c r="A400" s="811"/>
      <c r="F400" s="812"/>
    </row>
    <row r="401" spans="1:6" s="454" customFormat="1">
      <c r="A401" s="811"/>
      <c r="F401" s="812"/>
    </row>
    <row r="402" spans="1:6" s="454" customFormat="1">
      <c r="A402" s="811"/>
      <c r="F402" s="812"/>
    </row>
    <row r="403" spans="1:6" s="454" customFormat="1">
      <c r="A403" s="811"/>
      <c r="F403" s="812"/>
    </row>
    <row r="404" spans="1:6" s="454" customFormat="1">
      <c r="A404" s="811"/>
      <c r="F404" s="812"/>
    </row>
    <row r="405" spans="1:6" s="454" customFormat="1">
      <c r="A405" s="811"/>
      <c r="F405" s="812"/>
    </row>
    <row r="406" spans="1:6" s="454" customFormat="1">
      <c r="A406" s="811"/>
      <c r="F406" s="812"/>
    </row>
    <row r="407" spans="1:6" s="454" customFormat="1">
      <c r="A407" s="811"/>
      <c r="F407" s="812"/>
    </row>
    <row r="408" spans="1:6" s="454" customFormat="1">
      <c r="A408" s="811"/>
      <c r="F408" s="812"/>
    </row>
    <row r="409" spans="1:6" s="454" customFormat="1">
      <c r="A409" s="811"/>
      <c r="F409" s="812"/>
    </row>
    <row r="410" spans="1:6" s="454" customFormat="1">
      <c r="A410" s="811"/>
      <c r="F410" s="812"/>
    </row>
    <row r="411" spans="1:6" s="454" customFormat="1">
      <c r="A411" s="811"/>
      <c r="F411" s="812"/>
    </row>
    <row r="412" spans="1:6" s="454" customFormat="1">
      <c r="A412" s="811"/>
      <c r="F412" s="812"/>
    </row>
    <row r="413" spans="1:6" s="454" customFormat="1">
      <c r="A413" s="811"/>
      <c r="F413" s="812"/>
    </row>
    <row r="414" spans="1:6" s="454" customFormat="1">
      <c r="A414" s="811"/>
      <c r="F414" s="812"/>
    </row>
    <row r="415" spans="1:6" s="454" customFormat="1">
      <c r="A415" s="811"/>
      <c r="F415" s="812"/>
    </row>
    <row r="416" spans="1:6" s="454" customFormat="1">
      <c r="A416" s="811"/>
      <c r="F416" s="812"/>
    </row>
    <row r="417" spans="1:6" s="454" customFormat="1">
      <c r="A417" s="811"/>
      <c r="F417" s="812"/>
    </row>
    <row r="418" spans="1:6" s="454" customFormat="1">
      <c r="A418" s="811"/>
      <c r="F418" s="812"/>
    </row>
    <row r="419" spans="1:6" s="454" customFormat="1">
      <c r="A419" s="811"/>
      <c r="F419" s="812"/>
    </row>
    <row r="420" spans="1:6" s="454" customFormat="1">
      <c r="A420" s="811"/>
      <c r="F420" s="812"/>
    </row>
    <row r="421" spans="1:6" s="454" customFormat="1">
      <c r="A421" s="811"/>
      <c r="F421" s="812"/>
    </row>
    <row r="422" spans="1:6" s="454" customFormat="1">
      <c r="A422" s="811"/>
      <c r="F422" s="812"/>
    </row>
    <row r="423" spans="1:6" s="454" customFormat="1">
      <c r="A423" s="811"/>
      <c r="F423" s="812"/>
    </row>
    <row r="424" spans="1:6" s="454" customFormat="1">
      <c r="A424" s="811"/>
      <c r="F424" s="812"/>
    </row>
    <row r="425" spans="1:6" s="454" customFormat="1">
      <c r="A425" s="811"/>
      <c r="F425" s="812"/>
    </row>
    <row r="426" spans="1:6" s="454" customFormat="1">
      <c r="A426" s="811"/>
      <c r="F426" s="812"/>
    </row>
    <row r="427" spans="1:6" s="454" customFormat="1">
      <c r="A427" s="811"/>
      <c r="F427" s="812"/>
    </row>
    <row r="428" spans="1:6" s="454" customFormat="1">
      <c r="A428" s="811"/>
      <c r="F428" s="812"/>
    </row>
    <row r="429" spans="1:6" s="454" customFormat="1">
      <c r="A429" s="811"/>
      <c r="F429" s="812"/>
    </row>
    <row r="430" spans="1:6" s="454" customFormat="1">
      <c r="A430" s="811"/>
      <c r="F430" s="812"/>
    </row>
    <row r="431" spans="1:6" s="454" customFormat="1">
      <c r="A431" s="811"/>
      <c r="F431" s="812"/>
    </row>
    <row r="432" spans="1:6" s="454" customFormat="1">
      <c r="A432" s="811"/>
      <c r="F432" s="812"/>
    </row>
    <row r="433" spans="1:6" s="454" customFormat="1">
      <c r="A433" s="811"/>
      <c r="F433" s="812"/>
    </row>
    <row r="434" spans="1:6" s="454" customFormat="1">
      <c r="A434" s="811"/>
      <c r="F434" s="812"/>
    </row>
    <row r="435" spans="1:6" s="454" customFormat="1">
      <c r="A435" s="811"/>
      <c r="F435" s="812"/>
    </row>
    <row r="436" spans="1:6" s="454" customFormat="1">
      <c r="A436" s="811"/>
      <c r="F436" s="812"/>
    </row>
    <row r="437" spans="1:6" s="454" customFormat="1">
      <c r="A437" s="811"/>
      <c r="F437" s="812"/>
    </row>
    <row r="438" spans="1:6" s="454" customFormat="1">
      <c r="A438" s="811"/>
      <c r="F438" s="812"/>
    </row>
    <row r="439" spans="1:6" s="454" customFormat="1">
      <c r="A439" s="811"/>
      <c r="F439" s="812"/>
    </row>
    <row r="440" spans="1:6" s="454" customFormat="1">
      <c r="A440" s="811"/>
      <c r="F440" s="812"/>
    </row>
    <row r="441" spans="1:6" s="454" customFormat="1">
      <c r="A441" s="811"/>
      <c r="F441" s="812"/>
    </row>
    <row r="442" spans="1:6" s="454" customFormat="1">
      <c r="A442" s="811"/>
      <c r="F442" s="812"/>
    </row>
    <row r="443" spans="1:6" s="454" customFormat="1">
      <c r="A443" s="811"/>
      <c r="F443" s="812"/>
    </row>
    <row r="444" spans="1:6" s="454" customFormat="1">
      <c r="A444" s="811"/>
      <c r="F444" s="812"/>
    </row>
    <row r="445" spans="1:6" s="454" customFormat="1">
      <c r="A445" s="811"/>
      <c r="F445" s="812"/>
    </row>
    <row r="446" spans="1:6" s="454" customFormat="1">
      <c r="A446" s="811"/>
      <c r="F446" s="812"/>
    </row>
    <row r="447" spans="1:6" s="454" customFormat="1">
      <c r="A447" s="811"/>
      <c r="F447" s="812"/>
    </row>
    <row r="448" spans="1:6" s="454" customFormat="1">
      <c r="A448" s="811"/>
      <c r="F448" s="812"/>
    </row>
    <row r="449" spans="1:6" s="454" customFormat="1">
      <c r="A449" s="811"/>
      <c r="F449" s="812"/>
    </row>
    <row r="450" spans="1:6" s="454" customFormat="1">
      <c r="A450" s="811"/>
      <c r="F450" s="812"/>
    </row>
    <row r="451" spans="1:6" s="454" customFormat="1">
      <c r="A451" s="811"/>
      <c r="F451" s="812"/>
    </row>
    <row r="452" spans="1:6" s="454" customFormat="1">
      <c r="A452" s="811"/>
      <c r="F452" s="812"/>
    </row>
    <row r="453" spans="1:6" s="454" customFormat="1">
      <c r="A453" s="811"/>
      <c r="F453" s="812"/>
    </row>
    <row r="454" spans="1:6" s="454" customFormat="1">
      <c r="A454" s="811"/>
      <c r="F454" s="812"/>
    </row>
    <row r="455" spans="1:6" s="454" customFormat="1">
      <c r="A455" s="811"/>
      <c r="F455" s="812"/>
    </row>
    <row r="456" spans="1:6" s="454" customFormat="1">
      <c r="A456" s="811"/>
      <c r="F456" s="812"/>
    </row>
    <row r="457" spans="1:6" s="454" customFormat="1">
      <c r="A457" s="811"/>
      <c r="F457" s="812"/>
    </row>
    <row r="458" spans="1:6" s="454" customFormat="1">
      <c r="A458" s="811"/>
      <c r="F458" s="812"/>
    </row>
    <row r="459" spans="1:6" s="454" customFormat="1">
      <c r="A459" s="811"/>
      <c r="F459" s="812"/>
    </row>
    <row r="460" spans="1:6" s="454" customFormat="1">
      <c r="A460" s="811"/>
      <c r="F460" s="812"/>
    </row>
    <row r="461" spans="1:6" s="454" customFormat="1">
      <c r="A461" s="811"/>
      <c r="F461" s="812"/>
    </row>
    <row r="462" spans="1:6" s="454" customFormat="1">
      <c r="A462" s="811"/>
      <c r="F462" s="812"/>
    </row>
    <row r="463" spans="1:6" s="454" customFormat="1">
      <c r="A463" s="811"/>
      <c r="F463" s="812"/>
    </row>
    <row r="464" spans="1:6" s="454" customFormat="1">
      <c r="A464" s="811"/>
      <c r="F464" s="812"/>
    </row>
    <row r="465" spans="1:6" s="454" customFormat="1">
      <c r="A465" s="811"/>
      <c r="F465" s="812"/>
    </row>
    <row r="466" spans="1:6" s="454" customFormat="1">
      <c r="A466" s="811"/>
      <c r="F466" s="812"/>
    </row>
    <row r="467" spans="1:6" s="454" customFormat="1">
      <c r="A467" s="811"/>
      <c r="F467" s="812"/>
    </row>
    <row r="468" spans="1:6" s="454" customFormat="1">
      <c r="A468" s="811"/>
      <c r="F468" s="812"/>
    </row>
    <row r="469" spans="1:6" s="454" customFormat="1">
      <c r="A469" s="811"/>
      <c r="F469" s="812"/>
    </row>
    <row r="470" spans="1:6" s="454" customFormat="1">
      <c r="A470" s="811"/>
      <c r="F470" s="812"/>
    </row>
    <row r="471" spans="1:6" s="454" customFormat="1">
      <c r="A471" s="811"/>
      <c r="F471" s="812"/>
    </row>
    <row r="472" spans="1:6" s="454" customFormat="1">
      <c r="A472" s="811"/>
      <c r="F472" s="812"/>
    </row>
    <row r="473" spans="1:6" s="454" customFormat="1">
      <c r="A473" s="811"/>
      <c r="F473" s="812"/>
    </row>
    <row r="474" spans="1:6" s="454" customFormat="1">
      <c r="A474" s="811"/>
      <c r="F474" s="812"/>
    </row>
    <row r="475" spans="1:6" s="454" customFormat="1">
      <c r="A475" s="811"/>
      <c r="F475" s="812"/>
    </row>
    <row r="476" spans="1:6" s="454" customFormat="1">
      <c r="A476" s="811"/>
      <c r="F476" s="812"/>
    </row>
    <row r="477" spans="1:6" s="454" customFormat="1">
      <c r="A477" s="811"/>
      <c r="F477" s="812"/>
    </row>
    <row r="478" spans="1:6" s="454" customFormat="1">
      <c r="A478" s="811"/>
      <c r="F478" s="812"/>
    </row>
    <row r="479" spans="1:6" s="454" customFormat="1">
      <c r="A479" s="811"/>
      <c r="F479" s="812"/>
    </row>
    <row r="480" spans="1:6" s="454" customFormat="1">
      <c r="A480" s="811"/>
      <c r="F480" s="812"/>
    </row>
    <row r="481" spans="1:6" s="454" customFormat="1">
      <c r="A481" s="811"/>
      <c r="F481" s="812"/>
    </row>
    <row r="482" spans="1:6" s="454" customFormat="1">
      <c r="A482" s="811"/>
      <c r="F482" s="812"/>
    </row>
    <row r="483" spans="1:6" s="454" customFormat="1">
      <c r="A483" s="811"/>
      <c r="F483" s="812"/>
    </row>
    <row r="484" spans="1:6" s="454" customFormat="1">
      <c r="A484" s="811"/>
      <c r="F484" s="812"/>
    </row>
    <row r="485" spans="1:6" s="454" customFormat="1">
      <c r="A485" s="811"/>
      <c r="F485" s="812"/>
    </row>
    <row r="486" spans="1:6" s="454" customFormat="1">
      <c r="A486" s="811"/>
      <c r="F486" s="812"/>
    </row>
    <row r="487" spans="1:6" s="454" customFormat="1">
      <c r="A487" s="811"/>
      <c r="F487" s="812"/>
    </row>
    <row r="488" spans="1:6" s="454" customFormat="1">
      <c r="A488" s="811"/>
      <c r="F488" s="812"/>
    </row>
    <row r="489" spans="1:6" s="454" customFormat="1">
      <c r="A489" s="811"/>
      <c r="F489" s="812"/>
    </row>
    <row r="490" spans="1:6" s="454" customFormat="1">
      <c r="A490" s="811"/>
      <c r="F490" s="812"/>
    </row>
    <row r="491" spans="1:6" s="454" customFormat="1">
      <c r="A491" s="811"/>
      <c r="F491" s="812"/>
    </row>
    <row r="492" spans="1:6" s="454" customFormat="1">
      <c r="A492" s="811"/>
      <c r="F492" s="812"/>
    </row>
    <row r="493" spans="1:6" s="454" customFormat="1">
      <c r="A493" s="811"/>
      <c r="F493" s="812"/>
    </row>
    <row r="494" spans="1:6" s="454" customFormat="1">
      <c r="A494" s="811"/>
      <c r="F494" s="812"/>
    </row>
    <row r="495" spans="1:6" s="454" customFormat="1">
      <c r="A495" s="811"/>
      <c r="F495" s="812"/>
    </row>
    <row r="496" spans="1:6" s="454" customFormat="1">
      <c r="A496" s="811"/>
      <c r="F496" s="812"/>
    </row>
    <row r="497" spans="1:6" s="454" customFormat="1">
      <c r="A497" s="811"/>
      <c r="F497" s="812"/>
    </row>
    <row r="498" spans="1:6" s="454" customFormat="1">
      <c r="A498" s="811"/>
      <c r="F498" s="812"/>
    </row>
    <row r="499" spans="1:6" s="454" customFormat="1">
      <c r="A499" s="811"/>
      <c r="F499" s="812"/>
    </row>
    <row r="500" spans="1:6" s="454" customFormat="1">
      <c r="A500" s="811"/>
      <c r="F500" s="812"/>
    </row>
    <row r="501" spans="1:6" s="454" customFormat="1">
      <c r="A501" s="811"/>
      <c r="F501" s="812"/>
    </row>
    <row r="502" spans="1:6" s="454" customFormat="1">
      <c r="A502" s="811"/>
      <c r="F502" s="812"/>
    </row>
    <row r="503" spans="1:6" s="454" customFormat="1">
      <c r="A503" s="811"/>
      <c r="F503" s="812"/>
    </row>
    <row r="504" spans="1:6" s="454" customFormat="1">
      <c r="A504" s="811"/>
      <c r="F504" s="812"/>
    </row>
    <row r="505" spans="1:6" s="454" customFormat="1">
      <c r="A505" s="811"/>
      <c r="F505" s="812"/>
    </row>
    <row r="506" spans="1:6" s="454" customFormat="1">
      <c r="A506" s="811"/>
      <c r="F506" s="812"/>
    </row>
    <row r="507" spans="1:6" s="454" customFormat="1">
      <c r="A507" s="811"/>
      <c r="F507" s="812"/>
    </row>
    <row r="508" spans="1:6" s="454" customFormat="1">
      <c r="A508" s="811"/>
      <c r="F508" s="812"/>
    </row>
    <row r="509" spans="1:6" s="454" customFormat="1">
      <c r="A509" s="811"/>
      <c r="F509" s="812"/>
    </row>
    <row r="510" spans="1:6" s="454" customFormat="1">
      <c r="A510" s="811"/>
      <c r="F510" s="812"/>
    </row>
    <row r="511" spans="1:6" s="454" customFormat="1">
      <c r="A511" s="811"/>
      <c r="F511" s="812"/>
    </row>
    <row r="512" spans="1:6" s="454" customFormat="1">
      <c r="A512" s="811"/>
      <c r="F512" s="812"/>
    </row>
    <row r="513" spans="1:6" s="454" customFormat="1">
      <c r="A513" s="811"/>
      <c r="F513" s="812"/>
    </row>
    <row r="514" spans="1:6" s="454" customFormat="1">
      <c r="A514" s="811"/>
      <c r="F514" s="812"/>
    </row>
    <row r="515" spans="1:6" s="454" customFormat="1">
      <c r="A515" s="811"/>
      <c r="F515" s="812"/>
    </row>
    <row r="516" spans="1:6" s="454" customFormat="1">
      <c r="A516" s="811"/>
      <c r="F516" s="812"/>
    </row>
    <row r="517" spans="1:6" s="454" customFormat="1">
      <c r="A517" s="811"/>
      <c r="F517" s="812"/>
    </row>
    <row r="518" spans="1:6" s="454" customFormat="1">
      <c r="A518" s="811"/>
      <c r="F518" s="812"/>
    </row>
    <row r="519" spans="1:6" s="454" customFormat="1">
      <c r="A519" s="811"/>
      <c r="F519" s="812"/>
    </row>
    <row r="520" spans="1:6" s="454" customFormat="1">
      <c r="A520" s="811"/>
      <c r="F520" s="812"/>
    </row>
    <row r="521" spans="1:6" s="454" customFormat="1">
      <c r="A521" s="811"/>
      <c r="F521" s="812"/>
    </row>
    <row r="522" spans="1:6" s="454" customFormat="1">
      <c r="A522" s="811"/>
      <c r="F522" s="812"/>
    </row>
    <row r="523" spans="1:6" s="454" customFormat="1">
      <c r="A523" s="811"/>
      <c r="F523" s="812"/>
    </row>
    <row r="524" spans="1:6" s="454" customFormat="1">
      <c r="A524" s="811"/>
      <c r="F524" s="812"/>
    </row>
    <row r="525" spans="1:6" s="454" customFormat="1">
      <c r="A525" s="811"/>
      <c r="F525" s="812"/>
    </row>
    <row r="526" spans="1:6" s="454" customFormat="1">
      <c r="A526" s="811"/>
      <c r="F526" s="812"/>
    </row>
    <row r="527" spans="1:6" s="454" customFormat="1">
      <c r="A527" s="811"/>
      <c r="F527" s="812"/>
    </row>
    <row r="528" spans="1:6" s="454" customFormat="1">
      <c r="A528" s="811"/>
      <c r="F528" s="812"/>
    </row>
    <row r="529" spans="1:6" s="454" customFormat="1">
      <c r="A529" s="811"/>
      <c r="F529" s="812"/>
    </row>
    <row r="530" spans="1:6" s="454" customFormat="1">
      <c r="A530" s="811"/>
      <c r="F530" s="812"/>
    </row>
    <row r="531" spans="1:6" s="454" customFormat="1">
      <c r="A531" s="811"/>
      <c r="F531" s="812"/>
    </row>
    <row r="532" spans="1:6" s="454" customFormat="1">
      <c r="A532" s="811"/>
      <c r="F532" s="812"/>
    </row>
    <row r="533" spans="1:6" s="454" customFormat="1">
      <c r="A533" s="811"/>
      <c r="F533" s="812"/>
    </row>
    <row r="534" spans="1:6" s="454" customFormat="1">
      <c r="A534" s="811"/>
      <c r="F534" s="812"/>
    </row>
    <row r="535" spans="1:6" s="454" customFormat="1">
      <c r="A535" s="811"/>
      <c r="F535" s="812"/>
    </row>
    <row r="536" spans="1:6" s="454" customFormat="1">
      <c r="A536" s="811"/>
      <c r="F536" s="812"/>
    </row>
    <row r="537" spans="1:6" s="454" customFormat="1">
      <c r="A537" s="811"/>
      <c r="F537" s="812"/>
    </row>
    <row r="538" spans="1:6" s="454" customFormat="1">
      <c r="A538" s="811"/>
      <c r="F538" s="812"/>
    </row>
    <row r="539" spans="1:6" s="454" customFormat="1">
      <c r="A539" s="811"/>
      <c r="F539" s="812"/>
    </row>
    <row r="540" spans="1:6" s="454" customFormat="1">
      <c r="A540" s="811"/>
      <c r="F540" s="812"/>
    </row>
    <row r="541" spans="1:6" s="454" customFormat="1">
      <c r="A541" s="811"/>
      <c r="F541" s="812"/>
    </row>
    <row r="542" spans="1:6" s="454" customFormat="1">
      <c r="A542" s="811"/>
      <c r="F542" s="812"/>
    </row>
    <row r="543" spans="1:6" s="454" customFormat="1">
      <c r="A543" s="811"/>
      <c r="F543" s="812"/>
    </row>
    <row r="544" spans="1:6" s="454" customFormat="1">
      <c r="A544" s="811"/>
      <c r="F544" s="812"/>
    </row>
    <row r="545" spans="1:6" s="454" customFormat="1">
      <c r="A545" s="811"/>
      <c r="F545" s="812"/>
    </row>
    <row r="546" spans="1:6" s="454" customFormat="1">
      <c r="A546" s="811"/>
      <c r="F546" s="812"/>
    </row>
    <row r="547" spans="1:6" s="454" customFormat="1">
      <c r="A547" s="811"/>
      <c r="F547" s="812"/>
    </row>
  </sheetData>
  <mergeCells count="4">
    <mergeCell ref="A1:F1"/>
    <mergeCell ref="A2:F2"/>
    <mergeCell ref="E6:F6"/>
    <mergeCell ref="E8:F8"/>
  </mergeCells>
  <printOptions gridLinesSet="0"/>
  <pageMargins left="0.72" right="0" top="0.73" bottom="0.72" header="0.32" footer="0.33"/>
  <pageSetup paperSize="9" scale="57" orientation="portrait" useFirstPageNumber="1" horizontalDpi="300" verticalDpi="300" r:id="rId1"/>
  <headerFooter alignWithMargins="0">
    <oddHeader>&amp;L&amp;"-,Regular"TVC DAPPAR&amp;C
&amp;R&amp;"-,Regular"HVAC  WORK</oddHeader>
    <oddFooter xml:space="preserve">&amp;C&amp;"-,Regular"&amp;P&amp;R&amp;"-,Regular"UDAYAN CHAUDHARI &amp;&amp; ASSOCIATES PVT LTD </oddFooter>
  </headerFooter>
  <rowBreaks count="1" manualBreakCount="1">
    <brk id="47"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 Bhasker Reddy Mogulla</dc:creator>
  <cp:keywords/>
  <dc:description/>
  <cp:lastModifiedBy>Sandeep Mandala</cp:lastModifiedBy>
  <cp:revision/>
  <dcterms:created xsi:type="dcterms:W3CDTF">2025-07-25T02:52:08Z</dcterms:created>
  <dcterms:modified xsi:type="dcterms:W3CDTF">2026-02-13T18:25:39Z</dcterms:modified>
  <cp:category/>
  <cp:contentStatus/>
</cp:coreProperties>
</file>