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h-tpl\SimResults\"/>
    </mc:Choice>
  </mc:AlternateContent>
  <xr:revisionPtr revIDLastSave="0" documentId="13_ncr:1_{EFCFE939-BD61-4659-B7F7-8FC95D2138F5}" xr6:coauthVersionLast="47" xr6:coauthVersionMax="47" xr10:uidLastSave="{00000000-0000-0000-0000-000000000000}"/>
  <bookViews>
    <workbookView xWindow="31095" yWindow="1200" windowWidth="22725" windowHeight="13875" activeTab="1" xr2:uid="{86C44CE1-1010-4E30-92B1-BDE677C7682C}"/>
  </bookViews>
  <sheets>
    <sheet name="2022b_240930_1602" sheetId="15" r:id="rId1"/>
    <sheet name="2022b_250420_1025" sheetId="16" r:id="rId2"/>
  </sheets>
  <definedNames>
    <definedName name="_xlnm._FilterDatabase" localSheetId="0" hidden="1">'2022b_240930_1602'!$A$1:$P$266</definedName>
    <definedName name="_xlnm._FilterDatabase" localSheetId="1" hidden="1">'2022b_250420_1025'!$A$1:$P$286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6" l="1"/>
  <c r="O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7" i="16"/>
  <c r="O88" i="16"/>
  <c r="O89" i="16"/>
  <c r="O90" i="16"/>
  <c r="O91" i="16"/>
  <c r="O92" i="16"/>
  <c r="O93" i="16"/>
  <c r="O94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3" i="16"/>
  <c r="O114" i="16"/>
  <c r="O115" i="16"/>
  <c r="O116" i="16"/>
  <c r="O117" i="16"/>
  <c r="O118" i="16"/>
  <c r="O119" i="16"/>
  <c r="O120" i="16"/>
  <c r="O121" i="16"/>
  <c r="O122" i="16"/>
  <c r="O123" i="16"/>
  <c r="O124" i="16"/>
  <c r="O125" i="16"/>
  <c r="O126" i="16"/>
  <c r="O127" i="16"/>
  <c r="O128" i="16"/>
  <c r="O129" i="16"/>
  <c r="O130" i="16"/>
  <c r="O131" i="16"/>
  <c r="O132" i="16"/>
  <c r="O133" i="16"/>
  <c r="O134" i="16"/>
  <c r="O135" i="16"/>
  <c r="O136" i="16"/>
  <c r="O137" i="16"/>
  <c r="O138" i="16"/>
  <c r="O139" i="16"/>
  <c r="O140" i="16"/>
  <c r="O141" i="16"/>
  <c r="O142" i="16"/>
  <c r="O143" i="16"/>
  <c r="O144" i="16"/>
  <c r="O145" i="16"/>
  <c r="O146" i="16"/>
  <c r="O147" i="16"/>
  <c r="O148" i="16"/>
  <c r="O149" i="16"/>
  <c r="O150" i="16"/>
  <c r="O151" i="16"/>
  <c r="O152" i="16"/>
  <c r="O153" i="16"/>
  <c r="O154" i="16"/>
  <c r="O155" i="16"/>
  <c r="O156" i="16"/>
  <c r="O157" i="16"/>
  <c r="O158" i="16"/>
  <c r="O159" i="16"/>
  <c r="O160" i="16"/>
  <c r="O161" i="16"/>
  <c r="O162" i="16"/>
  <c r="O163" i="16"/>
  <c r="O164" i="16"/>
  <c r="O165" i="16"/>
  <c r="O166" i="16"/>
  <c r="O167" i="16"/>
  <c r="O168" i="16"/>
  <c r="O169" i="16"/>
  <c r="O170" i="16"/>
  <c r="O171" i="16"/>
  <c r="O172" i="16"/>
  <c r="O173" i="16"/>
  <c r="O174" i="16"/>
  <c r="O175" i="16"/>
  <c r="O176" i="16"/>
  <c r="O177" i="16"/>
  <c r="O178" i="16"/>
  <c r="O179" i="16"/>
  <c r="O180" i="16"/>
  <c r="O181" i="16"/>
  <c r="O182" i="16"/>
  <c r="O183" i="16"/>
  <c r="O184" i="16"/>
  <c r="O185" i="16"/>
  <c r="O186" i="16"/>
  <c r="O187" i="16"/>
  <c r="O188" i="16"/>
  <c r="O189" i="16"/>
  <c r="O190" i="16"/>
  <c r="O191" i="16"/>
  <c r="O192" i="16"/>
  <c r="O193" i="16"/>
  <c r="O194" i="16"/>
  <c r="O195" i="16"/>
  <c r="O196" i="16"/>
  <c r="O197" i="16"/>
  <c r="O198" i="16"/>
  <c r="O199" i="16"/>
  <c r="O200" i="16"/>
  <c r="O201" i="16"/>
  <c r="O202" i="16"/>
  <c r="O203" i="16"/>
  <c r="O204" i="16"/>
  <c r="O205" i="16"/>
  <c r="O206" i="16"/>
  <c r="O207" i="16"/>
  <c r="O208" i="16"/>
  <c r="O209" i="16"/>
  <c r="O210" i="16"/>
  <c r="O211" i="16"/>
  <c r="O212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O259" i="16"/>
  <c r="O260" i="16"/>
  <c r="O261" i="16"/>
  <c r="O262" i="16"/>
  <c r="O263" i="16"/>
  <c r="O264" i="16"/>
  <c r="O265" i="16"/>
  <c r="O266" i="16"/>
  <c r="O267" i="16"/>
  <c r="O268" i="16"/>
  <c r="O269" i="16"/>
  <c r="O270" i="16"/>
  <c r="O271" i="16"/>
  <c r="O272" i="16"/>
  <c r="O273" i="16"/>
  <c r="O274" i="16"/>
  <c r="O275" i="16"/>
  <c r="O276" i="16"/>
  <c r="O277" i="16"/>
  <c r="O278" i="16"/>
  <c r="O279" i="16"/>
  <c r="O280" i="16"/>
  <c r="O281" i="16"/>
  <c r="O282" i="16"/>
  <c r="O283" i="16"/>
  <c r="O284" i="16"/>
  <c r="O285" i="16"/>
  <c r="O286" i="16"/>
  <c r="O2" i="15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68" i="15"/>
  <c r="O69" i="15"/>
  <c r="O70" i="15"/>
  <c r="O71" i="15"/>
  <c r="O72" i="15"/>
  <c r="O73" i="15"/>
  <c r="O74" i="15"/>
  <c r="O75" i="15"/>
  <c r="O76" i="15"/>
  <c r="O77" i="15"/>
  <c r="O78" i="15"/>
  <c r="O79" i="15"/>
  <c r="O80" i="15"/>
  <c r="O81" i="15"/>
  <c r="O82" i="15"/>
  <c r="O83" i="15"/>
  <c r="O84" i="15"/>
  <c r="O85" i="15"/>
  <c r="O86" i="15"/>
  <c r="O87" i="15"/>
  <c r="O88" i="15"/>
  <c r="O89" i="15"/>
  <c r="O90" i="15"/>
  <c r="O91" i="15"/>
  <c r="O92" i="15"/>
  <c r="O93" i="15"/>
  <c r="O94" i="15"/>
  <c r="O95" i="15"/>
  <c r="O96" i="15"/>
  <c r="O97" i="15"/>
  <c r="O98" i="15"/>
  <c r="O99" i="15"/>
  <c r="O100" i="15"/>
  <c r="O101" i="15"/>
  <c r="O102" i="15"/>
  <c r="O103" i="15"/>
  <c r="O104" i="15"/>
  <c r="O105" i="15"/>
  <c r="O106" i="15"/>
  <c r="O107" i="15"/>
  <c r="O108" i="15"/>
  <c r="O109" i="15"/>
  <c r="O110" i="15"/>
  <c r="O111" i="15"/>
  <c r="O112" i="15"/>
  <c r="O113" i="15"/>
  <c r="O114" i="15"/>
  <c r="O115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O130" i="15"/>
  <c r="O131" i="15"/>
  <c r="O132" i="15"/>
  <c r="O133" i="15"/>
  <c r="O134" i="15"/>
  <c r="O135" i="15"/>
  <c r="O136" i="15"/>
  <c r="O137" i="15"/>
  <c r="O138" i="15"/>
  <c r="O139" i="15"/>
  <c r="O140" i="15"/>
  <c r="O141" i="15"/>
  <c r="O142" i="15"/>
  <c r="O143" i="15"/>
  <c r="O144" i="15"/>
  <c r="O145" i="15"/>
  <c r="O146" i="15"/>
  <c r="O147" i="15"/>
  <c r="O148" i="15"/>
  <c r="O149" i="15"/>
  <c r="O150" i="15"/>
  <c r="O151" i="15"/>
  <c r="O152" i="15"/>
  <c r="O153" i="15"/>
  <c r="O154" i="15"/>
  <c r="O155" i="15"/>
  <c r="O156" i="15"/>
  <c r="O157" i="15"/>
  <c r="O158" i="15"/>
  <c r="O159" i="15"/>
  <c r="O160" i="15"/>
  <c r="O161" i="15"/>
  <c r="O162" i="15"/>
  <c r="O163" i="15"/>
  <c r="O164" i="15"/>
  <c r="O165" i="15"/>
  <c r="O166" i="15"/>
  <c r="O167" i="15"/>
  <c r="O168" i="15"/>
  <c r="O169" i="15"/>
  <c r="O170" i="15"/>
  <c r="O171" i="15"/>
  <c r="O172" i="15"/>
  <c r="O173" i="15"/>
  <c r="O174" i="15"/>
  <c r="O175" i="15"/>
  <c r="O176" i="15"/>
  <c r="O177" i="15"/>
  <c r="O178" i="15"/>
  <c r="O179" i="15"/>
  <c r="O180" i="15"/>
  <c r="O181" i="15"/>
  <c r="O182" i="15"/>
  <c r="O183" i="15"/>
  <c r="O184" i="15"/>
  <c r="O185" i="15"/>
  <c r="O186" i="15"/>
  <c r="O187" i="15"/>
  <c r="O188" i="15"/>
  <c r="O189" i="15"/>
  <c r="O190" i="15"/>
  <c r="O191" i="15"/>
  <c r="O192" i="15"/>
  <c r="O193" i="15"/>
  <c r="O194" i="15"/>
  <c r="O195" i="15"/>
  <c r="O196" i="15"/>
  <c r="O197" i="15"/>
  <c r="O198" i="15"/>
  <c r="O199" i="15"/>
  <c r="O200" i="15"/>
  <c r="O201" i="15"/>
  <c r="O202" i="15"/>
  <c r="O203" i="15"/>
  <c r="O204" i="15"/>
  <c r="O205" i="15"/>
  <c r="O206" i="15"/>
  <c r="O207" i="15"/>
  <c r="O208" i="15"/>
  <c r="O209" i="15"/>
  <c r="O210" i="15"/>
  <c r="O211" i="15"/>
  <c r="O212" i="15"/>
  <c r="O213" i="15"/>
  <c r="O214" i="15"/>
  <c r="O215" i="15"/>
  <c r="O216" i="15"/>
  <c r="O217" i="15"/>
  <c r="O218" i="15"/>
  <c r="O219" i="15"/>
  <c r="O220" i="15"/>
  <c r="O221" i="15"/>
  <c r="O222" i="15"/>
  <c r="O223" i="15"/>
  <c r="O224" i="15"/>
  <c r="O225" i="15"/>
  <c r="O226" i="15"/>
  <c r="O227" i="15"/>
  <c r="O228" i="15"/>
  <c r="O229" i="15"/>
  <c r="O230" i="15"/>
  <c r="O231" i="15"/>
  <c r="O232" i="15"/>
  <c r="O233" i="15"/>
  <c r="O234" i="15"/>
  <c r="O235" i="15"/>
  <c r="O236" i="15"/>
  <c r="O237" i="15"/>
  <c r="O238" i="15"/>
  <c r="O239" i="15"/>
  <c r="O240" i="15"/>
  <c r="O241" i="15"/>
  <c r="O242" i="15"/>
  <c r="O243" i="15"/>
  <c r="O244" i="15"/>
  <c r="O245" i="15"/>
  <c r="O246" i="15"/>
  <c r="O247" i="15"/>
  <c r="O248" i="15"/>
  <c r="O249" i="15"/>
  <c r="O250" i="15"/>
  <c r="O251" i="15"/>
  <c r="O252" i="15"/>
  <c r="O253" i="15"/>
  <c r="O254" i="15"/>
  <c r="O255" i="15"/>
  <c r="O256" i="15"/>
  <c r="O257" i="15"/>
  <c r="O258" i="15"/>
  <c r="O259" i="15"/>
  <c r="O260" i="15"/>
  <c r="O261" i="15"/>
  <c r="O262" i="15"/>
  <c r="O263" i="15"/>
  <c r="O264" i="15"/>
  <c r="O265" i="15"/>
  <c r="O266" i="15"/>
</calcChain>
</file>

<file path=xl/sharedStrings.xml><?xml version="1.0" encoding="utf-8"?>
<sst xmlns="http://schemas.openxmlformats.org/spreadsheetml/2006/main" count="5016" uniqueCount="138">
  <si>
    <t>Run</t>
  </si>
  <si>
    <t>Preset</t>
  </si>
  <si>
    <t>Body</t>
  </si>
  <si>
    <t>SuspF</t>
  </si>
  <si>
    <t>Tire</t>
  </si>
  <si>
    <t>TirDyn</t>
  </si>
  <si>
    <t>Drv</t>
  </si>
  <si>
    <t>Trail</t>
  </si>
  <si>
    <t>Mane</t>
  </si>
  <si>
    <t>Solv</t>
  </si>
  <si>
    <t># Steps</t>
  </si>
  <si>
    <t>Time</t>
  </si>
  <si>
    <t>xFinal</t>
  </si>
  <si>
    <t>yFinal</t>
  </si>
  <si>
    <t>Figure</t>
  </si>
  <si>
    <t>Pass</t>
  </si>
  <si>
    <t>HambaLG</t>
  </si>
  <si>
    <t>dwb</t>
  </si>
  <si>
    <t>MFEval</t>
  </si>
  <si>
    <t>steady</t>
  </si>
  <si>
    <t>f1Dr1D</t>
  </si>
  <si>
    <t>None</t>
  </si>
  <si>
    <t>WOT Braking</t>
  </si>
  <si>
    <t>ode23t</t>
  </si>
  <si>
    <t>Low Speed Steer</t>
  </si>
  <si>
    <t>f1D3Dr1D</t>
  </si>
  <si>
    <t>fCVpCVr1D</t>
  </si>
  <si>
    <t>fCVpCVflexr1D</t>
  </si>
  <si>
    <t>lintra</t>
  </si>
  <si>
    <t>dwa</t>
  </si>
  <si>
    <t>S2LAF</t>
  </si>
  <si>
    <t>S2LAR</t>
  </si>
  <si>
    <t>5S2LAF</t>
  </si>
  <si>
    <t>5S2LAR</t>
  </si>
  <si>
    <t>5CS2LAF</t>
  </si>
  <si>
    <t>15DOF</t>
  </si>
  <si>
    <t>oneShaft</t>
  </si>
  <si>
    <t>fCVrCV</t>
  </si>
  <si>
    <t>1D3DABS</t>
  </si>
  <si>
    <t>sprFnl</t>
  </si>
  <si>
    <t>sprconRnl</t>
  </si>
  <si>
    <t>sprLin</t>
  </si>
  <si>
    <t>daminRnl</t>
  </si>
  <si>
    <t>damconFnl</t>
  </si>
  <si>
    <t>CVCVp1D</t>
  </si>
  <si>
    <t>Hamba</t>
  </si>
  <si>
    <t>Makhulu</t>
  </si>
  <si>
    <t>MFEval2x</t>
  </si>
  <si>
    <t>CFL</t>
  </si>
  <si>
    <t>MFSwift</t>
  </si>
  <si>
    <t>MFSwift2x</t>
  </si>
  <si>
    <t>E2sha</t>
  </si>
  <si>
    <t>E3sha</t>
  </si>
  <si>
    <t>Double Lane Change</t>
  </si>
  <si>
    <t>Ice Patch</t>
  </si>
  <si>
    <t>Mallory Park</t>
  </si>
  <si>
    <t>Mallory Park CCW</t>
  </si>
  <si>
    <t>15DOF2MotC</t>
  </si>
  <si>
    <t>15DOF3MotC</t>
  </si>
  <si>
    <t>Rack</t>
  </si>
  <si>
    <t>RackWheel</t>
  </si>
  <si>
    <t>RackStaticShafts</t>
  </si>
  <si>
    <t>WheelDrivenRack</t>
  </si>
  <si>
    <t>ode3</t>
  </si>
  <si>
    <t>Turn</t>
  </si>
  <si>
    <t>Elula</t>
  </si>
  <si>
    <t>Thwala</t>
  </si>
  <si>
    <t>Trailer Disturbance</t>
  </si>
  <si>
    <t>TestrigPost</t>
  </si>
  <si>
    <t>Testrig 4 Post</t>
  </si>
  <si>
    <t>Skidpad</t>
  </si>
  <si>
    <t>Constant Radius Closed-Loop</t>
  </si>
  <si>
    <t>Delft</t>
  </si>
  <si>
    <t>RDF Plateau</t>
  </si>
  <si>
    <t>Plateau Z Only</t>
  </si>
  <si>
    <t>CRG Plateau</t>
  </si>
  <si>
    <t>RDF Rough Road</t>
  </si>
  <si>
    <t>Rough Road Z Only</t>
  </si>
  <si>
    <t>CRG Mallory Park</t>
  </si>
  <si>
    <t>CRG Mallory Park F</t>
  </si>
  <si>
    <t>Mallory Park Obstacle</t>
  </si>
  <si>
    <t>MCity</t>
  </si>
  <si>
    <t>CRG Kyalami</t>
  </si>
  <si>
    <t>CRG Kyalami F</t>
  </si>
  <si>
    <t>CRG Nurburgring N</t>
  </si>
  <si>
    <t>CRG Nurburgring N F</t>
  </si>
  <si>
    <t>CRG Suzuka</t>
  </si>
  <si>
    <t>CRG Suzuka F</t>
  </si>
  <si>
    <t>CRG Pikes Peak</t>
  </si>
  <si>
    <t>CRG Pikes Peak Down</t>
  </si>
  <si>
    <t>fwd3D</t>
  </si>
  <si>
    <t>Drive Cycle FTP75</t>
  </si>
  <si>
    <t>daessc</t>
  </si>
  <si>
    <t>Drive Cycle UrbanCycle1</t>
  </si>
  <si>
    <t>Axle3_000</t>
  </si>
  <si>
    <t>Makhulu3Axle</t>
  </si>
  <si>
    <t>6x2</t>
  </si>
  <si>
    <t>Axle3_003</t>
  </si>
  <si>
    <t>6x4</t>
  </si>
  <si>
    <t>Axle3_008</t>
  </si>
  <si>
    <t>Amandla3Axle</t>
  </si>
  <si>
    <t>Axle3_010</t>
  </si>
  <si>
    <t>Kumanzi</t>
  </si>
  <si>
    <t>Axle3_012</t>
  </si>
  <si>
    <t>6x2Gen</t>
  </si>
  <si>
    <t>Achilles</t>
  </si>
  <si>
    <t>dwpua</t>
  </si>
  <si>
    <t>dwdec</t>
  </si>
  <si>
    <t>MFMbody</t>
  </si>
  <si>
    <t>RackDrivenShafts</t>
  </si>
  <si>
    <t>MFMbody2x</t>
  </si>
  <si>
    <t>CRG Hockenheim</t>
  </si>
  <si>
    <t>CRG Hockenheim F</t>
  </si>
  <si>
    <t>CRG Rough Road</t>
  </si>
  <si>
    <t>15DOF2Mot</t>
  </si>
  <si>
    <t>Axle3_017</t>
  </si>
  <si>
    <t>Axle3_019</t>
  </si>
  <si>
    <t>30-Sep-2024 20:06:08</t>
  </si>
  <si>
    <t>MUC-VIDEOSTUDIO</t>
  </si>
  <si>
    <t>9.13.0.2126072 (R2022b) Update 3</t>
  </si>
  <si>
    <t>MF-Swift Version: 2312</t>
  </si>
  <si>
    <t xml:space="preserve">v3p2 R22b newTrajFollower stopXMax </t>
  </si>
  <si>
    <t>dwpull</t>
  </si>
  <si>
    <t>4MotorCool</t>
  </si>
  <si>
    <t>MacPh</t>
  </si>
  <si>
    <t>dwbAU</t>
  </si>
  <si>
    <t>bushings</t>
  </si>
  <si>
    <t>dwpush</t>
  </si>
  <si>
    <t>TwistBeam</t>
  </si>
  <si>
    <t>Fishhook</t>
  </si>
  <si>
    <t>Sine With Dwell</t>
  </si>
  <si>
    <t>Ramp Steer</t>
  </si>
  <si>
    <t>Slalom</t>
  </si>
  <si>
    <t>20-Apr-2025 13:18:24</t>
  </si>
  <si>
    <t>MATHWORKS-OL1OH</t>
  </si>
  <si>
    <t>9.13.0.2553342 (R2022b) Update 9</t>
  </si>
  <si>
    <t>MF-Swift Version: 2306</t>
  </si>
  <si>
    <t>R22b v4p0 KnC Fishhook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</si>
</sst>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quotePrefix="1"/>
    <xf numFmtId="0" fontId="2" fillId="0" borderId="0" xfId="0" applyFont="1"/>
    <xf numFmtId="164" fontId="0" fillId="0" borderId="0" xfId="0" applyNumberForma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78D99-9CE5-4B07-8534-F052FBA8AFF9}">
  <dimension ref="A1:R266"/>
  <sheetViews>
    <sheetView workbookViewId="0">
      <selection activeCell="Q8" sqref="Q8"/>
    </sheetView>
  </sheetViews>
  <sheetFormatPr defaultRowHeight="15" x14ac:dyDescent="0.25"/>
  <cols>
    <col min="1" max="1" width="4.42578125" bestFit="1" customWidth="1"/>
    <col min="2" max="2" width="10" bestFit="1" customWidth="1"/>
    <col min="3" max="3" width="14" bestFit="1" customWidth="1"/>
    <col min="4" max="4" width="12.42578125" bestFit="1" customWidth="1"/>
    <col min="5" max="5" width="11.85546875" bestFit="1" customWidth="1"/>
    <col min="6" max="6" width="6.85546875" bestFit="1" customWidth="1"/>
    <col min="7" max="7" width="16.85546875" bestFit="1" customWidth="1"/>
    <col min="8" max="8" width="8.5703125" bestFit="1" customWidth="1"/>
    <col min="9" max="9" width="27.140625" bestFit="1" customWidth="1"/>
    <col min="10" max="10" width="7.140625" bestFit="1" customWidth="1"/>
    <col min="11" max="11" width="7.28515625" bestFit="1" customWidth="1"/>
    <col min="12" max="12" width="7.5703125" bestFit="1" customWidth="1"/>
    <col min="13" max="13" width="8.5703125" bestFit="1" customWidth="1"/>
    <col min="14" max="14" width="9.28515625" bestFit="1" customWidth="1"/>
    <col min="15" max="15" width="6.5703125" bestFit="1" customWidth="1"/>
    <col min="16" max="16" width="4.85546875" bestFit="1" customWidth="1"/>
    <col min="18" max="18" width="35.7109375" bestFit="1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2" t="s">
        <v>117</v>
      </c>
    </row>
    <row r="2" spans="1:18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390</v>
      </c>
      <c r="L2" s="4">
        <v>10.2746938</v>
      </c>
      <c r="M2" s="4">
        <v>233.86221125184204</v>
      </c>
      <c r="N2" s="4">
        <v>8.1453449186907941E-3</v>
      </c>
      <c r="O2" s="1" t="str">
        <f>HYPERLINK(".\sm_car_240930_1602\sm_car_240930_1602_001_Ca000TrN_MaWOT_ode23t.png","figure")</f>
        <v>figure</v>
      </c>
      <c r="P2" t="s">
        <v>15</v>
      </c>
      <c r="R2" s="2" t="s">
        <v>118</v>
      </c>
    </row>
    <row r="3" spans="1:18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23</v>
      </c>
      <c r="K3">
        <v>526</v>
      </c>
      <c r="L3" s="4">
        <v>12.5621712</v>
      </c>
      <c r="M3" s="4">
        <v>72.046681083543589</v>
      </c>
      <c r="N3" s="4">
        <v>-0.55373545284533487</v>
      </c>
      <c r="O3" s="1" t="str">
        <f>HYPERLINK(".\sm_car_240930_1602\sm_car_240930_1602_002_Ca000TrN_MaLSS_ode23t.png","figure")</f>
        <v>figure</v>
      </c>
      <c r="P3" t="s">
        <v>15</v>
      </c>
      <c r="R3" s="2" t="s">
        <v>119</v>
      </c>
    </row>
    <row r="4" spans="1:18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23</v>
      </c>
      <c r="K4">
        <v>391</v>
      </c>
      <c r="L4" s="4">
        <v>11.3817992</v>
      </c>
      <c r="M4" s="4">
        <v>233.02434143111248</v>
      </c>
      <c r="N4" s="4">
        <v>-1.0918497815023576E-3</v>
      </c>
      <c r="O4" s="1" t="str">
        <f>HYPERLINK(".\sm_car_240930_1602\sm_car_240930_1602_003_Ca001TrN_MaWOT_ode23t.png","figure")</f>
        <v>figure</v>
      </c>
      <c r="P4" t="s">
        <v>15</v>
      </c>
      <c r="R4" s="2" t="s">
        <v>120</v>
      </c>
    </row>
    <row r="5" spans="1:18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23</v>
      </c>
      <c r="K5">
        <v>507</v>
      </c>
      <c r="L5" s="4">
        <v>13.5554995</v>
      </c>
      <c r="M5" s="4">
        <v>71.758682432408492</v>
      </c>
      <c r="N5" s="4">
        <v>-0.54700547920929332</v>
      </c>
      <c r="O5" s="1" t="str">
        <f>HYPERLINK(".\sm_car_240930_1602\sm_car_240930_1602_004_Ca001TrN_MaLSS_ode23t.png","figure")</f>
        <v>figure</v>
      </c>
      <c r="P5" t="s">
        <v>15</v>
      </c>
      <c r="R5" t="s">
        <v>121</v>
      </c>
    </row>
    <row r="6" spans="1:18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23</v>
      </c>
      <c r="K6">
        <v>421</v>
      </c>
      <c r="L6" s="4">
        <v>16.763019499999999</v>
      </c>
      <c r="M6" s="4">
        <v>232.7322530123943</v>
      </c>
      <c r="N6" s="4">
        <v>6.7872279948955963E-2</v>
      </c>
      <c r="O6" s="1" t="str">
        <f>HYPERLINK(".\sm_car_240930_1602\sm_car_240930_1602_005_Ca002TrN_MaWOT_ode23t.png","figure")</f>
        <v>figure</v>
      </c>
      <c r="P6" t="s">
        <v>15</v>
      </c>
    </row>
    <row r="7" spans="1:18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23</v>
      </c>
      <c r="K7">
        <v>510</v>
      </c>
      <c r="L7" s="4">
        <v>17.679001299999999</v>
      </c>
      <c r="M7" s="4">
        <v>71.749963591552799</v>
      </c>
      <c r="N7" s="4">
        <v>-0.54337587606077187</v>
      </c>
      <c r="O7" s="1" t="str">
        <f>HYPERLINK(".\sm_car_240930_1602\sm_car_240930_1602_006_Ca002TrN_MaLSS_ode23t.png","figure")</f>
        <v>figure</v>
      </c>
      <c r="P7" t="s">
        <v>15</v>
      </c>
    </row>
    <row r="8" spans="1:18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23</v>
      </c>
      <c r="K8">
        <v>449</v>
      </c>
      <c r="L8" s="4">
        <v>18.536013100000002</v>
      </c>
      <c r="M8" s="4">
        <v>232.53815049837829</v>
      </c>
      <c r="N8" s="4">
        <v>4.9114412443078063E-2</v>
      </c>
      <c r="O8" s="1" t="str">
        <f>HYPERLINK(".\sm_car_240930_1602\sm_car_240930_1602_007_Ca003TrN_MaWOT_ode23t.png","figure")</f>
        <v>figure</v>
      </c>
      <c r="P8" t="s">
        <v>15</v>
      </c>
    </row>
    <row r="9" spans="1:18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23</v>
      </c>
      <c r="K9">
        <v>544</v>
      </c>
      <c r="L9" s="4">
        <v>19.329621499999998</v>
      </c>
      <c r="M9" s="4">
        <v>71.617033929983563</v>
      </c>
      <c r="N9" s="4">
        <v>-0.54030701218569688</v>
      </c>
      <c r="O9" s="1" t="str">
        <f>HYPERLINK(".\sm_car_240930_1602\sm_car_240930_1602_008_Ca003TrN_MaLSS_ode23t.png","figure")</f>
        <v>figure</v>
      </c>
      <c r="P9" t="s">
        <v>15</v>
      </c>
    </row>
    <row r="10" spans="1:18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23</v>
      </c>
      <c r="K10">
        <v>1054</v>
      </c>
      <c r="L10" s="4">
        <v>17.610850899999999</v>
      </c>
      <c r="M10" s="4">
        <v>234.12909185079528</v>
      </c>
      <c r="N10" s="4">
        <v>1.0860774768222788E-2</v>
      </c>
      <c r="O10" s="1" t="str">
        <f>HYPERLINK(".\sm_car_240930_1602\sm_car_240930_1602_009_Ca004TrN_MaWOT_ode23t.png","figure")</f>
        <v>figure</v>
      </c>
      <c r="P10" t="s">
        <v>15</v>
      </c>
    </row>
    <row r="11" spans="1:18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23</v>
      </c>
      <c r="K11">
        <v>1180</v>
      </c>
      <c r="L11" s="4">
        <v>20.215273400000001</v>
      </c>
      <c r="M11" s="4">
        <v>72.064509522198904</v>
      </c>
      <c r="N11" s="4">
        <v>-0.5553006272805372</v>
      </c>
      <c r="O11" s="1" t="str">
        <f>HYPERLINK(".\sm_car_240930_1602\sm_car_240930_1602_010_Ca004TrN_MaLSS_ode23t.png","figure")</f>
        <v>figure</v>
      </c>
      <c r="P11" t="s">
        <v>15</v>
      </c>
    </row>
    <row r="12" spans="1:18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23</v>
      </c>
      <c r="K12">
        <v>1058</v>
      </c>
      <c r="L12" s="4">
        <v>19.206764400000001</v>
      </c>
      <c r="M12" s="4">
        <v>233.12492318228672</v>
      </c>
      <c r="N12" s="4">
        <v>7.40880057645155E-4</v>
      </c>
      <c r="O12" s="1" t="str">
        <f>HYPERLINK(".\sm_car_240930_1602\sm_car_240930_1602_011_Ca005TrN_MaWOT_ode23t.png","figure")</f>
        <v>figure</v>
      </c>
      <c r="P12" t="s">
        <v>15</v>
      </c>
    </row>
    <row r="13" spans="1:18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23</v>
      </c>
      <c r="K13">
        <v>1189</v>
      </c>
      <c r="L13" s="4">
        <v>22.067985400000001</v>
      </c>
      <c r="M13" s="4">
        <v>71.772430045679954</v>
      </c>
      <c r="N13" s="4">
        <v>-0.54987519730485679</v>
      </c>
      <c r="O13" s="1" t="str">
        <f>HYPERLINK(".\sm_car_240930_1602\sm_car_240930_1602_012_Ca005TrN_MaLSS_ode23t.png","figure")</f>
        <v>figure</v>
      </c>
      <c r="P13" t="s">
        <v>15</v>
      </c>
    </row>
    <row r="14" spans="1:18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23</v>
      </c>
      <c r="K14">
        <v>1177</v>
      </c>
      <c r="L14" s="4">
        <v>25.549431500000001</v>
      </c>
      <c r="M14" s="4">
        <v>233.00533993187278</v>
      </c>
      <c r="N14" s="4">
        <v>6.998550229448551E-2</v>
      </c>
      <c r="O14" s="1" t="str">
        <f>HYPERLINK(".\sm_car_240930_1602\sm_car_240930_1602_013_Ca006TrN_MaWOT_ode23t.png","figure")</f>
        <v>figure</v>
      </c>
      <c r="P14" t="s">
        <v>15</v>
      </c>
    </row>
    <row r="15" spans="1:18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23</v>
      </c>
      <c r="K15">
        <v>1271</v>
      </c>
      <c r="L15" s="4">
        <v>25.0276733</v>
      </c>
      <c r="M15" s="4">
        <v>71.75385033265384</v>
      </c>
      <c r="N15" s="4">
        <v>-0.54361474440308311</v>
      </c>
      <c r="O15" s="1" t="str">
        <f>HYPERLINK(".\sm_car_240930_1602\sm_car_240930_1602_014_Ca006TrN_MaLSS_ode23t.png","figure")</f>
        <v>figure</v>
      </c>
      <c r="P15" t="s">
        <v>15</v>
      </c>
    </row>
    <row r="16" spans="1:18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23</v>
      </c>
      <c r="K16">
        <v>1168</v>
      </c>
      <c r="L16" s="4">
        <v>24.474564399999998</v>
      </c>
      <c r="M16" s="4">
        <v>232.64456826110754</v>
      </c>
      <c r="N16" s="4">
        <v>6.2620321698580506E-2</v>
      </c>
      <c r="O16" s="1" t="str">
        <f>HYPERLINK(".\sm_car_240930_1602\sm_car_240930_1602_015_Ca007TrN_MaWOT_ode23t.png","figure")</f>
        <v>figure</v>
      </c>
      <c r="P16" t="s">
        <v>15</v>
      </c>
    </row>
    <row r="17" spans="1:16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23</v>
      </c>
      <c r="K17">
        <v>1237</v>
      </c>
      <c r="L17" s="4">
        <v>25.506340399999999</v>
      </c>
      <c r="M17" s="4">
        <v>71.633575177014052</v>
      </c>
      <c r="N17" s="4">
        <v>-0.54111295046227692</v>
      </c>
      <c r="O17" s="1" t="str">
        <f>HYPERLINK(".\sm_car_240930_1602\sm_car_240930_1602_016_Ca007TrN_MaLSS_ode23t.png","figure")</f>
        <v>figure</v>
      </c>
      <c r="P17" t="s">
        <v>15</v>
      </c>
    </row>
    <row r="18" spans="1:16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>
        <v>378</v>
      </c>
      <c r="L18" s="4">
        <v>8.4501880000000007</v>
      </c>
      <c r="M18" s="4">
        <v>234.861558301169</v>
      </c>
      <c r="N18" s="4">
        <v>-6.9133047274948983E-2</v>
      </c>
      <c r="O18" s="1" t="str">
        <f>HYPERLINK(".\sm_car_240930_1602\sm_car_240930_1602_017_Ca016TrN_MaWOT_ode23t.png","figure")</f>
        <v>figure</v>
      </c>
      <c r="P18" t="s">
        <v>15</v>
      </c>
    </row>
    <row r="19" spans="1:16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23</v>
      </c>
      <c r="K19">
        <v>471</v>
      </c>
      <c r="L19" s="4">
        <v>9.1919471999999995</v>
      </c>
      <c r="M19" s="4">
        <v>72.417435753648007</v>
      </c>
      <c r="N19" s="4">
        <v>-2.1565190119023785E-2</v>
      </c>
      <c r="O19" s="1" t="str">
        <f>HYPERLINK(".\sm_car_240930_1602\sm_car_240930_1602_018_Ca016TrN_MaLSS_ode23t.png","figure")</f>
        <v>figure</v>
      </c>
      <c r="P19" t="s">
        <v>15</v>
      </c>
    </row>
    <row r="20" spans="1:16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>
        <v>400</v>
      </c>
      <c r="L20" s="4">
        <v>11.914805599999999</v>
      </c>
      <c r="M20" s="4">
        <v>234.02584427601727</v>
      </c>
      <c r="N20" s="4">
        <v>1.9098876699802605E-2</v>
      </c>
      <c r="O20" s="1" t="str">
        <f>HYPERLINK(".\sm_car_240930_1602\sm_car_240930_1602_019_Ca032TrN_MaWOT_ode23t.png","figure")</f>
        <v>figure</v>
      </c>
      <c r="P20" t="s">
        <v>15</v>
      </c>
    </row>
    <row r="21" spans="1:16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23</v>
      </c>
      <c r="K21">
        <v>517</v>
      </c>
      <c r="L21" s="4">
        <v>13.3897668</v>
      </c>
      <c r="M21" s="4">
        <v>72.052393861855336</v>
      </c>
      <c r="N21" s="4">
        <v>-0.53471027573976815</v>
      </c>
      <c r="O21" s="1" t="str">
        <f>HYPERLINK(".\sm_car_240930_1602\sm_car_240930_1602_020_Ca032TrN_MaLSS_ode23t.png","figure")</f>
        <v>figure</v>
      </c>
      <c r="P21" t="s">
        <v>15</v>
      </c>
    </row>
    <row r="22" spans="1:16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>
        <v>408</v>
      </c>
      <c r="L22" s="4">
        <v>13.294731499999999</v>
      </c>
      <c r="M22" s="4">
        <v>233.99499085730272</v>
      </c>
      <c r="N22" s="4">
        <v>-5.095612674170814E-3</v>
      </c>
      <c r="O22" s="1" t="str">
        <f>HYPERLINK(".\sm_car_240930_1602\sm_car_240930_1602_021_Ca048TrN_MaWOT_ode23t.png","figure")</f>
        <v>figure</v>
      </c>
      <c r="P22" t="s">
        <v>15</v>
      </c>
    </row>
    <row r="23" spans="1:16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23</v>
      </c>
      <c r="K23">
        <v>502</v>
      </c>
      <c r="L23" s="4">
        <v>13.7353165</v>
      </c>
      <c r="M23" s="4">
        <v>72.062587404640908</v>
      </c>
      <c r="N23" s="4">
        <v>-0.54384940195108167</v>
      </c>
      <c r="O23" s="1" t="str">
        <f>HYPERLINK(".\sm_car_240930_1602\sm_car_240930_1602_022_Ca048TrN_MaLSS_ode23t.png","figure")</f>
        <v>figure</v>
      </c>
      <c r="P23" t="s">
        <v>15</v>
      </c>
    </row>
    <row r="24" spans="1:16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>
        <v>390</v>
      </c>
      <c r="L24" s="4">
        <v>13.2632668</v>
      </c>
      <c r="M24" s="4">
        <v>234.07990477936019</v>
      </c>
      <c r="N24" s="4">
        <v>2.1709090939130801E-2</v>
      </c>
      <c r="O24" s="1" t="str">
        <f>HYPERLINK(".\sm_car_240930_1602\sm_car_240930_1602_023_Ca064TrN_MaWOT_ode23t.png","figure")</f>
        <v>figure</v>
      </c>
      <c r="P24" t="s">
        <v>15</v>
      </c>
    </row>
    <row r="25" spans="1:16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23</v>
      </c>
      <c r="K25">
        <v>514</v>
      </c>
      <c r="L25" s="4">
        <v>14.9982784</v>
      </c>
      <c r="M25" s="4">
        <v>72.065466268796158</v>
      </c>
      <c r="N25" s="4">
        <v>-0.5298866515096996</v>
      </c>
      <c r="O25" s="1" t="str">
        <f>HYPERLINK(".\sm_car_240930_1602\sm_car_240930_1602_024_Ca064TrN_MaLSS_ode23t.png","figure")</f>
        <v>figure</v>
      </c>
      <c r="P25" t="s">
        <v>15</v>
      </c>
    </row>
    <row r="26" spans="1:16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>
        <v>385</v>
      </c>
      <c r="L26" s="4">
        <v>13.4359494</v>
      </c>
      <c r="M26" s="4">
        <v>234.14302112150185</v>
      </c>
      <c r="N26" s="4">
        <v>-5.5194299463859802E-3</v>
      </c>
      <c r="O26" s="1" t="str">
        <f>HYPERLINK(".\sm_car_240930_1602\sm_car_240930_1602_025_Ca080TrN_MaWOT_ode23t.png","figure")</f>
        <v>figure</v>
      </c>
      <c r="P26" t="s">
        <v>15</v>
      </c>
    </row>
    <row r="27" spans="1:16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23</v>
      </c>
      <c r="K27">
        <v>494</v>
      </c>
      <c r="L27" s="4">
        <v>13.907630899999999</v>
      </c>
      <c r="M27" s="4">
        <v>72.116557424787871</v>
      </c>
      <c r="N27" s="4">
        <v>-0.53585131896930283</v>
      </c>
      <c r="O27" s="1" t="str">
        <f>HYPERLINK(".\sm_car_240930_1602\sm_car_240930_1602_026_Ca080TrN_MaLSS_ode23t.png","figure")</f>
        <v>figure</v>
      </c>
      <c r="P27" t="s">
        <v>15</v>
      </c>
    </row>
    <row r="28" spans="1:16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>
        <v>386</v>
      </c>
      <c r="L28" s="4">
        <v>9.6707798999999994</v>
      </c>
      <c r="M28" s="4">
        <v>236.0707856015506</v>
      </c>
      <c r="N28" s="4">
        <v>3.1039756642365149E-2</v>
      </c>
      <c r="O28" s="1" t="str">
        <f>HYPERLINK(".\sm_car_240930_1602\sm_car_240930_1602_027_Ca096TrN_MaWOT_ode23t.png","figure")</f>
        <v>figure</v>
      </c>
      <c r="P28" t="s">
        <v>15</v>
      </c>
    </row>
    <row r="29" spans="1:16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23</v>
      </c>
      <c r="K29">
        <v>514</v>
      </c>
      <c r="L29" s="4">
        <v>11.5976613</v>
      </c>
      <c r="M29" s="4">
        <v>72.654749086232471</v>
      </c>
      <c r="N29" s="4">
        <v>-0.54208042426134073</v>
      </c>
      <c r="O29" s="1" t="str">
        <f>HYPERLINK(".\sm_car_240930_1602\sm_car_240930_1602_028_Ca096TrN_MaLSS_ode23t.png","figure")</f>
        <v>figure</v>
      </c>
      <c r="P29" t="s">
        <v>15</v>
      </c>
    </row>
    <row r="30" spans="1:16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>
        <v>391</v>
      </c>
      <c r="L30" s="4">
        <v>3.9579035</v>
      </c>
      <c r="M30" s="4">
        <v>242.6347610154539</v>
      </c>
      <c r="N30" s="4">
        <v>0.23238227743443512</v>
      </c>
      <c r="O30" s="1" t="str">
        <f>HYPERLINK(".\sm_car_240930_1602\sm_car_240930_1602_029_Ca112TrN_MaWOT_ode23t.png","figure")</f>
        <v>figure</v>
      </c>
      <c r="P30" t="s">
        <v>15</v>
      </c>
    </row>
    <row r="31" spans="1:16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23</v>
      </c>
      <c r="K31">
        <v>505</v>
      </c>
      <c r="L31" s="4">
        <v>4.4852014000000002</v>
      </c>
      <c r="M31" s="4">
        <v>74.658737205363408</v>
      </c>
      <c r="N31" s="4">
        <v>-0.33759900566581796</v>
      </c>
      <c r="O31" s="1" t="str">
        <f>HYPERLINK(".\sm_car_240930_1602\sm_car_240930_1602_030_Ca112TrN_MaLSS_ode23t.png","figure")</f>
        <v>figure</v>
      </c>
      <c r="P31" t="s">
        <v>15</v>
      </c>
    </row>
    <row r="32" spans="1:16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23</v>
      </c>
      <c r="K32">
        <v>366</v>
      </c>
      <c r="L32" s="4">
        <v>4.4709104999999996</v>
      </c>
      <c r="M32" s="4">
        <v>241.66595681447339</v>
      </c>
      <c r="N32" s="4">
        <v>0.22678465252334948</v>
      </c>
      <c r="O32" s="1" t="str">
        <f>HYPERLINK(".\sm_car_240930_1602\sm_car_240930_1602_031_Ca113TrN_MaWOT_ode23t.png","figure")</f>
        <v>figure</v>
      </c>
      <c r="P32" t="s">
        <v>15</v>
      </c>
    </row>
    <row r="33" spans="1:16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23</v>
      </c>
      <c r="K33">
        <v>489</v>
      </c>
      <c r="L33" s="4">
        <v>5.0331826</v>
      </c>
      <c r="M33" s="4">
        <v>74.35258302966588</v>
      </c>
      <c r="N33" s="4">
        <v>-0.32867165610372456</v>
      </c>
      <c r="O33" s="1" t="str">
        <f>HYPERLINK(".\sm_car_240930_1602\sm_car_240930_1602_032_Ca113TrN_MaLSS_ode23t.png","figure")</f>
        <v>figure</v>
      </c>
      <c r="P33" t="s">
        <v>15</v>
      </c>
    </row>
    <row r="34" spans="1:16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23</v>
      </c>
      <c r="K34">
        <v>374</v>
      </c>
      <c r="L34" s="4">
        <v>4.6772001000000003</v>
      </c>
      <c r="M34" s="4">
        <v>241.63535164454248</v>
      </c>
      <c r="N34" s="4">
        <v>0.22898004278474487</v>
      </c>
      <c r="O34" s="1" t="str">
        <f>HYPERLINK(".\sm_car_240930_1602\sm_car_240930_1602_033_Ca114TrN_MaWOT_ode23t.png","figure")</f>
        <v>figure</v>
      </c>
      <c r="P34" t="s">
        <v>15</v>
      </c>
    </row>
    <row r="35" spans="1:16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23</v>
      </c>
      <c r="K35">
        <v>484</v>
      </c>
      <c r="L35" s="4">
        <v>5.5807289000000004</v>
      </c>
      <c r="M35" s="4">
        <v>74.356728918897076</v>
      </c>
      <c r="N35" s="4">
        <v>-0.33179292147345302</v>
      </c>
      <c r="O35" s="1" t="str">
        <f>HYPERLINK(".\sm_car_240930_1602\sm_car_240930_1602_034_Ca114TrN_MaLSS_ode23t.png","figure")</f>
        <v>figure</v>
      </c>
      <c r="P35" t="s">
        <v>15</v>
      </c>
    </row>
    <row r="36" spans="1:16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23</v>
      </c>
      <c r="K36">
        <v>396</v>
      </c>
      <c r="L36" s="4">
        <v>5.3457502999999997</v>
      </c>
      <c r="M36" s="4">
        <v>241.17723399281397</v>
      </c>
      <c r="N36" s="4">
        <v>0.22786476173566053</v>
      </c>
      <c r="O36" s="1" t="str">
        <f>HYPERLINK(".\sm_car_240930_1602\sm_car_240930_1602_035_Ca115TrN_MaWOT_ode23t.png","figure")</f>
        <v>figure</v>
      </c>
      <c r="P36" t="s">
        <v>15</v>
      </c>
    </row>
    <row r="37" spans="1:16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23</v>
      </c>
      <c r="K37">
        <v>494</v>
      </c>
      <c r="L37" s="4">
        <v>5.6386960000000004</v>
      </c>
      <c r="M37" s="4">
        <v>74.213608128003088</v>
      </c>
      <c r="N37" s="4">
        <v>-0.33162266090264036</v>
      </c>
      <c r="O37" s="1" t="str">
        <f>HYPERLINK(".\sm_car_240930_1602\sm_car_240930_1602_036_Ca115TrN_MaLSS_ode23t.png","figure")</f>
        <v>figure</v>
      </c>
      <c r="P37" t="s">
        <v>15</v>
      </c>
    </row>
    <row r="38" spans="1:16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23</v>
      </c>
      <c r="K38">
        <v>930</v>
      </c>
      <c r="L38" s="4">
        <v>7.1284717999999998</v>
      </c>
      <c r="M38" s="4">
        <v>242.46516627962953</v>
      </c>
      <c r="N38" s="4">
        <v>0.23355639756178012</v>
      </c>
      <c r="O38" s="1" t="str">
        <f>HYPERLINK(".\sm_car_240930_1602\sm_car_240930_1602_037_Ca116TrN_MaWOT_ode23t.png","figure")</f>
        <v>figure</v>
      </c>
      <c r="P38" t="s">
        <v>15</v>
      </c>
    </row>
    <row r="39" spans="1:16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23</v>
      </c>
      <c r="K39">
        <v>1049</v>
      </c>
      <c r="L39" s="4">
        <v>7.5402696000000002</v>
      </c>
      <c r="M39" s="4">
        <v>74.66020533823469</v>
      </c>
      <c r="N39" s="4">
        <v>-0.34093339804314021</v>
      </c>
      <c r="O39" s="1" t="str">
        <f>HYPERLINK(".\sm_car_240930_1602\sm_car_240930_1602_038_Ca116TrN_MaLSS_ode23t.png","figure")</f>
        <v>figure</v>
      </c>
      <c r="P39" t="s">
        <v>15</v>
      </c>
    </row>
    <row r="40" spans="1:16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23</v>
      </c>
      <c r="K40">
        <v>944</v>
      </c>
      <c r="L40" s="4">
        <v>7.9857921000000003</v>
      </c>
      <c r="M40" s="4">
        <v>241.660793294575</v>
      </c>
      <c r="N40" s="4">
        <v>0.22795467749314724</v>
      </c>
      <c r="O40" s="1" t="str">
        <f>HYPERLINK(".\sm_car_240930_1602\sm_car_240930_1602_039_Ca117TrN_MaWOT_ode23t.png","figure")</f>
        <v>figure</v>
      </c>
      <c r="P40" t="s">
        <v>15</v>
      </c>
    </row>
    <row r="41" spans="1:16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23</v>
      </c>
      <c r="K41">
        <v>1076</v>
      </c>
      <c r="L41" s="4">
        <v>9.0209948999999998</v>
      </c>
      <c r="M41" s="4">
        <v>74.349120772090018</v>
      </c>
      <c r="N41" s="4">
        <v>-0.33486834782945007</v>
      </c>
      <c r="O41" s="1" t="str">
        <f>HYPERLINK(".\sm_car_240930_1602\sm_car_240930_1602_040_Ca117TrN_MaLSS_ode23t.png","figure")</f>
        <v>figure</v>
      </c>
      <c r="P41" t="s">
        <v>15</v>
      </c>
    </row>
    <row r="42" spans="1:16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23</v>
      </c>
      <c r="K42">
        <v>963</v>
      </c>
      <c r="L42" s="4">
        <v>9.0609120999999995</v>
      </c>
      <c r="M42" s="4">
        <v>241.65395717276894</v>
      </c>
      <c r="N42" s="4">
        <v>0.22986544729423952</v>
      </c>
      <c r="O42" s="1" t="str">
        <f>HYPERLINK(".\sm_car_240930_1602\sm_car_240930_1602_041_Ca118TrN_MaWOT_ode23t.png","figure")</f>
        <v>figure</v>
      </c>
      <c r="P42" t="s">
        <v>15</v>
      </c>
    </row>
    <row r="43" spans="1:16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23</v>
      </c>
      <c r="K43">
        <v>1075</v>
      </c>
      <c r="L43" s="4">
        <v>9.0071270000000005</v>
      </c>
      <c r="M43" s="4">
        <v>74.33584292040473</v>
      </c>
      <c r="N43" s="4">
        <v>-0.33557315502393315</v>
      </c>
      <c r="O43" s="1" t="str">
        <f>HYPERLINK(".\sm_car_240930_1602\sm_car_240930_1602_042_Ca118TrN_MaLSS_ode23t.png","figure")</f>
        <v>figure</v>
      </c>
      <c r="P43" t="s">
        <v>15</v>
      </c>
    </row>
    <row r="44" spans="1:16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23</v>
      </c>
      <c r="K44">
        <v>988</v>
      </c>
      <c r="L44" s="4">
        <v>8.427187</v>
      </c>
      <c r="M44" s="4">
        <v>240.95580371988984</v>
      </c>
      <c r="N44" s="4">
        <v>0.22684298463105027</v>
      </c>
      <c r="O44" s="1" t="str">
        <f>HYPERLINK(".\sm_car_240930_1602\sm_car_240930_1602_043_Ca119TrN_MaWOT_ode23t.png","figure")</f>
        <v>figure</v>
      </c>
      <c r="P44" t="s">
        <v>15</v>
      </c>
    </row>
    <row r="45" spans="1:16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23</v>
      </c>
      <c r="K45">
        <v>1118</v>
      </c>
      <c r="L45" s="4">
        <v>9.8190188000000003</v>
      </c>
      <c r="M45" s="4">
        <v>74.202664608030233</v>
      </c>
      <c r="N45" s="4">
        <v>-0.33373448401285039</v>
      </c>
      <c r="O45" s="1" t="str">
        <f>HYPERLINK(".\sm_car_240930_1602\sm_car_240930_1602_044_Ca119TrN_MaLSS_ode23t.png","figure")</f>
        <v>figure</v>
      </c>
      <c r="P45" t="s">
        <v>15</v>
      </c>
    </row>
    <row r="46" spans="1:16" x14ac:dyDescent="0.25">
      <c r="A46">
        <v>45</v>
      </c>
      <c r="B46">
        <v>128</v>
      </c>
      <c r="C46" t="s">
        <v>16</v>
      </c>
      <c r="D46" t="s">
        <v>17</v>
      </c>
      <c r="E46" t="s">
        <v>18</v>
      </c>
      <c r="F46" t="s">
        <v>19</v>
      </c>
      <c r="G46" t="s">
        <v>36</v>
      </c>
      <c r="H46" t="s">
        <v>21</v>
      </c>
      <c r="I46" t="s">
        <v>22</v>
      </c>
      <c r="J46" t="s">
        <v>23</v>
      </c>
      <c r="K46">
        <v>403</v>
      </c>
      <c r="L46" s="4">
        <v>21.104739500000001</v>
      </c>
      <c r="M46" s="4">
        <v>100.86930806126598</v>
      </c>
      <c r="N46" s="4">
        <v>-1.4855941161444307E-2</v>
      </c>
      <c r="O46" s="1" t="str">
        <f>HYPERLINK(".\sm_car_240930_1602\sm_car_240930_1602_045_Ca128TrN_MaWOT_ode23t.png","figure")</f>
        <v>figure</v>
      </c>
      <c r="P46" t="s">
        <v>15</v>
      </c>
    </row>
    <row r="47" spans="1:16" x14ac:dyDescent="0.25">
      <c r="A47">
        <v>46</v>
      </c>
      <c r="B47">
        <v>128</v>
      </c>
      <c r="C47" t="s">
        <v>16</v>
      </c>
      <c r="D47" t="s">
        <v>17</v>
      </c>
      <c r="E47" t="s">
        <v>18</v>
      </c>
      <c r="F47" t="s">
        <v>19</v>
      </c>
      <c r="G47" t="s">
        <v>36</v>
      </c>
      <c r="H47" t="s">
        <v>21</v>
      </c>
      <c r="I47" t="s">
        <v>24</v>
      </c>
      <c r="J47" t="s">
        <v>23</v>
      </c>
      <c r="K47">
        <v>486</v>
      </c>
      <c r="L47" s="4">
        <v>21.041553700000001</v>
      </c>
      <c r="M47" s="4">
        <v>37.314014043601027</v>
      </c>
      <c r="N47" s="4">
        <v>-0.13802261927627205</v>
      </c>
      <c r="O47" s="1" t="str">
        <f>HYPERLINK(".\sm_car_240930_1602\sm_car_240930_1602_046_Ca128TrN_MaLSS_ode23t.png","figure")</f>
        <v>figure</v>
      </c>
      <c r="P47" t="s">
        <v>15</v>
      </c>
    </row>
    <row r="48" spans="1:16" x14ac:dyDescent="0.25">
      <c r="A48">
        <v>47</v>
      </c>
      <c r="B48">
        <v>129</v>
      </c>
      <c r="C48" t="s">
        <v>16</v>
      </c>
      <c r="D48" t="s">
        <v>17</v>
      </c>
      <c r="E48" t="s">
        <v>18</v>
      </c>
      <c r="F48" t="s">
        <v>19</v>
      </c>
      <c r="G48" t="s">
        <v>37</v>
      </c>
      <c r="H48" t="s">
        <v>21</v>
      </c>
      <c r="I48" t="s">
        <v>22</v>
      </c>
      <c r="J48" t="s">
        <v>23</v>
      </c>
      <c r="K48">
        <v>421</v>
      </c>
      <c r="L48" s="4">
        <v>21.6707891</v>
      </c>
      <c r="M48" s="4">
        <v>232.30911220192627</v>
      </c>
      <c r="N48" s="4">
        <v>7.7014390416577011E-2</v>
      </c>
      <c r="O48" s="1" t="str">
        <f>HYPERLINK(".\sm_car_240930_1602\sm_car_240930_1602_047_Ca129TrN_MaWOT_ode23t.png","figure")</f>
        <v>figure</v>
      </c>
      <c r="P48" t="s">
        <v>15</v>
      </c>
    </row>
    <row r="49" spans="1:16" x14ac:dyDescent="0.25">
      <c r="A49">
        <v>48</v>
      </c>
      <c r="B49">
        <v>129</v>
      </c>
      <c r="C49" t="s">
        <v>16</v>
      </c>
      <c r="D49" t="s">
        <v>17</v>
      </c>
      <c r="E49" t="s">
        <v>18</v>
      </c>
      <c r="F49" t="s">
        <v>19</v>
      </c>
      <c r="G49" t="s">
        <v>37</v>
      </c>
      <c r="H49" t="s">
        <v>21</v>
      </c>
      <c r="I49" t="s">
        <v>24</v>
      </c>
      <c r="J49" t="s">
        <v>23</v>
      </c>
      <c r="K49">
        <v>498</v>
      </c>
      <c r="L49" s="4">
        <v>19.158381500000001</v>
      </c>
      <c r="M49" s="4">
        <v>71.514327234395978</v>
      </c>
      <c r="N49" s="4">
        <v>-0.54070904425222133</v>
      </c>
      <c r="O49" s="1" t="str">
        <f>HYPERLINK(".\sm_car_240930_1602\sm_car_240930_1602_048_Ca129TrN_MaLSS_ode23t.png","figure")</f>
        <v>figure</v>
      </c>
      <c r="P49" t="s">
        <v>15</v>
      </c>
    </row>
    <row r="50" spans="1:16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23</v>
      </c>
      <c r="K50">
        <v>791</v>
      </c>
      <c r="L50" s="4">
        <v>36.6371222</v>
      </c>
      <c r="M50" s="4">
        <v>220.23309767090268</v>
      </c>
      <c r="N50" s="4">
        <v>-1.4639524975839602</v>
      </c>
      <c r="O50" s="1" t="str">
        <f>HYPERLINK(".\sm_car_240930_1602\sm_car_240930_1602_049_Ca130TrN_MaWOT_ode23t.png","figure")</f>
        <v>figure</v>
      </c>
      <c r="P50" t="s">
        <v>15</v>
      </c>
    </row>
    <row r="51" spans="1:16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23</v>
      </c>
      <c r="K51">
        <v>793</v>
      </c>
      <c r="L51" s="4">
        <v>32.793303399999999</v>
      </c>
      <c r="M51" s="4">
        <v>69.567346126758622</v>
      </c>
      <c r="N51" s="4">
        <v>-0.55347343635082424</v>
      </c>
      <c r="O51" s="1" t="str">
        <f>HYPERLINK(".\sm_car_240930_1602\sm_car_240930_1602_050_Ca130TrN_MaLSS_ode23t.png","figure")</f>
        <v>figure</v>
      </c>
      <c r="P51" t="s">
        <v>15</v>
      </c>
    </row>
    <row r="52" spans="1:16" x14ac:dyDescent="0.25">
      <c r="A52">
        <v>51</v>
      </c>
      <c r="B52">
        <v>131</v>
      </c>
      <c r="C52" t="s">
        <v>16</v>
      </c>
      <c r="D52" t="s">
        <v>17</v>
      </c>
      <c r="E52" t="s">
        <v>18</v>
      </c>
      <c r="F52" t="s">
        <v>19</v>
      </c>
      <c r="G52" t="s">
        <v>39</v>
      </c>
      <c r="H52" t="s">
        <v>21</v>
      </c>
      <c r="I52" t="s">
        <v>22</v>
      </c>
      <c r="J52" t="s">
        <v>23</v>
      </c>
      <c r="K52">
        <v>588</v>
      </c>
      <c r="L52" s="4">
        <v>21.371618399999999</v>
      </c>
      <c r="M52" s="4">
        <v>177.44597048564043</v>
      </c>
      <c r="N52" s="4">
        <v>-5.9364887226009451</v>
      </c>
      <c r="O52" s="1" t="str">
        <f>HYPERLINK(".\sm_car_240930_1602\sm_car_240930_1602_051_Ca131TrN_MaWOT_ode23t.png","figure")</f>
        <v>figure</v>
      </c>
      <c r="P52" t="s">
        <v>15</v>
      </c>
    </row>
    <row r="53" spans="1:16" x14ac:dyDescent="0.25">
      <c r="A53">
        <v>52</v>
      </c>
      <c r="B53">
        <v>131</v>
      </c>
      <c r="C53" t="s">
        <v>16</v>
      </c>
      <c r="D53" t="s">
        <v>17</v>
      </c>
      <c r="E53" t="s">
        <v>18</v>
      </c>
      <c r="F53" t="s">
        <v>19</v>
      </c>
      <c r="G53" t="s">
        <v>39</v>
      </c>
      <c r="H53" t="s">
        <v>21</v>
      </c>
      <c r="I53" t="s">
        <v>24</v>
      </c>
      <c r="J53" t="s">
        <v>23</v>
      </c>
      <c r="K53">
        <v>510</v>
      </c>
      <c r="L53" s="4">
        <v>17.974712799999999</v>
      </c>
      <c r="M53" s="4">
        <v>37.425794686606217</v>
      </c>
      <c r="N53" s="4">
        <v>-0.16675421557415626</v>
      </c>
      <c r="O53" s="1" t="str">
        <f>HYPERLINK(".\sm_car_240930_1602\sm_car_240930_1602_052_Ca131TrN_MaLSS_ode23t.png","figure")</f>
        <v>figure</v>
      </c>
      <c r="P53" t="s">
        <v>15</v>
      </c>
    </row>
    <row r="54" spans="1:16" x14ac:dyDescent="0.25">
      <c r="A54">
        <v>53</v>
      </c>
      <c r="B54">
        <v>132</v>
      </c>
      <c r="C54" t="s">
        <v>16</v>
      </c>
      <c r="D54" t="s">
        <v>17</v>
      </c>
      <c r="E54" t="s">
        <v>18</v>
      </c>
      <c r="F54" t="s">
        <v>19</v>
      </c>
      <c r="G54" t="s">
        <v>40</v>
      </c>
      <c r="H54" t="s">
        <v>21</v>
      </c>
      <c r="I54" t="s">
        <v>22</v>
      </c>
      <c r="J54" t="s">
        <v>23</v>
      </c>
      <c r="K54">
        <v>371</v>
      </c>
      <c r="L54" s="4">
        <v>12.6665069</v>
      </c>
      <c r="M54" s="4">
        <v>231.91246667211189</v>
      </c>
      <c r="N54" s="4">
        <v>3.339796085426977E-2</v>
      </c>
      <c r="O54" s="1" t="str">
        <f>HYPERLINK(".\sm_car_240930_1602\sm_car_240930_1602_053_Ca132TrN_MaWOT_ode23t.png","figure")</f>
        <v>figure</v>
      </c>
      <c r="P54" t="s">
        <v>15</v>
      </c>
    </row>
    <row r="55" spans="1:16" x14ac:dyDescent="0.25">
      <c r="A55">
        <v>54</v>
      </c>
      <c r="B55">
        <v>132</v>
      </c>
      <c r="C55" t="s">
        <v>16</v>
      </c>
      <c r="D55" t="s">
        <v>17</v>
      </c>
      <c r="E55" t="s">
        <v>18</v>
      </c>
      <c r="F55" t="s">
        <v>19</v>
      </c>
      <c r="G55" t="s">
        <v>40</v>
      </c>
      <c r="H55" t="s">
        <v>21</v>
      </c>
      <c r="I55" t="s">
        <v>24</v>
      </c>
      <c r="J55" t="s">
        <v>23</v>
      </c>
      <c r="K55">
        <v>524</v>
      </c>
      <c r="L55" s="4">
        <v>15.0116285</v>
      </c>
      <c r="M55" s="4">
        <v>71.222568397319804</v>
      </c>
      <c r="N55" s="4">
        <v>-0.52798020784827893</v>
      </c>
      <c r="O55" s="1" t="str">
        <f>HYPERLINK(".\sm_car_240930_1602\sm_car_240930_1602_054_Ca132TrN_MaLSS_ode23t.png","figure")</f>
        <v>figure</v>
      </c>
      <c r="P55" t="s">
        <v>15</v>
      </c>
    </row>
    <row r="56" spans="1:16" x14ac:dyDescent="0.25">
      <c r="A56">
        <v>55</v>
      </c>
      <c r="B56">
        <v>133</v>
      </c>
      <c r="C56" t="s">
        <v>16</v>
      </c>
      <c r="D56" t="s">
        <v>17</v>
      </c>
      <c r="E56" t="s">
        <v>18</v>
      </c>
      <c r="F56" t="s">
        <v>19</v>
      </c>
      <c r="G56" t="s">
        <v>41</v>
      </c>
      <c r="H56" t="s">
        <v>21</v>
      </c>
      <c r="I56" t="s">
        <v>22</v>
      </c>
      <c r="J56" t="s">
        <v>23</v>
      </c>
      <c r="K56">
        <v>391</v>
      </c>
      <c r="L56" s="4">
        <v>11.334356</v>
      </c>
      <c r="M56" s="4">
        <v>233.02434143111248</v>
      </c>
      <c r="N56" s="4">
        <v>-1.0918497815023576E-3</v>
      </c>
      <c r="O56" s="1" t="str">
        <f>HYPERLINK(".\sm_car_240930_1602\sm_car_240930_1602_055_Ca133TrN_MaWOT_ode23t.png","figure")</f>
        <v>figure</v>
      </c>
      <c r="P56" t="s">
        <v>15</v>
      </c>
    </row>
    <row r="57" spans="1:16" x14ac:dyDescent="0.25">
      <c r="A57">
        <v>56</v>
      </c>
      <c r="B57">
        <v>133</v>
      </c>
      <c r="C57" t="s">
        <v>16</v>
      </c>
      <c r="D57" t="s">
        <v>17</v>
      </c>
      <c r="E57" t="s">
        <v>18</v>
      </c>
      <c r="F57" t="s">
        <v>19</v>
      </c>
      <c r="G57" t="s">
        <v>41</v>
      </c>
      <c r="H57" t="s">
        <v>21</v>
      </c>
      <c r="I57" t="s">
        <v>24</v>
      </c>
      <c r="J57" t="s">
        <v>23</v>
      </c>
      <c r="K57">
        <v>507</v>
      </c>
      <c r="L57" s="4">
        <v>13.5625841</v>
      </c>
      <c r="M57" s="4">
        <v>71.758682432408492</v>
      </c>
      <c r="N57" s="4">
        <v>-0.54700547920929332</v>
      </c>
      <c r="O57" s="1" t="str">
        <f>HYPERLINK(".\sm_car_240930_1602\sm_car_240930_1602_056_Ca133TrN_MaLSS_ode23t.png","figure")</f>
        <v>figure</v>
      </c>
      <c r="P57" t="s">
        <v>15</v>
      </c>
    </row>
    <row r="58" spans="1:16" x14ac:dyDescent="0.25">
      <c r="A58">
        <v>57</v>
      </c>
      <c r="B58">
        <v>134</v>
      </c>
      <c r="C58" t="s">
        <v>16</v>
      </c>
      <c r="D58" t="s">
        <v>17</v>
      </c>
      <c r="E58" t="s">
        <v>18</v>
      </c>
      <c r="F58" t="s">
        <v>19</v>
      </c>
      <c r="G58" t="s">
        <v>42</v>
      </c>
      <c r="H58" t="s">
        <v>21</v>
      </c>
      <c r="I58" t="s">
        <v>22</v>
      </c>
      <c r="J58" t="s">
        <v>23</v>
      </c>
      <c r="K58">
        <v>367</v>
      </c>
      <c r="L58" s="4">
        <v>11.6988106</v>
      </c>
      <c r="M58" s="4">
        <v>233.03586542650788</v>
      </c>
      <c r="N58" s="4">
        <v>8.305067896391935E-4</v>
      </c>
      <c r="O58" s="1" t="str">
        <f>HYPERLINK(".\sm_car_240930_1602\sm_car_240930_1602_057_Ca134TrN_MaWOT_ode23t.png","figure")</f>
        <v>figure</v>
      </c>
      <c r="P58" t="s">
        <v>15</v>
      </c>
    </row>
    <row r="59" spans="1:16" x14ac:dyDescent="0.25">
      <c r="A59">
        <v>58</v>
      </c>
      <c r="B59">
        <v>134</v>
      </c>
      <c r="C59" t="s">
        <v>16</v>
      </c>
      <c r="D59" t="s">
        <v>17</v>
      </c>
      <c r="E59" t="s">
        <v>18</v>
      </c>
      <c r="F59" t="s">
        <v>19</v>
      </c>
      <c r="G59" t="s">
        <v>42</v>
      </c>
      <c r="H59" t="s">
        <v>21</v>
      </c>
      <c r="I59" t="s">
        <v>24</v>
      </c>
      <c r="J59" t="s">
        <v>23</v>
      </c>
      <c r="K59">
        <v>490</v>
      </c>
      <c r="L59" s="4">
        <v>13.835469099999999</v>
      </c>
      <c r="M59" s="4">
        <v>71.761747334788367</v>
      </c>
      <c r="N59" s="4">
        <v>-0.54745083199521971</v>
      </c>
      <c r="O59" s="1" t="str">
        <f>HYPERLINK(".\sm_car_240930_1602\sm_car_240930_1602_058_Ca134TrN_MaLSS_ode23t.png","figure")</f>
        <v>figure</v>
      </c>
      <c r="P59" t="s">
        <v>15</v>
      </c>
    </row>
    <row r="60" spans="1:16" x14ac:dyDescent="0.25">
      <c r="A60">
        <v>59</v>
      </c>
      <c r="B60">
        <v>135</v>
      </c>
      <c r="C60" t="s">
        <v>16</v>
      </c>
      <c r="D60" t="s">
        <v>17</v>
      </c>
      <c r="E60" t="s">
        <v>18</v>
      </c>
      <c r="F60" t="s">
        <v>19</v>
      </c>
      <c r="G60" t="s">
        <v>43</v>
      </c>
      <c r="H60" t="s">
        <v>21</v>
      </c>
      <c r="I60" t="s">
        <v>22</v>
      </c>
      <c r="J60" t="s">
        <v>23</v>
      </c>
      <c r="K60">
        <v>384</v>
      </c>
      <c r="L60" s="4">
        <v>11.9714089</v>
      </c>
      <c r="M60" s="4">
        <v>233.00883025472643</v>
      </c>
      <c r="N60" s="4">
        <v>7.1524726942642596E-4</v>
      </c>
      <c r="O60" s="1" t="str">
        <f>HYPERLINK(".\sm_car_240930_1602\sm_car_240930_1602_059_Ca135TrN_MaWOT_ode23t.png","figure")</f>
        <v>figure</v>
      </c>
      <c r="P60" t="s">
        <v>15</v>
      </c>
    </row>
    <row r="61" spans="1:16" x14ac:dyDescent="0.25">
      <c r="A61">
        <v>60</v>
      </c>
      <c r="B61">
        <v>135</v>
      </c>
      <c r="C61" t="s">
        <v>16</v>
      </c>
      <c r="D61" t="s">
        <v>17</v>
      </c>
      <c r="E61" t="s">
        <v>18</v>
      </c>
      <c r="F61" t="s">
        <v>19</v>
      </c>
      <c r="G61" t="s">
        <v>43</v>
      </c>
      <c r="H61" t="s">
        <v>21</v>
      </c>
      <c r="I61" t="s">
        <v>24</v>
      </c>
      <c r="J61" t="s">
        <v>23</v>
      </c>
      <c r="K61">
        <v>515</v>
      </c>
      <c r="L61" s="4">
        <v>13.1816137</v>
      </c>
      <c r="M61" s="4">
        <v>71.766424124983672</v>
      </c>
      <c r="N61" s="4">
        <v>-0.54592198793265156</v>
      </c>
      <c r="O61" s="1" t="str">
        <f>HYPERLINK(".\sm_car_240930_1602\sm_car_240930_1602_060_Ca135TrN_MaLSS_ode23t.png","figure")</f>
        <v>figure</v>
      </c>
      <c r="P61" t="s">
        <v>15</v>
      </c>
    </row>
    <row r="62" spans="1:16" x14ac:dyDescent="0.25">
      <c r="A62">
        <v>61</v>
      </c>
      <c r="B62">
        <v>136</v>
      </c>
      <c r="C62" t="s">
        <v>16</v>
      </c>
      <c r="D62" t="s">
        <v>17</v>
      </c>
      <c r="E62" t="s">
        <v>18</v>
      </c>
      <c r="F62" t="s">
        <v>19</v>
      </c>
      <c r="G62" t="s">
        <v>44</v>
      </c>
      <c r="H62" t="s">
        <v>21</v>
      </c>
      <c r="I62" t="s">
        <v>22</v>
      </c>
      <c r="J62" t="s">
        <v>23</v>
      </c>
      <c r="K62">
        <v>425</v>
      </c>
      <c r="L62" s="4">
        <v>18.144391500000001</v>
      </c>
      <c r="M62" s="4">
        <v>233.12125034284918</v>
      </c>
      <c r="N62" s="4">
        <v>5.8586609603155815E-2</v>
      </c>
      <c r="O62" s="1" t="str">
        <f>HYPERLINK(".\sm_car_240930_1602\sm_car_240930_1602_061_Ca136TrN_MaWOT_ode23t.png","figure")</f>
        <v>figure</v>
      </c>
      <c r="P62" t="s">
        <v>15</v>
      </c>
    </row>
    <row r="63" spans="1:16" x14ac:dyDescent="0.25">
      <c r="A63">
        <v>62</v>
      </c>
      <c r="B63">
        <v>136</v>
      </c>
      <c r="C63" t="s">
        <v>16</v>
      </c>
      <c r="D63" t="s">
        <v>17</v>
      </c>
      <c r="E63" t="s">
        <v>18</v>
      </c>
      <c r="F63" t="s">
        <v>19</v>
      </c>
      <c r="G63" t="s">
        <v>44</v>
      </c>
      <c r="H63" t="s">
        <v>21</v>
      </c>
      <c r="I63" t="s">
        <v>24</v>
      </c>
      <c r="J63" t="s">
        <v>23</v>
      </c>
      <c r="K63">
        <v>514</v>
      </c>
      <c r="L63" s="4">
        <v>19.253132699999998</v>
      </c>
      <c r="M63" s="4">
        <v>71.766903863444796</v>
      </c>
      <c r="N63" s="4">
        <v>-0.54424914676468927</v>
      </c>
      <c r="O63" s="1" t="str">
        <f>HYPERLINK(".\sm_car_240930_1602\sm_car_240930_1602_062_Ca136TrN_MaLSS_ode23t.png","figure")</f>
        <v>figure</v>
      </c>
      <c r="P63" t="s">
        <v>15</v>
      </c>
    </row>
    <row r="64" spans="1:16" x14ac:dyDescent="0.25">
      <c r="A64">
        <v>63</v>
      </c>
      <c r="B64">
        <v>137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21</v>
      </c>
      <c r="I64" t="s">
        <v>22</v>
      </c>
      <c r="J64" t="s">
        <v>23</v>
      </c>
      <c r="K64">
        <v>326</v>
      </c>
      <c r="L64" s="4">
        <v>10.370445500000001</v>
      </c>
      <c r="M64" s="4">
        <v>233.54192661676061</v>
      </c>
      <c r="N64" s="4">
        <v>0.14289264090421597</v>
      </c>
      <c r="O64" s="1" t="str">
        <f>HYPERLINK(".\sm_car_240930_1602\sm_car_240930_1602_063_Ca137TrN_MaWOT_ode23t.png","figure")</f>
        <v>figure</v>
      </c>
      <c r="P64" t="s">
        <v>15</v>
      </c>
    </row>
    <row r="65" spans="1:16" x14ac:dyDescent="0.25">
      <c r="A65">
        <v>64</v>
      </c>
      <c r="B65">
        <v>137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21</v>
      </c>
      <c r="I65" t="s">
        <v>24</v>
      </c>
      <c r="J65" t="s">
        <v>23</v>
      </c>
      <c r="K65">
        <v>475</v>
      </c>
      <c r="L65" s="4">
        <v>11.4219603</v>
      </c>
      <c r="M65" s="4">
        <v>71.797656756031969</v>
      </c>
      <c r="N65" s="4">
        <v>-0.50256499105439056</v>
      </c>
      <c r="O65" s="1" t="str">
        <f>HYPERLINK(".\sm_car_240930_1602\sm_car_240930_1602_064_Ca137TrN_MaLSS_ode23t.png","figure")</f>
        <v>figure</v>
      </c>
      <c r="P65" t="s">
        <v>15</v>
      </c>
    </row>
    <row r="66" spans="1:16" x14ac:dyDescent="0.25">
      <c r="A66">
        <v>65</v>
      </c>
      <c r="B66">
        <v>138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21</v>
      </c>
      <c r="I66" t="s">
        <v>22</v>
      </c>
      <c r="J66" t="s">
        <v>23</v>
      </c>
      <c r="K66">
        <v>322</v>
      </c>
      <c r="L66" s="4">
        <v>13.840698700000001</v>
      </c>
      <c r="M66" s="4">
        <v>233.56809394111403</v>
      </c>
      <c r="N66" s="4">
        <v>0.15369149180942226</v>
      </c>
      <c r="O66" s="1" t="str">
        <f>HYPERLINK(".\sm_car_240930_1602\sm_car_240930_1602_065_Ca138TrN_MaWOT_ode23t.png","figure")</f>
        <v>figure</v>
      </c>
      <c r="P66" t="s">
        <v>15</v>
      </c>
    </row>
    <row r="67" spans="1:16" x14ac:dyDescent="0.25">
      <c r="A67">
        <v>66</v>
      </c>
      <c r="B67">
        <v>138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21</v>
      </c>
      <c r="I67" t="s">
        <v>24</v>
      </c>
      <c r="J67" t="s">
        <v>23</v>
      </c>
      <c r="K67">
        <v>498</v>
      </c>
      <c r="L67" s="4">
        <v>14.9503676</v>
      </c>
      <c r="M67" s="4">
        <v>71.66114414313968</v>
      </c>
      <c r="N67" s="4">
        <v>-0.82735748055790193</v>
      </c>
      <c r="O67" s="1" t="str">
        <f>HYPERLINK(".\sm_car_240930_1602\sm_car_240930_1602_066_Ca138TrN_MaLSS_ode23t.png","figure")</f>
        <v>figure</v>
      </c>
      <c r="P67" t="s">
        <v>15</v>
      </c>
    </row>
    <row r="68" spans="1:16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23</v>
      </c>
      <c r="K68">
        <v>466</v>
      </c>
      <c r="L68" s="4">
        <v>22.228150599999999</v>
      </c>
      <c r="M68" s="4">
        <v>411.81670787122647</v>
      </c>
      <c r="N68" s="4">
        <v>1.583655886966663</v>
      </c>
      <c r="O68" s="1" t="str">
        <f>HYPERLINK(".\sm_car_240930_1602\sm_car_240930_1602_067_Ca139TrN_MaWOT_ode23t.png","figure")</f>
        <v>figure</v>
      </c>
      <c r="P68" t="s">
        <v>15</v>
      </c>
    </row>
    <row r="69" spans="1:16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23</v>
      </c>
      <c r="K69">
        <v>532</v>
      </c>
      <c r="L69" s="4">
        <v>14.968984799999999</v>
      </c>
      <c r="M69" s="4">
        <v>157.27294743597437</v>
      </c>
      <c r="N69" s="4">
        <v>-0.56667416330484921</v>
      </c>
      <c r="O69" s="1" t="str">
        <f>HYPERLINK(".\sm_car_240930_1602\sm_car_240930_1602_068_Ca139TrN_MaLSS_ode23t.png","figure")</f>
        <v>figure</v>
      </c>
      <c r="P69" t="s">
        <v>15</v>
      </c>
    </row>
    <row r="70" spans="1:16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23</v>
      </c>
      <c r="K70">
        <v>1652</v>
      </c>
      <c r="L70" s="4">
        <v>32.676911699999998</v>
      </c>
      <c r="M70" s="4">
        <v>411.78363626214502</v>
      </c>
      <c r="N70" s="4">
        <v>1.5661650088955756</v>
      </c>
      <c r="O70" s="1" t="str">
        <f>HYPERLINK(".\sm_car_240930_1602\sm_car_240930_1602_069_Ca141TrN_MaWOT_ode23t.png","figure")</f>
        <v>figure</v>
      </c>
      <c r="P70" t="s">
        <v>15</v>
      </c>
    </row>
    <row r="71" spans="1:16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23</v>
      </c>
      <c r="K71">
        <v>1709</v>
      </c>
      <c r="L71" s="4">
        <v>26.267674899999999</v>
      </c>
      <c r="M71" s="4">
        <v>157.31390592666503</v>
      </c>
      <c r="N71" s="4">
        <v>-0.5652841192158955</v>
      </c>
      <c r="O71" s="1" t="str">
        <f>HYPERLINK(".\sm_car_240930_1602\sm_car_240930_1602_070_Ca141TrN_MaLSS_ode23t.png","figure")</f>
        <v>figure</v>
      </c>
      <c r="P71" t="s">
        <v>15</v>
      </c>
    </row>
    <row r="72" spans="1:16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23</v>
      </c>
      <c r="K72">
        <v>347</v>
      </c>
      <c r="L72" s="4">
        <v>22.697374</v>
      </c>
      <c r="M72" s="4">
        <v>96.695280715156557</v>
      </c>
      <c r="N72" s="4">
        <v>-4.089263934423748E-2</v>
      </c>
      <c r="O72" s="1" t="str">
        <f>HYPERLINK(".\sm_car_240930_1602\sm_car_240930_1602_071_Ca143TrN_MaWOT_ode23t.png","figure")</f>
        <v>figure</v>
      </c>
      <c r="P72" t="s">
        <v>15</v>
      </c>
    </row>
    <row r="73" spans="1:16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23</v>
      </c>
      <c r="K73">
        <v>448</v>
      </c>
      <c r="L73" s="4">
        <v>23.4376654</v>
      </c>
      <c r="M73" s="4">
        <v>25.169236207858294</v>
      </c>
      <c r="N73" s="4">
        <v>-5.4719281958081442E-2</v>
      </c>
      <c r="O73" s="1" t="str">
        <f>HYPERLINK(".\sm_car_240930_1602\sm_car_240930_1602_072_Ca143TrN_MaLSS_ode23t.png","figure")</f>
        <v>figure</v>
      </c>
      <c r="P73" t="s">
        <v>15</v>
      </c>
    </row>
    <row r="74" spans="1:16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23</v>
      </c>
      <c r="K74">
        <v>331</v>
      </c>
      <c r="L74" s="4">
        <v>16.464394500000001</v>
      </c>
      <c r="M74" s="4">
        <v>115.11955138616108</v>
      </c>
      <c r="N74" s="4">
        <v>0.53239966064873878</v>
      </c>
      <c r="O74" s="1" t="str">
        <f>HYPERLINK(".\sm_car_240930_1602\sm_car_240930_1602_073_Ca144TrN_MaWOT_ode23t.png","figure")</f>
        <v>figure</v>
      </c>
      <c r="P74" t="s">
        <v>15</v>
      </c>
    </row>
    <row r="75" spans="1:16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23</v>
      </c>
      <c r="K75">
        <v>457</v>
      </c>
      <c r="L75" s="4">
        <v>16.944720199999999</v>
      </c>
      <c r="M75" s="4">
        <v>35.861014778480005</v>
      </c>
      <c r="N75" s="4">
        <v>-3.5324008466584247E-2</v>
      </c>
      <c r="O75" s="1" t="str">
        <f>HYPERLINK(".\sm_car_240930_1602\sm_car_240930_1602_074_Ca144TrN_MaLSS_ode23t.png","figure")</f>
        <v>figure</v>
      </c>
      <c r="P75" t="s">
        <v>15</v>
      </c>
    </row>
    <row r="76" spans="1:16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23</v>
      </c>
      <c r="K76">
        <v>2390</v>
      </c>
      <c r="L76" s="4">
        <v>33.433266199999998</v>
      </c>
      <c r="M76" s="4">
        <v>401.13532859414261</v>
      </c>
      <c r="N76" s="4">
        <v>-66.564074082518957</v>
      </c>
      <c r="O76" s="1" t="str">
        <f>HYPERLINK(".\sm_car_240930_1602\sm_car_240930_1602_075_Ca147TrN_MaWOT_ode23t.png","figure")</f>
        <v>figure</v>
      </c>
      <c r="P76" t="s">
        <v>15</v>
      </c>
    </row>
    <row r="77" spans="1:16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23</v>
      </c>
      <c r="K77">
        <v>1261</v>
      </c>
      <c r="L77" s="4">
        <v>22.7861455</v>
      </c>
      <c r="M77" s="4">
        <v>155.47063386926305</v>
      </c>
      <c r="N77" s="4">
        <v>-2.7149896556548523</v>
      </c>
      <c r="O77" s="1" t="str">
        <f>HYPERLINK(".\sm_car_240930_1602\sm_car_240930_1602_076_Ca147TrN_MaLSS_ode23t.png","figure")</f>
        <v>figure</v>
      </c>
      <c r="P77" t="s">
        <v>15</v>
      </c>
    </row>
    <row r="78" spans="1:16" x14ac:dyDescent="0.25">
      <c r="A78">
        <v>77</v>
      </c>
      <c r="B78">
        <v>183</v>
      </c>
      <c r="C78" t="s">
        <v>105</v>
      </c>
      <c r="D78" t="s">
        <v>106</v>
      </c>
      <c r="E78" t="s">
        <v>18</v>
      </c>
      <c r="F78" t="s">
        <v>19</v>
      </c>
      <c r="G78" t="s">
        <v>20</v>
      </c>
      <c r="H78" t="s">
        <v>21</v>
      </c>
      <c r="I78" t="s">
        <v>22</v>
      </c>
      <c r="J78" t="s">
        <v>23</v>
      </c>
      <c r="K78">
        <v>512</v>
      </c>
      <c r="L78" s="4">
        <v>31.817497299999999</v>
      </c>
      <c r="M78" s="4">
        <v>184.55649445622737</v>
      </c>
      <c r="N78" s="4">
        <v>-1.6220980619849131E-3</v>
      </c>
      <c r="O78" s="1" t="str">
        <f>HYPERLINK(".\sm_car_240930_1602\sm_car_240930_1602_077_Ca183TrN_MaWOT_ode23t.png","figure")</f>
        <v>figure</v>
      </c>
      <c r="P78" t="s">
        <v>15</v>
      </c>
    </row>
    <row r="79" spans="1:16" x14ac:dyDescent="0.25">
      <c r="A79">
        <v>78</v>
      </c>
      <c r="B79">
        <v>183</v>
      </c>
      <c r="C79" t="s">
        <v>105</v>
      </c>
      <c r="D79" t="s">
        <v>106</v>
      </c>
      <c r="E79" t="s">
        <v>18</v>
      </c>
      <c r="F79" t="s">
        <v>19</v>
      </c>
      <c r="G79" t="s">
        <v>20</v>
      </c>
      <c r="H79" t="s">
        <v>21</v>
      </c>
      <c r="I79" t="s">
        <v>24</v>
      </c>
      <c r="J79" t="s">
        <v>23</v>
      </c>
      <c r="K79">
        <v>833</v>
      </c>
      <c r="L79" s="4">
        <v>37.849119000000002</v>
      </c>
      <c r="M79" s="4">
        <v>57.652264303491805</v>
      </c>
      <c r="N79" s="4">
        <v>9.5090308782148095E-2</v>
      </c>
      <c r="O79" s="1" t="str">
        <f>HYPERLINK(".\sm_car_240930_1602\sm_car_240930_1602_078_Ca183TrN_MaLSS_ode23t.png","figure")</f>
        <v>figure</v>
      </c>
      <c r="P79" t="s">
        <v>15</v>
      </c>
    </row>
    <row r="80" spans="1:16" x14ac:dyDescent="0.25">
      <c r="A80">
        <v>79</v>
      </c>
      <c r="B80">
        <v>8</v>
      </c>
      <c r="C80" t="s">
        <v>16</v>
      </c>
      <c r="D80" t="s">
        <v>17</v>
      </c>
      <c r="E80" t="s">
        <v>49</v>
      </c>
      <c r="F80" t="s">
        <v>19</v>
      </c>
      <c r="G80" t="s">
        <v>20</v>
      </c>
      <c r="H80" t="s">
        <v>21</v>
      </c>
      <c r="I80" t="s">
        <v>22</v>
      </c>
      <c r="J80" t="s">
        <v>23</v>
      </c>
      <c r="K80">
        <v>385</v>
      </c>
      <c r="L80" s="4">
        <v>16.203595799999999</v>
      </c>
      <c r="M80" s="4">
        <v>233.91179213146418</v>
      </c>
      <c r="N80" s="4">
        <v>9.2316217452707554E-3</v>
      </c>
      <c r="O80" s="1" t="str">
        <f>HYPERLINK(".\sm_car_240930_1602\sm_car_240930_1602_079_Ca008TrN_MaWOT_ode23t_1.png","figure")</f>
        <v>figure</v>
      </c>
      <c r="P80" t="s">
        <v>15</v>
      </c>
    </row>
    <row r="81" spans="1:16" x14ac:dyDescent="0.25">
      <c r="A81">
        <v>80</v>
      </c>
      <c r="B81">
        <v>8</v>
      </c>
      <c r="C81" t="s">
        <v>16</v>
      </c>
      <c r="D81" t="s">
        <v>17</v>
      </c>
      <c r="E81" t="s">
        <v>49</v>
      </c>
      <c r="F81" t="s">
        <v>19</v>
      </c>
      <c r="G81" t="s">
        <v>20</v>
      </c>
      <c r="H81" t="s">
        <v>21</v>
      </c>
      <c r="I81" t="s">
        <v>24</v>
      </c>
      <c r="J81" t="s">
        <v>23</v>
      </c>
      <c r="K81">
        <v>551</v>
      </c>
      <c r="L81" s="4">
        <v>19.624174400000001</v>
      </c>
      <c r="M81" s="4">
        <v>72.061196180369066</v>
      </c>
      <c r="N81" s="4">
        <v>-0.54985421126536338</v>
      </c>
      <c r="O81" s="1" t="str">
        <f>HYPERLINK(".\sm_car_240930_1602\sm_car_240930_1602_080_Ca008TrN_MaLSS_ode23t_1.png","figure")</f>
        <v>figure</v>
      </c>
      <c r="P81" t="s">
        <v>15</v>
      </c>
    </row>
    <row r="82" spans="1:16" x14ac:dyDescent="0.25">
      <c r="A82">
        <v>81</v>
      </c>
      <c r="B82">
        <v>9</v>
      </c>
      <c r="C82" t="s">
        <v>16</v>
      </c>
      <c r="D82" t="s">
        <v>17</v>
      </c>
      <c r="E82" t="s">
        <v>49</v>
      </c>
      <c r="F82" t="s">
        <v>19</v>
      </c>
      <c r="G82" t="s">
        <v>25</v>
      </c>
      <c r="H82" t="s">
        <v>21</v>
      </c>
      <c r="I82" t="s">
        <v>22</v>
      </c>
      <c r="J82" t="s">
        <v>23</v>
      </c>
      <c r="K82">
        <v>374</v>
      </c>
      <c r="L82" s="4">
        <v>18.234996500000001</v>
      </c>
      <c r="M82" s="4">
        <v>233.11899208289591</v>
      </c>
      <c r="N82" s="4">
        <v>1.0382755986476247E-3</v>
      </c>
      <c r="O82" s="1" t="str">
        <f>HYPERLINK(".\sm_car_240930_1602\sm_car_240930_1602_081_Ca009TrN_MaWOT_ode23t_1.png","figure")</f>
        <v>figure</v>
      </c>
      <c r="P82" t="s">
        <v>15</v>
      </c>
    </row>
    <row r="83" spans="1:16" x14ac:dyDescent="0.25">
      <c r="A83">
        <v>82</v>
      </c>
      <c r="B83">
        <v>9</v>
      </c>
      <c r="C83" t="s">
        <v>16</v>
      </c>
      <c r="D83" t="s">
        <v>17</v>
      </c>
      <c r="E83" t="s">
        <v>49</v>
      </c>
      <c r="F83" t="s">
        <v>19</v>
      </c>
      <c r="G83" t="s">
        <v>25</v>
      </c>
      <c r="H83" t="s">
        <v>21</v>
      </c>
      <c r="I83" t="s">
        <v>24</v>
      </c>
      <c r="J83" t="s">
        <v>23</v>
      </c>
      <c r="K83">
        <v>531</v>
      </c>
      <c r="L83" s="4">
        <v>21.755742699999999</v>
      </c>
      <c r="M83" s="4">
        <v>71.7737461902597</v>
      </c>
      <c r="N83" s="4">
        <v>-0.54069885906190351</v>
      </c>
      <c r="O83" s="1" t="str">
        <f>HYPERLINK(".\sm_car_240930_1602\sm_car_240930_1602_082_Ca009TrN_MaLSS_ode23t_1.png","figure")</f>
        <v>figure</v>
      </c>
      <c r="P83" t="s">
        <v>15</v>
      </c>
    </row>
    <row r="84" spans="1:16" x14ac:dyDescent="0.25">
      <c r="A84">
        <v>83</v>
      </c>
      <c r="B84">
        <v>10</v>
      </c>
      <c r="C84" t="s">
        <v>16</v>
      </c>
      <c r="D84" t="s">
        <v>17</v>
      </c>
      <c r="E84" t="s">
        <v>49</v>
      </c>
      <c r="F84" t="s">
        <v>19</v>
      </c>
      <c r="G84" t="s">
        <v>26</v>
      </c>
      <c r="H84" t="s">
        <v>21</v>
      </c>
      <c r="I84" t="s">
        <v>22</v>
      </c>
      <c r="J84" t="s">
        <v>23</v>
      </c>
      <c r="K84">
        <v>385</v>
      </c>
      <c r="L84" s="4">
        <v>20.369920799999999</v>
      </c>
      <c r="M84" s="4">
        <v>232.79255592639782</v>
      </c>
      <c r="N84" s="4">
        <v>6.9445632170213711E-2</v>
      </c>
      <c r="O84" s="1" t="str">
        <f>HYPERLINK(".\sm_car_240930_1602\sm_car_240930_1602_083_Ca010TrN_MaWOT_ode23t_1.png","figure")</f>
        <v>figure</v>
      </c>
      <c r="P84" t="s">
        <v>15</v>
      </c>
    </row>
    <row r="85" spans="1:16" x14ac:dyDescent="0.25">
      <c r="A85">
        <v>84</v>
      </c>
      <c r="B85">
        <v>10</v>
      </c>
      <c r="C85" t="s">
        <v>16</v>
      </c>
      <c r="D85" t="s">
        <v>17</v>
      </c>
      <c r="E85" t="s">
        <v>49</v>
      </c>
      <c r="F85" t="s">
        <v>19</v>
      </c>
      <c r="G85" t="s">
        <v>26</v>
      </c>
      <c r="H85" t="s">
        <v>21</v>
      </c>
      <c r="I85" t="s">
        <v>24</v>
      </c>
      <c r="J85" t="s">
        <v>23</v>
      </c>
      <c r="K85">
        <v>547</v>
      </c>
      <c r="L85" s="4">
        <v>25.5336502</v>
      </c>
      <c r="M85" s="4">
        <v>71.766582485456453</v>
      </c>
      <c r="N85" s="4">
        <v>-0.53934151528744922</v>
      </c>
      <c r="O85" s="1" t="str">
        <f>HYPERLINK(".\sm_car_240930_1602\sm_car_240930_1602_084_Ca010TrN_MaLSS_ode23t_1.png","figure")</f>
        <v>figure</v>
      </c>
      <c r="P85" t="s">
        <v>15</v>
      </c>
    </row>
    <row r="86" spans="1:16" x14ac:dyDescent="0.25">
      <c r="A86">
        <v>85</v>
      </c>
      <c r="B86">
        <v>11</v>
      </c>
      <c r="C86" t="s">
        <v>16</v>
      </c>
      <c r="D86" t="s">
        <v>17</v>
      </c>
      <c r="E86" t="s">
        <v>49</v>
      </c>
      <c r="F86" t="s">
        <v>19</v>
      </c>
      <c r="G86" t="s">
        <v>27</v>
      </c>
      <c r="H86" t="s">
        <v>21</v>
      </c>
      <c r="I86" t="s">
        <v>22</v>
      </c>
      <c r="J86" t="s">
        <v>23</v>
      </c>
      <c r="K86">
        <v>421</v>
      </c>
      <c r="L86" s="4">
        <v>21.142674800000002</v>
      </c>
      <c r="M86" s="4">
        <v>232.57945992270939</v>
      </c>
      <c r="N86" s="4">
        <v>6.7143553702427583E-2</v>
      </c>
      <c r="O86" s="1" t="str">
        <f>HYPERLINK(".\sm_car_240930_1602\sm_car_240930_1602_085_Ca011TrN_MaWOT_ode23t_1.png","figure")</f>
        <v>figure</v>
      </c>
      <c r="P86" t="s">
        <v>15</v>
      </c>
    </row>
    <row r="87" spans="1:16" x14ac:dyDescent="0.25">
      <c r="A87">
        <v>86</v>
      </c>
      <c r="B87">
        <v>11</v>
      </c>
      <c r="C87" t="s">
        <v>16</v>
      </c>
      <c r="D87" t="s">
        <v>17</v>
      </c>
      <c r="E87" t="s">
        <v>49</v>
      </c>
      <c r="F87" t="s">
        <v>19</v>
      </c>
      <c r="G87" t="s">
        <v>27</v>
      </c>
      <c r="H87" t="s">
        <v>21</v>
      </c>
      <c r="I87" t="s">
        <v>24</v>
      </c>
      <c r="J87" t="s">
        <v>23</v>
      </c>
      <c r="K87">
        <v>580</v>
      </c>
      <c r="L87" s="4">
        <v>26.1663283</v>
      </c>
      <c r="M87" s="4">
        <v>71.63413048937511</v>
      </c>
      <c r="N87" s="4">
        <v>-0.53441741191589098</v>
      </c>
      <c r="O87" s="1" t="str">
        <f>HYPERLINK(".\sm_car_240930_1602\sm_car_240930_1602_086_Ca011TrN_MaLSS_ode23t_1.png","figure")</f>
        <v>figure</v>
      </c>
      <c r="P87" t="s">
        <v>15</v>
      </c>
    </row>
    <row r="88" spans="1:16" x14ac:dyDescent="0.25">
      <c r="A88">
        <v>87</v>
      </c>
      <c r="B88">
        <v>12</v>
      </c>
      <c r="C88" t="s">
        <v>16</v>
      </c>
      <c r="D88" t="s">
        <v>17</v>
      </c>
      <c r="E88" t="s">
        <v>49</v>
      </c>
      <c r="F88" t="s">
        <v>28</v>
      </c>
      <c r="G88" t="s">
        <v>20</v>
      </c>
      <c r="H88" t="s">
        <v>21</v>
      </c>
      <c r="I88" t="s">
        <v>22</v>
      </c>
      <c r="J88" t="s">
        <v>23</v>
      </c>
      <c r="K88">
        <v>838</v>
      </c>
      <c r="L88" s="4">
        <v>18.493373299999998</v>
      </c>
      <c r="M88" s="4">
        <v>234.07916109187821</v>
      </c>
      <c r="N88" s="4">
        <v>9.9313976732652576E-3</v>
      </c>
      <c r="O88" s="1" t="str">
        <f>HYPERLINK(".\sm_car_240930_1602\sm_car_240930_1602_087_Ca012TrN_MaWOT_ode23t_1.png","figure")</f>
        <v>figure</v>
      </c>
      <c r="P88" t="s">
        <v>15</v>
      </c>
    </row>
    <row r="89" spans="1:16" x14ac:dyDescent="0.25">
      <c r="A89">
        <v>88</v>
      </c>
      <c r="B89">
        <v>12</v>
      </c>
      <c r="C89" t="s">
        <v>16</v>
      </c>
      <c r="D89" t="s">
        <v>17</v>
      </c>
      <c r="E89" t="s">
        <v>49</v>
      </c>
      <c r="F89" t="s">
        <v>28</v>
      </c>
      <c r="G89" t="s">
        <v>20</v>
      </c>
      <c r="H89" t="s">
        <v>21</v>
      </c>
      <c r="I89" t="s">
        <v>24</v>
      </c>
      <c r="J89" t="s">
        <v>23</v>
      </c>
      <c r="K89">
        <v>970</v>
      </c>
      <c r="L89" s="4">
        <v>22.0214727</v>
      </c>
      <c r="M89" s="4">
        <v>72.056643652602361</v>
      </c>
      <c r="N89" s="4">
        <v>-0.55812743815189014</v>
      </c>
      <c r="O89" s="1" t="str">
        <f>HYPERLINK(".\sm_car_240930_1602\sm_car_240930_1602_088_Ca012TrN_MaLSS_ode23t_1.png","figure")</f>
        <v>figure</v>
      </c>
      <c r="P89" t="s">
        <v>15</v>
      </c>
    </row>
    <row r="90" spans="1:16" x14ac:dyDescent="0.25">
      <c r="A90">
        <v>89</v>
      </c>
      <c r="B90">
        <v>13</v>
      </c>
      <c r="C90" t="s">
        <v>16</v>
      </c>
      <c r="D90" t="s">
        <v>17</v>
      </c>
      <c r="E90" t="s">
        <v>49</v>
      </c>
      <c r="F90" t="s">
        <v>28</v>
      </c>
      <c r="G90" t="s">
        <v>25</v>
      </c>
      <c r="H90" t="s">
        <v>21</v>
      </c>
      <c r="I90" t="s">
        <v>22</v>
      </c>
      <c r="J90" t="s">
        <v>23</v>
      </c>
      <c r="K90">
        <v>832</v>
      </c>
      <c r="L90" s="4">
        <v>20.700377499999998</v>
      </c>
      <c r="M90" s="4">
        <v>233.0528199263681</v>
      </c>
      <c r="N90" s="4">
        <v>1.5169706731430498E-3</v>
      </c>
      <c r="O90" s="1" t="str">
        <f>HYPERLINK(".\sm_car_240930_1602\sm_car_240930_1602_089_Ca013TrN_MaWOT_ode23t_1.png","figure")</f>
        <v>figure</v>
      </c>
      <c r="P90" t="s">
        <v>15</v>
      </c>
    </row>
    <row r="91" spans="1:16" x14ac:dyDescent="0.25">
      <c r="A91">
        <v>90</v>
      </c>
      <c r="B91">
        <v>13</v>
      </c>
      <c r="C91" t="s">
        <v>16</v>
      </c>
      <c r="D91" t="s">
        <v>17</v>
      </c>
      <c r="E91" t="s">
        <v>49</v>
      </c>
      <c r="F91" t="s">
        <v>28</v>
      </c>
      <c r="G91" t="s">
        <v>25</v>
      </c>
      <c r="H91" t="s">
        <v>21</v>
      </c>
      <c r="I91" t="s">
        <v>24</v>
      </c>
      <c r="J91" t="s">
        <v>23</v>
      </c>
      <c r="K91">
        <v>958</v>
      </c>
      <c r="L91" s="4">
        <v>24.460917999999999</v>
      </c>
      <c r="M91" s="4">
        <v>71.762483661602303</v>
      </c>
      <c r="N91" s="4">
        <v>-0.55093590847012464</v>
      </c>
      <c r="O91" s="1" t="str">
        <f>HYPERLINK(".\sm_car_240930_1602\sm_car_240930_1602_090_Ca013TrN_MaLSS_ode23t_1.png","figure")</f>
        <v>figure</v>
      </c>
      <c r="P91" t="s">
        <v>15</v>
      </c>
    </row>
    <row r="92" spans="1:16" x14ac:dyDescent="0.25">
      <c r="A92">
        <v>91</v>
      </c>
      <c r="B92">
        <v>14</v>
      </c>
      <c r="C92" t="s">
        <v>16</v>
      </c>
      <c r="D92" t="s">
        <v>17</v>
      </c>
      <c r="E92" t="s">
        <v>49</v>
      </c>
      <c r="F92" t="s">
        <v>28</v>
      </c>
      <c r="G92" t="s">
        <v>26</v>
      </c>
      <c r="H92" t="s">
        <v>21</v>
      </c>
      <c r="I92" t="s">
        <v>22</v>
      </c>
      <c r="J92" t="s">
        <v>23</v>
      </c>
      <c r="K92">
        <v>857</v>
      </c>
      <c r="L92" s="4">
        <v>18.875528599999999</v>
      </c>
      <c r="M92" s="4">
        <v>232.90465609791562</v>
      </c>
      <c r="N92" s="4">
        <v>6.998356572550346E-2</v>
      </c>
      <c r="O92" s="1" t="str">
        <f>HYPERLINK(".\sm_car_240930_1602\sm_car_240930_1602_091_Ca014TrN_MaWOT_ode23t_1.png","figure")</f>
        <v>figure</v>
      </c>
      <c r="P92" t="s">
        <v>15</v>
      </c>
    </row>
    <row r="93" spans="1:16" x14ac:dyDescent="0.25">
      <c r="A93">
        <v>92</v>
      </c>
      <c r="B93">
        <v>14</v>
      </c>
      <c r="C93" t="s">
        <v>16</v>
      </c>
      <c r="D93" t="s">
        <v>17</v>
      </c>
      <c r="E93" t="s">
        <v>49</v>
      </c>
      <c r="F93" t="s">
        <v>28</v>
      </c>
      <c r="G93" t="s">
        <v>26</v>
      </c>
      <c r="H93" t="s">
        <v>21</v>
      </c>
      <c r="I93" t="s">
        <v>24</v>
      </c>
      <c r="J93" t="s">
        <v>23</v>
      </c>
      <c r="K93">
        <v>1002</v>
      </c>
      <c r="L93" s="4">
        <v>25.292665100000001</v>
      </c>
      <c r="M93" s="4">
        <v>71.766776259178201</v>
      </c>
      <c r="N93" s="4">
        <v>-0.54437020635539635</v>
      </c>
      <c r="O93" s="1" t="str">
        <f>HYPERLINK(".\sm_car_240930_1602\sm_car_240930_1602_092_Ca014TrN_MaLSS_ode23t_1.png","figure")</f>
        <v>figure</v>
      </c>
      <c r="P93" t="s">
        <v>15</v>
      </c>
    </row>
    <row r="94" spans="1:16" x14ac:dyDescent="0.25">
      <c r="A94">
        <v>93</v>
      </c>
      <c r="B94">
        <v>15</v>
      </c>
      <c r="C94" t="s">
        <v>16</v>
      </c>
      <c r="D94" t="s">
        <v>17</v>
      </c>
      <c r="E94" t="s">
        <v>49</v>
      </c>
      <c r="F94" t="s">
        <v>28</v>
      </c>
      <c r="G94" t="s">
        <v>27</v>
      </c>
      <c r="H94" t="s">
        <v>21</v>
      </c>
      <c r="I94" t="s">
        <v>22</v>
      </c>
      <c r="J94" t="s">
        <v>23</v>
      </c>
      <c r="K94">
        <v>863</v>
      </c>
      <c r="L94" s="4">
        <v>21.540054900000001</v>
      </c>
      <c r="M94" s="4">
        <v>232.2921149656751</v>
      </c>
      <c r="N94" s="4">
        <v>6.6937717999804885E-2</v>
      </c>
      <c r="O94" s="1" t="str">
        <f>HYPERLINK(".\sm_car_240930_1602\sm_car_240930_1602_093_Ca015TrN_MaWOT_ode23t_1.png","figure")</f>
        <v>figure</v>
      </c>
      <c r="P94" t="s">
        <v>15</v>
      </c>
    </row>
    <row r="95" spans="1:16" x14ac:dyDescent="0.25">
      <c r="A95">
        <v>94</v>
      </c>
      <c r="B95">
        <v>15</v>
      </c>
      <c r="C95" t="s">
        <v>16</v>
      </c>
      <c r="D95" t="s">
        <v>17</v>
      </c>
      <c r="E95" t="s">
        <v>49</v>
      </c>
      <c r="F95" t="s">
        <v>28</v>
      </c>
      <c r="G95" t="s">
        <v>27</v>
      </c>
      <c r="H95" t="s">
        <v>21</v>
      </c>
      <c r="I95" t="s">
        <v>24</v>
      </c>
      <c r="J95" t="s">
        <v>23</v>
      </c>
      <c r="K95">
        <v>1025</v>
      </c>
      <c r="L95" s="4">
        <v>26.738043699999999</v>
      </c>
      <c r="M95" s="4">
        <v>71.62512871550031</v>
      </c>
      <c r="N95" s="4">
        <v>-0.54536077794517346</v>
      </c>
      <c r="O95" s="1" t="str">
        <f>HYPERLINK(".\sm_car_240930_1602\sm_car_240930_1602_094_Ca015TrN_MaLSS_ode23t_1.png","figure")</f>
        <v>figure</v>
      </c>
      <c r="P95" t="s">
        <v>15</v>
      </c>
    </row>
    <row r="96" spans="1:16" x14ac:dyDescent="0.25">
      <c r="A96">
        <v>95</v>
      </c>
      <c r="B96">
        <v>120</v>
      </c>
      <c r="C96" t="s">
        <v>16</v>
      </c>
      <c r="D96" t="s">
        <v>35</v>
      </c>
      <c r="E96" t="s">
        <v>49</v>
      </c>
      <c r="F96" t="s">
        <v>19</v>
      </c>
      <c r="G96" t="s">
        <v>20</v>
      </c>
      <c r="H96" t="s">
        <v>21</v>
      </c>
      <c r="I96" t="s">
        <v>22</v>
      </c>
      <c r="J96" t="s">
        <v>23</v>
      </c>
      <c r="K96">
        <v>399</v>
      </c>
      <c r="L96" s="4">
        <v>5.5674577999999997</v>
      </c>
      <c r="M96" s="4">
        <v>242.70172474205535</v>
      </c>
      <c r="N96" s="4">
        <v>0.23218529214587894</v>
      </c>
      <c r="O96" s="1" t="str">
        <f>HYPERLINK(".\sm_car_240930_1602\sm_car_240930_1602_095_Ca120TrN_MaWOT_ode23t_1.png","figure")</f>
        <v>figure</v>
      </c>
      <c r="P96" t="s">
        <v>15</v>
      </c>
    </row>
    <row r="97" spans="1:16" x14ac:dyDescent="0.25">
      <c r="A97">
        <v>96</v>
      </c>
      <c r="B97">
        <v>120</v>
      </c>
      <c r="C97" t="s">
        <v>16</v>
      </c>
      <c r="D97" t="s">
        <v>35</v>
      </c>
      <c r="E97" t="s">
        <v>49</v>
      </c>
      <c r="F97" t="s">
        <v>19</v>
      </c>
      <c r="G97" t="s">
        <v>20</v>
      </c>
      <c r="H97" t="s">
        <v>21</v>
      </c>
      <c r="I97" t="s">
        <v>24</v>
      </c>
      <c r="J97" t="s">
        <v>23</v>
      </c>
      <c r="K97">
        <v>494</v>
      </c>
      <c r="L97" s="4">
        <v>6.0283689000000003</v>
      </c>
      <c r="M97" s="4">
        <v>74.685134429266526</v>
      </c>
      <c r="N97" s="4">
        <v>-0.33779887211627302</v>
      </c>
      <c r="O97" s="1" t="str">
        <f>HYPERLINK(".\sm_car_240930_1602\sm_car_240930_1602_096_Ca120TrN_MaLSS_ode23t_1.png","figure")</f>
        <v>figure</v>
      </c>
      <c r="P97" t="s">
        <v>15</v>
      </c>
    </row>
    <row r="98" spans="1:16" x14ac:dyDescent="0.25">
      <c r="A98">
        <v>97</v>
      </c>
      <c r="B98">
        <v>121</v>
      </c>
      <c r="C98" t="s">
        <v>16</v>
      </c>
      <c r="D98" t="s">
        <v>35</v>
      </c>
      <c r="E98" t="s">
        <v>49</v>
      </c>
      <c r="F98" t="s">
        <v>19</v>
      </c>
      <c r="G98" t="s">
        <v>25</v>
      </c>
      <c r="H98" t="s">
        <v>21</v>
      </c>
      <c r="I98" t="s">
        <v>22</v>
      </c>
      <c r="J98" t="s">
        <v>23</v>
      </c>
      <c r="K98">
        <v>394</v>
      </c>
      <c r="L98" s="4">
        <v>6.4470694000000002</v>
      </c>
      <c r="M98" s="4">
        <v>241.5143726318114</v>
      </c>
      <c r="N98" s="4">
        <v>0.22862728605053528</v>
      </c>
      <c r="O98" s="1" t="str">
        <f>HYPERLINK(".\sm_car_240930_1602\sm_car_240930_1602_097_Ca121TrN_MaWOT_ode23t_1.png","figure")</f>
        <v>figure</v>
      </c>
      <c r="P98" t="s">
        <v>15</v>
      </c>
    </row>
    <row r="99" spans="1:16" x14ac:dyDescent="0.25">
      <c r="A99">
        <v>98</v>
      </c>
      <c r="B99">
        <v>121</v>
      </c>
      <c r="C99" t="s">
        <v>16</v>
      </c>
      <c r="D99" t="s">
        <v>35</v>
      </c>
      <c r="E99" t="s">
        <v>49</v>
      </c>
      <c r="F99" t="s">
        <v>19</v>
      </c>
      <c r="G99" t="s">
        <v>25</v>
      </c>
      <c r="H99" t="s">
        <v>21</v>
      </c>
      <c r="I99" t="s">
        <v>24</v>
      </c>
      <c r="J99" t="s">
        <v>23</v>
      </c>
      <c r="K99">
        <v>521</v>
      </c>
      <c r="L99" s="4">
        <v>7.2219096</v>
      </c>
      <c r="M99" s="4">
        <v>74.365125365938397</v>
      </c>
      <c r="N99" s="4">
        <v>-0.33361272533874831</v>
      </c>
      <c r="O99" s="1" t="str">
        <f>HYPERLINK(".\sm_car_240930_1602\sm_car_240930_1602_098_Ca121TrN_MaLSS_ode23t_1.png","figure")</f>
        <v>figure</v>
      </c>
      <c r="P99" t="s">
        <v>15</v>
      </c>
    </row>
    <row r="100" spans="1:16" x14ac:dyDescent="0.25">
      <c r="A100">
        <v>99</v>
      </c>
      <c r="B100">
        <v>122</v>
      </c>
      <c r="C100" t="s">
        <v>16</v>
      </c>
      <c r="D100" t="s">
        <v>35</v>
      </c>
      <c r="E100" t="s">
        <v>49</v>
      </c>
      <c r="F100" t="s">
        <v>19</v>
      </c>
      <c r="G100" t="s">
        <v>26</v>
      </c>
      <c r="H100" t="s">
        <v>21</v>
      </c>
      <c r="I100" t="s">
        <v>22</v>
      </c>
      <c r="J100" t="s">
        <v>23</v>
      </c>
      <c r="K100">
        <v>411</v>
      </c>
      <c r="L100" s="4">
        <v>7.4413143000000002</v>
      </c>
      <c r="M100" s="4">
        <v>241.62078870006127</v>
      </c>
      <c r="N100" s="4">
        <v>0.22848057284632906</v>
      </c>
      <c r="O100" s="1" t="str">
        <f>HYPERLINK(".\sm_car_240930_1602\sm_car_240930_1602_099_Ca122TrN_MaWOT_ode23t_1.png","figure")</f>
        <v>figure</v>
      </c>
      <c r="P100" t="s">
        <v>15</v>
      </c>
    </row>
    <row r="101" spans="1:16" x14ac:dyDescent="0.25">
      <c r="A101">
        <v>100</v>
      </c>
      <c r="B101">
        <v>122</v>
      </c>
      <c r="C101" t="s">
        <v>16</v>
      </c>
      <c r="D101" t="s">
        <v>35</v>
      </c>
      <c r="E101" t="s">
        <v>49</v>
      </c>
      <c r="F101" t="s">
        <v>19</v>
      </c>
      <c r="G101" t="s">
        <v>26</v>
      </c>
      <c r="H101" t="s">
        <v>21</v>
      </c>
      <c r="I101" t="s">
        <v>24</v>
      </c>
      <c r="J101" t="s">
        <v>23</v>
      </c>
      <c r="K101">
        <v>530</v>
      </c>
      <c r="L101" s="4">
        <v>8.1484509999999997</v>
      </c>
      <c r="M101" s="4">
        <v>74.371013019969268</v>
      </c>
      <c r="N101" s="4">
        <v>-0.32585417450690868</v>
      </c>
      <c r="O101" s="1" t="str">
        <f>HYPERLINK(".\sm_car_240930_1602\sm_car_240930_1602_100_Ca122TrN_MaLSS_ode23t_1.png","figure")</f>
        <v>figure</v>
      </c>
      <c r="P101" t="s">
        <v>15</v>
      </c>
    </row>
    <row r="102" spans="1:16" x14ac:dyDescent="0.25">
      <c r="A102">
        <v>101</v>
      </c>
      <c r="B102">
        <v>123</v>
      </c>
      <c r="C102" t="s">
        <v>16</v>
      </c>
      <c r="D102" t="s">
        <v>35</v>
      </c>
      <c r="E102" t="s">
        <v>49</v>
      </c>
      <c r="F102" t="s">
        <v>19</v>
      </c>
      <c r="G102" t="s">
        <v>27</v>
      </c>
      <c r="H102" t="s">
        <v>21</v>
      </c>
      <c r="I102" t="s">
        <v>22</v>
      </c>
      <c r="J102" t="s">
        <v>23</v>
      </c>
      <c r="K102">
        <v>430</v>
      </c>
      <c r="L102" s="4">
        <v>7.4798396</v>
      </c>
      <c r="M102" s="4">
        <v>241.12586499904029</v>
      </c>
      <c r="N102" s="4">
        <v>0.22644563614658994</v>
      </c>
      <c r="O102" s="1" t="str">
        <f>HYPERLINK(".\sm_car_240930_1602\sm_car_240930_1602_101_Ca123TrN_MaWOT_ode23t_1.png","figure")</f>
        <v>figure</v>
      </c>
      <c r="P102" t="s">
        <v>15</v>
      </c>
    </row>
    <row r="103" spans="1:16" x14ac:dyDescent="0.25">
      <c r="A103">
        <v>102</v>
      </c>
      <c r="B103">
        <v>123</v>
      </c>
      <c r="C103" t="s">
        <v>16</v>
      </c>
      <c r="D103" t="s">
        <v>35</v>
      </c>
      <c r="E103" t="s">
        <v>49</v>
      </c>
      <c r="F103" t="s">
        <v>19</v>
      </c>
      <c r="G103" t="s">
        <v>27</v>
      </c>
      <c r="H103" t="s">
        <v>21</v>
      </c>
      <c r="I103" t="s">
        <v>24</v>
      </c>
      <c r="J103" t="s">
        <v>23</v>
      </c>
      <c r="K103">
        <v>554</v>
      </c>
      <c r="L103" s="4">
        <v>8.3714876999999994</v>
      </c>
      <c r="M103" s="4">
        <v>74.221341407014563</v>
      </c>
      <c r="N103" s="4">
        <v>-0.33284037848640347</v>
      </c>
      <c r="O103" s="1" t="str">
        <f>HYPERLINK(".\sm_car_240930_1602\sm_car_240930_1602_102_Ca123TrN_MaLSS_ode23t_1.png","figure")</f>
        <v>figure</v>
      </c>
      <c r="P103" t="s">
        <v>15</v>
      </c>
    </row>
    <row r="104" spans="1:16" x14ac:dyDescent="0.25">
      <c r="A104">
        <v>103</v>
      </c>
      <c r="B104">
        <v>124</v>
      </c>
      <c r="C104" t="s">
        <v>16</v>
      </c>
      <c r="D104" t="s">
        <v>35</v>
      </c>
      <c r="E104" t="s">
        <v>49</v>
      </c>
      <c r="F104" t="s">
        <v>28</v>
      </c>
      <c r="G104" t="s">
        <v>20</v>
      </c>
      <c r="H104" t="s">
        <v>21</v>
      </c>
      <c r="I104" t="s">
        <v>22</v>
      </c>
      <c r="J104" t="s">
        <v>23</v>
      </c>
      <c r="K104">
        <v>1011</v>
      </c>
      <c r="L104" s="4">
        <v>7.1681447</v>
      </c>
      <c r="M104" s="4">
        <v>242.6893144756805</v>
      </c>
      <c r="N104" s="4">
        <v>0.23310540984260625</v>
      </c>
      <c r="O104" s="1" t="str">
        <f>HYPERLINK(".\sm_car_240930_1602\sm_car_240930_1602_103_Ca124TrN_MaWOT_ode23t_1.png","figure")</f>
        <v>figure</v>
      </c>
      <c r="P104" t="s">
        <v>15</v>
      </c>
    </row>
    <row r="105" spans="1:16" x14ac:dyDescent="0.25">
      <c r="A105">
        <v>104</v>
      </c>
      <c r="B105">
        <v>124</v>
      </c>
      <c r="C105" t="s">
        <v>16</v>
      </c>
      <c r="D105" t="s">
        <v>35</v>
      </c>
      <c r="E105" t="s">
        <v>49</v>
      </c>
      <c r="F105" t="s">
        <v>28</v>
      </c>
      <c r="G105" t="s">
        <v>20</v>
      </c>
      <c r="H105" t="s">
        <v>21</v>
      </c>
      <c r="I105" t="s">
        <v>24</v>
      </c>
      <c r="J105" t="s">
        <v>23</v>
      </c>
      <c r="K105">
        <v>1125</v>
      </c>
      <c r="L105" s="4">
        <v>7.8245329000000003</v>
      </c>
      <c r="M105" s="4">
        <v>74.66272961840248</v>
      </c>
      <c r="N105" s="4">
        <v>-0.34153787092137572</v>
      </c>
      <c r="O105" s="1" t="str">
        <f>HYPERLINK(".\sm_car_240930_1602\sm_car_240930_1602_104_Ca124TrN_MaLSS_ode23t_1.png","figure")</f>
        <v>figure</v>
      </c>
      <c r="P105" t="s">
        <v>15</v>
      </c>
    </row>
    <row r="106" spans="1:16" x14ac:dyDescent="0.25">
      <c r="A106">
        <v>105</v>
      </c>
      <c r="B106">
        <v>125</v>
      </c>
      <c r="C106" t="s">
        <v>16</v>
      </c>
      <c r="D106" t="s">
        <v>35</v>
      </c>
      <c r="E106" t="s">
        <v>49</v>
      </c>
      <c r="F106" t="s">
        <v>28</v>
      </c>
      <c r="G106" t="s">
        <v>25</v>
      </c>
      <c r="H106" t="s">
        <v>21</v>
      </c>
      <c r="I106" t="s">
        <v>22</v>
      </c>
      <c r="J106" t="s">
        <v>23</v>
      </c>
      <c r="K106">
        <v>1006</v>
      </c>
      <c r="L106" s="4">
        <v>8.2088692000000005</v>
      </c>
      <c r="M106" s="4">
        <v>241.62988721202183</v>
      </c>
      <c r="N106" s="4">
        <v>0.22963875610615478</v>
      </c>
      <c r="O106" s="1" t="str">
        <f>HYPERLINK(".\sm_car_240930_1602\sm_car_240930_1602_105_Ca125TrN_MaWOT_ode23t_1.png","figure")</f>
        <v>figure</v>
      </c>
      <c r="P106" t="s">
        <v>15</v>
      </c>
    </row>
    <row r="107" spans="1:16" x14ac:dyDescent="0.25">
      <c r="A107">
        <v>106</v>
      </c>
      <c r="B107">
        <v>125</v>
      </c>
      <c r="C107" t="s">
        <v>16</v>
      </c>
      <c r="D107" t="s">
        <v>35</v>
      </c>
      <c r="E107" t="s">
        <v>49</v>
      </c>
      <c r="F107" t="s">
        <v>28</v>
      </c>
      <c r="G107" t="s">
        <v>25</v>
      </c>
      <c r="H107" t="s">
        <v>21</v>
      </c>
      <c r="I107" t="s">
        <v>24</v>
      </c>
      <c r="J107" t="s">
        <v>23</v>
      </c>
      <c r="K107">
        <v>1126</v>
      </c>
      <c r="L107" s="4">
        <v>9.1359957000000005</v>
      </c>
      <c r="M107" s="4">
        <v>74.343140204375246</v>
      </c>
      <c r="N107" s="4">
        <v>-0.33759258902252826</v>
      </c>
      <c r="O107" s="1" t="str">
        <f>HYPERLINK(".\sm_car_240930_1602\sm_car_240930_1602_106_Ca125TrN_MaLSS_ode23t_1.png","figure")</f>
        <v>figure</v>
      </c>
      <c r="P107" t="s">
        <v>15</v>
      </c>
    </row>
    <row r="108" spans="1:16" x14ac:dyDescent="0.25">
      <c r="A108">
        <v>107</v>
      </c>
      <c r="B108">
        <v>126</v>
      </c>
      <c r="C108" t="s">
        <v>16</v>
      </c>
      <c r="D108" t="s">
        <v>35</v>
      </c>
      <c r="E108" t="s">
        <v>49</v>
      </c>
      <c r="F108" t="s">
        <v>28</v>
      </c>
      <c r="G108" t="s">
        <v>26</v>
      </c>
      <c r="H108" t="s">
        <v>21</v>
      </c>
      <c r="I108" t="s">
        <v>22</v>
      </c>
      <c r="J108" t="s">
        <v>23</v>
      </c>
      <c r="K108">
        <v>1048</v>
      </c>
      <c r="L108" s="4">
        <v>9.8034154000000004</v>
      </c>
      <c r="M108" s="4">
        <v>241.68131618472844</v>
      </c>
      <c r="N108" s="4">
        <v>0.22971557098955656</v>
      </c>
      <c r="O108" s="1" t="str">
        <f>HYPERLINK(".\sm_car_240930_1602\sm_car_240930_1602_107_Ca126TrN_MaWOT_ode23t_1.png","figure")</f>
        <v>figure</v>
      </c>
      <c r="P108" t="s">
        <v>15</v>
      </c>
    </row>
    <row r="109" spans="1:16" x14ac:dyDescent="0.25">
      <c r="A109">
        <v>108</v>
      </c>
      <c r="B109">
        <v>126</v>
      </c>
      <c r="C109" t="s">
        <v>16</v>
      </c>
      <c r="D109" t="s">
        <v>35</v>
      </c>
      <c r="E109" t="s">
        <v>49</v>
      </c>
      <c r="F109" t="s">
        <v>28</v>
      </c>
      <c r="G109" t="s">
        <v>26</v>
      </c>
      <c r="H109" t="s">
        <v>21</v>
      </c>
      <c r="I109" t="s">
        <v>24</v>
      </c>
      <c r="J109" t="s">
        <v>23</v>
      </c>
      <c r="K109">
        <v>1156</v>
      </c>
      <c r="L109" s="4">
        <v>10.735428000000001</v>
      </c>
      <c r="M109" s="4">
        <v>74.347517227890037</v>
      </c>
      <c r="N109" s="4">
        <v>-0.33746696161914663</v>
      </c>
      <c r="O109" s="1" t="str">
        <f>HYPERLINK(".\sm_car_240930_1602\sm_car_240930_1602_108_Ca126TrN_MaLSS_ode23t_1.png","figure")</f>
        <v>figure</v>
      </c>
      <c r="P109" t="s">
        <v>15</v>
      </c>
    </row>
    <row r="110" spans="1:16" x14ac:dyDescent="0.25">
      <c r="A110">
        <v>109</v>
      </c>
      <c r="B110">
        <v>127</v>
      </c>
      <c r="C110" t="s">
        <v>16</v>
      </c>
      <c r="D110" t="s">
        <v>35</v>
      </c>
      <c r="E110" t="s">
        <v>49</v>
      </c>
      <c r="F110" t="s">
        <v>28</v>
      </c>
      <c r="G110" t="s">
        <v>27</v>
      </c>
      <c r="H110" t="s">
        <v>21</v>
      </c>
      <c r="I110" t="s">
        <v>22</v>
      </c>
      <c r="J110" t="s">
        <v>23</v>
      </c>
      <c r="K110">
        <v>1033</v>
      </c>
      <c r="L110" s="4">
        <v>8.9282578000000008</v>
      </c>
      <c r="M110" s="4">
        <v>241.03459475220717</v>
      </c>
      <c r="N110" s="4">
        <v>0.22858465067545553</v>
      </c>
      <c r="O110" s="1" t="str">
        <f>HYPERLINK(".\sm_car_240930_1602\sm_car_240930_1602_109_Ca127TrN_MaWOT_ode23t_1.png","figure")</f>
        <v>figure</v>
      </c>
      <c r="P110" t="s">
        <v>15</v>
      </c>
    </row>
    <row r="111" spans="1:16" x14ac:dyDescent="0.25">
      <c r="A111">
        <v>110</v>
      </c>
      <c r="B111">
        <v>127</v>
      </c>
      <c r="C111" t="s">
        <v>16</v>
      </c>
      <c r="D111" t="s">
        <v>35</v>
      </c>
      <c r="E111" t="s">
        <v>49</v>
      </c>
      <c r="F111" t="s">
        <v>28</v>
      </c>
      <c r="G111" t="s">
        <v>27</v>
      </c>
      <c r="H111" t="s">
        <v>21</v>
      </c>
      <c r="I111" t="s">
        <v>24</v>
      </c>
      <c r="J111" t="s">
        <v>23</v>
      </c>
      <c r="K111">
        <v>1177</v>
      </c>
      <c r="L111" s="4">
        <v>10.6065024</v>
      </c>
      <c r="M111" s="4">
        <v>74.196564299744324</v>
      </c>
      <c r="N111" s="4">
        <v>-0.33262907245068085</v>
      </c>
      <c r="O111" s="1" t="str">
        <f>HYPERLINK(".\sm_car_240930_1602\sm_car_240930_1602_110_Ca127TrN_MaLSS_ode23t_1.png","figure")</f>
        <v>figure</v>
      </c>
      <c r="P111" t="s">
        <v>15</v>
      </c>
    </row>
    <row r="112" spans="1:16" x14ac:dyDescent="0.25">
      <c r="A112">
        <v>111</v>
      </c>
      <c r="B112">
        <v>140</v>
      </c>
      <c r="C112" t="s">
        <v>45</v>
      </c>
      <c r="D112" t="s">
        <v>17</v>
      </c>
      <c r="E112" t="s">
        <v>49</v>
      </c>
      <c r="F112" t="s">
        <v>19</v>
      </c>
      <c r="G112" t="s">
        <v>26</v>
      </c>
      <c r="H112" t="s">
        <v>21</v>
      </c>
      <c r="I112" t="s">
        <v>22</v>
      </c>
      <c r="J112" t="s">
        <v>23</v>
      </c>
      <c r="K112">
        <v>449</v>
      </c>
      <c r="L112" s="4">
        <v>26.928000699999998</v>
      </c>
      <c r="M112" s="4">
        <v>411.42292058095654</v>
      </c>
      <c r="N112" s="4">
        <v>1.5735214053945898</v>
      </c>
      <c r="O112" s="1" t="str">
        <f>HYPERLINK(".\sm_car_240930_1602\sm_car_240930_1602_111_Ca140TrN_MaWOT_ode23t_1.png","figure")</f>
        <v>figure</v>
      </c>
      <c r="P112" t="s">
        <v>15</v>
      </c>
    </row>
    <row r="113" spans="1:16" x14ac:dyDescent="0.25">
      <c r="A113">
        <v>112</v>
      </c>
      <c r="B113">
        <v>140</v>
      </c>
      <c r="C113" t="s">
        <v>45</v>
      </c>
      <c r="D113" t="s">
        <v>17</v>
      </c>
      <c r="E113" t="s">
        <v>49</v>
      </c>
      <c r="F113" t="s">
        <v>19</v>
      </c>
      <c r="G113" t="s">
        <v>26</v>
      </c>
      <c r="H113" t="s">
        <v>21</v>
      </c>
      <c r="I113" t="s">
        <v>24</v>
      </c>
      <c r="J113" t="s">
        <v>23</v>
      </c>
      <c r="K113">
        <v>559</v>
      </c>
      <c r="L113" s="4">
        <v>22.352999100000002</v>
      </c>
      <c r="M113" s="4">
        <v>157.23227016772086</v>
      </c>
      <c r="N113" s="4">
        <v>-0.56199942079189091</v>
      </c>
      <c r="O113" s="1" t="str">
        <f>HYPERLINK(".\sm_car_240930_1602\sm_car_240930_1602_112_Ca140TrN_MaLSS_ode23t_1.png","figure")</f>
        <v>figure</v>
      </c>
      <c r="P113" t="s">
        <v>15</v>
      </c>
    </row>
    <row r="114" spans="1:16" x14ac:dyDescent="0.25">
      <c r="A114">
        <v>113</v>
      </c>
      <c r="B114">
        <v>142</v>
      </c>
      <c r="C114" t="s">
        <v>45</v>
      </c>
      <c r="D114" t="s">
        <v>17</v>
      </c>
      <c r="E114" t="s">
        <v>49</v>
      </c>
      <c r="F114" t="s">
        <v>28</v>
      </c>
      <c r="G114" t="s">
        <v>26</v>
      </c>
      <c r="H114" t="s">
        <v>21</v>
      </c>
      <c r="I114" t="s">
        <v>22</v>
      </c>
      <c r="J114" t="s">
        <v>23</v>
      </c>
      <c r="K114">
        <v>980</v>
      </c>
      <c r="L114" s="4">
        <v>24.029927199999999</v>
      </c>
      <c r="M114" s="4">
        <v>411.82456944657048</v>
      </c>
      <c r="N114" s="4">
        <v>1.5772490986473817</v>
      </c>
      <c r="O114" s="1" t="str">
        <f>HYPERLINK(".\sm_car_240930_1602\sm_car_240930_1602_113_Ca142TrN_MaWOT_ode23t_1.png","figure")</f>
        <v>figure</v>
      </c>
      <c r="P114" t="s">
        <v>15</v>
      </c>
    </row>
    <row r="115" spans="1:16" x14ac:dyDescent="0.25">
      <c r="A115">
        <v>114</v>
      </c>
      <c r="B115">
        <v>142</v>
      </c>
      <c r="C115" t="s">
        <v>45</v>
      </c>
      <c r="D115" t="s">
        <v>17</v>
      </c>
      <c r="E115" t="s">
        <v>49</v>
      </c>
      <c r="F115" t="s">
        <v>28</v>
      </c>
      <c r="G115" t="s">
        <v>26</v>
      </c>
      <c r="H115" t="s">
        <v>21</v>
      </c>
      <c r="I115" t="s">
        <v>24</v>
      </c>
      <c r="J115" t="s">
        <v>23</v>
      </c>
      <c r="K115">
        <v>1103</v>
      </c>
      <c r="L115" s="4">
        <v>23.9828422</v>
      </c>
      <c r="M115" s="4">
        <v>157.34428286152561</v>
      </c>
      <c r="N115" s="4">
        <v>-0.57506727799735535</v>
      </c>
      <c r="O115" s="1" t="str">
        <f>HYPERLINK(".\sm_car_240930_1602\sm_car_240930_1602_114_Ca142TrN_MaLSS_ode23t_1.png","figure")</f>
        <v>figure</v>
      </c>
      <c r="P115" t="s">
        <v>15</v>
      </c>
    </row>
    <row r="116" spans="1:16" x14ac:dyDescent="0.25">
      <c r="A116">
        <v>115</v>
      </c>
      <c r="B116">
        <v>145</v>
      </c>
      <c r="C116" t="s">
        <v>46</v>
      </c>
      <c r="D116" t="s">
        <v>17</v>
      </c>
      <c r="E116" t="s">
        <v>50</v>
      </c>
      <c r="F116" t="s">
        <v>19</v>
      </c>
      <c r="G116" t="s">
        <v>26</v>
      </c>
      <c r="H116" t="s">
        <v>21</v>
      </c>
      <c r="I116" t="s">
        <v>22</v>
      </c>
      <c r="J116" t="s">
        <v>23</v>
      </c>
      <c r="K116">
        <v>336</v>
      </c>
      <c r="L116" s="4">
        <v>19.751655400000001</v>
      </c>
      <c r="M116" s="4">
        <v>96.621281319859207</v>
      </c>
      <c r="N116" s="4">
        <v>-4.199088334109486E-2</v>
      </c>
      <c r="O116" s="1" t="str">
        <f>HYPERLINK(".\sm_car_240930_1602\sm_car_240930_1602_115_Ca145TrN_MaWOT_ode23t_1.png","figure")</f>
        <v>figure</v>
      </c>
      <c r="P116" t="s">
        <v>15</v>
      </c>
    </row>
    <row r="117" spans="1:16" x14ac:dyDescent="0.25">
      <c r="A117">
        <v>116</v>
      </c>
      <c r="B117">
        <v>145</v>
      </c>
      <c r="C117" t="s">
        <v>46</v>
      </c>
      <c r="D117" t="s">
        <v>17</v>
      </c>
      <c r="E117" t="s">
        <v>50</v>
      </c>
      <c r="F117" t="s">
        <v>19</v>
      </c>
      <c r="G117" t="s">
        <v>26</v>
      </c>
      <c r="H117" t="s">
        <v>21</v>
      </c>
      <c r="I117" t="s">
        <v>24</v>
      </c>
      <c r="J117" t="s">
        <v>23</v>
      </c>
      <c r="K117">
        <v>461</v>
      </c>
      <c r="L117" s="4">
        <v>25.248028399999999</v>
      </c>
      <c r="M117" s="4">
        <v>25.165733510720507</v>
      </c>
      <c r="N117" s="4">
        <v>-5.1650230513548917E-2</v>
      </c>
      <c r="O117" s="1" t="str">
        <f>HYPERLINK(".\sm_car_240930_1602\sm_car_240930_1602_116_Ca145TrN_MaLSS_ode23t_1.png","figure")</f>
        <v>figure</v>
      </c>
      <c r="P117" t="s">
        <v>15</v>
      </c>
    </row>
    <row r="118" spans="1:16" x14ac:dyDescent="0.25">
      <c r="A118">
        <v>117</v>
      </c>
      <c r="B118">
        <v>146</v>
      </c>
      <c r="C118" t="s">
        <v>46</v>
      </c>
      <c r="D118" t="s">
        <v>17</v>
      </c>
      <c r="E118" t="s">
        <v>49</v>
      </c>
      <c r="F118" t="s">
        <v>19</v>
      </c>
      <c r="G118" t="s">
        <v>26</v>
      </c>
      <c r="H118" t="s">
        <v>21</v>
      </c>
      <c r="I118" t="s">
        <v>22</v>
      </c>
      <c r="J118" t="s">
        <v>23</v>
      </c>
      <c r="K118">
        <v>316</v>
      </c>
      <c r="L118" s="4">
        <v>13.7191888</v>
      </c>
      <c r="M118" s="4">
        <v>115.11079903440503</v>
      </c>
      <c r="N118" s="4">
        <v>0.53507480448651623</v>
      </c>
      <c r="O118" s="1" t="str">
        <f>HYPERLINK(".\sm_car_240930_1602\sm_car_240930_1602_117_Ca146TrN_MaWOT_ode23t_1.png","figure")</f>
        <v>figure</v>
      </c>
      <c r="P118" t="s">
        <v>15</v>
      </c>
    </row>
    <row r="119" spans="1:16" x14ac:dyDescent="0.25">
      <c r="A119">
        <v>118</v>
      </c>
      <c r="B119">
        <v>146</v>
      </c>
      <c r="C119" t="s">
        <v>46</v>
      </c>
      <c r="D119" t="s">
        <v>17</v>
      </c>
      <c r="E119" t="s">
        <v>49</v>
      </c>
      <c r="F119" t="s">
        <v>19</v>
      </c>
      <c r="G119" t="s">
        <v>26</v>
      </c>
      <c r="H119" t="s">
        <v>21</v>
      </c>
      <c r="I119" t="s">
        <v>24</v>
      </c>
      <c r="J119" t="s">
        <v>23</v>
      </c>
      <c r="K119">
        <v>441</v>
      </c>
      <c r="L119" s="4">
        <v>18.521825199999999</v>
      </c>
      <c r="M119" s="4">
        <v>35.870247615159087</v>
      </c>
      <c r="N119" s="4">
        <v>-3.0731152661122411E-2</v>
      </c>
      <c r="O119" s="1" t="str">
        <f>HYPERLINK(".\sm_car_240930_1602\sm_car_240930_1602_118_Ca146TrN_MaLSS_ode23t_1.png","figure")</f>
        <v>figure</v>
      </c>
      <c r="P119" t="s">
        <v>15</v>
      </c>
    </row>
    <row r="120" spans="1:16" x14ac:dyDescent="0.25">
      <c r="A120">
        <v>119</v>
      </c>
      <c r="B120">
        <v>146</v>
      </c>
      <c r="C120" t="s">
        <v>46</v>
      </c>
      <c r="D120" t="s">
        <v>17</v>
      </c>
      <c r="E120" t="s">
        <v>49</v>
      </c>
      <c r="F120" t="s">
        <v>19</v>
      </c>
      <c r="G120" t="s">
        <v>26</v>
      </c>
      <c r="H120" t="s">
        <v>21</v>
      </c>
      <c r="I120" t="s">
        <v>22</v>
      </c>
      <c r="J120" t="s">
        <v>23</v>
      </c>
      <c r="K120">
        <v>316</v>
      </c>
      <c r="L120" s="4">
        <v>13.7865041</v>
      </c>
      <c r="M120" s="4">
        <v>115.11079903440503</v>
      </c>
      <c r="N120" s="4">
        <v>0.53507480448651623</v>
      </c>
      <c r="O120" s="1" t="str">
        <f>HYPERLINK(".\sm_car_240930_1602\sm_car_240930_1602_119_Ca146TrN_MaWOT_ode23t_1.png","figure")</f>
        <v>figure</v>
      </c>
      <c r="P120" t="s">
        <v>15</v>
      </c>
    </row>
    <row r="121" spans="1:16" x14ac:dyDescent="0.25">
      <c r="A121">
        <v>120</v>
      </c>
      <c r="B121">
        <v>146</v>
      </c>
      <c r="C121" t="s">
        <v>46</v>
      </c>
      <c r="D121" t="s">
        <v>17</v>
      </c>
      <c r="E121" t="s">
        <v>49</v>
      </c>
      <c r="F121" t="s">
        <v>19</v>
      </c>
      <c r="G121" t="s">
        <v>26</v>
      </c>
      <c r="H121" t="s">
        <v>21</v>
      </c>
      <c r="I121" t="s">
        <v>24</v>
      </c>
      <c r="J121" t="s">
        <v>23</v>
      </c>
      <c r="K121">
        <v>441</v>
      </c>
      <c r="L121" s="4">
        <v>18.325362899999998</v>
      </c>
      <c r="M121" s="4">
        <v>35.870247615159087</v>
      </c>
      <c r="N121" s="4">
        <v>-3.0731152661122411E-2</v>
      </c>
      <c r="O121" s="1" t="str">
        <f>HYPERLINK(".\sm_car_240930_1602\sm_car_240930_1602_120_Ca146TrN_MaLSS_ode23t_1.png","figure")</f>
        <v>figure</v>
      </c>
      <c r="P121" t="s">
        <v>15</v>
      </c>
    </row>
    <row r="122" spans="1:16" x14ac:dyDescent="0.25">
      <c r="A122">
        <v>121</v>
      </c>
      <c r="B122">
        <v>161</v>
      </c>
      <c r="C122" t="s">
        <v>45</v>
      </c>
      <c r="D122" t="s">
        <v>51</v>
      </c>
      <c r="E122" t="s">
        <v>49</v>
      </c>
      <c r="F122" t="s">
        <v>19</v>
      </c>
      <c r="G122" t="s">
        <v>26</v>
      </c>
      <c r="H122" t="s">
        <v>21</v>
      </c>
      <c r="I122" t="s">
        <v>22</v>
      </c>
      <c r="J122" t="s">
        <v>23</v>
      </c>
      <c r="K122">
        <v>461</v>
      </c>
      <c r="L122" s="4">
        <v>27.1383394</v>
      </c>
      <c r="M122" s="4">
        <v>183.12016921064964</v>
      </c>
      <c r="N122" s="4">
        <v>0.30564918110723827</v>
      </c>
      <c r="O122" s="1" t="str">
        <f>HYPERLINK(".\sm_car_240930_1602\sm_car_240930_1602_121_Ca161TrN_MaWOT_ode23t_1.png","figure")</f>
        <v>figure</v>
      </c>
      <c r="P122" t="s">
        <v>15</v>
      </c>
    </row>
    <row r="123" spans="1:16" x14ac:dyDescent="0.25">
      <c r="A123">
        <v>122</v>
      </c>
      <c r="B123">
        <v>161</v>
      </c>
      <c r="C123" t="s">
        <v>45</v>
      </c>
      <c r="D123" t="s">
        <v>51</v>
      </c>
      <c r="E123" t="s">
        <v>49</v>
      </c>
      <c r="F123" t="s">
        <v>19</v>
      </c>
      <c r="G123" t="s">
        <v>26</v>
      </c>
      <c r="H123" t="s">
        <v>21</v>
      </c>
      <c r="I123" t="s">
        <v>24</v>
      </c>
      <c r="J123" t="s">
        <v>23</v>
      </c>
      <c r="K123">
        <v>582</v>
      </c>
      <c r="L123" s="4">
        <v>31.7323734</v>
      </c>
      <c r="M123" s="4">
        <v>157.0510439944114</v>
      </c>
      <c r="N123" s="4">
        <v>-0.55541611440661576</v>
      </c>
      <c r="O123" s="1" t="str">
        <f>HYPERLINK(".\sm_car_240930_1602\sm_car_240930_1602_122_Ca161TrN_MaLSS_ode23t_1.png","figure")</f>
        <v>figure</v>
      </c>
      <c r="P123" t="s">
        <v>15</v>
      </c>
    </row>
    <row r="124" spans="1:16" x14ac:dyDescent="0.25">
      <c r="A124">
        <v>123</v>
      </c>
      <c r="B124">
        <v>163</v>
      </c>
      <c r="C124" t="s">
        <v>45</v>
      </c>
      <c r="D124" t="s">
        <v>52</v>
      </c>
      <c r="E124" t="s">
        <v>49</v>
      </c>
      <c r="F124" t="s">
        <v>19</v>
      </c>
      <c r="G124" t="s">
        <v>26</v>
      </c>
      <c r="H124" t="s">
        <v>21</v>
      </c>
      <c r="I124" t="s">
        <v>22</v>
      </c>
      <c r="J124" t="s">
        <v>23</v>
      </c>
      <c r="K124">
        <v>478</v>
      </c>
      <c r="L124" s="4">
        <v>29.447381799999999</v>
      </c>
      <c r="M124" s="4">
        <v>282.36885901054438</v>
      </c>
      <c r="N124" s="4">
        <v>0.73313929160580849</v>
      </c>
      <c r="O124" s="1" t="str">
        <f>HYPERLINK(".\sm_car_240930_1602\sm_car_240930_1602_123_Ca163TrN_MaWOT_ode23t_1.png","figure")</f>
        <v>figure</v>
      </c>
      <c r="P124" t="s">
        <v>15</v>
      </c>
    </row>
    <row r="125" spans="1:16" x14ac:dyDescent="0.25">
      <c r="A125">
        <v>124</v>
      </c>
      <c r="B125">
        <v>163</v>
      </c>
      <c r="C125" t="s">
        <v>45</v>
      </c>
      <c r="D125" t="s">
        <v>52</v>
      </c>
      <c r="E125" t="s">
        <v>49</v>
      </c>
      <c r="F125" t="s">
        <v>19</v>
      </c>
      <c r="G125" t="s">
        <v>26</v>
      </c>
      <c r="H125" t="s">
        <v>21</v>
      </c>
      <c r="I125" t="s">
        <v>24</v>
      </c>
      <c r="J125" t="s">
        <v>23</v>
      </c>
      <c r="K125">
        <v>690</v>
      </c>
      <c r="L125" s="4">
        <v>40.1317564</v>
      </c>
      <c r="M125" s="4">
        <v>260.89664380768448</v>
      </c>
      <c r="N125" s="4">
        <v>-0.44465200862533216</v>
      </c>
      <c r="O125" s="1" t="str">
        <f>HYPERLINK(".\sm_car_240930_1602\sm_car_240930_1602_124_Ca163TrN_MaLSS_ode23t_1.png","figure")</f>
        <v>figure</v>
      </c>
      <c r="P125" t="s">
        <v>15</v>
      </c>
    </row>
    <row r="126" spans="1:16" x14ac:dyDescent="0.25">
      <c r="A126">
        <v>125</v>
      </c>
      <c r="B126">
        <v>184</v>
      </c>
      <c r="C126" t="s">
        <v>105</v>
      </c>
      <c r="D126" t="s">
        <v>106</v>
      </c>
      <c r="E126" t="s">
        <v>49</v>
      </c>
      <c r="F126" t="s">
        <v>19</v>
      </c>
      <c r="G126" t="s">
        <v>20</v>
      </c>
      <c r="H126" t="s">
        <v>21</v>
      </c>
      <c r="I126" t="s">
        <v>22</v>
      </c>
      <c r="J126" t="s">
        <v>23</v>
      </c>
      <c r="K126">
        <v>289</v>
      </c>
      <c r="L126" s="4">
        <v>21.6771168</v>
      </c>
      <c r="M126" s="4">
        <v>313.20441498818104</v>
      </c>
      <c r="N126" s="4">
        <v>-5.3452395736832043E-4</v>
      </c>
      <c r="O126" s="1" t="str">
        <f>HYPERLINK(".\sm_car_240930_1602\sm_car_240930_1602_125_Ca184TrN_MaWOT_ode23t_1.png","figure")</f>
        <v>figure</v>
      </c>
      <c r="P126" t="s">
        <v>15</v>
      </c>
    </row>
    <row r="127" spans="1:16" x14ac:dyDescent="0.25">
      <c r="A127">
        <v>126</v>
      </c>
      <c r="B127">
        <v>184</v>
      </c>
      <c r="C127" t="s">
        <v>105</v>
      </c>
      <c r="D127" t="s">
        <v>106</v>
      </c>
      <c r="E127" t="s">
        <v>49</v>
      </c>
      <c r="F127" t="s">
        <v>19</v>
      </c>
      <c r="G127" t="s">
        <v>20</v>
      </c>
      <c r="H127" t="s">
        <v>21</v>
      </c>
      <c r="I127" t="s">
        <v>24</v>
      </c>
      <c r="J127" t="s">
        <v>23</v>
      </c>
      <c r="K127">
        <v>453</v>
      </c>
      <c r="L127" s="4">
        <v>19.123009799999998</v>
      </c>
      <c r="M127" s="4">
        <v>112.44211772974815</v>
      </c>
      <c r="N127" s="4">
        <v>-0.20264487071499523</v>
      </c>
      <c r="O127" s="1" t="str">
        <f>HYPERLINK(".\sm_car_240930_1602\sm_car_240930_1602_126_Ca184TrN_MaLSS_ode23t_1.png","figure")</f>
        <v>figure</v>
      </c>
      <c r="P127" t="s">
        <v>15</v>
      </c>
    </row>
    <row r="128" spans="1:16" x14ac:dyDescent="0.25">
      <c r="A128">
        <v>127</v>
      </c>
      <c r="B128">
        <v>12</v>
      </c>
      <c r="C128" t="s">
        <v>16</v>
      </c>
      <c r="D128" t="s">
        <v>17</v>
      </c>
      <c r="E128" t="s">
        <v>49</v>
      </c>
      <c r="F128" t="s">
        <v>28</v>
      </c>
      <c r="G128" t="s">
        <v>20</v>
      </c>
      <c r="H128" t="s">
        <v>21</v>
      </c>
      <c r="I128" t="s">
        <v>53</v>
      </c>
      <c r="J128" t="s">
        <v>23</v>
      </c>
      <c r="K128">
        <v>776</v>
      </c>
      <c r="L128" s="4">
        <v>17.609754299999999</v>
      </c>
      <c r="M128" s="4">
        <v>253.23651244694821</v>
      </c>
      <c r="N128" s="4">
        <v>4.2308874363818916E-3</v>
      </c>
      <c r="O128" s="1" t="str">
        <f>HYPERLINK(".\sm_car_240930_1602\sm_car_240930_1602_127_Ca012TrN_MaDLC_ode23t_1.png","figure")</f>
        <v>figure</v>
      </c>
      <c r="P128" t="s">
        <v>15</v>
      </c>
    </row>
    <row r="129" spans="1:16" x14ac:dyDescent="0.25">
      <c r="A129">
        <v>128</v>
      </c>
      <c r="B129">
        <v>12</v>
      </c>
      <c r="C129" t="s">
        <v>16</v>
      </c>
      <c r="D129" t="s">
        <v>17</v>
      </c>
      <c r="E129" t="s">
        <v>49</v>
      </c>
      <c r="F129" t="s">
        <v>28</v>
      </c>
      <c r="G129" t="s">
        <v>20</v>
      </c>
      <c r="H129" t="s">
        <v>21</v>
      </c>
      <c r="I129" t="s">
        <v>54</v>
      </c>
      <c r="J129" t="s">
        <v>23</v>
      </c>
      <c r="K129">
        <v>907</v>
      </c>
      <c r="L129" s="4">
        <v>22.632574099999999</v>
      </c>
      <c r="M129" s="4">
        <v>75.694920450121458</v>
      </c>
      <c r="N129" s="4">
        <v>0.76550172202538969</v>
      </c>
      <c r="O129" s="1" t="str">
        <f>HYPERLINK(".\sm_car_240930_1602\sm_car_240930_1602_128_Ca012TrN_MaIPA_ode23t_1.png","figure")</f>
        <v>figure</v>
      </c>
      <c r="P129" t="s">
        <v>15</v>
      </c>
    </row>
    <row r="130" spans="1:16" x14ac:dyDescent="0.25">
      <c r="A130">
        <v>129</v>
      </c>
      <c r="B130">
        <v>142</v>
      </c>
      <c r="C130" t="s">
        <v>45</v>
      </c>
      <c r="D130" t="s">
        <v>17</v>
      </c>
      <c r="E130" t="s">
        <v>49</v>
      </c>
      <c r="F130" t="s">
        <v>28</v>
      </c>
      <c r="G130" t="s">
        <v>26</v>
      </c>
      <c r="H130" t="s">
        <v>21</v>
      </c>
      <c r="I130" t="s">
        <v>53</v>
      </c>
      <c r="J130" t="s">
        <v>23</v>
      </c>
      <c r="K130">
        <v>743</v>
      </c>
      <c r="L130" s="4">
        <v>21.080171499999999</v>
      </c>
      <c r="M130" s="4">
        <v>256.03922919551923</v>
      </c>
      <c r="N130" s="4">
        <v>-4.6981768695513182E-3</v>
      </c>
      <c r="O130" s="1" t="str">
        <f>HYPERLINK(".\sm_car_240930_1602\sm_car_240930_1602_129_Ca142TrN_MaDLC_ode23t_1.png","figure")</f>
        <v>figure</v>
      </c>
      <c r="P130" t="s">
        <v>15</v>
      </c>
    </row>
    <row r="131" spans="1:16" x14ac:dyDescent="0.25">
      <c r="A131">
        <v>130</v>
      </c>
      <c r="B131">
        <v>142</v>
      </c>
      <c r="C131" t="s">
        <v>45</v>
      </c>
      <c r="D131" t="s">
        <v>17</v>
      </c>
      <c r="E131" t="s">
        <v>49</v>
      </c>
      <c r="F131" t="s">
        <v>28</v>
      </c>
      <c r="G131" t="s">
        <v>26</v>
      </c>
      <c r="H131" t="s">
        <v>21</v>
      </c>
      <c r="I131" t="s">
        <v>54</v>
      </c>
      <c r="J131" t="s">
        <v>23</v>
      </c>
      <c r="K131">
        <v>2037</v>
      </c>
      <c r="L131" s="4">
        <v>111.1409183</v>
      </c>
      <c r="M131" s="4">
        <v>85.060079912224552</v>
      </c>
      <c r="N131" s="4">
        <v>0.83609719593967247</v>
      </c>
      <c r="O131" s="1" t="str">
        <f>HYPERLINK(".\sm_car_240930_1602\sm_car_240930_1602_130_Ca142TrN_MaIPA_ode23t_1.png","figure")</f>
        <v>figure</v>
      </c>
      <c r="P131" t="s">
        <v>15</v>
      </c>
    </row>
    <row r="132" spans="1:16" x14ac:dyDescent="0.25">
      <c r="A132">
        <v>131</v>
      </c>
      <c r="B132">
        <v>145</v>
      </c>
      <c r="C132" t="s">
        <v>46</v>
      </c>
      <c r="D132" t="s">
        <v>17</v>
      </c>
      <c r="E132" t="s">
        <v>50</v>
      </c>
      <c r="F132" t="s">
        <v>19</v>
      </c>
      <c r="G132" t="s">
        <v>26</v>
      </c>
      <c r="H132" t="s">
        <v>21</v>
      </c>
      <c r="I132" t="s">
        <v>53</v>
      </c>
      <c r="J132" t="s">
        <v>23</v>
      </c>
      <c r="K132">
        <v>474</v>
      </c>
      <c r="L132" s="4">
        <v>28.176509599999999</v>
      </c>
      <c r="M132" s="4">
        <v>253.78939275409476</v>
      </c>
      <c r="N132" s="4">
        <v>4.7110242154493776E-2</v>
      </c>
      <c r="O132" s="1" t="str">
        <f>HYPERLINK(".\sm_car_240930_1602\sm_car_240930_1602_131_Ca145TrN_MaDLC_ode23t_1.png","figure")</f>
        <v>figure</v>
      </c>
      <c r="P132" t="s">
        <v>15</v>
      </c>
    </row>
    <row r="133" spans="1:16" x14ac:dyDescent="0.25">
      <c r="A133">
        <v>132</v>
      </c>
      <c r="B133">
        <v>145</v>
      </c>
      <c r="C133" t="s">
        <v>46</v>
      </c>
      <c r="D133" t="s">
        <v>17</v>
      </c>
      <c r="E133" t="s">
        <v>50</v>
      </c>
      <c r="F133" t="s">
        <v>19</v>
      </c>
      <c r="G133" t="s">
        <v>26</v>
      </c>
      <c r="H133" t="s">
        <v>21</v>
      </c>
      <c r="I133" t="s">
        <v>54</v>
      </c>
      <c r="J133" t="s">
        <v>23</v>
      </c>
      <c r="K133">
        <v>319</v>
      </c>
      <c r="L133" s="4">
        <v>18.2251935</v>
      </c>
      <c r="M133" s="4">
        <v>28.272690631193733</v>
      </c>
      <c r="N133" s="4">
        <v>1.5548811045979518E-2</v>
      </c>
      <c r="O133" s="1" t="str">
        <f>HYPERLINK(".\sm_car_240930_1602\sm_car_240930_1602_132_Ca145TrN_MaIPA_ode23t_1.png","figure")</f>
        <v>figure</v>
      </c>
      <c r="P133" t="s">
        <v>15</v>
      </c>
    </row>
    <row r="134" spans="1:16" x14ac:dyDescent="0.25">
      <c r="A134">
        <v>133</v>
      </c>
      <c r="B134">
        <v>184</v>
      </c>
      <c r="C134" t="s">
        <v>105</v>
      </c>
      <c r="D134" t="s">
        <v>106</v>
      </c>
      <c r="E134" t="s">
        <v>49</v>
      </c>
      <c r="F134" t="s">
        <v>19</v>
      </c>
      <c r="G134" t="s">
        <v>20</v>
      </c>
      <c r="H134" t="s">
        <v>21</v>
      </c>
      <c r="I134" t="s">
        <v>53</v>
      </c>
      <c r="J134" t="s">
        <v>23</v>
      </c>
      <c r="K134">
        <v>418</v>
      </c>
      <c r="L134" s="4">
        <v>17.593091900000001</v>
      </c>
      <c r="M134" s="4">
        <v>253.84542970242683</v>
      </c>
      <c r="N134" s="4">
        <v>1.2993282551607699E-2</v>
      </c>
      <c r="O134" s="1" t="str">
        <f>HYPERLINK(".\sm_car_240930_1602\sm_car_240930_1602_133_Ca184TrN_MaDLC_ode23t_1.png","figure")</f>
        <v>figure</v>
      </c>
      <c r="P134" t="s">
        <v>15</v>
      </c>
    </row>
    <row r="135" spans="1:16" x14ac:dyDescent="0.25">
      <c r="A135">
        <v>134</v>
      </c>
      <c r="B135">
        <v>184</v>
      </c>
      <c r="C135" t="s">
        <v>105</v>
      </c>
      <c r="D135" t="s">
        <v>106</v>
      </c>
      <c r="E135" t="s">
        <v>49</v>
      </c>
      <c r="F135" t="s">
        <v>19</v>
      </c>
      <c r="G135" t="s">
        <v>20</v>
      </c>
      <c r="H135" t="s">
        <v>21</v>
      </c>
      <c r="I135" t="s">
        <v>54</v>
      </c>
      <c r="J135" t="s">
        <v>23</v>
      </c>
      <c r="K135">
        <v>375</v>
      </c>
      <c r="L135" s="4">
        <v>19.9664219</v>
      </c>
      <c r="M135" s="4">
        <v>61.810603218469637</v>
      </c>
      <c r="N135" s="4">
        <v>0.55694760204058247</v>
      </c>
      <c r="O135" s="1" t="str">
        <f>HYPERLINK(".\sm_car_240930_1602\sm_car_240930_1602_134_Ca184TrN_MaIPA_ode23t_1.png","figure")</f>
        <v>figure</v>
      </c>
      <c r="P135" t="s">
        <v>15</v>
      </c>
    </row>
    <row r="136" spans="1:16" x14ac:dyDescent="0.25">
      <c r="A136">
        <v>135</v>
      </c>
      <c r="B136">
        <v>204</v>
      </c>
      <c r="C136" t="s">
        <v>105</v>
      </c>
      <c r="D136" t="s">
        <v>107</v>
      </c>
      <c r="E136" t="s">
        <v>18</v>
      </c>
      <c r="F136" t="s">
        <v>19</v>
      </c>
      <c r="G136" t="s">
        <v>20</v>
      </c>
      <c r="H136" t="s">
        <v>21</v>
      </c>
      <c r="I136" t="s">
        <v>53</v>
      </c>
      <c r="J136" t="s">
        <v>23</v>
      </c>
      <c r="K136">
        <v>1928</v>
      </c>
      <c r="L136" s="4">
        <v>52.905377399999999</v>
      </c>
      <c r="M136" s="4">
        <v>256.03780076397476</v>
      </c>
      <c r="N136" s="4">
        <v>1.3886126217199646E-2</v>
      </c>
      <c r="O136" s="1" t="str">
        <f>HYPERLINK(".\sm_car_240930_1602\sm_car_240930_1602_135_Ca204TrN_MaDLC_ode23t_1.png","figure")</f>
        <v>figure</v>
      </c>
      <c r="P136" t="s">
        <v>15</v>
      </c>
    </row>
    <row r="137" spans="1:16" x14ac:dyDescent="0.25">
      <c r="A137">
        <v>136</v>
      </c>
      <c r="B137">
        <v>204</v>
      </c>
      <c r="C137" t="s">
        <v>105</v>
      </c>
      <c r="D137" t="s">
        <v>107</v>
      </c>
      <c r="E137" t="s">
        <v>18</v>
      </c>
      <c r="F137" t="s">
        <v>19</v>
      </c>
      <c r="G137" t="s">
        <v>20</v>
      </c>
      <c r="H137" t="s">
        <v>21</v>
      </c>
      <c r="I137" t="s">
        <v>54</v>
      </c>
      <c r="J137" t="s">
        <v>23</v>
      </c>
      <c r="K137">
        <v>690</v>
      </c>
      <c r="L137" s="4">
        <v>23.9353716</v>
      </c>
      <c r="M137" s="4">
        <v>26.03959368665377</v>
      </c>
      <c r="N137" s="4">
        <v>9.6811360663843164E-3</v>
      </c>
      <c r="O137" s="1" t="str">
        <f>HYPERLINK(".\sm_car_240930_1602\sm_car_240930_1602_136_Ca204TrN_MaIPA_ode23t_1.png","figure")</f>
        <v>figure</v>
      </c>
      <c r="P137" t="s">
        <v>15</v>
      </c>
    </row>
    <row r="138" spans="1:16" x14ac:dyDescent="0.25">
      <c r="A138">
        <v>137</v>
      </c>
      <c r="B138">
        <v>12</v>
      </c>
      <c r="C138" t="s">
        <v>16</v>
      </c>
      <c r="D138" t="s">
        <v>17</v>
      </c>
      <c r="E138" t="s">
        <v>49</v>
      </c>
      <c r="F138" t="s">
        <v>28</v>
      </c>
      <c r="G138" t="s">
        <v>20</v>
      </c>
      <c r="H138" t="s">
        <v>21</v>
      </c>
      <c r="I138" t="s">
        <v>55</v>
      </c>
      <c r="J138" t="s">
        <v>23</v>
      </c>
      <c r="K138">
        <v>2685</v>
      </c>
      <c r="L138" s="4">
        <v>50.574791500000003</v>
      </c>
      <c r="M138" s="4">
        <v>-1.1837565938708841E-2</v>
      </c>
      <c r="N138" s="4">
        <v>-0.62259507912609391</v>
      </c>
      <c r="O138" s="1" t="str">
        <f>HYPERLINK(".\sm_car_240930_1602\sm_car_240930_1602_137_Ca012TrN_MaMPK_ode23t_1.png","figure")</f>
        <v>figure</v>
      </c>
      <c r="P138" t="s">
        <v>15</v>
      </c>
    </row>
    <row r="139" spans="1:16" x14ac:dyDescent="0.25">
      <c r="A139">
        <v>138</v>
      </c>
      <c r="B139">
        <v>12</v>
      </c>
      <c r="C139" t="s">
        <v>16</v>
      </c>
      <c r="D139" t="s">
        <v>17</v>
      </c>
      <c r="E139" t="s">
        <v>49</v>
      </c>
      <c r="F139" t="s">
        <v>28</v>
      </c>
      <c r="G139" t="s">
        <v>20</v>
      </c>
      <c r="H139" t="s">
        <v>21</v>
      </c>
      <c r="I139" t="s">
        <v>56</v>
      </c>
      <c r="J139" t="s">
        <v>23</v>
      </c>
      <c r="K139">
        <v>3120</v>
      </c>
      <c r="L139" s="4">
        <v>58.9374617</v>
      </c>
      <c r="M139" s="4">
        <v>0.78832204379640736</v>
      </c>
      <c r="N139" s="4">
        <v>-0.32256564547211203</v>
      </c>
      <c r="O139" s="1" t="str">
        <f>HYPERLINK(".\sm_car_240930_1602\sm_car_240930_1602_138_Ca012TrN_MaMPC_ode23t_1.png","figure")</f>
        <v>figure</v>
      </c>
      <c r="P139" t="s">
        <v>15</v>
      </c>
    </row>
    <row r="140" spans="1:16" x14ac:dyDescent="0.25">
      <c r="A140">
        <v>139</v>
      </c>
      <c r="B140">
        <v>142</v>
      </c>
      <c r="C140" t="s">
        <v>45</v>
      </c>
      <c r="D140" t="s">
        <v>17</v>
      </c>
      <c r="E140" t="s">
        <v>49</v>
      </c>
      <c r="F140" t="s">
        <v>28</v>
      </c>
      <c r="G140" t="s">
        <v>26</v>
      </c>
      <c r="H140" t="s">
        <v>21</v>
      </c>
      <c r="I140" t="s">
        <v>55</v>
      </c>
      <c r="J140" t="s">
        <v>23</v>
      </c>
      <c r="K140">
        <v>2497</v>
      </c>
      <c r="L140" s="4">
        <v>63.2105289</v>
      </c>
      <c r="M140" s="4">
        <v>-1.9361461714800271E-2</v>
      </c>
      <c r="N140" s="4">
        <v>-0.54618125145453544</v>
      </c>
      <c r="O140" s="1" t="str">
        <f>HYPERLINK(".\sm_car_240930_1602\sm_car_240930_1602_139_Ca142TrN_MaMPK_ode23t_1.png","figure")</f>
        <v>figure</v>
      </c>
      <c r="P140" t="s">
        <v>15</v>
      </c>
    </row>
    <row r="141" spans="1:16" x14ac:dyDescent="0.25">
      <c r="A141">
        <v>140</v>
      </c>
      <c r="B141">
        <v>142</v>
      </c>
      <c r="C141" t="s">
        <v>45</v>
      </c>
      <c r="D141" t="s">
        <v>17</v>
      </c>
      <c r="E141" t="s">
        <v>49</v>
      </c>
      <c r="F141" t="s">
        <v>28</v>
      </c>
      <c r="G141" t="s">
        <v>26</v>
      </c>
      <c r="H141" t="s">
        <v>21</v>
      </c>
      <c r="I141" t="s">
        <v>56</v>
      </c>
      <c r="J141" t="s">
        <v>23</v>
      </c>
      <c r="K141">
        <v>3108</v>
      </c>
      <c r="L141" s="4">
        <v>91.079801200000006</v>
      </c>
      <c r="M141" s="4">
        <v>0.7894010475487967</v>
      </c>
      <c r="N141" s="4">
        <v>-0.36555638132894869</v>
      </c>
      <c r="O141" s="1" t="str">
        <f>HYPERLINK(".\sm_car_240930_1602\sm_car_240930_1602_140_Ca142TrN_MaMPC_ode23t_1.png","figure")</f>
        <v>figure</v>
      </c>
      <c r="P141" t="s">
        <v>15</v>
      </c>
    </row>
    <row r="142" spans="1:16" x14ac:dyDescent="0.25">
      <c r="A142">
        <v>141</v>
      </c>
      <c r="B142">
        <v>116</v>
      </c>
      <c r="C142" t="s">
        <v>16</v>
      </c>
      <c r="D142" t="s">
        <v>35</v>
      </c>
      <c r="E142" t="s">
        <v>18</v>
      </c>
      <c r="F142" t="s">
        <v>28</v>
      </c>
      <c r="G142" t="s">
        <v>20</v>
      </c>
      <c r="H142" t="s">
        <v>21</v>
      </c>
      <c r="I142" t="s">
        <v>55</v>
      </c>
      <c r="J142" t="s">
        <v>23</v>
      </c>
      <c r="K142">
        <v>2905</v>
      </c>
      <c r="L142" s="4">
        <v>24.693656300000001</v>
      </c>
      <c r="M142" s="4">
        <v>-1.8531150771245591E-2</v>
      </c>
      <c r="N142" s="4">
        <v>-0.52479703954647539</v>
      </c>
      <c r="O142" s="1" t="str">
        <f>HYPERLINK(".\sm_car_240930_1602\sm_car_240930_1602_141_Ca116TrN_MaMPK_ode23t_1.png","figure")</f>
        <v>figure</v>
      </c>
      <c r="P142" t="s">
        <v>15</v>
      </c>
    </row>
    <row r="143" spans="1:16" x14ac:dyDescent="0.25">
      <c r="A143">
        <v>142</v>
      </c>
      <c r="B143">
        <v>116</v>
      </c>
      <c r="C143" t="s">
        <v>16</v>
      </c>
      <c r="D143" t="s">
        <v>35</v>
      </c>
      <c r="E143" t="s">
        <v>18</v>
      </c>
      <c r="F143" t="s">
        <v>28</v>
      </c>
      <c r="G143" t="s">
        <v>20</v>
      </c>
      <c r="H143" t="s">
        <v>21</v>
      </c>
      <c r="I143" t="s">
        <v>56</v>
      </c>
      <c r="J143" t="s">
        <v>23</v>
      </c>
      <c r="K143">
        <v>3393</v>
      </c>
      <c r="L143" s="4">
        <v>26.344533899999998</v>
      </c>
      <c r="M143" s="4">
        <v>0.78926366956726035</v>
      </c>
      <c r="N143" s="4">
        <v>-0.35484905598787098</v>
      </c>
      <c r="O143" s="1" t="str">
        <f>HYPERLINK(".\sm_car_240930_1602\sm_car_240930_1602_142_Ca116TrN_MaMPC_ode23t_1.png","figure")</f>
        <v>figure</v>
      </c>
      <c r="P143" t="s">
        <v>15</v>
      </c>
    </row>
    <row r="144" spans="1:16" x14ac:dyDescent="0.25">
      <c r="A144">
        <v>143</v>
      </c>
      <c r="B144">
        <v>143</v>
      </c>
      <c r="C144" t="s">
        <v>46</v>
      </c>
      <c r="D144" t="s">
        <v>17</v>
      </c>
      <c r="E144" t="s">
        <v>47</v>
      </c>
      <c r="F144" t="s">
        <v>19</v>
      </c>
      <c r="G144" t="s">
        <v>26</v>
      </c>
      <c r="H144" t="s">
        <v>21</v>
      </c>
      <c r="I144" t="s">
        <v>55</v>
      </c>
      <c r="J144" t="s">
        <v>23</v>
      </c>
      <c r="K144">
        <v>2717</v>
      </c>
      <c r="L144" s="4">
        <v>92.011114599999999</v>
      </c>
      <c r="M144" s="4">
        <v>-1.6313492290539119E-2</v>
      </c>
      <c r="N144" s="4">
        <v>-0.3905984016467981</v>
      </c>
      <c r="O144" s="1" t="str">
        <f>HYPERLINK(".\sm_car_240930_1602\sm_car_240930_1602_143_Ca143TrN_MaMPK_ode23t_1.png","figure")</f>
        <v>figure</v>
      </c>
      <c r="P144" t="s">
        <v>15</v>
      </c>
    </row>
    <row r="145" spans="1:16" x14ac:dyDescent="0.25">
      <c r="A145">
        <v>144</v>
      </c>
      <c r="B145">
        <v>143</v>
      </c>
      <c r="C145" t="s">
        <v>46</v>
      </c>
      <c r="D145" t="s">
        <v>17</v>
      </c>
      <c r="E145" t="s">
        <v>47</v>
      </c>
      <c r="F145" t="s">
        <v>19</v>
      </c>
      <c r="G145" t="s">
        <v>26</v>
      </c>
      <c r="H145" t="s">
        <v>21</v>
      </c>
      <c r="I145" t="s">
        <v>56</v>
      </c>
      <c r="J145" t="s">
        <v>23</v>
      </c>
      <c r="K145">
        <v>2888</v>
      </c>
      <c r="L145" s="4">
        <v>112.9085986</v>
      </c>
      <c r="M145" s="4">
        <v>0.78777316237295203</v>
      </c>
      <c r="N145" s="4">
        <v>-0.25826051612091527</v>
      </c>
      <c r="O145" s="1" t="str">
        <f>HYPERLINK(".\sm_car_240930_1602\sm_car_240930_1602_144_Ca143TrN_MaMPC_ode23t_1.png","figure")</f>
        <v>figure</v>
      </c>
      <c r="P145" t="s">
        <v>15</v>
      </c>
    </row>
    <row r="146" spans="1:16" x14ac:dyDescent="0.25">
      <c r="A146">
        <v>145</v>
      </c>
      <c r="B146">
        <v>166</v>
      </c>
      <c r="C146" t="s">
        <v>45</v>
      </c>
      <c r="D146" t="s">
        <v>57</v>
      </c>
      <c r="E146" t="s">
        <v>18</v>
      </c>
      <c r="F146" t="s">
        <v>19</v>
      </c>
      <c r="G146" t="s">
        <v>26</v>
      </c>
      <c r="H146" t="s">
        <v>21</v>
      </c>
      <c r="I146" t="s">
        <v>55</v>
      </c>
      <c r="J146" t="s">
        <v>23</v>
      </c>
      <c r="K146">
        <v>3193</v>
      </c>
      <c r="L146" s="4">
        <v>80.197104899999999</v>
      </c>
      <c r="M146" s="4">
        <v>-1.9854267003599893E-2</v>
      </c>
      <c r="N146" s="4">
        <v>-0.55561914629754894</v>
      </c>
      <c r="O146" s="1" t="str">
        <f>HYPERLINK(".\sm_car_240930_1602\sm_car_240930_1602_145_Ca166TrN_MaMPK_ode23t_1.png","figure")</f>
        <v>figure</v>
      </c>
      <c r="P146" t="s">
        <v>15</v>
      </c>
    </row>
    <row r="147" spans="1:16" x14ac:dyDescent="0.25">
      <c r="A147">
        <v>146</v>
      </c>
      <c r="B147">
        <v>166</v>
      </c>
      <c r="C147" t="s">
        <v>45</v>
      </c>
      <c r="D147" t="s">
        <v>57</v>
      </c>
      <c r="E147" t="s">
        <v>18</v>
      </c>
      <c r="F147" t="s">
        <v>19</v>
      </c>
      <c r="G147" t="s">
        <v>26</v>
      </c>
      <c r="H147" t="s">
        <v>21</v>
      </c>
      <c r="I147" t="s">
        <v>56</v>
      </c>
      <c r="J147" t="s">
        <v>23</v>
      </c>
      <c r="K147">
        <v>3576</v>
      </c>
      <c r="L147" s="4">
        <v>91.844749100000001</v>
      </c>
      <c r="M147" s="4">
        <v>0.78825381180753951</v>
      </c>
      <c r="N147" s="4">
        <v>-0.35639745097541259</v>
      </c>
      <c r="O147" s="1" t="str">
        <f>HYPERLINK(".\sm_car_240930_1602\sm_car_240930_1602_146_Ca166TrN_MaMPC_ode23t_1.png","figure")</f>
        <v>figure</v>
      </c>
      <c r="P147" t="s">
        <v>15</v>
      </c>
    </row>
    <row r="148" spans="1:16" x14ac:dyDescent="0.25">
      <c r="A148">
        <v>147</v>
      </c>
      <c r="B148">
        <v>169</v>
      </c>
      <c r="C148" t="s">
        <v>45</v>
      </c>
      <c r="D148" t="s">
        <v>58</v>
      </c>
      <c r="E148" t="s">
        <v>49</v>
      </c>
      <c r="F148" t="s">
        <v>19</v>
      </c>
      <c r="G148" t="s">
        <v>26</v>
      </c>
      <c r="H148" t="s">
        <v>21</v>
      </c>
      <c r="I148" t="s">
        <v>55</v>
      </c>
      <c r="J148" t="s">
        <v>23</v>
      </c>
      <c r="K148">
        <v>3161</v>
      </c>
      <c r="L148" s="4">
        <v>72.705857499999993</v>
      </c>
      <c r="M148" s="4">
        <v>-1.5610174594965734E-2</v>
      </c>
      <c r="N148" s="4">
        <v>-0.55660235321774387</v>
      </c>
      <c r="O148" s="1" t="str">
        <f>HYPERLINK(".\sm_car_240930_1602\sm_car_240930_1602_147_Ca169TrN_MaMPK_ode23t_1.png","figure")</f>
        <v>figure</v>
      </c>
      <c r="P148" t="s">
        <v>15</v>
      </c>
    </row>
    <row r="149" spans="1:16" x14ac:dyDescent="0.25">
      <c r="A149">
        <v>148</v>
      </c>
      <c r="B149">
        <v>169</v>
      </c>
      <c r="C149" t="s">
        <v>45</v>
      </c>
      <c r="D149" t="s">
        <v>58</v>
      </c>
      <c r="E149" t="s">
        <v>49</v>
      </c>
      <c r="F149" t="s">
        <v>19</v>
      </c>
      <c r="G149" t="s">
        <v>26</v>
      </c>
      <c r="H149" t="s">
        <v>21</v>
      </c>
      <c r="I149" t="s">
        <v>56</v>
      </c>
      <c r="J149" t="s">
        <v>23</v>
      </c>
      <c r="K149">
        <v>3369</v>
      </c>
      <c r="L149" s="4">
        <v>76.891024700000003</v>
      </c>
      <c r="M149" s="4">
        <v>0.78738530144586605</v>
      </c>
      <c r="N149" s="4">
        <v>-0.35565148004184916</v>
      </c>
      <c r="O149" s="1" t="str">
        <f>HYPERLINK(".\sm_car_240930_1602\sm_car_240930_1602_148_Ca169TrN_MaMPC_ode23t_1.png","figure")</f>
        <v>figure</v>
      </c>
      <c r="P149" t="s">
        <v>15</v>
      </c>
    </row>
    <row r="150" spans="1:16" x14ac:dyDescent="0.25">
      <c r="A150">
        <v>149</v>
      </c>
      <c r="B150">
        <v>184</v>
      </c>
      <c r="C150" t="s">
        <v>105</v>
      </c>
      <c r="D150" t="s">
        <v>106</v>
      </c>
      <c r="E150" t="s">
        <v>49</v>
      </c>
      <c r="F150" t="s">
        <v>19</v>
      </c>
      <c r="G150" t="s">
        <v>20</v>
      </c>
      <c r="H150" t="s">
        <v>21</v>
      </c>
      <c r="I150" t="s">
        <v>55</v>
      </c>
      <c r="J150" t="s">
        <v>23</v>
      </c>
      <c r="K150">
        <v>2060</v>
      </c>
      <c r="L150" s="4">
        <v>80.803793299999995</v>
      </c>
      <c r="M150" s="4">
        <v>-2.2009728382925836E-2</v>
      </c>
      <c r="N150" s="4">
        <v>-0.69906679963960561</v>
      </c>
      <c r="O150" s="1" t="str">
        <f>HYPERLINK(".\sm_car_240930_1602\sm_car_240930_1602_149_Ca184TrN_MaMPK_ode23t_1.png","figure")</f>
        <v>figure</v>
      </c>
      <c r="P150" t="s">
        <v>15</v>
      </c>
    </row>
    <row r="151" spans="1:16" x14ac:dyDescent="0.25">
      <c r="A151">
        <v>150</v>
      </c>
      <c r="B151">
        <v>184</v>
      </c>
      <c r="C151" t="s">
        <v>105</v>
      </c>
      <c r="D151" t="s">
        <v>106</v>
      </c>
      <c r="E151" t="s">
        <v>49</v>
      </c>
      <c r="F151" t="s">
        <v>19</v>
      </c>
      <c r="G151" t="s">
        <v>20</v>
      </c>
      <c r="H151" t="s">
        <v>21</v>
      </c>
      <c r="I151" t="s">
        <v>56</v>
      </c>
      <c r="J151" t="s">
        <v>23</v>
      </c>
      <c r="K151">
        <v>2130</v>
      </c>
      <c r="L151" s="4">
        <v>76.859856300000004</v>
      </c>
      <c r="M151" s="4">
        <v>0.78314765000374287</v>
      </c>
      <c r="N151" s="4">
        <v>-0.32963076107572326</v>
      </c>
      <c r="O151" s="1" t="str">
        <f>HYPERLINK(".\sm_car_240930_1602\sm_car_240930_1602_150_Ca184TrN_MaMPC_ode23t_1.png","figure")</f>
        <v>figure</v>
      </c>
      <c r="P151" t="s">
        <v>15</v>
      </c>
    </row>
    <row r="152" spans="1:16" x14ac:dyDescent="0.25">
      <c r="A152">
        <v>151</v>
      </c>
      <c r="B152">
        <v>195</v>
      </c>
      <c r="C152" t="s">
        <v>45</v>
      </c>
      <c r="D152" t="s">
        <v>58</v>
      </c>
      <c r="E152" t="s">
        <v>108</v>
      </c>
      <c r="F152" t="s">
        <v>19</v>
      </c>
      <c r="G152" t="s">
        <v>26</v>
      </c>
      <c r="H152" t="s">
        <v>21</v>
      </c>
      <c r="I152" t="s">
        <v>55</v>
      </c>
      <c r="J152" t="s">
        <v>23</v>
      </c>
      <c r="K152">
        <v>3144</v>
      </c>
      <c r="L152" s="4">
        <v>64.820016300000006</v>
      </c>
      <c r="M152" s="4">
        <v>-1.290153901363443E-2</v>
      </c>
      <c r="N152" s="4">
        <v>-0.55664926869805254</v>
      </c>
      <c r="O152" s="1" t="str">
        <f>HYPERLINK(".\sm_car_240930_1602\sm_car_240930_1602_151_Ca195TrN_MaMPK_ode23t_1.png","figure")</f>
        <v>figure</v>
      </c>
      <c r="P152" t="s">
        <v>15</v>
      </c>
    </row>
    <row r="153" spans="1:16" x14ac:dyDescent="0.25">
      <c r="A153">
        <v>152</v>
      </c>
      <c r="B153">
        <v>195</v>
      </c>
      <c r="C153" t="s">
        <v>45</v>
      </c>
      <c r="D153" t="s">
        <v>58</v>
      </c>
      <c r="E153" t="s">
        <v>108</v>
      </c>
      <c r="F153" t="s">
        <v>19</v>
      </c>
      <c r="G153" t="s">
        <v>26</v>
      </c>
      <c r="H153" t="s">
        <v>21</v>
      </c>
      <c r="I153" t="s">
        <v>56</v>
      </c>
      <c r="J153" t="s">
        <v>23</v>
      </c>
      <c r="K153">
        <v>3371</v>
      </c>
      <c r="L153" s="4">
        <v>71.438287599999995</v>
      </c>
      <c r="M153" s="4">
        <v>0.77429424315082329</v>
      </c>
      <c r="N153" s="4">
        <v>-0.35555781390419233</v>
      </c>
      <c r="O153" s="1" t="str">
        <f>HYPERLINK(".\sm_car_240930_1602\sm_car_240930_1602_152_Ca195TrN_MaMPC_ode23t_1.png","figure")</f>
        <v>figure</v>
      </c>
      <c r="P153" t="s">
        <v>15</v>
      </c>
    </row>
    <row r="154" spans="1:16" x14ac:dyDescent="0.25">
      <c r="A154">
        <v>153</v>
      </c>
      <c r="B154">
        <v>198</v>
      </c>
      <c r="C154" t="s">
        <v>105</v>
      </c>
      <c r="D154" t="s">
        <v>106</v>
      </c>
      <c r="E154" t="s">
        <v>108</v>
      </c>
      <c r="F154" t="s">
        <v>19</v>
      </c>
      <c r="G154" t="s">
        <v>20</v>
      </c>
      <c r="H154" t="s">
        <v>21</v>
      </c>
      <c r="I154" t="s">
        <v>55</v>
      </c>
      <c r="J154" t="s">
        <v>23</v>
      </c>
      <c r="K154">
        <v>2092</v>
      </c>
      <c r="L154" s="4">
        <v>49.000689000000001</v>
      </c>
      <c r="M154" s="4">
        <v>-1.8006373892441002E-2</v>
      </c>
      <c r="N154" s="4">
        <v>-0.69924893526274967</v>
      </c>
      <c r="O154" s="1" t="str">
        <f>HYPERLINK(".\sm_car_240930_1602\sm_car_240930_1602_153_Ca198TrN_MaMPK_ode23t_1.png","figure")</f>
        <v>figure</v>
      </c>
      <c r="P154" t="s">
        <v>15</v>
      </c>
    </row>
    <row r="155" spans="1:16" x14ac:dyDescent="0.25">
      <c r="A155">
        <v>154</v>
      </c>
      <c r="B155">
        <v>198</v>
      </c>
      <c r="C155" t="s">
        <v>105</v>
      </c>
      <c r="D155" t="s">
        <v>106</v>
      </c>
      <c r="E155" t="s">
        <v>108</v>
      </c>
      <c r="F155" t="s">
        <v>19</v>
      </c>
      <c r="G155" t="s">
        <v>20</v>
      </c>
      <c r="H155" t="s">
        <v>21</v>
      </c>
      <c r="I155" t="s">
        <v>56</v>
      </c>
      <c r="J155" t="s">
        <v>23</v>
      </c>
      <c r="K155">
        <v>2175</v>
      </c>
      <c r="L155" s="4">
        <v>58.117668899999998</v>
      </c>
      <c r="M155" s="4">
        <v>0.7561467351083806</v>
      </c>
      <c r="N155" s="4">
        <v>-0.3294520519075736</v>
      </c>
      <c r="O155" s="1" t="str">
        <f>HYPERLINK(".\sm_car_240930_1602\sm_car_240930_1602_154_Ca198TrN_MaMPC_ode23t_1.png","figure")</f>
        <v>figure</v>
      </c>
      <c r="P155" t="s">
        <v>15</v>
      </c>
    </row>
    <row r="156" spans="1:16" x14ac:dyDescent="0.25">
      <c r="A156">
        <v>155</v>
      </c>
      <c r="B156">
        <v>151</v>
      </c>
      <c r="C156" t="s">
        <v>16</v>
      </c>
      <c r="D156" t="s">
        <v>17</v>
      </c>
      <c r="E156" t="s">
        <v>18</v>
      </c>
      <c r="F156" t="s">
        <v>19</v>
      </c>
      <c r="G156" t="s">
        <v>59</v>
      </c>
      <c r="H156" t="s">
        <v>21</v>
      </c>
      <c r="I156" t="s">
        <v>24</v>
      </c>
      <c r="J156" t="s">
        <v>23</v>
      </c>
      <c r="K156">
        <v>517</v>
      </c>
      <c r="L156" s="4">
        <v>19.662210699999999</v>
      </c>
      <c r="M156" s="4">
        <v>73.384885323356471</v>
      </c>
      <c r="N156" s="4">
        <v>-0.84635703335886259</v>
      </c>
      <c r="O156" s="1" t="str">
        <f>HYPERLINK(".\sm_car_240930_1602\sm_car_240930_1602_155_Ca151TrN_MaLSS_ode23t_1.png","figure")</f>
        <v>figure</v>
      </c>
      <c r="P156" t="s">
        <v>15</v>
      </c>
    </row>
    <row r="157" spans="1:16" x14ac:dyDescent="0.25">
      <c r="A157">
        <v>156</v>
      </c>
      <c r="B157">
        <v>152</v>
      </c>
      <c r="C157" t="s">
        <v>16</v>
      </c>
      <c r="D157" t="s">
        <v>17</v>
      </c>
      <c r="E157" t="s">
        <v>18</v>
      </c>
      <c r="F157" t="s">
        <v>19</v>
      </c>
      <c r="G157" t="s">
        <v>60</v>
      </c>
      <c r="H157" t="s">
        <v>21</v>
      </c>
      <c r="I157" t="s">
        <v>24</v>
      </c>
      <c r="J157" t="s">
        <v>23</v>
      </c>
      <c r="K157">
        <v>510</v>
      </c>
      <c r="L157" s="4">
        <v>18.924268699999999</v>
      </c>
      <c r="M157" s="4">
        <v>71.749963591552799</v>
      </c>
      <c r="N157" s="4">
        <v>-0.54337587606077187</v>
      </c>
      <c r="O157" s="1" t="str">
        <f>HYPERLINK(".\sm_car_240930_1602\sm_car_240930_1602_156_Ca152TrN_MaLSS_ode23t_1.png","figure")</f>
        <v>figure</v>
      </c>
      <c r="P157" t="s">
        <v>15</v>
      </c>
    </row>
    <row r="158" spans="1:16" x14ac:dyDescent="0.25">
      <c r="A158">
        <v>157</v>
      </c>
      <c r="B158">
        <v>153</v>
      </c>
      <c r="C158" t="s">
        <v>16</v>
      </c>
      <c r="D158" t="s">
        <v>17</v>
      </c>
      <c r="E158" t="s">
        <v>18</v>
      </c>
      <c r="F158" t="s">
        <v>19</v>
      </c>
      <c r="G158" t="s">
        <v>61</v>
      </c>
      <c r="H158" t="s">
        <v>21</v>
      </c>
      <c r="I158" t="s">
        <v>24</v>
      </c>
      <c r="J158" t="s">
        <v>23</v>
      </c>
      <c r="K158">
        <v>530</v>
      </c>
      <c r="L158" s="4">
        <v>21.9440335</v>
      </c>
      <c r="M158" s="4">
        <v>71.600606051095994</v>
      </c>
      <c r="N158" s="4">
        <v>-0.89280629375348408</v>
      </c>
      <c r="O158" s="1" t="str">
        <f>HYPERLINK(".\sm_car_240930_1602\sm_car_240930_1602_157_Ca153TrN_MaLSS_ode23t_1.png","figure")</f>
        <v>figure</v>
      </c>
      <c r="P158" t="s">
        <v>15</v>
      </c>
    </row>
    <row r="159" spans="1:16" x14ac:dyDescent="0.25">
      <c r="A159">
        <v>158</v>
      </c>
      <c r="B159">
        <v>154</v>
      </c>
      <c r="C159" t="s">
        <v>16</v>
      </c>
      <c r="D159" t="s">
        <v>17</v>
      </c>
      <c r="E159" t="s">
        <v>18</v>
      </c>
      <c r="F159" t="s">
        <v>19</v>
      </c>
      <c r="G159" t="s">
        <v>109</v>
      </c>
      <c r="H159" t="s">
        <v>21</v>
      </c>
      <c r="I159" t="s">
        <v>24</v>
      </c>
      <c r="J159" t="s">
        <v>23</v>
      </c>
      <c r="K159">
        <v>487</v>
      </c>
      <c r="L159" s="4">
        <v>24.616727399999998</v>
      </c>
      <c r="M159" s="4">
        <v>71.784160906135085</v>
      </c>
      <c r="N159" s="4">
        <v>-0.36835476550276547</v>
      </c>
      <c r="O159" s="1" t="str">
        <f>HYPERLINK(".\sm_car_240930_1602\sm_car_240930_1602_158_Ca154TrN_MaLSS_ode23t_1.png","figure")</f>
        <v>figure</v>
      </c>
      <c r="P159" t="s">
        <v>15</v>
      </c>
    </row>
    <row r="160" spans="1:16" x14ac:dyDescent="0.25">
      <c r="A160">
        <v>159</v>
      </c>
      <c r="B160">
        <v>155</v>
      </c>
      <c r="C160" t="s">
        <v>16</v>
      </c>
      <c r="D160" t="s">
        <v>17</v>
      </c>
      <c r="E160" t="s">
        <v>18</v>
      </c>
      <c r="F160" t="s">
        <v>19</v>
      </c>
      <c r="G160" t="s">
        <v>62</v>
      </c>
      <c r="H160" t="s">
        <v>21</v>
      </c>
      <c r="I160" t="s">
        <v>24</v>
      </c>
      <c r="J160" t="s">
        <v>23</v>
      </c>
      <c r="K160">
        <v>542</v>
      </c>
      <c r="L160" s="4">
        <v>28.441873900000001</v>
      </c>
      <c r="M160" s="4">
        <v>71.629510684849791</v>
      </c>
      <c r="N160" s="4">
        <v>-0.86811113637915738</v>
      </c>
      <c r="O160" s="1" t="str">
        <f>HYPERLINK(".\sm_car_240930_1602\sm_car_240930_1602_159_Ca155TrN_MaLSS_ode23t_1.png","figure")</f>
        <v>figure</v>
      </c>
      <c r="P160" t="s">
        <v>15</v>
      </c>
    </row>
    <row r="161" spans="1:16" x14ac:dyDescent="0.25">
      <c r="A161">
        <v>160</v>
      </c>
      <c r="B161">
        <v>4</v>
      </c>
      <c r="C161" t="s">
        <v>16</v>
      </c>
      <c r="D161" t="s">
        <v>17</v>
      </c>
      <c r="E161" t="s">
        <v>18</v>
      </c>
      <c r="F161" t="s">
        <v>28</v>
      </c>
      <c r="G161" t="s">
        <v>20</v>
      </c>
      <c r="H161" t="s">
        <v>21</v>
      </c>
      <c r="I161" t="s">
        <v>22</v>
      </c>
      <c r="J161" t="s">
        <v>63</v>
      </c>
      <c r="K161">
        <v>3246</v>
      </c>
      <c r="L161" s="4">
        <v>14.134823900000001</v>
      </c>
      <c r="M161" s="4">
        <v>234.09520337872848</v>
      </c>
      <c r="N161" s="4">
        <v>1.5597601237183302E-2</v>
      </c>
      <c r="O161" s="1" t="str">
        <f>HYPERLINK(".\sm_car_240930_1602\sm_car_240930_1602_160_Ca004TrN_MaWOT_ode3_1.png","figure")</f>
        <v>figure</v>
      </c>
      <c r="P161" t="s">
        <v>15</v>
      </c>
    </row>
    <row r="162" spans="1:16" x14ac:dyDescent="0.25">
      <c r="A162">
        <v>161</v>
      </c>
      <c r="B162">
        <v>4</v>
      </c>
      <c r="C162" t="s">
        <v>16</v>
      </c>
      <c r="D162" t="s">
        <v>17</v>
      </c>
      <c r="E162" t="s">
        <v>18</v>
      </c>
      <c r="F162" t="s">
        <v>28</v>
      </c>
      <c r="G162" t="s">
        <v>20</v>
      </c>
      <c r="H162" t="s">
        <v>21</v>
      </c>
      <c r="I162" t="s">
        <v>24</v>
      </c>
      <c r="J162" t="s">
        <v>63</v>
      </c>
      <c r="K162">
        <v>2564</v>
      </c>
      <c r="L162" s="4">
        <v>11.5255598</v>
      </c>
      <c r="M162" s="4">
        <v>72.060968646483076</v>
      </c>
      <c r="N162" s="4">
        <v>-0.55315112787421983</v>
      </c>
      <c r="O162" s="1" t="str">
        <f>HYPERLINK(".\sm_car_240930_1602\sm_car_240930_1602_161_Ca004TrN_MaLSS_ode3_1.png","figure")</f>
        <v>figure</v>
      </c>
      <c r="P162" t="s">
        <v>15</v>
      </c>
    </row>
    <row r="163" spans="1:16" x14ac:dyDescent="0.25">
      <c r="A163">
        <v>162</v>
      </c>
      <c r="B163">
        <v>4</v>
      </c>
      <c r="C163" t="s">
        <v>16</v>
      </c>
      <c r="D163" t="s">
        <v>17</v>
      </c>
      <c r="E163" t="s">
        <v>18</v>
      </c>
      <c r="F163" t="s">
        <v>28</v>
      </c>
      <c r="G163" t="s">
        <v>20</v>
      </c>
      <c r="H163" t="s">
        <v>21</v>
      </c>
      <c r="I163" t="s">
        <v>64</v>
      </c>
      <c r="J163" t="s">
        <v>63</v>
      </c>
      <c r="K163">
        <v>2562</v>
      </c>
      <c r="L163" s="4">
        <v>11.3983366</v>
      </c>
      <c r="M163" s="4">
        <v>64.366272556222512</v>
      </c>
      <c r="N163" s="4">
        <v>-25.53945015042936</v>
      </c>
      <c r="O163" s="1" t="str">
        <f>HYPERLINK(".\sm_car_240930_1602\sm_car_240930_1602_162_Ca004TrN_MaTUR_ode3_1.png","figure")</f>
        <v>figure</v>
      </c>
      <c r="P163" t="s">
        <v>15</v>
      </c>
    </row>
    <row r="164" spans="1:16" x14ac:dyDescent="0.25">
      <c r="A164">
        <v>163</v>
      </c>
      <c r="B164">
        <v>116</v>
      </c>
      <c r="C164" t="s">
        <v>16</v>
      </c>
      <c r="D164" t="s">
        <v>35</v>
      </c>
      <c r="E164" t="s">
        <v>18</v>
      </c>
      <c r="F164" t="s">
        <v>28</v>
      </c>
      <c r="G164" t="s">
        <v>20</v>
      </c>
      <c r="H164" t="s">
        <v>21</v>
      </c>
      <c r="I164" t="s">
        <v>22</v>
      </c>
      <c r="J164" t="s">
        <v>63</v>
      </c>
      <c r="K164">
        <v>3244</v>
      </c>
      <c r="L164" s="4">
        <v>6.3167546999999997</v>
      </c>
      <c r="M164" s="4">
        <v>242.7037948432378</v>
      </c>
      <c r="N164" s="4">
        <v>0.23327776653692373</v>
      </c>
      <c r="O164" s="1" t="str">
        <f>HYPERLINK(".\sm_car_240930_1602\sm_car_240930_1602_163_Ca116TrN_MaWOT_ode3_1.png","figure")</f>
        <v>figure</v>
      </c>
      <c r="P164" t="s">
        <v>15</v>
      </c>
    </row>
    <row r="165" spans="1:16" x14ac:dyDescent="0.25">
      <c r="A165">
        <v>164</v>
      </c>
      <c r="B165">
        <v>116</v>
      </c>
      <c r="C165" t="s">
        <v>16</v>
      </c>
      <c r="D165" t="s">
        <v>35</v>
      </c>
      <c r="E165" t="s">
        <v>18</v>
      </c>
      <c r="F165" t="s">
        <v>28</v>
      </c>
      <c r="G165" t="s">
        <v>20</v>
      </c>
      <c r="H165" t="s">
        <v>21</v>
      </c>
      <c r="I165" t="s">
        <v>24</v>
      </c>
      <c r="J165" t="s">
        <v>63</v>
      </c>
      <c r="K165">
        <v>2564</v>
      </c>
      <c r="L165" s="4">
        <v>5.2292293000000001</v>
      </c>
      <c r="M165" s="4">
        <v>74.659492311694123</v>
      </c>
      <c r="N165" s="4">
        <v>-0.34093734199840481</v>
      </c>
      <c r="O165" s="1" t="str">
        <f>HYPERLINK(".\sm_car_240930_1602\sm_car_240930_1602_164_Ca116TrN_MaLSS_ode3_1.png","figure")</f>
        <v>figure</v>
      </c>
      <c r="P165" t="s">
        <v>15</v>
      </c>
    </row>
    <row r="166" spans="1:16" x14ac:dyDescent="0.25">
      <c r="A166">
        <v>165</v>
      </c>
      <c r="B166">
        <v>116</v>
      </c>
      <c r="C166" t="s">
        <v>16</v>
      </c>
      <c r="D166" t="s">
        <v>35</v>
      </c>
      <c r="E166" t="s">
        <v>18</v>
      </c>
      <c r="F166" t="s">
        <v>28</v>
      </c>
      <c r="G166" t="s">
        <v>20</v>
      </c>
      <c r="H166" t="s">
        <v>21</v>
      </c>
      <c r="I166" t="s">
        <v>64</v>
      </c>
      <c r="J166" t="s">
        <v>63</v>
      </c>
      <c r="K166">
        <v>2563</v>
      </c>
      <c r="L166" s="4">
        <v>5.3838933999999998</v>
      </c>
      <c r="M166" s="4">
        <v>71.323971743789272</v>
      </c>
      <c r="N166" s="4">
        <v>-17.591550619340072</v>
      </c>
      <c r="O166" s="1" t="str">
        <f>HYPERLINK(".\sm_car_240930_1602\sm_car_240930_1602_165_Ca116TrN_MaTUR_ode3_1.png","figure")</f>
        <v>figure</v>
      </c>
      <c r="P166" t="s">
        <v>15</v>
      </c>
    </row>
    <row r="167" spans="1:16" x14ac:dyDescent="0.25">
      <c r="A167">
        <v>166</v>
      </c>
      <c r="B167">
        <v>124</v>
      </c>
      <c r="C167" t="s">
        <v>16</v>
      </c>
      <c r="D167" t="s">
        <v>35</v>
      </c>
      <c r="E167" t="s">
        <v>49</v>
      </c>
      <c r="F167" t="s">
        <v>28</v>
      </c>
      <c r="G167" t="s">
        <v>20</v>
      </c>
      <c r="H167" t="s">
        <v>21</v>
      </c>
      <c r="I167" t="s">
        <v>22</v>
      </c>
      <c r="J167" t="s">
        <v>63</v>
      </c>
      <c r="K167">
        <v>3244</v>
      </c>
      <c r="L167" s="4">
        <v>3.8731610000000001</v>
      </c>
      <c r="M167" s="4">
        <v>242.88013077767147</v>
      </c>
      <c r="N167" s="4">
        <v>0.23308389744189009</v>
      </c>
      <c r="O167" s="1" t="str">
        <f>HYPERLINK(".\sm_car_240930_1602\sm_car_240930_1602_166_Ca124TrN_MaWOT_ode3_1.png","figure")</f>
        <v>figure</v>
      </c>
      <c r="P167" t="s">
        <v>15</v>
      </c>
    </row>
    <row r="168" spans="1:16" x14ac:dyDescent="0.25">
      <c r="A168">
        <v>167</v>
      </c>
      <c r="B168">
        <v>124</v>
      </c>
      <c r="C168" t="s">
        <v>16</v>
      </c>
      <c r="D168" t="s">
        <v>35</v>
      </c>
      <c r="E168" t="s">
        <v>49</v>
      </c>
      <c r="F168" t="s">
        <v>28</v>
      </c>
      <c r="G168" t="s">
        <v>20</v>
      </c>
      <c r="H168" t="s">
        <v>21</v>
      </c>
      <c r="I168" t="s">
        <v>24</v>
      </c>
      <c r="J168" t="s">
        <v>63</v>
      </c>
      <c r="K168">
        <v>2565</v>
      </c>
      <c r="L168" s="4">
        <v>3.2108048</v>
      </c>
      <c r="M168" s="4">
        <v>74.79839484160884</v>
      </c>
      <c r="N168" s="4">
        <v>-0.34251601798099268</v>
      </c>
      <c r="O168" s="1" t="str">
        <f>HYPERLINK(".\sm_car_240930_1602\sm_car_240930_1602_167_Ca124TrN_MaLSS_ode3_1.png","figure")</f>
        <v>figure</v>
      </c>
      <c r="P168" t="s">
        <v>15</v>
      </c>
    </row>
    <row r="169" spans="1:16" x14ac:dyDescent="0.25">
      <c r="A169">
        <v>168</v>
      </c>
      <c r="B169">
        <v>124</v>
      </c>
      <c r="C169" t="s">
        <v>16</v>
      </c>
      <c r="D169" t="s">
        <v>35</v>
      </c>
      <c r="E169" t="s">
        <v>49</v>
      </c>
      <c r="F169" t="s">
        <v>28</v>
      </c>
      <c r="G169" t="s">
        <v>20</v>
      </c>
      <c r="H169" t="s">
        <v>21</v>
      </c>
      <c r="I169" t="s">
        <v>64</v>
      </c>
      <c r="J169" t="s">
        <v>63</v>
      </c>
      <c r="K169">
        <v>2564</v>
      </c>
      <c r="L169" s="4">
        <v>3.1320866999999999</v>
      </c>
      <c r="M169" s="4">
        <v>71.449353366816283</v>
      </c>
      <c r="N169" s="4">
        <v>-17.637595535249076</v>
      </c>
      <c r="O169" s="1" t="str">
        <f>HYPERLINK(".\sm_car_240930_1602\sm_car_240930_1602_168_Ca124TrN_MaTUR_ode3_1.png","figure")</f>
        <v>figure</v>
      </c>
      <c r="P169" t="s">
        <v>15</v>
      </c>
    </row>
    <row r="170" spans="1:16" x14ac:dyDescent="0.25">
      <c r="A170">
        <v>169</v>
      </c>
      <c r="B170">
        <v>141</v>
      </c>
      <c r="C170" t="s">
        <v>45</v>
      </c>
      <c r="D170" t="s">
        <v>17</v>
      </c>
      <c r="E170" t="s">
        <v>18</v>
      </c>
      <c r="F170" t="s">
        <v>28</v>
      </c>
      <c r="G170" t="s">
        <v>26</v>
      </c>
      <c r="H170" t="s">
        <v>21</v>
      </c>
      <c r="I170" t="s">
        <v>22</v>
      </c>
      <c r="J170" t="s">
        <v>63</v>
      </c>
      <c r="K170">
        <v>3833</v>
      </c>
      <c r="L170" s="4">
        <v>19.565753600000001</v>
      </c>
      <c r="M170" s="4">
        <v>411.77327955286199</v>
      </c>
      <c r="N170" s="4">
        <v>1.5228309409456255</v>
      </c>
      <c r="O170" s="1" t="str">
        <f>HYPERLINK(".\sm_car_240930_1602\sm_car_240930_1602_169_Ca141TrN_MaWOT_ode3_1.png","figure")</f>
        <v>figure</v>
      </c>
      <c r="P170" t="s">
        <v>15</v>
      </c>
    </row>
    <row r="171" spans="1:16" x14ac:dyDescent="0.25">
      <c r="A171">
        <v>170</v>
      </c>
      <c r="B171">
        <v>141</v>
      </c>
      <c r="C171" t="s">
        <v>45</v>
      </c>
      <c r="D171" t="s">
        <v>17</v>
      </c>
      <c r="E171" t="s">
        <v>18</v>
      </c>
      <c r="F171" t="s">
        <v>28</v>
      </c>
      <c r="G171" t="s">
        <v>26</v>
      </c>
      <c r="H171" t="s">
        <v>21</v>
      </c>
      <c r="I171" t="s">
        <v>24</v>
      </c>
      <c r="J171" t="s">
        <v>63</v>
      </c>
      <c r="K171">
        <v>3192</v>
      </c>
      <c r="L171" s="4">
        <v>16.513019400000001</v>
      </c>
      <c r="M171" s="4">
        <v>157.35652746778001</v>
      </c>
      <c r="N171" s="4">
        <v>-0.56383994623820011</v>
      </c>
      <c r="O171" s="1" t="str">
        <f>HYPERLINK(".\sm_car_240930_1602\sm_car_240930_1602_170_Ca141TrN_MaLSS_ode3_1.png","figure")</f>
        <v>figure</v>
      </c>
      <c r="P171" t="s">
        <v>15</v>
      </c>
    </row>
    <row r="172" spans="1:16" x14ac:dyDescent="0.25">
      <c r="A172">
        <v>171</v>
      </c>
      <c r="B172">
        <v>141</v>
      </c>
      <c r="C172" t="s">
        <v>45</v>
      </c>
      <c r="D172" t="s">
        <v>17</v>
      </c>
      <c r="E172" t="s">
        <v>18</v>
      </c>
      <c r="F172" t="s">
        <v>28</v>
      </c>
      <c r="G172" t="s">
        <v>26</v>
      </c>
      <c r="H172" t="s">
        <v>21</v>
      </c>
      <c r="I172" t="s">
        <v>64</v>
      </c>
      <c r="J172" t="s">
        <v>63</v>
      </c>
      <c r="K172">
        <v>3160</v>
      </c>
      <c r="L172" s="4">
        <v>16.2971036</v>
      </c>
      <c r="M172" s="4">
        <v>99.307823665682164</v>
      </c>
      <c r="N172" s="4">
        <v>-89.462983441218384</v>
      </c>
      <c r="O172" s="1" t="str">
        <f>HYPERLINK(".\sm_car_240930_1602\sm_car_240930_1602_171_Ca141TrN_MaTUR_ode3_1.png","figure")</f>
        <v>figure</v>
      </c>
      <c r="P172" t="s">
        <v>15</v>
      </c>
    </row>
    <row r="173" spans="1:16" x14ac:dyDescent="0.25">
      <c r="A173">
        <v>172</v>
      </c>
      <c r="B173">
        <v>145</v>
      </c>
      <c r="C173" t="s">
        <v>46</v>
      </c>
      <c r="D173" t="s">
        <v>17</v>
      </c>
      <c r="E173" t="s">
        <v>50</v>
      </c>
      <c r="F173" t="s">
        <v>19</v>
      </c>
      <c r="G173" t="s">
        <v>26</v>
      </c>
      <c r="H173" t="s">
        <v>21</v>
      </c>
      <c r="I173" t="s">
        <v>22</v>
      </c>
      <c r="J173" t="s">
        <v>63</v>
      </c>
      <c r="K173">
        <v>2853</v>
      </c>
      <c r="L173" s="4">
        <v>12.578221599999999</v>
      </c>
      <c r="M173" s="4">
        <v>96.995317808866005</v>
      </c>
      <c r="N173" s="4">
        <v>-4.6572432056864017E-2</v>
      </c>
      <c r="O173" s="1" t="str">
        <f>HYPERLINK(".\sm_car_240930_1602\sm_car_240930_1602_172_Ca145TrN_MaWOT_ode3_1.png","figure")</f>
        <v>figure</v>
      </c>
      <c r="P173" t="s">
        <v>15</v>
      </c>
    </row>
    <row r="174" spans="1:16" x14ac:dyDescent="0.25">
      <c r="A174">
        <v>173</v>
      </c>
      <c r="B174">
        <v>145</v>
      </c>
      <c r="C174" t="s">
        <v>46</v>
      </c>
      <c r="D174" t="s">
        <v>17</v>
      </c>
      <c r="E174" t="s">
        <v>50</v>
      </c>
      <c r="F174" t="s">
        <v>19</v>
      </c>
      <c r="G174" t="s">
        <v>26</v>
      </c>
      <c r="H174" t="s">
        <v>21</v>
      </c>
      <c r="I174" t="s">
        <v>24</v>
      </c>
      <c r="J174" t="s">
        <v>63</v>
      </c>
      <c r="K174">
        <v>2382</v>
      </c>
      <c r="L174" s="4">
        <v>10.388956</v>
      </c>
      <c r="M174" s="4">
        <v>25.420242271035665</v>
      </c>
      <c r="N174" s="4">
        <v>-5.3226525667028048E-2</v>
      </c>
      <c r="O174" s="1" t="str">
        <f>HYPERLINK(".\sm_car_240930_1602\sm_car_240930_1602_173_Ca145TrN_MaLSS_ode3_1.png","figure")</f>
        <v>figure</v>
      </c>
      <c r="P174" t="s">
        <v>15</v>
      </c>
    </row>
    <row r="175" spans="1:16" x14ac:dyDescent="0.25">
      <c r="A175">
        <v>174</v>
      </c>
      <c r="B175">
        <v>145</v>
      </c>
      <c r="C175" t="s">
        <v>46</v>
      </c>
      <c r="D175" t="s">
        <v>17</v>
      </c>
      <c r="E175" t="s">
        <v>50</v>
      </c>
      <c r="F175" t="s">
        <v>19</v>
      </c>
      <c r="G175" t="s">
        <v>26</v>
      </c>
      <c r="H175" t="s">
        <v>21</v>
      </c>
      <c r="I175" t="s">
        <v>64</v>
      </c>
      <c r="J175" t="s">
        <v>63</v>
      </c>
      <c r="K175">
        <v>2379</v>
      </c>
      <c r="L175" s="4">
        <v>10.5216808</v>
      </c>
      <c r="M175" s="4">
        <v>25.265468429135261</v>
      </c>
      <c r="N175" s="4">
        <v>-2.6403870481787828</v>
      </c>
      <c r="O175" s="1" t="str">
        <f>HYPERLINK(".\sm_car_240930_1602\sm_car_240930_1602_174_Ca145TrN_MaTUR_ode3_1.png","figure")</f>
        <v>figure</v>
      </c>
      <c r="P175" t="s">
        <v>15</v>
      </c>
    </row>
    <row r="176" spans="1:16" x14ac:dyDescent="0.25">
      <c r="A176">
        <v>175</v>
      </c>
      <c r="B176">
        <v>199</v>
      </c>
      <c r="C176" t="s">
        <v>46</v>
      </c>
      <c r="D176" t="s">
        <v>17</v>
      </c>
      <c r="E176" t="s">
        <v>110</v>
      </c>
      <c r="F176" t="s">
        <v>19</v>
      </c>
      <c r="G176" t="s">
        <v>26</v>
      </c>
      <c r="H176" t="s">
        <v>21</v>
      </c>
      <c r="I176" t="s">
        <v>22</v>
      </c>
      <c r="J176" t="s">
        <v>63</v>
      </c>
      <c r="K176">
        <v>2858</v>
      </c>
      <c r="L176" s="4">
        <v>14.08539</v>
      </c>
      <c r="M176" s="4">
        <v>97.748247127463486</v>
      </c>
      <c r="N176" s="4">
        <v>-4.7319025431749491E-2</v>
      </c>
      <c r="O176" s="1" t="str">
        <f>HYPERLINK(".\sm_car_240930_1602\sm_car_240930_1602_175_Ca199TrN_MaWOT_ode3_1.png","figure")</f>
        <v>figure</v>
      </c>
      <c r="P176" t="s">
        <v>15</v>
      </c>
    </row>
    <row r="177" spans="1:16" x14ac:dyDescent="0.25">
      <c r="A177">
        <v>176</v>
      </c>
      <c r="B177">
        <v>199</v>
      </c>
      <c r="C177" t="s">
        <v>46</v>
      </c>
      <c r="D177" t="s">
        <v>17</v>
      </c>
      <c r="E177" t="s">
        <v>110</v>
      </c>
      <c r="F177" t="s">
        <v>19</v>
      </c>
      <c r="G177" t="s">
        <v>26</v>
      </c>
      <c r="H177" t="s">
        <v>21</v>
      </c>
      <c r="I177" t="s">
        <v>24</v>
      </c>
      <c r="J177" t="s">
        <v>63</v>
      </c>
      <c r="K177">
        <v>2387</v>
      </c>
      <c r="L177" s="4">
        <v>11.9322429</v>
      </c>
      <c r="M177" s="4">
        <v>26.058231617548497</v>
      </c>
      <c r="N177" s="4">
        <v>-5.2510469966298289E-2</v>
      </c>
      <c r="O177" s="1" t="str">
        <f>HYPERLINK(".\sm_car_240930_1602\sm_car_240930_1602_176_Ca199TrN_MaLSS_ode3_1.png","figure")</f>
        <v>figure</v>
      </c>
      <c r="P177" t="s">
        <v>15</v>
      </c>
    </row>
    <row r="178" spans="1:16" x14ac:dyDescent="0.25">
      <c r="A178">
        <v>177</v>
      </c>
      <c r="B178">
        <v>199</v>
      </c>
      <c r="C178" t="s">
        <v>46</v>
      </c>
      <c r="D178" t="s">
        <v>17</v>
      </c>
      <c r="E178" t="s">
        <v>110</v>
      </c>
      <c r="F178" t="s">
        <v>19</v>
      </c>
      <c r="G178" t="s">
        <v>26</v>
      </c>
      <c r="H178" t="s">
        <v>21</v>
      </c>
      <c r="I178" t="s">
        <v>64</v>
      </c>
      <c r="J178" t="s">
        <v>63</v>
      </c>
      <c r="K178">
        <v>2384</v>
      </c>
      <c r="L178" s="4">
        <v>11.777680999999999</v>
      </c>
      <c r="M178" s="4">
        <v>25.895958283777475</v>
      </c>
      <c r="N178" s="4">
        <v>-2.7241185591124433</v>
      </c>
      <c r="O178" s="1" t="str">
        <f>HYPERLINK(".\sm_car_240930_1602\sm_car_240930_1602_177_Ca199TrN_MaTUR_ode3_1.png","figure")</f>
        <v>figure</v>
      </c>
      <c r="P178" t="s">
        <v>15</v>
      </c>
    </row>
    <row r="179" spans="1:16" x14ac:dyDescent="0.25">
      <c r="A179">
        <v>178</v>
      </c>
      <c r="B179">
        <v>139</v>
      </c>
      <c r="C179" t="s">
        <v>45</v>
      </c>
      <c r="D179" t="s">
        <v>17</v>
      </c>
      <c r="E179" t="s">
        <v>18</v>
      </c>
      <c r="F179" t="s">
        <v>19</v>
      </c>
      <c r="G179" t="s">
        <v>26</v>
      </c>
      <c r="H179" t="s">
        <v>21</v>
      </c>
      <c r="I179" t="s">
        <v>53</v>
      </c>
      <c r="J179" t="s">
        <v>23</v>
      </c>
      <c r="K179">
        <v>521</v>
      </c>
      <c r="L179" s="4">
        <v>13.687341999999999</v>
      </c>
      <c r="M179" s="4">
        <v>254.10316752364764</v>
      </c>
      <c r="N179" s="4">
        <v>-6.4185947421133704E-3</v>
      </c>
      <c r="O179" s="1" t="str">
        <f>HYPERLINK(".\sm_car_240930_1602\sm_car_240930_1602_178_Ca139TrN_MaDLC_ode23t_1.png","figure")</f>
        <v>figure</v>
      </c>
      <c r="P179" t="s">
        <v>15</v>
      </c>
    </row>
    <row r="180" spans="1:16" x14ac:dyDescent="0.25">
      <c r="A180">
        <v>179</v>
      </c>
      <c r="B180">
        <v>139</v>
      </c>
      <c r="C180" t="s">
        <v>45</v>
      </c>
      <c r="D180" t="s">
        <v>17</v>
      </c>
      <c r="E180" t="s">
        <v>18</v>
      </c>
      <c r="F180" t="s">
        <v>19</v>
      </c>
      <c r="G180" t="s">
        <v>26</v>
      </c>
      <c r="H180" t="s">
        <v>65</v>
      </c>
      <c r="I180" t="s">
        <v>53</v>
      </c>
      <c r="J180" t="s">
        <v>23</v>
      </c>
      <c r="K180">
        <v>785</v>
      </c>
      <c r="L180" s="4">
        <v>42.722419100000003</v>
      </c>
      <c r="M180" s="4">
        <v>253.20512146639192</v>
      </c>
      <c r="N180" s="4">
        <v>2.2547043892001462E-2</v>
      </c>
      <c r="O180" s="1" t="str">
        <f>HYPERLINK(".\sm_car_240930_1602\sm_car_240930_1602_179_Ca139TrE_MaDLC_ode23t_1.png","figure")</f>
        <v>figure</v>
      </c>
      <c r="P180" t="s">
        <v>15</v>
      </c>
    </row>
    <row r="181" spans="1:16" x14ac:dyDescent="0.25">
      <c r="A181">
        <v>180</v>
      </c>
      <c r="B181">
        <v>139</v>
      </c>
      <c r="C181" t="s">
        <v>45</v>
      </c>
      <c r="D181" t="s">
        <v>17</v>
      </c>
      <c r="E181" t="s">
        <v>18</v>
      </c>
      <c r="F181" t="s">
        <v>19</v>
      </c>
      <c r="G181" t="s">
        <v>26</v>
      </c>
      <c r="H181" t="s">
        <v>66</v>
      </c>
      <c r="I181" t="s">
        <v>53</v>
      </c>
      <c r="J181" t="s">
        <v>23</v>
      </c>
      <c r="K181">
        <v>891</v>
      </c>
      <c r="L181" s="4">
        <v>44.785709799999999</v>
      </c>
      <c r="M181" s="4">
        <v>255.82066389643057</v>
      </c>
      <c r="N181" s="4">
        <v>-5.3072498303521343E-3</v>
      </c>
      <c r="O181" s="1" t="str">
        <f>HYPERLINK(".\sm_car_240930_1602\sm_car_240930_1602_180_Ca139TrT_MaDLC_ode23t_1.png","figure")</f>
        <v>figure</v>
      </c>
      <c r="P181" t="s">
        <v>15</v>
      </c>
    </row>
    <row r="182" spans="1:16" x14ac:dyDescent="0.25">
      <c r="A182">
        <v>181</v>
      </c>
      <c r="B182">
        <v>139</v>
      </c>
      <c r="C182" t="s">
        <v>45</v>
      </c>
      <c r="D182" t="s">
        <v>17</v>
      </c>
      <c r="E182" t="s">
        <v>18</v>
      </c>
      <c r="F182" t="s">
        <v>19</v>
      </c>
      <c r="G182" t="s">
        <v>26</v>
      </c>
      <c r="H182" t="s">
        <v>65</v>
      </c>
      <c r="I182" t="s">
        <v>53</v>
      </c>
      <c r="J182" t="s">
        <v>23</v>
      </c>
      <c r="K182">
        <v>782</v>
      </c>
      <c r="L182" s="4">
        <v>33.361722</v>
      </c>
      <c r="M182" s="4">
        <v>253.47080757958236</v>
      </c>
      <c r="N182" s="4">
        <v>1.3449439259538565E-2</v>
      </c>
      <c r="O182" s="1" t="str">
        <f>HYPERLINK(".\sm_car_240930_1602\sm_car_240930_1602_181_Ca139TrE_MaDLC_ode23t_1.png","figure")</f>
        <v>figure</v>
      </c>
      <c r="P182" t="s">
        <v>15</v>
      </c>
    </row>
    <row r="183" spans="1:16" x14ac:dyDescent="0.25">
      <c r="A183">
        <v>182</v>
      </c>
      <c r="B183">
        <v>2</v>
      </c>
      <c r="C183" t="s">
        <v>16</v>
      </c>
      <c r="D183" t="s">
        <v>17</v>
      </c>
      <c r="E183" t="s">
        <v>18</v>
      </c>
      <c r="F183" t="s">
        <v>19</v>
      </c>
      <c r="G183" t="s">
        <v>26</v>
      </c>
      <c r="H183" t="s">
        <v>21</v>
      </c>
      <c r="I183" t="s">
        <v>53</v>
      </c>
      <c r="J183" t="s">
        <v>23</v>
      </c>
      <c r="K183">
        <v>626</v>
      </c>
      <c r="L183" s="4">
        <v>16.393957199999999</v>
      </c>
      <c r="M183" s="4">
        <v>254.1604190544092</v>
      </c>
      <c r="N183" s="4">
        <v>3.2505601947123708E-3</v>
      </c>
      <c r="O183" s="1" t="str">
        <f>HYPERLINK(".\sm_car_240930_1602\sm_car_240930_1602_182_Ca002TrN_MaDLC_ode23t_1.png","figure")</f>
        <v>figure</v>
      </c>
      <c r="P183" t="s">
        <v>15</v>
      </c>
    </row>
    <row r="184" spans="1:16" x14ac:dyDescent="0.25">
      <c r="A184">
        <v>183</v>
      </c>
      <c r="B184">
        <v>2</v>
      </c>
      <c r="C184" t="s">
        <v>16</v>
      </c>
      <c r="D184" t="s">
        <v>17</v>
      </c>
      <c r="E184" t="s">
        <v>18</v>
      </c>
      <c r="F184" t="s">
        <v>19</v>
      </c>
      <c r="G184" t="s">
        <v>26</v>
      </c>
      <c r="H184" t="s">
        <v>65</v>
      </c>
      <c r="I184" t="s">
        <v>53</v>
      </c>
      <c r="J184" t="s">
        <v>23</v>
      </c>
      <c r="K184">
        <v>785</v>
      </c>
      <c r="L184" s="4">
        <v>37.224895600000004</v>
      </c>
      <c r="M184" s="4">
        <v>253.47684506088785</v>
      </c>
      <c r="N184" s="4">
        <v>3.6158225198335003E-3</v>
      </c>
      <c r="O184" s="1" t="str">
        <f>HYPERLINK(".\sm_car_240930_1602\sm_car_240930_1602_183_Ca002TrE_MaDLC_ode23t_1.png","figure")</f>
        <v>figure</v>
      </c>
      <c r="P184" t="s">
        <v>15</v>
      </c>
    </row>
    <row r="185" spans="1:16" x14ac:dyDescent="0.25">
      <c r="A185">
        <v>184</v>
      </c>
      <c r="B185">
        <v>2</v>
      </c>
      <c r="C185" t="s">
        <v>16</v>
      </c>
      <c r="D185" t="s">
        <v>17</v>
      </c>
      <c r="E185" t="s">
        <v>18</v>
      </c>
      <c r="F185" t="s">
        <v>19</v>
      </c>
      <c r="G185" t="s">
        <v>26</v>
      </c>
      <c r="H185" t="s">
        <v>66</v>
      </c>
      <c r="I185" t="s">
        <v>53</v>
      </c>
      <c r="J185" t="s">
        <v>23</v>
      </c>
      <c r="K185">
        <v>990</v>
      </c>
      <c r="L185" s="4">
        <v>53.225952399999997</v>
      </c>
      <c r="M185" s="4">
        <v>254.52051658932709</v>
      </c>
      <c r="N185" s="4">
        <v>3.0870678567600507E-3</v>
      </c>
      <c r="O185" s="1" t="str">
        <f>HYPERLINK(".\sm_car_240930_1602\sm_car_240930_1602_184_Ca002TrT_MaDLC_ode23t_1.png","figure")</f>
        <v>figure</v>
      </c>
      <c r="P185" t="s">
        <v>15</v>
      </c>
    </row>
    <row r="186" spans="1:16" x14ac:dyDescent="0.25">
      <c r="A186">
        <v>185</v>
      </c>
      <c r="B186">
        <v>2</v>
      </c>
      <c r="C186" t="s">
        <v>16</v>
      </c>
      <c r="D186" t="s">
        <v>17</v>
      </c>
      <c r="E186" t="s">
        <v>18</v>
      </c>
      <c r="F186" t="s">
        <v>19</v>
      </c>
      <c r="G186" t="s">
        <v>26</v>
      </c>
      <c r="H186" t="s">
        <v>65</v>
      </c>
      <c r="I186" t="s">
        <v>53</v>
      </c>
      <c r="J186" t="s">
        <v>23</v>
      </c>
      <c r="K186">
        <v>781</v>
      </c>
      <c r="L186" s="4">
        <v>26.653371400000001</v>
      </c>
      <c r="M186" s="4">
        <v>253.55595836581944</v>
      </c>
      <c r="N186" s="4">
        <v>3.5670024268910083E-3</v>
      </c>
      <c r="O186" s="1" t="str">
        <f>HYPERLINK(".\sm_car_240930_1602\sm_car_240930_1602_185_Ca002TrE_MaDLC_ode23t_1.png","figure")</f>
        <v>figure</v>
      </c>
      <c r="P186" t="s">
        <v>15</v>
      </c>
    </row>
    <row r="187" spans="1:16" x14ac:dyDescent="0.25">
      <c r="A187">
        <v>186</v>
      </c>
      <c r="B187">
        <v>145</v>
      </c>
      <c r="C187" t="s">
        <v>46</v>
      </c>
      <c r="D187" t="s">
        <v>17</v>
      </c>
      <c r="E187" t="s">
        <v>50</v>
      </c>
      <c r="F187" t="s">
        <v>19</v>
      </c>
      <c r="G187" t="s">
        <v>26</v>
      </c>
      <c r="H187" t="s">
        <v>21</v>
      </c>
      <c r="I187" t="s">
        <v>53</v>
      </c>
      <c r="J187" t="s">
        <v>23</v>
      </c>
      <c r="K187">
        <v>475</v>
      </c>
      <c r="L187" s="4">
        <v>28.991494599999999</v>
      </c>
      <c r="M187" s="4">
        <v>253.49950833120528</v>
      </c>
      <c r="N187" s="4">
        <v>4.8241039373732697E-2</v>
      </c>
      <c r="O187" s="1" t="str">
        <f>HYPERLINK(".\sm_car_240930_1602\sm_car_240930_1602_186_Ca145TrN_MaDLC_ode23t_1.png","figure")</f>
        <v>figure</v>
      </c>
      <c r="P187" t="s">
        <v>15</v>
      </c>
    </row>
    <row r="188" spans="1:16" x14ac:dyDescent="0.25">
      <c r="A188">
        <v>187</v>
      </c>
      <c r="B188">
        <v>145</v>
      </c>
      <c r="C188" t="s">
        <v>46</v>
      </c>
      <c r="D188" t="s">
        <v>17</v>
      </c>
      <c r="E188" t="s">
        <v>50</v>
      </c>
      <c r="F188" t="s">
        <v>19</v>
      </c>
      <c r="G188" t="s">
        <v>26</v>
      </c>
      <c r="H188" t="s">
        <v>65</v>
      </c>
      <c r="I188" t="s">
        <v>53</v>
      </c>
      <c r="J188" t="s">
        <v>23</v>
      </c>
      <c r="K188">
        <v>563</v>
      </c>
      <c r="L188" s="4">
        <v>54.3826885</v>
      </c>
      <c r="M188" s="4">
        <v>254.08643293723998</v>
      </c>
      <c r="N188" s="4">
        <v>4.6386746199589268E-2</v>
      </c>
      <c r="O188" s="1" t="str">
        <f>HYPERLINK(".\sm_car_240930_1602\sm_car_240930_1602_187_Ca145TrE_MaDLC_ode23t_1.png","figure")</f>
        <v>figure</v>
      </c>
      <c r="P188" t="s">
        <v>15</v>
      </c>
    </row>
    <row r="189" spans="1:16" x14ac:dyDescent="0.25">
      <c r="A189">
        <v>188</v>
      </c>
      <c r="B189">
        <v>145</v>
      </c>
      <c r="C189" t="s">
        <v>46</v>
      </c>
      <c r="D189" t="s">
        <v>17</v>
      </c>
      <c r="E189" t="s">
        <v>50</v>
      </c>
      <c r="F189" t="s">
        <v>19</v>
      </c>
      <c r="G189" t="s">
        <v>26</v>
      </c>
      <c r="H189" t="s">
        <v>66</v>
      </c>
      <c r="I189" t="s">
        <v>53</v>
      </c>
      <c r="J189" t="s">
        <v>23</v>
      </c>
      <c r="K189">
        <v>629</v>
      </c>
      <c r="L189" s="4">
        <v>57.825673799999997</v>
      </c>
      <c r="M189" s="4">
        <v>254.1362102599378</v>
      </c>
      <c r="N189" s="4">
        <v>4.5837861199533592E-2</v>
      </c>
      <c r="O189" s="1" t="str">
        <f>HYPERLINK(".\sm_car_240930_1602\sm_car_240930_1602_188_Ca145TrT_MaDLC_ode23t_1.png","figure")</f>
        <v>figure</v>
      </c>
      <c r="P189" t="s">
        <v>15</v>
      </c>
    </row>
    <row r="190" spans="1:16" x14ac:dyDescent="0.25">
      <c r="A190">
        <v>189</v>
      </c>
      <c r="B190">
        <v>145</v>
      </c>
      <c r="C190" t="s">
        <v>46</v>
      </c>
      <c r="D190" t="s">
        <v>17</v>
      </c>
      <c r="E190" t="s">
        <v>50</v>
      </c>
      <c r="F190" t="s">
        <v>19</v>
      </c>
      <c r="G190" t="s">
        <v>26</v>
      </c>
      <c r="H190" t="s">
        <v>65</v>
      </c>
      <c r="I190" t="s">
        <v>53</v>
      </c>
      <c r="J190" t="s">
        <v>23</v>
      </c>
      <c r="K190">
        <v>555</v>
      </c>
      <c r="L190" s="4">
        <v>44.508662399999999</v>
      </c>
      <c r="M190" s="4">
        <v>254.25984834615178</v>
      </c>
      <c r="N190" s="4">
        <v>4.5725003114879925E-2</v>
      </c>
      <c r="O190" s="1" t="str">
        <f>HYPERLINK(".\sm_car_240930_1602\sm_car_240930_1602_189_Ca145TrE_MaDLC_ode23t_1.png","figure")</f>
        <v>figure</v>
      </c>
      <c r="P190" t="s">
        <v>15</v>
      </c>
    </row>
    <row r="191" spans="1:16" x14ac:dyDescent="0.25">
      <c r="A191">
        <v>190</v>
      </c>
      <c r="B191">
        <v>199</v>
      </c>
      <c r="C191" t="s">
        <v>46</v>
      </c>
      <c r="D191" t="s">
        <v>17</v>
      </c>
      <c r="E191" t="s">
        <v>110</v>
      </c>
      <c r="F191" t="s">
        <v>19</v>
      </c>
      <c r="G191" t="s">
        <v>26</v>
      </c>
      <c r="H191" t="s">
        <v>21</v>
      </c>
      <c r="I191" t="s">
        <v>53</v>
      </c>
      <c r="J191" t="s">
        <v>23</v>
      </c>
      <c r="K191">
        <v>476</v>
      </c>
      <c r="L191" s="4">
        <v>11.9295948</v>
      </c>
      <c r="M191" s="4">
        <v>253.66643868857597</v>
      </c>
      <c r="N191" s="4">
        <v>4.7490912038590238E-2</v>
      </c>
      <c r="O191" s="1" t="str">
        <f>HYPERLINK(".\sm_car_240930_1602\sm_car_240930_1602_190_Ca199TrN_MaDLC_ode23t_1.png","figure")</f>
        <v>figure</v>
      </c>
      <c r="P191" t="s">
        <v>15</v>
      </c>
    </row>
    <row r="192" spans="1:16" x14ac:dyDescent="0.25">
      <c r="A192">
        <v>191</v>
      </c>
      <c r="B192">
        <v>199</v>
      </c>
      <c r="C192" t="s">
        <v>46</v>
      </c>
      <c r="D192" t="s">
        <v>17</v>
      </c>
      <c r="E192" t="s">
        <v>110</v>
      </c>
      <c r="F192" t="s">
        <v>19</v>
      </c>
      <c r="G192" t="s">
        <v>26</v>
      </c>
      <c r="H192" t="s">
        <v>65</v>
      </c>
      <c r="I192" t="s">
        <v>53</v>
      </c>
      <c r="J192" t="s">
        <v>23</v>
      </c>
      <c r="K192">
        <v>555</v>
      </c>
      <c r="L192" s="4">
        <v>27.585432900000001</v>
      </c>
      <c r="M192" s="4">
        <v>254.26031772713088</v>
      </c>
      <c r="N192" s="4">
        <v>4.5746541150228914E-2</v>
      </c>
      <c r="O192" s="1" t="str">
        <f>HYPERLINK(".\sm_car_240930_1602\sm_car_240930_1602_191_Ca199TrE_MaDLC_ode23t_1.png","figure")</f>
        <v>figure</v>
      </c>
      <c r="P192" t="s">
        <v>15</v>
      </c>
    </row>
    <row r="193" spans="1:16" x14ac:dyDescent="0.25">
      <c r="A193">
        <v>192</v>
      </c>
      <c r="B193">
        <v>199</v>
      </c>
      <c r="C193" t="s">
        <v>46</v>
      </c>
      <c r="D193" t="s">
        <v>17</v>
      </c>
      <c r="E193" t="s">
        <v>110</v>
      </c>
      <c r="F193" t="s">
        <v>19</v>
      </c>
      <c r="G193" t="s">
        <v>26</v>
      </c>
      <c r="H193" t="s">
        <v>66</v>
      </c>
      <c r="I193" t="s">
        <v>53</v>
      </c>
      <c r="J193" t="s">
        <v>23</v>
      </c>
      <c r="K193">
        <v>656</v>
      </c>
      <c r="L193" s="4">
        <v>30.474826499999999</v>
      </c>
      <c r="M193" s="4">
        <v>254.0992582700087</v>
      </c>
      <c r="N193" s="4">
        <v>4.6240766387476206E-2</v>
      </c>
      <c r="O193" s="1" t="str">
        <f>HYPERLINK(".\sm_car_240930_1602\sm_car_240930_1602_192_Ca199TrT_MaDLC_ode23t_1.png","figure")</f>
        <v>figure</v>
      </c>
      <c r="P193" t="s">
        <v>15</v>
      </c>
    </row>
    <row r="194" spans="1:16" x14ac:dyDescent="0.25">
      <c r="A194">
        <v>193</v>
      </c>
      <c r="B194">
        <v>199</v>
      </c>
      <c r="C194" t="s">
        <v>46</v>
      </c>
      <c r="D194" t="s">
        <v>17</v>
      </c>
      <c r="E194" t="s">
        <v>110</v>
      </c>
      <c r="F194" t="s">
        <v>19</v>
      </c>
      <c r="G194" t="s">
        <v>26</v>
      </c>
      <c r="H194" t="s">
        <v>65</v>
      </c>
      <c r="I194" t="s">
        <v>53</v>
      </c>
      <c r="J194" t="s">
        <v>23</v>
      </c>
      <c r="K194">
        <v>562</v>
      </c>
      <c r="L194" s="4">
        <v>20.357908900000002</v>
      </c>
      <c r="M194" s="4">
        <v>253.41453062572276</v>
      </c>
      <c r="N194" s="4">
        <v>4.8998369849651446E-2</v>
      </c>
      <c r="O194" s="1" t="str">
        <f>HYPERLINK(".\sm_car_240930_1602\sm_car_240930_1602_193_Ca199TrE_MaDLC_ode23t_1.png","figure")</f>
        <v>figure</v>
      </c>
      <c r="P194" t="s">
        <v>15</v>
      </c>
    </row>
    <row r="195" spans="1:16" x14ac:dyDescent="0.25">
      <c r="A195">
        <v>194</v>
      </c>
      <c r="B195">
        <v>139</v>
      </c>
      <c r="C195" t="s">
        <v>45</v>
      </c>
      <c r="D195" t="s">
        <v>17</v>
      </c>
      <c r="E195" t="s">
        <v>18</v>
      </c>
      <c r="F195" t="s">
        <v>19</v>
      </c>
      <c r="G195" t="s">
        <v>26</v>
      </c>
      <c r="H195" t="s">
        <v>65</v>
      </c>
      <c r="I195" t="s">
        <v>67</v>
      </c>
      <c r="J195" t="s">
        <v>23</v>
      </c>
      <c r="K195">
        <v>427</v>
      </c>
      <c r="L195" s="4">
        <v>18.8855413</v>
      </c>
      <c r="M195" s="4">
        <v>261.08175628933844</v>
      </c>
      <c r="N195" s="4">
        <v>2.5013448945187271</v>
      </c>
      <c r="O195" s="1" t="str">
        <f>HYPERLINK(".\sm_car_240930_1602\sm_car_240930_1602_194_Ca139TrE_MaTRD_ode23t_1.png","figure")</f>
        <v>figure</v>
      </c>
      <c r="P195" t="s">
        <v>15</v>
      </c>
    </row>
    <row r="196" spans="1:16" x14ac:dyDescent="0.25">
      <c r="A196">
        <v>195</v>
      </c>
      <c r="B196">
        <v>139</v>
      </c>
      <c r="C196" t="s">
        <v>45</v>
      </c>
      <c r="D196" t="s">
        <v>17</v>
      </c>
      <c r="E196" t="s">
        <v>18</v>
      </c>
      <c r="F196" t="s">
        <v>19</v>
      </c>
      <c r="G196" t="s">
        <v>26</v>
      </c>
      <c r="H196" t="s">
        <v>65</v>
      </c>
      <c r="I196" t="s">
        <v>67</v>
      </c>
      <c r="J196" t="s">
        <v>23</v>
      </c>
      <c r="K196">
        <v>482</v>
      </c>
      <c r="L196" s="4">
        <v>17.622159100000001</v>
      </c>
      <c r="M196" s="4">
        <v>261.06410888157274</v>
      </c>
      <c r="N196" s="4">
        <v>2.501409313424563</v>
      </c>
      <c r="O196" s="1" t="str">
        <f>HYPERLINK(".\sm_car_240930_1602\sm_car_240930_1602_195_Ca139TrU_MaTRD_ode23t_1.png","figure")</f>
        <v>figure</v>
      </c>
      <c r="P196" t="s">
        <v>15</v>
      </c>
    </row>
    <row r="197" spans="1:16" x14ac:dyDescent="0.25">
      <c r="A197">
        <v>196</v>
      </c>
      <c r="B197">
        <v>149</v>
      </c>
      <c r="C197" t="s">
        <v>46</v>
      </c>
      <c r="D197" t="s">
        <v>17</v>
      </c>
      <c r="E197" t="s">
        <v>68</v>
      </c>
      <c r="F197" t="s">
        <v>19</v>
      </c>
      <c r="G197" t="s">
        <v>26</v>
      </c>
      <c r="H197" t="s">
        <v>21</v>
      </c>
      <c r="I197" t="s">
        <v>69</v>
      </c>
      <c r="J197" t="s">
        <v>23</v>
      </c>
      <c r="K197">
        <v>1268</v>
      </c>
      <c r="L197" s="4">
        <v>19.984036799999998</v>
      </c>
      <c r="M197" s="4">
        <v>-5.2052036180585647E-3</v>
      </c>
      <c r="N197" s="4">
        <v>-5.9859598298193776E-4</v>
      </c>
      <c r="O197" s="1" t="str">
        <f>HYPERLINK(".\sm_car_240930_1602\sm_car_240930_1602_196_Ca149TrN_MaPST_ode23t_1.png","figure")</f>
        <v>figure</v>
      </c>
      <c r="P197" t="s">
        <v>15</v>
      </c>
    </row>
    <row r="198" spans="1:16" x14ac:dyDescent="0.25">
      <c r="A198">
        <v>197</v>
      </c>
      <c r="B198">
        <v>139</v>
      </c>
      <c r="C198" t="s">
        <v>45</v>
      </c>
      <c r="D198" t="s">
        <v>17</v>
      </c>
      <c r="E198" t="s">
        <v>18</v>
      </c>
      <c r="F198" t="s">
        <v>19</v>
      </c>
      <c r="G198" t="s">
        <v>26</v>
      </c>
      <c r="H198" t="s">
        <v>21</v>
      </c>
      <c r="I198" t="s">
        <v>70</v>
      </c>
      <c r="J198" t="s">
        <v>23</v>
      </c>
      <c r="K198">
        <v>1538</v>
      </c>
      <c r="L198" s="4">
        <v>58.275273300000002</v>
      </c>
      <c r="M198" s="4">
        <v>36.534041418015093</v>
      </c>
      <c r="N198" s="4">
        <v>0.34472135935674925</v>
      </c>
      <c r="O198" s="1" t="str">
        <f>HYPERLINK(".\sm_car_240930_1602\sm_car_240930_1602_197_Ca139TrN_MaSKD_ode23t_1.png","figure")</f>
        <v>figure</v>
      </c>
      <c r="P198" t="s">
        <v>15</v>
      </c>
    </row>
    <row r="199" spans="1:16" x14ac:dyDescent="0.25">
      <c r="A199">
        <v>198</v>
      </c>
      <c r="B199">
        <v>139</v>
      </c>
      <c r="C199" t="s">
        <v>45</v>
      </c>
      <c r="D199" t="s">
        <v>17</v>
      </c>
      <c r="E199" t="s">
        <v>18</v>
      </c>
      <c r="F199" t="s">
        <v>19</v>
      </c>
      <c r="G199" t="s">
        <v>26</v>
      </c>
      <c r="H199" t="s">
        <v>21</v>
      </c>
      <c r="I199" t="s">
        <v>71</v>
      </c>
      <c r="J199" t="s">
        <v>23</v>
      </c>
      <c r="K199">
        <v>1089</v>
      </c>
      <c r="L199" s="4">
        <v>53.662350600000003</v>
      </c>
      <c r="M199" s="4">
        <v>3.3077192789778138</v>
      </c>
      <c r="N199" s="4">
        <v>26.656208905870848</v>
      </c>
      <c r="O199" s="1" t="str">
        <f>HYPERLINK(".\sm_car_240930_1602\sm_car_240930_1602_198_Ca139TrN_MaRAD_ode23t_1.png","figure")</f>
        <v>figure</v>
      </c>
      <c r="P199" t="s">
        <v>15</v>
      </c>
    </row>
    <row r="200" spans="1:16" x14ac:dyDescent="0.25">
      <c r="A200">
        <v>199</v>
      </c>
      <c r="B200">
        <v>184</v>
      </c>
      <c r="C200" t="s">
        <v>105</v>
      </c>
      <c r="D200" t="s">
        <v>106</v>
      </c>
      <c r="E200" t="s">
        <v>49</v>
      </c>
      <c r="F200" t="s">
        <v>19</v>
      </c>
      <c r="G200" t="s">
        <v>20</v>
      </c>
      <c r="H200" t="s">
        <v>21</v>
      </c>
      <c r="I200" t="s">
        <v>70</v>
      </c>
      <c r="J200" t="s">
        <v>23</v>
      </c>
      <c r="K200">
        <v>1319</v>
      </c>
      <c r="L200" s="4">
        <v>83.774419800000004</v>
      </c>
      <c r="M200" s="4">
        <v>36.47395711684193</v>
      </c>
      <c r="N200" s="4">
        <v>0.2412434312198164</v>
      </c>
      <c r="O200" s="1" t="str">
        <f>HYPERLINK(".\sm_car_240930_1602\sm_car_240930_1602_199_Ca184TrN_MaSKD_ode23t_1.png","figure")</f>
        <v>figure</v>
      </c>
      <c r="P200" t="s">
        <v>15</v>
      </c>
    </row>
    <row r="201" spans="1:16" x14ac:dyDescent="0.25">
      <c r="A201">
        <v>200</v>
      </c>
      <c r="B201">
        <v>184</v>
      </c>
      <c r="C201" t="s">
        <v>105</v>
      </c>
      <c r="D201" t="s">
        <v>106</v>
      </c>
      <c r="E201" t="s">
        <v>49</v>
      </c>
      <c r="F201" t="s">
        <v>19</v>
      </c>
      <c r="G201" t="s">
        <v>20</v>
      </c>
      <c r="H201" t="s">
        <v>21</v>
      </c>
      <c r="I201" t="s">
        <v>71</v>
      </c>
      <c r="J201" t="s">
        <v>23</v>
      </c>
      <c r="K201">
        <v>629</v>
      </c>
      <c r="L201" s="4">
        <v>37.319880300000001</v>
      </c>
      <c r="M201" s="4">
        <v>12.325345873723991</v>
      </c>
      <c r="N201" s="4">
        <v>21.750716246514148</v>
      </c>
      <c r="O201" s="1" t="str">
        <f>HYPERLINK(".\sm_car_240930_1602\sm_car_240930_1602_200_Ca184TrN_MaRAD_ode23t_1.png","figure")</f>
        <v>figure</v>
      </c>
      <c r="P201" t="s">
        <v>15</v>
      </c>
    </row>
    <row r="202" spans="1:16" x14ac:dyDescent="0.25">
      <c r="A202">
        <v>201</v>
      </c>
      <c r="B202">
        <v>198</v>
      </c>
      <c r="C202" t="s">
        <v>105</v>
      </c>
      <c r="D202" t="s">
        <v>106</v>
      </c>
      <c r="E202" t="s">
        <v>108</v>
      </c>
      <c r="F202" t="s">
        <v>19</v>
      </c>
      <c r="G202" t="s">
        <v>20</v>
      </c>
      <c r="H202" t="s">
        <v>21</v>
      </c>
      <c r="I202" t="s">
        <v>70</v>
      </c>
      <c r="J202" t="s">
        <v>23</v>
      </c>
      <c r="K202">
        <v>1412</v>
      </c>
      <c r="L202" s="4">
        <v>50.380085600000001</v>
      </c>
      <c r="M202" s="4">
        <v>36.344255488624505</v>
      </c>
      <c r="N202" s="4">
        <v>0.24618784954653761</v>
      </c>
      <c r="O202" s="1" t="str">
        <f>HYPERLINK(".\sm_car_240930_1602\sm_car_240930_1602_201_Ca198TrN_MaSKD_ode23t_1.png","figure")</f>
        <v>figure</v>
      </c>
      <c r="P202" t="s">
        <v>15</v>
      </c>
    </row>
    <row r="203" spans="1:16" x14ac:dyDescent="0.25">
      <c r="A203">
        <v>202</v>
      </c>
      <c r="B203">
        <v>198</v>
      </c>
      <c r="C203" t="s">
        <v>105</v>
      </c>
      <c r="D203" t="s">
        <v>106</v>
      </c>
      <c r="E203" t="s">
        <v>108</v>
      </c>
      <c r="F203" t="s">
        <v>19</v>
      </c>
      <c r="G203" t="s">
        <v>20</v>
      </c>
      <c r="H203" t="s">
        <v>21</v>
      </c>
      <c r="I203" t="s">
        <v>71</v>
      </c>
      <c r="J203" t="s">
        <v>23</v>
      </c>
      <c r="K203">
        <v>666</v>
      </c>
      <c r="L203" s="4">
        <v>22.752580600000002</v>
      </c>
      <c r="M203" s="4">
        <v>12.312268995678735</v>
      </c>
      <c r="N203" s="4">
        <v>21.707795668106943</v>
      </c>
      <c r="O203" s="1" t="str">
        <f>HYPERLINK(".\sm_car_240930_1602\sm_car_240930_1602_202_Ca198TrN_MaRAD_ode23t_1.png","figure")</f>
        <v>figure</v>
      </c>
      <c r="P203" t="s">
        <v>15</v>
      </c>
    </row>
    <row r="204" spans="1:16" x14ac:dyDescent="0.25">
      <c r="A204">
        <v>203</v>
      </c>
      <c r="B204">
        <v>156</v>
      </c>
      <c r="C204" t="s">
        <v>45</v>
      </c>
      <c r="D204" t="s">
        <v>17</v>
      </c>
      <c r="E204" t="s">
        <v>18</v>
      </c>
      <c r="F204" t="s">
        <v>19</v>
      </c>
      <c r="G204" t="s">
        <v>38</v>
      </c>
      <c r="H204" t="s">
        <v>21</v>
      </c>
      <c r="I204" t="s">
        <v>54</v>
      </c>
      <c r="J204" t="s">
        <v>23</v>
      </c>
      <c r="K204">
        <v>26964</v>
      </c>
      <c r="L204" s="4">
        <v>615.83106269999996</v>
      </c>
      <c r="M204" s="4">
        <v>20.064256990081006</v>
      </c>
      <c r="N204" s="4">
        <v>3.1011374085630838</v>
      </c>
      <c r="O204" s="1" t="str">
        <f>HYPERLINK(".\sm_car_240930_1602\sm_car_240930_1602_203_Ca156TrN_MaIPA_ode23t.png","figure")</f>
        <v>figure</v>
      </c>
      <c r="P204" t="s">
        <v>15</v>
      </c>
    </row>
    <row r="205" spans="1:16" x14ac:dyDescent="0.25">
      <c r="A205">
        <v>204</v>
      </c>
      <c r="B205">
        <v>130</v>
      </c>
      <c r="C205" t="s">
        <v>16</v>
      </c>
      <c r="D205" t="s">
        <v>17</v>
      </c>
      <c r="E205" t="s">
        <v>18</v>
      </c>
      <c r="F205" t="s">
        <v>19</v>
      </c>
      <c r="G205" t="s">
        <v>38</v>
      </c>
      <c r="H205" t="s">
        <v>21</v>
      </c>
      <c r="I205" t="s">
        <v>54</v>
      </c>
      <c r="J205" t="s">
        <v>23</v>
      </c>
      <c r="K205">
        <v>18665</v>
      </c>
      <c r="L205" s="4">
        <v>412.28803909999999</v>
      </c>
      <c r="M205" s="4">
        <v>16.641501556292802</v>
      </c>
      <c r="N205" s="4">
        <v>0.61242329423538477</v>
      </c>
      <c r="O205" s="1" t="str">
        <f>HYPERLINK(".\sm_car_240930_1602\sm_car_240930_1602_204_Ca130TrN_MaIPA_ode23t.png","figure")</f>
        <v>figure</v>
      </c>
      <c r="P205" t="s">
        <v>15</v>
      </c>
    </row>
    <row r="206" spans="1:16" x14ac:dyDescent="0.25">
      <c r="A206">
        <v>205</v>
      </c>
      <c r="B206">
        <v>171</v>
      </c>
      <c r="C206" t="s">
        <v>45</v>
      </c>
      <c r="D206" t="s">
        <v>17</v>
      </c>
      <c r="E206" t="s">
        <v>72</v>
      </c>
      <c r="F206" t="s">
        <v>19</v>
      </c>
      <c r="G206" t="s">
        <v>26</v>
      </c>
      <c r="H206" t="s">
        <v>21</v>
      </c>
      <c r="I206" t="s">
        <v>73</v>
      </c>
      <c r="J206" t="s">
        <v>23</v>
      </c>
      <c r="K206">
        <v>1343</v>
      </c>
      <c r="L206" s="4">
        <v>31.851180200000002</v>
      </c>
      <c r="M206" s="4">
        <v>347.42413039628809</v>
      </c>
      <c r="N206" s="4">
        <v>0.73188392738430019</v>
      </c>
      <c r="O206" s="1" t="str">
        <f>HYPERLINK(".\sm_car_240930_1602\sm_car_240930_1602_205_Ca171TrN_MaRDP_ode23t_1.png","figure")</f>
        <v>figure</v>
      </c>
      <c r="P206" t="s">
        <v>15</v>
      </c>
    </row>
    <row r="207" spans="1:16" x14ac:dyDescent="0.25">
      <c r="A207">
        <v>206</v>
      </c>
      <c r="B207">
        <v>172</v>
      </c>
      <c r="C207" t="s">
        <v>46</v>
      </c>
      <c r="D207" t="s">
        <v>17</v>
      </c>
      <c r="E207" t="s">
        <v>72</v>
      </c>
      <c r="F207" t="s">
        <v>19</v>
      </c>
      <c r="G207" t="s">
        <v>26</v>
      </c>
      <c r="H207" t="s">
        <v>21</v>
      </c>
      <c r="I207" t="s">
        <v>73</v>
      </c>
      <c r="J207" t="s">
        <v>23</v>
      </c>
      <c r="K207">
        <v>1281</v>
      </c>
      <c r="L207" s="4">
        <v>17.713065400000001</v>
      </c>
      <c r="M207" s="4">
        <v>144.11336289113578</v>
      </c>
      <c r="N207" s="4">
        <v>3.6081928593668773E-2</v>
      </c>
      <c r="O207" s="1" t="str">
        <f>HYPERLINK(".\sm_car_240930_1602\sm_car_240930_1602_206_Ca172TrN_MaRDP_ode23t_1.png","figure")</f>
        <v>figure</v>
      </c>
      <c r="P207" t="s">
        <v>15</v>
      </c>
    </row>
    <row r="208" spans="1:16" x14ac:dyDescent="0.25">
      <c r="A208">
        <v>207</v>
      </c>
      <c r="B208">
        <v>139</v>
      </c>
      <c r="C208" t="s">
        <v>45</v>
      </c>
      <c r="D208" t="s">
        <v>17</v>
      </c>
      <c r="E208" t="s">
        <v>18</v>
      </c>
      <c r="F208" t="s">
        <v>19</v>
      </c>
      <c r="G208" t="s">
        <v>26</v>
      </c>
      <c r="H208" t="s">
        <v>21</v>
      </c>
      <c r="I208" t="s">
        <v>74</v>
      </c>
      <c r="J208" t="s">
        <v>23</v>
      </c>
      <c r="K208">
        <v>1462</v>
      </c>
      <c r="L208" s="4">
        <v>28.874805800000001</v>
      </c>
      <c r="M208" s="4">
        <v>371.57367151284677</v>
      </c>
      <c r="N208" s="4">
        <v>0.80165769421976807</v>
      </c>
      <c r="O208" s="1" t="str">
        <f>HYPERLINK(".\sm_car_240930_1602\sm_car_240930_1602_207_Ca139TrN_MaZPL_ode23t_1.png","figure")</f>
        <v>figure</v>
      </c>
      <c r="P208" t="s">
        <v>15</v>
      </c>
    </row>
    <row r="209" spans="1:16" x14ac:dyDescent="0.25">
      <c r="A209">
        <v>208</v>
      </c>
      <c r="B209">
        <v>165</v>
      </c>
      <c r="C209" t="s">
        <v>45</v>
      </c>
      <c r="D209" t="s">
        <v>35</v>
      </c>
      <c r="E209" t="s">
        <v>49</v>
      </c>
      <c r="F209" t="s">
        <v>19</v>
      </c>
      <c r="G209" t="s">
        <v>26</v>
      </c>
      <c r="H209" t="s">
        <v>21</v>
      </c>
      <c r="I209" t="s">
        <v>74</v>
      </c>
      <c r="J209" t="s">
        <v>23</v>
      </c>
      <c r="K209">
        <v>2101</v>
      </c>
      <c r="L209" s="4">
        <v>16.423886499999998</v>
      </c>
      <c r="M209" s="4">
        <v>397.51937584641161</v>
      </c>
      <c r="N209" s="4">
        <v>0.33442405253211094</v>
      </c>
      <c r="O209" s="1" t="str">
        <f>HYPERLINK(".\sm_car_240930_1602\sm_car_240930_1602_208_Ca165TrN_MaZPL_ode23t_1.png","figure")</f>
        <v>figure</v>
      </c>
      <c r="P209" t="s">
        <v>15</v>
      </c>
    </row>
    <row r="210" spans="1:16" x14ac:dyDescent="0.25">
      <c r="A210">
        <v>209</v>
      </c>
      <c r="B210">
        <v>171</v>
      </c>
      <c r="C210" t="s">
        <v>45</v>
      </c>
      <c r="D210" t="s">
        <v>17</v>
      </c>
      <c r="E210" t="s">
        <v>72</v>
      </c>
      <c r="F210" t="s">
        <v>19</v>
      </c>
      <c r="G210" t="s">
        <v>26</v>
      </c>
      <c r="H210" t="s">
        <v>21</v>
      </c>
      <c r="I210" t="s">
        <v>74</v>
      </c>
      <c r="J210" t="s">
        <v>23</v>
      </c>
      <c r="K210">
        <v>1428</v>
      </c>
      <c r="L210" s="4">
        <v>33.344475000000003</v>
      </c>
      <c r="M210" s="4">
        <v>371.34142327799816</v>
      </c>
      <c r="N210" s="4">
        <v>0.80371530524113199</v>
      </c>
      <c r="O210" s="1" t="str">
        <f>HYPERLINK(".\sm_car_240930_1602\sm_car_240930_1602_209_Ca171TrN_MaZPL_ode23t_1.png","figure")</f>
        <v>figure</v>
      </c>
      <c r="P210" t="s">
        <v>15</v>
      </c>
    </row>
    <row r="211" spans="1:16" x14ac:dyDescent="0.25">
      <c r="A211">
        <v>210</v>
      </c>
      <c r="B211">
        <v>165</v>
      </c>
      <c r="C211" t="s">
        <v>45</v>
      </c>
      <c r="D211" t="s">
        <v>35</v>
      </c>
      <c r="E211" t="s">
        <v>49</v>
      </c>
      <c r="F211" t="s">
        <v>19</v>
      </c>
      <c r="G211" t="s">
        <v>26</v>
      </c>
      <c r="H211" t="s">
        <v>21</v>
      </c>
      <c r="I211" t="s">
        <v>75</v>
      </c>
      <c r="J211" t="s">
        <v>23</v>
      </c>
      <c r="K211">
        <v>513</v>
      </c>
      <c r="L211" s="4">
        <v>7.6458776999999998</v>
      </c>
      <c r="M211" s="4">
        <v>378.16502104490951</v>
      </c>
      <c r="N211" s="4">
        <v>0.32184374605957389</v>
      </c>
      <c r="O211" s="1" t="str">
        <f>HYPERLINK(".\sm_car_240930_1602\sm_car_240930_1602_210_Ca165TrN_MaCPL_ode23t_1.png","figure")</f>
        <v>figure</v>
      </c>
      <c r="P211" t="s">
        <v>15</v>
      </c>
    </row>
    <row r="212" spans="1:16" x14ac:dyDescent="0.25">
      <c r="A212">
        <v>211</v>
      </c>
      <c r="B212">
        <v>171</v>
      </c>
      <c r="C212" t="s">
        <v>45</v>
      </c>
      <c r="D212" t="s">
        <v>17</v>
      </c>
      <c r="E212" t="s">
        <v>72</v>
      </c>
      <c r="F212" t="s">
        <v>19</v>
      </c>
      <c r="G212" t="s">
        <v>26</v>
      </c>
      <c r="H212" t="s">
        <v>21</v>
      </c>
      <c r="I212" t="s">
        <v>75</v>
      </c>
      <c r="J212" t="s">
        <v>23</v>
      </c>
      <c r="K212">
        <v>428</v>
      </c>
      <c r="L212" s="4">
        <v>25.922225600000001</v>
      </c>
      <c r="M212" s="4">
        <v>347.54916453773757</v>
      </c>
      <c r="N212" s="4">
        <v>0.76058290237419091</v>
      </c>
      <c r="O212" s="1" t="str">
        <f>HYPERLINK(".\sm_car_240930_1602\sm_car_240930_1602_211_Ca171TrN_MaCPL_ode23t_1.png","figure")</f>
        <v>figure</v>
      </c>
      <c r="P212" t="s">
        <v>15</v>
      </c>
    </row>
    <row r="213" spans="1:16" x14ac:dyDescent="0.25">
      <c r="A213">
        <v>212</v>
      </c>
      <c r="B213">
        <v>171</v>
      </c>
      <c r="C213" t="s">
        <v>45</v>
      </c>
      <c r="D213" t="s">
        <v>17</v>
      </c>
      <c r="E213" t="s">
        <v>72</v>
      </c>
      <c r="F213" t="s">
        <v>19</v>
      </c>
      <c r="G213" t="s">
        <v>26</v>
      </c>
      <c r="H213" t="s">
        <v>21</v>
      </c>
      <c r="I213" t="s">
        <v>76</v>
      </c>
      <c r="J213" t="s">
        <v>23</v>
      </c>
      <c r="K213">
        <v>2421</v>
      </c>
      <c r="L213" s="4">
        <v>63.030831399999997</v>
      </c>
      <c r="M213" s="4">
        <v>152.46603529517199</v>
      </c>
      <c r="N213" s="4">
        <v>1.9437634002744592E-3</v>
      </c>
      <c r="O213" s="1" t="str">
        <f>HYPERLINK(".\sm_car_240930_1602\sm_car_240930_1602_212_Ca171TrN_MaRDR_ode23t_1.png","figure")</f>
        <v>figure</v>
      </c>
      <c r="P213" t="s">
        <v>15</v>
      </c>
    </row>
    <row r="214" spans="1:16" x14ac:dyDescent="0.25">
      <c r="A214">
        <v>213</v>
      </c>
      <c r="B214">
        <v>172</v>
      </c>
      <c r="C214" t="s">
        <v>46</v>
      </c>
      <c r="D214" t="s">
        <v>17</v>
      </c>
      <c r="E214" t="s">
        <v>72</v>
      </c>
      <c r="F214" t="s">
        <v>19</v>
      </c>
      <c r="G214" t="s">
        <v>26</v>
      </c>
      <c r="H214" t="s">
        <v>21</v>
      </c>
      <c r="I214" t="s">
        <v>76</v>
      </c>
      <c r="J214" t="s">
        <v>23</v>
      </c>
      <c r="K214">
        <v>2823</v>
      </c>
      <c r="L214" s="4">
        <v>40.6858808</v>
      </c>
      <c r="M214" s="4">
        <v>146.53869655282526</v>
      </c>
      <c r="N214" s="4">
        <v>-4.7703186620420253E-3</v>
      </c>
      <c r="O214" s="1" t="str">
        <f>HYPERLINK(".\sm_car_240930_1602\sm_car_240930_1602_213_Ca172TrN_MaRDR_ode23t_1.png","figure")</f>
        <v>figure</v>
      </c>
      <c r="P214" t="s">
        <v>15</v>
      </c>
    </row>
    <row r="215" spans="1:16" x14ac:dyDescent="0.25">
      <c r="A215">
        <v>214</v>
      </c>
      <c r="B215">
        <v>139</v>
      </c>
      <c r="C215" t="s">
        <v>45</v>
      </c>
      <c r="D215" t="s">
        <v>17</v>
      </c>
      <c r="E215" t="s">
        <v>18</v>
      </c>
      <c r="F215" t="s">
        <v>19</v>
      </c>
      <c r="G215" t="s">
        <v>26</v>
      </c>
      <c r="H215" t="s">
        <v>21</v>
      </c>
      <c r="I215" t="s">
        <v>77</v>
      </c>
      <c r="J215" t="s">
        <v>23</v>
      </c>
      <c r="K215">
        <v>2922</v>
      </c>
      <c r="L215" s="4">
        <v>55.120550000000001</v>
      </c>
      <c r="M215" s="4">
        <v>176.57615386227835</v>
      </c>
      <c r="N215" s="4">
        <v>8.761663150932726E-4</v>
      </c>
      <c r="O215" s="1" t="str">
        <f>HYPERLINK(".\sm_car_240930_1602\sm_car_240930_1602_214_Ca139TrN_MaZRR_ode23t_1.png","figure")</f>
        <v>figure</v>
      </c>
      <c r="P215" t="s">
        <v>15</v>
      </c>
    </row>
    <row r="216" spans="1:16" x14ac:dyDescent="0.25">
      <c r="A216">
        <v>215</v>
      </c>
      <c r="B216">
        <v>165</v>
      </c>
      <c r="C216" t="s">
        <v>45</v>
      </c>
      <c r="D216" t="s">
        <v>35</v>
      </c>
      <c r="E216" t="s">
        <v>49</v>
      </c>
      <c r="F216" t="s">
        <v>19</v>
      </c>
      <c r="G216" t="s">
        <v>26</v>
      </c>
      <c r="H216" t="s">
        <v>21</v>
      </c>
      <c r="I216" t="s">
        <v>77</v>
      </c>
      <c r="J216" t="s">
        <v>23</v>
      </c>
      <c r="K216">
        <v>3564</v>
      </c>
      <c r="L216" s="4">
        <v>36.721302600000001</v>
      </c>
      <c r="M216" s="4">
        <v>176.84987531143551</v>
      </c>
      <c r="N216" s="4">
        <v>8.1340905201415198E-5</v>
      </c>
      <c r="O216" s="1" t="str">
        <f>HYPERLINK(".\sm_car_240930_1602\sm_car_240930_1602_215_Ca165TrN_MaZRR_ode23t_1.png","figure")</f>
        <v>figure</v>
      </c>
      <c r="P216" t="s">
        <v>15</v>
      </c>
    </row>
    <row r="217" spans="1:16" x14ac:dyDescent="0.25">
      <c r="A217">
        <v>216</v>
      </c>
      <c r="B217">
        <v>171</v>
      </c>
      <c r="C217" t="s">
        <v>45</v>
      </c>
      <c r="D217" t="s">
        <v>17</v>
      </c>
      <c r="E217" t="s">
        <v>72</v>
      </c>
      <c r="F217" t="s">
        <v>19</v>
      </c>
      <c r="G217" t="s">
        <v>26</v>
      </c>
      <c r="H217" t="s">
        <v>21</v>
      </c>
      <c r="I217" t="s">
        <v>77</v>
      </c>
      <c r="J217" t="s">
        <v>23</v>
      </c>
      <c r="K217">
        <v>2938</v>
      </c>
      <c r="L217" s="4">
        <v>76.830467799999994</v>
      </c>
      <c r="M217" s="4">
        <v>176.58762723436905</v>
      </c>
      <c r="N217" s="4">
        <v>8.6177895408749759E-4</v>
      </c>
      <c r="O217" s="1" t="str">
        <f>HYPERLINK(".\sm_car_240930_1602\sm_car_240930_1602_216_Ca171TrN_MaZRR_ode23t_1.png","figure")</f>
        <v>figure</v>
      </c>
      <c r="P217" t="s">
        <v>15</v>
      </c>
    </row>
    <row r="218" spans="1:16" x14ac:dyDescent="0.25">
      <c r="A218">
        <v>217</v>
      </c>
      <c r="B218">
        <v>170</v>
      </c>
      <c r="C218" t="s">
        <v>45</v>
      </c>
      <c r="D218" t="s">
        <v>35</v>
      </c>
      <c r="E218" t="s">
        <v>49</v>
      </c>
      <c r="F218" t="s">
        <v>19</v>
      </c>
      <c r="G218" t="s">
        <v>20</v>
      </c>
      <c r="H218" t="s">
        <v>21</v>
      </c>
      <c r="I218" t="s">
        <v>78</v>
      </c>
      <c r="J218" t="s">
        <v>23</v>
      </c>
      <c r="K218">
        <v>4925</v>
      </c>
      <c r="L218" s="4">
        <v>31.940079000000001</v>
      </c>
      <c r="M218" s="4">
        <v>-5.9984373202684953</v>
      </c>
      <c r="N218" s="4">
        <v>2.831329957934716E-3</v>
      </c>
      <c r="O218" s="1" t="str">
        <f>HYPERLINK(".\sm_car_240930_1602\sm_car_240930_1602_217_Ca170TrN_MaCMP_ode23t_1.png","figure")</f>
        <v>figure</v>
      </c>
      <c r="P218" t="s">
        <v>15</v>
      </c>
    </row>
    <row r="219" spans="1:16" x14ac:dyDescent="0.25">
      <c r="A219">
        <v>218</v>
      </c>
      <c r="B219">
        <v>170</v>
      </c>
      <c r="C219" t="s">
        <v>45</v>
      </c>
      <c r="D219" t="s">
        <v>35</v>
      </c>
      <c r="E219" t="s">
        <v>49</v>
      </c>
      <c r="F219" t="s">
        <v>19</v>
      </c>
      <c r="G219" t="s">
        <v>20</v>
      </c>
      <c r="H219" t="s">
        <v>21</v>
      </c>
      <c r="I219" t="s">
        <v>79</v>
      </c>
      <c r="J219" t="s">
        <v>23</v>
      </c>
      <c r="K219">
        <v>1816</v>
      </c>
      <c r="L219" s="4">
        <v>20.874590000000001</v>
      </c>
      <c r="M219" s="4">
        <v>-5.9893709939942257</v>
      </c>
      <c r="N219" s="4">
        <v>2.9231879194543601E-3</v>
      </c>
      <c r="O219" s="1" t="str">
        <f>HYPERLINK(".\sm_car_240930_1602\sm_car_240930_1602_218_Ca170TrN_MaCMF_ode23t_1.png","figure")</f>
        <v>figure</v>
      </c>
      <c r="P219" t="s">
        <v>15</v>
      </c>
    </row>
    <row r="220" spans="1:16" x14ac:dyDescent="0.25">
      <c r="A220">
        <v>219</v>
      </c>
      <c r="B220">
        <v>170</v>
      </c>
      <c r="C220" t="s">
        <v>45</v>
      </c>
      <c r="D220" t="s">
        <v>35</v>
      </c>
      <c r="E220" t="s">
        <v>49</v>
      </c>
      <c r="F220" t="s">
        <v>19</v>
      </c>
      <c r="G220" t="s">
        <v>20</v>
      </c>
      <c r="H220" t="s">
        <v>21</v>
      </c>
      <c r="I220" t="s">
        <v>80</v>
      </c>
      <c r="J220" t="s">
        <v>23</v>
      </c>
      <c r="K220">
        <v>4607</v>
      </c>
      <c r="L220" s="4">
        <v>71.758996400000001</v>
      </c>
      <c r="M220" s="4">
        <v>-329.53106779961905</v>
      </c>
      <c r="N220" s="4">
        <v>6.1191033422585557</v>
      </c>
      <c r="O220" s="1" t="str">
        <f>HYPERLINK(".\sm_car_240930_1602\sm_car_240930_1602_219_Ca170TrN_MaMPO_ode23t_1.png","figure")</f>
        <v>figure</v>
      </c>
      <c r="P220" t="s">
        <v>15</v>
      </c>
    </row>
    <row r="221" spans="1:16" x14ac:dyDescent="0.25">
      <c r="A221">
        <v>220</v>
      </c>
      <c r="B221">
        <v>170</v>
      </c>
      <c r="C221" t="s">
        <v>45</v>
      </c>
      <c r="D221" t="s">
        <v>35</v>
      </c>
      <c r="E221" t="s">
        <v>49</v>
      </c>
      <c r="F221" t="s">
        <v>19</v>
      </c>
      <c r="G221" t="s">
        <v>20</v>
      </c>
      <c r="H221" t="s">
        <v>21</v>
      </c>
      <c r="I221" t="s">
        <v>81</v>
      </c>
      <c r="J221" t="s">
        <v>23</v>
      </c>
      <c r="K221">
        <v>1216</v>
      </c>
      <c r="L221" s="4">
        <v>20.9420565</v>
      </c>
      <c r="M221" s="4">
        <v>-13.866456652620037</v>
      </c>
      <c r="N221" s="4">
        <v>0.22511022642976286</v>
      </c>
      <c r="O221" s="1" t="str">
        <f>HYPERLINK(".\sm_car_240930_1602\sm_car_240930_1602_220_Ca170TrN_MaMCI_ode23t_1.png","figure")</f>
        <v>figure</v>
      </c>
      <c r="P221" t="s">
        <v>15</v>
      </c>
    </row>
    <row r="222" spans="1:16" x14ac:dyDescent="0.25">
      <c r="A222">
        <v>221</v>
      </c>
      <c r="B222">
        <v>170</v>
      </c>
      <c r="C222" t="s">
        <v>45</v>
      </c>
      <c r="D222" t="s">
        <v>35</v>
      </c>
      <c r="E222" t="s">
        <v>49</v>
      </c>
      <c r="F222" t="s">
        <v>19</v>
      </c>
      <c r="G222" t="s">
        <v>20</v>
      </c>
      <c r="H222" t="s">
        <v>21</v>
      </c>
      <c r="I222" t="s">
        <v>111</v>
      </c>
      <c r="J222" t="s">
        <v>23</v>
      </c>
      <c r="K222">
        <v>6198</v>
      </c>
      <c r="L222" s="4">
        <v>36.736000099999998</v>
      </c>
      <c r="M222" s="4">
        <v>-5.9958326507987847</v>
      </c>
      <c r="N222" s="4">
        <v>-4.4710858237811861E-3</v>
      </c>
      <c r="O222" s="1" t="str">
        <f>HYPERLINK(".\sm_car_240930_1602\sm_car_240930_1602_221_Ca170TrN_MaCHO_ode23t_1.png","figure")</f>
        <v>figure</v>
      </c>
      <c r="P222" t="s">
        <v>15</v>
      </c>
    </row>
    <row r="223" spans="1:16" x14ac:dyDescent="0.25">
      <c r="A223">
        <v>222</v>
      </c>
      <c r="B223">
        <v>170</v>
      </c>
      <c r="C223" t="s">
        <v>45</v>
      </c>
      <c r="D223" t="s">
        <v>35</v>
      </c>
      <c r="E223" t="s">
        <v>49</v>
      </c>
      <c r="F223" t="s">
        <v>19</v>
      </c>
      <c r="G223" t="s">
        <v>20</v>
      </c>
      <c r="H223" t="s">
        <v>21</v>
      </c>
      <c r="I223" t="s">
        <v>112</v>
      </c>
      <c r="J223" t="s">
        <v>23</v>
      </c>
      <c r="K223">
        <v>3428</v>
      </c>
      <c r="L223" s="4">
        <v>34.557336100000001</v>
      </c>
      <c r="M223" s="4">
        <v>-5.9989121808569186</v>
      </c>
      <c r="N223" s="4">
        <v>-4.5036813523368305E-3</v>
      </c>
      <c r="O223" s="1" t="str">
        <f>HYPERLINK(".\sm_car_240930_1602\sm_car_240930_1602_222_Ca170TrN_MaCHF_ode23t_1.png","figure")</f>
        <v>figure</v>
      </c>
      <c r="P223" t="s">
        <v>15</v>
      </c>
    </row>
    <row r="224" spans="1:16" x14ac:dyDescent="0.25">
      <c r="A224">
        <v>223</v>
      </c>
      <c r="B224">
        <v>170</v>
      </c>
      <c r="C224" t="s">
        <v>45</v>
      </c>
      <c r="D224" t="s">
        <v>35</v>
      </c>
      <c r="E224" t="s">
        <v>49</v>
      </c>
      <c r="F224" t="s">
        <v>19</v>
      </c>
      <c r="G224" t="s">
        <v>20</v>
      </c>
      <c r="H224" t="s">
        <v>21</v>
      </c>
      <c r="I224" t="s">
        <v>82</v>
      </c>
      <c r="J224" t="s">
        <v>23</v>
      </c>
      <c r="K224">
        <v>7056</v>
      </c>
      <c r="L224" s="4">
        <v>52.4363417</v>
      </c>
      <c r="M224" s="4">
        <v>-752.11381273220957</v>
      </c>
      <c r="N224" s="4">
        <v>628.45192156704047</v>
      </c>
      <c r="O224" s="1" t="str">
        <f>HYPERLINK(".\sm_car_240930_1602\sm_car_240930_1602_223_Ca170TrN_MaCKY_ode23t_1.png","figure")</f>
        <v>figure</v>
      </c>
      <c r="P224" t="s">
        <v>15</v>
      </c>
    </row>
    <row r="225" spans="1:16" x14ac:dyDescent="0.25">
      <c r="A225">
        <v>224</v>
      </c>
      <c r="B225">
        <v>170</v>
      </c>
      <c r="C225" t="s">
        <v>45</v>
      </c>
      <c r="D225" t="s">
        <v>35</v>
      </c>
      <c r="E225" t="s">
        <v>49</v>
      </c>
      <c r="F225" t="s">
        <v>19</v>
      </c>
      <c r="G225" t="s">
        <v>20</v>
      </c>
      <c r="H225" t="s">
        <v>21</v>
      </c>
      <c r="I225" t="s">
        <v>83</v>
      </c>
      <c r="J225" t="s">
        <v>23</v>
      </c>
      <c r="K225">
        <v>2151</v>
      </c>
      <c r="L225" s="4">
        <v>27.8871462</v>
      </c>
      <c r="M225" s="4">
        <v>-758.74706845271726</v>
      </c>
      <c r="N225" s="4">
        <v>632.74553425746433</v>
      </c>
      <c r="O225" s="1" t="str">
        <f>HYPERLINK(".\sm_car_240930_1602\sm_car_240930_1602_224_Ca170TrN_MaCKF_ode23t_1.png","figure")</f>
        <v>figure</v>
      </c>
      <c r="P225" t="s">
        <v>15</v>
      </c>
    </row>
    <row r="226" spans="1:16" x14ac:dyDescent="0.25">
      <c r="A226">
        <v>225</v>
      </c>
      <c r="B226">
        <v>170</v>
      </c>
      <c r="C226" t="s">
        <v>45</v>
      </c>
      <c r="D226" t="s">
        <v>35</v>
      </c>
      <c r="E226" t="s">
        <v>49</v>
      </c>
      <c r="F226" t="s">
        <v>19</v>
      </c>
      <c r="G226" t="s">
        <v>20</v>
      </c>
      <c r="H226" t="s">
        <v>21</v>
      </c>
      <c r="I226" t="s">
        <v>84</v>
      </c>
      <c r="J226" t="s">
        <v>23</v>
      </c>
      <c r="K226">
        <v>2808</v>
      </c>
      <c r="L226" s="4">
        <v>32.986053200000001</v>
      </c>
      <c r="M226" s="4">
        <v>177.34569807820466</v>
      </c>
      <c r="N226" s="4">
        <v>288.25263876868314</v>
      </c>
      <c r="O226" s="1" t="str">
        <f>HYPERLINK(".\sm_car_240930_1602\sm_car_240930_1602_225_Ca170TrN_MaCNN_ode23t_1.png","figure")</f>
        <v>figure</v>
      </c>
      <c r="P226" t="s">
        <v>15</v>
      </c>
    </row>
    <row r="227" spans="1:16" x14ac:dyDescent="0.25">
      <c r="A227">
        <v>226</v>
      </c>
      <c r="B227">
        <v>170</v>
      </c>
      <c r="C227" t="s">
        <v>45</v>
      </c>
      <c r="D227" t="s">
        <v>35</v>
      </c>
      <c r="E227" t="s">
        <v>49</v>
      </c>
      <c r="F227" t="s">
        <v>19</v>
      </c>
      <c r="G227" t="s">
        <v>20</v>
      </c>
      <c r="H227" t="s">
        <v>21</v>
      </c>
      <c r="I227" t="s">
        <v>85</v>
      </c>
      <c r="J227" t="s">
        <v>23</v>
      </c>
      <c r="K227">
        <v>4259</v>
      </c>
      <c r="L227" s="4">
        <v>132.9578357</v>
      </c>
      <c r="M227" s="4">
        <v>2994.881404729595</v>
      </c>
      <c r="N227" s="4">
        <v>-3064.8856113770094</v>
      </c>
      <c r="O227" s="1" t="str">
        <f>HYPERLINK(".\sm_car_240930_1602\sm_car_240930_1602_226_Ca170TrN_MaCNF_ode23t_1.png","figure")</f>
        <v>figure</v>
      </c>
      <c r="P227" t="s">
        <v>15</v>
      </c>
    </row>
    <row r="228" spans="1:16" x14ac:dyDescent="0.25">
      <c r="A228">
        <v>227</v>
      </c>
      <c r="B228">
        <v>170</v>
      </c>
      <c r="C228" t="s">
        <v>45</v>
      </c>
      <c r="D228" t="s">
        <v>35</v>
      </c>
      <c r="E228" t="s">
        <v>49</v>
      </c>
      <c r="F228" t="s">
        <v>19</v>
      </c>
      <c r="G228" t="s">
        <v>20</v>
      </c>
      <c r="H228" t="s">
        <v>21</v>
      </c>
      <c r="I228" t="s">
        <v>86</v>
      </c>
      <c r="J228" t="s">
        <v>23</v>
      </c>
      <c r="K228">
        <v>2914</v>
      </c>
      <c r="L228" s="4">
        <v>27.642486300000002</v>
      </c>
      <c r="M228" s="4">
        <v>522.24079157634264</v>
      </c>
      <c r="N228" s="4">
        <v>-164.33104053995442</v>
      </c>
      <c r="O228" s="1" t="str">
        <f>HYPERLINK(".\sm_car_240930_1602\sm_car_240930_1602_227_Ca170TrN_MaCSZ_ode23t_1.png","figure")</f>
        <v>figure</v>
      </c>
      <c r="P228" t="s">
        <v>15</v>
      </c>
    </row>
    <row r="229" spans="1:16" x14ac:dyDescent="0.25">
      <c r="A229">
        <v>228</v>
      </c>
      <c r="B229">
        <v>170</v>
      </c>
      <c r="C229" t="s">
        <v>45</v>
      </c>
      <c r="D229" t="s">
        <v>35</v>
      </c>
      <c r="E229" t="s">
        <v>49</v>
      </c>
      <c r="F229" t="s">
        <v>19</v>
      </c>
      <c r="G229" t="s">
        <v>20</v>
      </c>
      <c r="H229" t="s">
        <v>21</v>
      </c>
      <c r="I229" t="s">
        <v>87</v>
      </c>
      <c r="J229" t="s">
        <v>23</v>
      </c>
      <c r="K229">
        <v>5689</v>
      </c>
      <c r="L229" s="4">
        <v>164.0976742</v>
      </c>
      <c r="M229" s="4">
        <v>-8.9719194011106023</v>
      </c>
      <c r="N229" s="4">
        <v>9.7541068205760067E-3</v>
      </c>
      <c r="O229" s="1" t="str">
        <f>HYPERLINK(".\sm_car_240930_1602\sm_car_240930_1602_228_Ca170TrN_MaCSF_ode23t_1.png","figure")</f>
        <v>figure</v>
      </c>
      <c r="P229" t="s">
        <v>15</v>
      </c>
    </row>
    <row r="230" spans="1:16" x14ac:dyDescent="0.25">
      <c r="A230">
        <v>229</v>
      </c>
      <c r="B230">
        <v>170</v>
      </c>
      <c r="C230" t="s">
        <v>45</v>
      </c>
      <c r="D230" t="s">
        <v>35</v>
      </c>
      <c r="E230" t="s">
        <v>49</v>
      </c>
      <c r="F230" t="s">
        <v>19</v>
      </c>
      <c r="G230" t="s">
        <v>20</v>
      </c>
      <c r="H230" t="s">
        <v>21</v>
      </c>
      <c r="I230" t="s">
        <v>88</v>
      </c>
      <c r="J230" t="s">
        <v>23</v>
      </c>
      <c r="K230">
        <v>2160</v>
      </c>
      <c r="L230" s="4">
        <v>31.4095646</v>
      </c>
      <c r="M230" s="4">
        <v>209.02194853396972</v>
      </c>
      <c r="N230" s="4">
        <v>379.24620502745586</v>
      </c>
      <c r="O230" s="1" t="str">
        <f>HYPERLINK(".\sm_car_240930_1602\sm_car_240930_1602_229_Ca170TrN_MaCPU_ode23t_1.png","figure")</f>
        <v>figure</v>
      </c>
      <c r="P230" t="s">
        <v>15</v>
      </c>
    </row>
    <row r="231" spans="1:16" x14ac:dyDescent="0.25">
      <c r="A231">
        <v>230</v>
      </c>
      <c r="B231">
        <v>170</v>
      </c>
      <c r="C231" t="s">
        <v>45</v>
      </c>
      <c r="D231" t="s">
        <v>35</v>
      </c>
      <c r="E231" t="s">
        <v>49</v>
      </c>
      <c r="F231" t="s">
        <v>19</v>
      </c>
      <c r="G231" t="s">
        <v>20</v>
      </c>
      <c r="H231" t="s">
        <v>21</v>
      </c>
      <c r="I231" t="s">
        <v>89</v>
      </c>
      <c r="J231" t="s">
        <v>23</v>
      </c>
      <c r="K231">
        <v>2595</v>
      </c>
      <c r="L231" s="4">
        <v>33.337869099999999</v>
      </c>
      <c r="M231" s="4">
        <v>183.03273504778031</v>
      </c>
      <c r="N231" s="4">
        <v>-170.24429246524051</v>
      </c>
      <c r="O231" s="1" t="str">
        <f>HYPERLINK(".\sm_car_240930_1602\sm_car_240930_1602_230_Ca170TrN_MaCPD_ode23t_1.png","figure")</f>
        <v>figure</v>
      </c>
      <c r="P231" t="s">
        <v>15</v>
      </c>
    </row>
    <row r="232" spans="1:16" x14ac:dyDescent="0.25">
      <c r="A232">
        <v>231</v>
      </c>
      <c r="B232">
        <v>202</v>
      </c>
      <c r="C232" t="s">
        <v>45</v>
      </c>
      <c r="D232" t="s">
        <v>35</v>
      </c>
      <c r="E232" t="s">
        <v>108</v>
      </c>
      <c r="F232" t="s">
        <v>19</v>
      </c>
      <c r="G232" t="s">
        <v>20</v>
      </c>
      <c r="H232" t="s">
        <v>21</v>
      </c>
      <c r="I232" t="s">
        <v>79</v>
      </c>
      <c r="J232" t="s">
        <v>23</v>
      </c>
      <c r="K232">
        <v>1825</v>
      </c>
      <c r="L232" s="4">
        <v>8.7050108000000002</v>
      </c>
      <c r="M232" s="4">
        <v>-5.9996767846078018</v>
      </c>
      <c r="N232" s="4">
        <v>2.895116467440582E-3</v>
      </c>
      <c r="O232" s="1" t="str">
        <f>HYPERLINK(".\sm_car_240930_1602\sm_car_240930_1602_231_Ca202TrN_MaCMF_ode23t_1.png","figure")</f>
        <v>figure</v>
      </c>
      <c r="P232" t="s">
        <v>15</v>
      </c>
    </row>
    <row r="233" spans="1:16" x14ac:dyDescent="0.25">
      <c r="A233">
        <v>232</v>
      </c>
      <c r="B233">
        <v>202</v>
      </c>
      <c r="C233" t="s">
        <v>45</v>
      </c>
      <c r="D233" t="s">
        <v>35</v>
      </c>
      <c r="E233" t="s">
        <v>108</v>
      </c>
      <c r="F233" t="s">
        <v>19</v>
      </c>
      <c r="G233" t="s">
        <v>20</v>
      </c>
      <c r="H233" t="s">
        <v>21</v>
      </c>
      <c r="I233" t="s">
        <v>80</v>
      </c>
      <c r="J233" t="s">
        <v>23</v>
      </c>
      <c r="K233">
        <v>4528</v>
      </c>
      <c r="L233" s="4">
        <v>44.1772451</v>
      </c>
      <c r="M233" s="4">
        <v>-329.5333826305079</v>
      </c>
      <c r="N233" s="4">
        <v>6.1245676485438079</v>
      </c>
      <c r="O233" s="1" t="str">
        <f>HYPERLINK(".\sm_car_240930_1602\sm_car_240930_1602_232_Ca202TrN_MaMPO_ode23t_1.png","figure")</f>
        <v>figure</v>
      </c>
      <c r="P233" t="s">
        <v>15</v>
      </c>
    </row>
    <row r="234" spans="1:16" x14ac:dyDescent="0.25">
      <c r="A234">
        <v>233</v>
      </c>
      <c r="B234">
        <v>202</v>
      </c>
      <c r="C234" t="s">
        <v>45</v>
      </c>
      <c r="D234" t="s">
        <v>35</v>
      </c>
      <c r="E234" t="s">
        <v>108</v>
      </c>
      <c r="F234" t="s">
        <v>19</v>
      </c>
      <c r="G234" t="s">
        <v>20</v>
      </c>
      <c r="H234" t="s">
        <v>21</v>
      </c>
      <c r="I234" t="s">
        <v>81</v>
      </c>
      <c r="J234" t="s">
        <v>23</v>
      </c>
      <c r="K234">
        <v>1191</v>
      </c>
      <c r="L234" s="4">
        <v>12.376863200000001</v>
      </c>
      <c r="M234" s="4">
        <v>-13.86815523054203</v>
      </c>
      <c r="N234" s="4">
        <v>0.22417455480865556</v>
      </c>
      <c r="O234" s="1" t="str">
        <f>HYPERLINK(".\sm_car_240930_1602\sm_car_240930_1602_233_Ca202TrN_MaMCI_ode23t_1.png","figure")</f>
        <v>figure</v>
      </c>
      <c r="P234" t="s">
        <v>15</v>
      </c>
    </row>
    <row r="235" spans="1:16" x14ac:dyDescent="0.25">
      <c r="A235">
        <v>234</v>
      </c>
      <c r="B235">
        <v>202</v>
      </c>
      <c r="C235" t="s">
        <v>45</v>
      </c>
      <c r="D235" t="s">
        <v>35</v>
      </c>
      <c r="E235" t="s">
        <v>108</v>
      </c>
      <c r="F235" t="s">
        <v>19</v>
      </c>
      <c r="G235" t="s">
        <v>20</v>
      </c>
      <c r="H235" t="s">
        <v>21</v>
      </c>
      <c r="I235" t="s">
        <v>83</v>
      </c>
      <c r="J235" t="s">
        <v>23</v>
      </c>
      <c r="K235">
        <v>3590</v>
      </c>
      <c r="L235" s="4">
        <v>18.608223200000001</v>
      </c>
      <c r="M235" s="4">
        <v>-5.9985377868682237</v>
      </c>
      <c r="N235" s="4">
        <v>-7.1766636251102524E-3</v>
      </c>
      <c r="O235" s="1" t="str">
        <f>HYPERLINK(".\sm_car_240930_1602\sm_car_240930_1602_234_Ca202TrN_MaCKF_ode23t_1.png","figure")</f>
        <v>figure</v>
      </c>
      <c r="P235" t="s">
        <v>15</v>
      </c>
    </row>
    <row r="236" spans="1:16" x14ac:dyDescent="0.25">
      <c r="A236">
        <v>235</v>
      </c>
      <c r="B236">
        <v>202</v>
      </c>
      <c r="C236" t="s">
        <v>45</v>
      </c>
      <c r="D236" t="s">
        <v>35</v>
      </c>
      <c r="E236" t="s">
        <v>108</v>
      </c>
      <c r="F236" t="s">
        <v>19</v>
      </c>
      <c r="G236" t="s">
        <v>20</v>
      </c>
      <c r="H236" t="s">
        <v>21</v>
      </c>
      <c r="I236" t="s">
        <v>85</v>
      </c>
      <c r="J236" t="s">
        <v>23</v>
      </c>
      <c r="K236">
        <v>10217</v>
      </c>
      <c r="L236" s="4">
        <v>217.9167558</v>
      </c>
      <c r="M236" s="4">
        <v>-8.9989974274030597</v>
      </c>
      <c r="N236" s="4">
        <v>4.7110472545947288E-2</v>
      </c>
      <c r="O236" s="1" t="str">
        <f>HYPERLINK(".\sm_car_240930_1602\sm_car_240930_1602_235_Ca202TrN_MaCNF_ode23t_1.png","figure")</f>
        <v>figure</v>
      </c>
      <c r="P236" t="s">
        <v>15</v>
      </c>
    </row>
    <row r="237" spans="1:16" x14ac:dyDescent="0.25">
      <c r="A237">
        <v>236</v>
      </c>
      <c r="B237">
        <v>202</v>
      </c>
      <c r="C237" t="s">
        <v>45</v>
      </c>
      <c r="D237" t="s">
        <v>35</v>
      </c>
      <c r="E237" t="s">
        <v>108</v>
      </c>
      <c r="F237" t="s">
        <v>19</v>
      </c>
      <c r="G237" t="s">
        <v>20</v>
      </c>
      <c r="H237" t="s">
        <v>21</v>
      </c>
      <c r="I237" t="s">
        <v>87</v>
      </c>
      <c r="J237" t="s">
        <v>23</v>
      </c>
      <c r="K237">
        <v>5693</v>
      </c>
      <c r="L237" s="4">
        <v>95.854648600000004</v>
      </c>
      <c r="M237" s="4">
        <v>-8.9828963370707022</v>
      </c>
      <c r="N237" s="4">
        <v>9.8216053669778307E-3</v>
      </c>
      <c r="O237" s="1" t="str">
        <f>HYPERLINK(".\sm_car_240930_1602\sm_car_240930_1602_236_Ca202TrN_MaCSF_ode23t_1.png","figure")</f>
        <v>figure</v>
      </c>
      <c r="P237" t="s">
        <v>15</v>
      </c>
    </row>
    <row r="238" spans="1:16" x14ac:dyDescent="0.25">
      <c r="A238">
        <v>237</v>
      </c>
      <c r="B238">
        <v>202</v>
      </c>
      <c r="C238" t="s">
        <v>45</v>
      </c>
      <c r="D238" t="s">
        <v>35</v>
      </c>
      <c r="E238" t="s">
        <v>108</v>
      </c>
      <c r="F238" t="s">
        <v>19</v>
      </c>
      <c r="G238" t="s">
        <v>20</v>
      </c>
      <c r="H238" t="s">
        <v>21</v>
      </c>
      <c r="I238" t="s">
        <v>78</v>
      </c>
      <c r="J238" t="s">
        <v>23</v>
      </c>
      <c r="K238">
        <v>5413</v>
      </c>
      <c r="L238" s="4">
        <v>38.919478499999997</v>
      </c>
      <c r="M238" s="4">
        <v>-5.9991707838843613</v>
      </c>
      <c r="N238" s="4">
        <v>2.9960198564859607E-3</v>
      </c>
      <c r="O238" s="1" t="str">
        <f>HYPERLINK(".\sm_car_240930_1602\sm_car_240930_1602_237_Ca202TrN_MaCMP_ode23t_1.png","figure")</f>
        <v>figure</v>
      </c>
      <c r="P238" t="s">
        <v>15</v>
      </c>
    </row>
    <row r="239" spans="1:16" x14ac:dyDescent="0.25">
      <c r="A239">
        <v>238</v>
      </c>
      <c r="B239">
        <v>202</v>
      </c>
      <c r="C239" t="s">
        <v>45</v>
      </c>
      <c r="D239" t="s">
        <v>35</v>
      </c>
      <c r="E239" t="s">
        <v>108</v>
      </c>
      <c r="F239" t="s">
        <v>19</v>
      </c>
      <c r="G239" t="s">
        <v>20</v>
      </c>
      <c r="H239" t="s">
        <v>21</v>
      </c>
      <c r="I239" t="s">
        <v>82</v>
      </c>
      <c r="J239" t="s">
        <v>23</v>
      </c>
      <c r="K239">
        <v>15014</v>
      </c>
      <c r="L239" s="4">
        <v>107.5466642</v>
      </c>
      <c r="M239" s="4">
        <v>-5.9923598502923339</v>
      </c>
      <c r="N239" s="4">
        <v>-8.9739714131519127E-3</v>
      </c>
      <c r="O239" s="1" t="str">
        <f>HYPERLINK(".\sm_car_240930_1602\sm_car_240930_1602_238_Ca202TrN_MaCKY_ode23t_1.png","figure")</f>
        <v>figure</v>
      </c>
      <c r="P239" t="s">
        <v>15</v>
      </c>
    </row>
    <row r="240" spans="1:16" x14ac:dyDescent="0.25">
      <c r="A240">
        <v>239</v>
      </c>
      <c r="B240">
        <v>202</v>
      </c>
      <c r="C240" t="s">
        <v>45</v>
      </c>
      <c r="D240" t="s">
        <v>35</v>
      </c>
      <c r="E240" t="s">
        <v>108</v>
      </c>
      <c r="F240" t="s">
        <v>19</v>
      </c>
      <c r="G240" t="s">
        <v>20</v>
      </c>
      <c r="H240" t="s">
        <v>21</v>
      </c>
      <c r="I240" t="s">
        <v>75</v>
      </c>
      <c r="J240" t="s">
        <v>23</v>
      </c>
      <c r="K240">
        <v>452</v>
      </c>
      <c r="L240" s="4">
        <v>4.6766440999999999</v>
      </c>
      <c r="M240" s="4">
        <v>382.00939327162217</v>
      </c>
      <c r="N240" s="4">
        <v>0.32992049848204708</v>
      </c>
      <c r="O240" s="1" t="str">
        <f>HYPERLINK(".\sm_car_240930_1602\sm_car_240930_1602_239_Ca202TrN_MaCPL_ode23t_1.png","figure")</f>
        <v>figure</v>
      </c>
      <c r="P240" t="s">
        <v>15</v>
      </c>
    </row>
    <row r="241" spans="1:16" x14ac:dyDescent="0.25">
      <c r="A241">
        <v>240</v>
      </c>
      <c r="B241">
        <v>140</v>
      </c>
      <c r="C241" t="s">
        <v>45</v>
      </c>
      <c r="D241" t="s">
        <v>17</v>
      </c>
      <c r="E241" t="s">
        <v>49</v>
      </c>
      <c r="F241" t="s">
        <v>19</v>
      </c>
      <c r="G241" t="s">
        <v>26</v>
      </c>
      <c r="H241" t="s">
        <v>21</v>
      </c>
      <c r="I241" t="s">
        <v>113</v>
      </c>
      <c r="J241" t="s">
        <v>23</v>
      </c>
      <c r="K241">
        <v>2624</v>
      </c>
      <c r="L241" s="4">
        <v>62.167858000000003</v>
      </c>
      <c r="M241" s="4">
        <v>176.38724576505368</v>
      </c>
      <c r="N241" s="4">
        <v>7.5603887656659817E-4</v>
      </c>
      <c r="O241" s="1" t="str">
        <f>HYPERLINK(".\sm_car_240930_1602\sm_car_240930_1602_240_Ca140TrN_MaCRR_ode23t_1.png","figure")</f>
        <v>figure</v>
      </c>
      <c r="P241" t="s">
        <v>15</v>
      </c>
    </row>
    <row r="242" spans="1:16" x14ac:dyDescent="0.25">
      <c r="A242">
        <v>241</v>
      </c>
      <c r="B242">
        <v>189</v>
      </c>
      <c r="C242" t="s">
        <v>45</v>
      </c>
      <c r="D242" t="s">
        <v>17</v>
      </c>
      <c r="E242" t="s">
        <v>108</v>
      </c>
      <c r="F242" t="s">
        <v>19</v>
      </c>
      <c r="G242" t="s">
        <v>26</v>
      </c>
      <c r="H242" t="s">
        <v>21</v>
      </c>
      <c r="I242" t="s">
        <v>113</v>
      </c>
      <c r="J242" t="s">
        <v>23</v>
      </c>
      <c r="K242">
        <v>3182</v>
      </c>
      <c r="L242" s="4">
        <v>63.3953031</v>
      </c>
      <c r="M242" s="4">
        <v>176.44693383924678</v>
      </c>
      <c r="N242" s="4">
        <v>7.8215302719383199E-4</v>
      </c>
      <c r="O242" s="1" t="str">
        <f>HYPERLINK(".\sm_car_240930_1602\sm_car_240930_1602_241_Ca189TrN_MaCRR_ode23t_1.png","figure")</f>
        <v>figure</v>
      </c>
      <c r="P242" t="s">
        <v>15</v>
      </c>
    </row>
    <row r="243" spans="1:16" x14ac:dyDescent="0.25">
      <c r="A243">
        <v>242</v>
      </c>
      <c r="B243">
        <v>173</v>
      </c>
      <c r="C243" t="s">
        <v>45</v>
      </c>
      <c r="D243" t="s">
        <v>35</v>
      </c>
      <c r="E243" t="s">
        <v>49</v>
      </c>
      <c r="F243" t="s">
        <v>19</v>
      </c>
      <c r="G243" t="s">
        <v>90</v>
      </c>
      <c r="H243" t="s">
        <v>21</v>
      </c>
      <c r="I243" t="s">
        <v>91</v>
      </c>
      <c r="J243" t="s">
        <v>92</v>
      </c>
      <c r="K243">
        <v>1847</v>
      </c>
      <c r="L243" s="4">
        <v>147.27304090000001</v>
      </c>
      <c r="M243" s="4">
        <v>51.299602141488414</v>
      </c>
      <c r="N243" s="4">
        <v>9.0083168708175558E-3</v>
      </c>
      <c r="O243" s="1" t="str">
        <f>HYPERLINK(".\sm_car_240930_1602\sm_car_240930_1602_242_Ca173TrN_MaDCA_daessc_1.png","figure")</f>
        <v>figure</v>
      </c>
      <c r="P243" t="s">
        <v>15</v>
      </c>
    </row>
    <row r="244" spans="1:16" x14ac:dyDescent="0.25">
      <c r="A244">
        <v>243</v>
      </c>
      <c r="B244">
        <v>173</v>
      </c>
      <c r="C244" t="s">
        <v>45</v>
      </c>
      <c r="D244" t="s">
        <v>35</v>
      </c>
      <c r="E244" t="s">
        <v>49</v>
      </c>
      <c r="F244" t="s">
        <v>19</v>
      </c>
      <c r="G244" t="s">
        <v>90</v>
      </c>
      <c r="H244" t="s">
        <v>21</v>
      </c>
      <c r="I244" t="s">
        <v>93</v>
      </c>
      <c r="J244" t="s">
        <v>92</v>
      </c>
      <c r="K244">
        <v>4104</v>
      </c>
      <c r="L244" s="4">
        <v>174.135469</v>
      </c>
      <c r="M244" s="4">
        <v>980.46526976959501</v>
      </c>
      <c r="N244" s="4">
        <v>0.72245601009054961</v>
      </c>
      <c r="O244" s="1" t="str">
        <f>HYPERLINK(".\sm_car_240930_1602\sm_car_240930_1602_243_Ca173TrN_MaDC1_daessc_1.png","figure")</f>
        <v>figure</v>
      </c>
      <c r="P244" t="s">
        <v>15</v>
      </c>
    </row>
    <row r="245" spans="1:16" x14ac:dyDescent="0.25">
      <c r="A245">
        <v>244</v>
      </c>
      <c r="B245">
        <v>165</v>
      </c>
      <c r="C245" t="s">
        <v>45</v>
      </c>
      <c r="D245" t="s">
        <v>35</v>
      </c>
      <c r="E245" t="s">
        <v>49</v>
      </c>
      <c r="F245" t="s">
        <v>19</v>
      </c>
      <c r="G245" t="s">
        <v>26</v>
      </c>
      <c r="H245" t="s">
        <v>21</v>
      </c>
      <c r="I245" t="s">
        <v>91</v>
      </c>
      <c r="J245" t="s">
        <v>23</v>
      </c>
      <c r="K245">
        <v>327</v>
      </c>
      <c r="L245" s="4">
        <v>6.0026742000000004</v>
      </c>
      <c r="M245" s="4">
        <v>53.508860493087028</v>
      </c>
      <c r="N245" s="4">
        <v>9.8552876249811631E-3</v>
      </c>
      <c r="O245" s="1" t="str">
        <f>HYPERLINK(".\sm_car_240930_1602\sm_car_240930_1602_244_Ca165TrN_MaDCA_ode23t_1.png","figure")</f>
        <v>figure</v>
      </c>
      <c r="P245" t="s">
        <v>15</v>
      </c>
    </row>
    <row r="246" spans="1:16" x14ac:dyDescent="0.25">
      <c r="A246">
        <v>245</v>
      </c>
      <c r="B246">
        <v>165</v>
      </c>
      <c r="C246" t="s">
        <v>45</v>
      </c>
      <c r="D246" t="s">
        <v>35</v>
      </c>
      <c r="E246" t="s">
        <v>49</v>
      </c>
      <c r="F246" t="s">
        <v>19</v>
      </c>
      <c r="G246" t="s">
        <v>26</v>
      </c>
      <c r="H246" t="s">
        <v>21</v>
      </c>
      <c r="I246" t="s">
        <v>93</v>
      </c>
      <c r="J246" t="s">
        <v>23</v>
      </c>
      <c r="K246">
        <v>1187</v>
      </c>
      <c r="L246" s="4">
        <v>13.232745</v>
      </c>
      <c r="M246" s="4">
        <v>992.65284117050874</v>
      </c>
      <c r="N246" s="4">
        <v>0.78374543833774335</v>
      </c>
      <c r="O246" s="1" t="str">
        <f>HYPERLINK(".\sm_car_240930_1602\sm_car_240930_1602_245_Ca165TrN_MaDC1_ode23t_1.png","figure")</f>
        <v>figure</v>
      </c>
      <c r="P246" t="s">
        <v>15</v>
      </c>
    </row>
    <row r="247" spans="1:16" x14ac:dyDescent="0.25">
      <c r="A247">
        <v>246</v>
      </c>
      <c r="B247">
        <v>196</v>
      </c>
      <c r="C247" t="s">
        <v>45</v>
      </c>
      <c r="D247" t="s">
        <v>35</v>
      </c>
      <c r="E247" t="s">
        <v>108</v>
      </c>
      <c r="F247" t="s">
        <v>19</v>
      </c>
      <c r="G247" t="s">
        <v>90</v>
      </c>
      <c r="H247" t="s">
        <v>21</v>
      </c>
      <c r="I247" t="s">
        <v>93</v>
      </c>
      <c r="J247" t="s">
        <v>92</v>
      </c>
      <c r="K247">
        <v>4144</v>
      </c>
      <c r="L247" s="4">
        <v>88.215282999999999</v>
      </c>
      <c r="M247" s="4">
        <v>980.46342046912014</v>
      </c>
      <c r="N247" s="4">
        <v>0.72249380867394852</v>
      </c>
      <c r="O247" s="1" t="str">
        <f>HYPERLINK(".\sm_car_240930_1602\sm_car_240930_1602_246_Ca196TrN_MaDC1_daessc_1.png","figure")</f>
        <v>figure</v>
      </c>
      <c r="P247" t="s">
        <v>15</v>
      </c>
    </row>
    <row r="248" spans="1:16" x14ac:dyDescent="0.25">
      <c r="A248">
        <v>247</v>
      </c>
      <c r="B248">
        <v>179</v>
      </c>
      <c r="C248" t="s">
        <v>45</v>
      </c>
      <c r="D248" t="s">
        <v>57</v>
      </c>
      <c r="E248" t="s">
        <v>18</v>
      </c>
      <c r="F248" t="s">
        <v>19</v>
      </c>
      <c r="G248" t="s">
        <v>26</v>
      </c>
      <c r="H248" t="s">
        <v>21</v>
      </c>
      <c r="I248" t="s">
        <v>22</v>
      </c>
      <c r="J248" t="s">
        <v>23</v>
      </c>
      <c r="K248">
        <v>491</v>
      </c>
      <c r="L248" s="4">
        <v>7.8546328000000001</v>
      </c>
      <c r="M248" s="4">
        <v>147.8470728875424</v>
      </c>
      <c r="N248" s="4">
        <v>9.4257333732158263E-2</v>
      </c>
      <c r="O248" s="1" t="str">
        <f>HYPERLINK(".\sm_car_240930_1602\sm_car_240930_1602_247_Ca179TrN_MaWOT_ode23t_1.png","figure")</f>
        <v>figure</v>
      </c>
      <c r="P248" t="s">
        <v>15</v>
      </c>
    </row>
    <row r="249" spans="1:16" x14ac:dyDescent="0.25">
      <c r="A249">
        <v>248</v>
      </c>
      <c r="B249">
        <v>180</v>
      </c>
      <c r="C249" t="s">
        <v>45</v>
      </c>
      <c r="D249" t="s">
        <v>57</v>
      </c>
      <c r="E249" t="s">
        <v>49</v>
      </c>
      <c r="F249" t="s">
        <v>19</v>
      </c>
      <c r="G249" t="s">
        <v>26</v>
      </c>
      <c r="H249" t="s">
        <v>21</v>
      </c>
      <c r="I249" t="s">
        <v>22</v>
      </c>
      <c r="J249" t="s">
        <v>23</v>
      </c>
      <c r="K249">
        <v>495</v>
      </c>
      <c r="L249" s="4">
        <v>10.8148509</v>
      </c>
      <c r="M249" s="4">
        <v>147.86542305954654</v>
      </c>
      <c r="N249" s="4">
        <v>9.4518748796429547E-2</v>
      </c>
      <c r="O249" s="1" t="str">
        <f>HYPERLINK(".\sm_car_240930_1602\sm_car_240930_1602_248_Ca180TrN_MaWOT_ode23t_1.png","figure")</f>
        <v>figure</v>
      </c>
      <c r="P249" t="s">
        <v>15</v>
      </c>
    </row>
    <row r="250" spans="1:16" x14ac:dyDescent="0.25">
      <c r="A250">
        <v>249</v>
      </c>
      <c r="B250">
        <v>197</v>
      </c>
      <c r="C250" t="s">
        <v>45</v>
      </c>
      <c r="D250" t="s">
        <v>57</v>
      </c>
      <c r="E250" t="s">
        <v>108</v>
      </c>
      <c r="F250" t="s">
        <v>19</v>
      </c>
      <c r="G250" t="s">
        <v>26</v>
      </c>
      <c r="H250" t="s">
        <v>21</v>
      </c>
      <c r="I250" t="s">
        <v>22</v>
      </c>
      <c r="J250" t="s">
        <v>23</v>
      </c>
      <c r="K250">
        <v>454</v>
      </c>
      <c r="L250" s="4">
        <v>3.1722513000000001</v>
      </c>
      <c r="M250" s="4">
        <v>147.83181320769648</v>
      </c>
      <c r="N250" s="4">
        <v>9.447416915537997E-2</v>
      </c>
      <c r="O250" s="1" t="str">
        <f>HYPERLINK(".\sm_car_240930_1602\sm_car_240930_1602_249_Ca197TrN_MaWOT_ode23t_1.png","figure")</f>
        <v>figure</v>
      </c>
      <c r="P250" t="s">
        <v>15</v>
      </c>
    </row>
    <row r="251" spans="1:16" x14ac:dyDescent="0.25">
      <c r="A251">
        <v>250</v>
      </c>
      <c r="B251">
        <v>182</v>
      </c>
      <c r="C251" t="s">
        <v>45</v>
      </c>
      <c r="D251" t="s">
        <v>17</v>
      </c>
      <c r="E251" t="s">
        <v>49</v>
      </c>
      <c r="F251" t="s">
        <v>19</v>
      </c>
      <c r="G251" t="s">
        <v>26</v>
      </c>
      <c r="H251" t="s">
        <v>21</v>
      </c>
      <c r="I251" t="s">
        <v>64</v>
      </c>
      <c r="J251" t="s">
        <v>23</v>
      </c>
      <c r="K251">
        <v>421</v>
      </c>
      <c r="L251" s="4">
        <v>19.577612599999998</v>
      </c>
      <c r="M251" s="4">
        <v>63.227172416907337</v>
      </c>
      <c r="N251" s="4">
        <v>-25.378190011468046</v>
      </c>
      <c r="O251" s="1" t="str">
        <f>HYPERLINK(".\sm_car_240930_1602\sm_car_240930_1602_250_Ca182TrN_MaTUR_ode23t_1.png","figure")</f>
        <v>figure</v>
      </c>
      <c r="P251" t="s">
        <v>15</v>
      </c>
    </row>
    <row r="252" spans="1:16" x14ac:dyDescent="0.25">
      <c r="A252">
        <v>251</v>
      </c>
      <c r="B252">
        <v>203</v>
      </c>
      <c r="C252" t="s">
        <v>45</v>
      </c>
      <c r="D252" t="s">
        <v>17</v>
      </c>
      <c r="E252" t="s">
        <v>108</v>
      </c>
      <c r="F252" t="s">
        <v>19</v>
      </c>
      <c r="G252" t="s">
        <v>26</v>
      </c>
      <c r="H252" t="s">
        <v>21</v>
      </c>
      <c r="I252" t="s">
        <v>64</v>
      </c>
      <c r="J252" t="s">
        <v>23</v>
      </c>
      <c r="K252">
        <v>343</v>
      </c>
      <c r="L252" s="4">
        <v>6.6978125999999998</v>
      </c>
      <c r="M252" s="4">
        <v>63.213941836934069</v>
      </c>
      <c r="N252" s="4">
        <v>-25.380824389233485</v>
      </c>
      <c r="O252" s="1" t="str">
        <f>HYPERLINK(".\sm_car_240930_1602\sm_car_240930_1602_251_Ca203TrN_MaTUR_ode23t_1.png","figure")</f>
        <v>figure</v>
      </c>
      <c r="P252" t="s">
        <v>15</v>
      </c>
    </row>
    <row r="253" spans="1:16" x14ac:dyDescent="0.25">
      <c r="A253">
        <v>252</v>
      </c>
      <c r="B253">
        <v>185</v>
      </c>
      <c r="C253" t="s">
        <v>45</v>
      </c>
      <c r="D253" t="s">
        <v>17</v>
      </c>
      <c r="E253" t="s">
        <v>18</v>
      </c>
      <c r="F253" t="s">
        <v>19</v>
      </c>
      <c r="G253" t="s">
        <v>26</v>
      </c>
      <c r="H253" t="s">
        <v>21</v>
      </c>
      <c r="I253" t="s">
        <v>64</v>
      </c>
      <c r="J253" t="s">
        <v>23</v>
      </c>
      <c r="K253">
        <v>422</v>
      </c>
      <c r="L253" s="4">
        <v>21.347089700000001</v>
      </c>
      <c r="M253" s="4">
        <v>114.14652759353396</v>
      </c>
      <c r="N253" s="4">
        <v>-80.783400109716453</v>
      </c>
      <c r="O253" s="1" t="str">
        <f>HYPERLINK(".\sm_car_240930_1602\sm_car_240930_1602_252_Ca185TrN_MaTUR_ode23t_1.png","figure")</f>
        <v>figure</v>
      </c>
      <c r="P253" t="s">
        <v>15</v>
      </c>
    </row>
    <row r="254" spans="1:16" x14ac:dyDescent="0.25">
      <c r="A254">
        <v>253</v>
      </c>
      <c r="B254">
        <v>188</v>
      </c>
      <c r="C254" t="s">
        <v>45</v>
      </c>
      <c r="D254" t="s">
        <v>114</v>
      </c>
      <c r="E254" t="s">
        <v>49</v>
      </c>
      <c r="F254" t="s">
        <v>19</v>
      </c>
      <c r="G254" t="s">
        <v>26</v>
      </c>
      <c r="H254" t="s">
        <v>21</v>
      </c>
      <c r="I254" t="s">
        <v>64</v>
      </c>
      <c r="J254" t="s">
        <v>23</v>
      </c>
      <c r="K254">
        <v>560</v>
      </c>
      <c r="L254" s="4">
        <v>12.3796187</v>
      </c>
      <c r="M254" s="4">
        <v>140.62957033211694</v>
      </c>
      <c r="N254" s="4">
        <v>-71.774921619161759</v>
      </c>
      <c r="O254" s="1" t="str">
        <f>HYPERLINK(".\sm_car_240930_1602\sm_car_240930_1602_253_Ca188TrN_MaTUR_ode23t_1.png","figure")</f>
        <v>figure</v>
      </c>
      <c r="P254" t="s">
        <v>15</v>
      </c>
    </row>
    <row r="255" spans="1:16" x14ac:dyDescent="0.25">
      <c r="A255">
        <v>254</v>
      </c>
      <c r="B255" t="s">
        <v>94</v>
      </c>
      <c r="C255" t="s">
        <v>95</v>
      </c>
      <c r="D255" t="s">
        <v>35</v>
      </c>
      <c r="E255" t="s">
        <v>18</v>
      </c>
      <c r="F255" t="s">
        <v>19</v>
      </c>
      <c r="G255" t="s">
        <v>96</v>
      </c>
      <c r="H255" t="s">
        <v>21</v>
      </c>
      <c r="I255" t="s">
        <v>22</v>
      </c>
      <c r="J255" t="s">
        <v>23</v>
      </c>
      <c r="K255">
        <v>441</v>
      </c>
      <c r="L255" s="4">
        <v>21.983246000000001</v>
      </c>
      <c r="M255" s="4">
        <v>79.195513701060506</v>
      </c>
      <c r="N255" s="4">
        <v>-0.33366095226112802</v>
      </c>
      <c r="O255" s="1" t="str">
        <f>HYPERLINK(".\sm_car_240930_1602\sm_car_Axle3_240930_1602_254_CaAxle3_000TrN_MaWOT_ode23t_1.png","figure")</f>
        <v>figure</v>
      </c>
      <c r="P255" t="s">
        <v>15</v>
      </c>
    </row>
    <row r="256" spans="1:16" x14ac:dyDescent="0.25">
      <c r="A256">
        <v>255</v>
      </c>
      <c r="B256" t="s">
        <v>99</v>
      </c>
      <c r="C256" t="s">
        <v>100</v>
      </c>
      <c r="D256" t="s">
        <v>35</v>
      </c>
      <c r="E256" t="s">
        <v>18</v>
      </c>
      <c r="F256" t="s">
        <v>19</v>
      </c>
      <c r="G256" t="s">
        <v>96</v>
      </c>
      <c r="H256" t="s">
        <v>21</v>
      </c>
      <c r="I256" t="s">
        <v>22</v>
      </c>
      <c r="J256" t="s">
        <v>23</v>
      </c>
      <c r="K256">
        <v>488</v>
      </c>
      <c r="L256" s="4">
        <v>21.3560868</v>
      </c>
      <c r="M256" s="4">
        <v>69.125541323148454</v>
      </c>
      <c r="N256" s="4">
        <v>8.3843922377627292E-2</v>
      </c>
      <c r="O256" s="1" t="str">
        <f>HYPERLINK(".\sm_car_240930_1602\sm_car_Axle3_240930_1602_255_CaAxle3_008TrN_MaWOT_ode23t_1.png","figure")</f>
        <v>figure</v>
      </c>
      <c r="P256" t="s">
        <v>15</v>
      </c>
    </row>
    <row r="257" spans="1:16" x14ac:dyDescent="0.25">
      <c r="A257">
        <v>256</v>
      </c>
      <c r="B257" t="s">
        <v>97</v>
      </c>
      <c r="C257" t="s">
        <v>95</v>
      </c>
      <c r="D257" t="s">
        <v>35</v>
      </c>
      <c r="E257" t="s">
        <v>49</v>
      </c>
      <c r="F257" t="s">
        <v>19</v>
      </c>
      <c r="G257" t="s">
        <v>98</v>
      </c>
      <c r="H257" t="s">
        <v>21</v>
      </c>
      <c r="I257" t="s">
        <v>22</v>
      </c>
      <c r="J257" t="s">
        <v>23</v>
      </c>
      <c r="K257">
        <v>426</v>
      </c>
      <c r="L257" s="4">
        <v>19.567592099999999</v>
      </c>
      <c r="M257" s="4">
        <v>79.24769441161969</v>
      </c>
      <c r="N257" s="4">
        <v>-0.31325677542900665</v>
      </c>
      <c r="O257" s="1" t="str">
        <f>HYPERLINK(".\sm_car_240930_1602\sm_car_Axle3_240930_1602_256_CaAxle3_003TrN_MaWOT_ode23t_1.png","figure")</f>
        <v>figure</v>
      </c>
      <c r="P257" t="s">
        <v>15</v>
      </c>
    </row>
    <row r="258" spans="1:16" x14ac:dyDescent="0.25">
      <c r="A258">
        <v>257</v>
      </c>
      <c r="B258" t="s">
        <v>115</v>
      </c>
      <c r="C258" t="s">
        <v>95</v>
      </c>
      <c r="D258" t="s">
        <v>35</v>
      </c>
      <c r="E258" t="s">
        <v>108</v>
      </c>
      <c r="F258" t="s">
        <v>19</v>
      </c>
      <c r="G258" t="s">
        <v>98</v>
      </c>
      <c r="H258" t="s">
        <v>21</v>
      </c>
      <c r="I258" t="s">
        <v>22</v>
      </c>
      <c r="J258" t="s">
        <v>23</v>
      </c>
      <c r="K258">
        <v>431</v>
      </c>
      <c r="L258" s="4">
        <v>3.1845484000000002</v>
      </c>
      <c r="M258" s="4">
        <v>80.105368727560347</v>
      </c>
      <c r="N258" s="4">
        <v>-0.31922436244434088</v>
      </c>
      <c r="O258" s="1" t="str">
        <f>HYPERLINK(".\sm_car_240930_1602\sm_car_Axle3_240930_1602_257_CaAxle3_017TrN_MaWOT_ode23t_1.png","figure")</f>
        <v>figure</v>
      </c>
      <c r="P258" t="s">
        <v>15</v>
      </c>
    </row>
    <row r="259" spans="1:16" x14ac:dyDescent="0.25">
      <c r="A259">
        <v>258</v>
      </c>
      <c r="B259" t="s">
        <v>101</v>
      </c>
      <c r="C259" t="s">
        <v>100</v>
      </c>
      <c r="D259" t="s">
        <v>35</v>
      </c>
      <c r="E259" t="s">
        <v>49</v>
      </c>
      <c r="F259" t="s">
        <v>19</v>
      </c>
      <c r="G259" t="s">
        <v>96</v>
      </c>
      <c r="H259" t="s">
        <v>102</v>
      </c>
      <c r="I259" t="s">
        <v>22</v>
      </c>
      <c r="J259" t="s">
        <v>23</v>
      </c>
      <c r="K259">
        <v>379</v>
      </c>
      <c r="L259" s="4">
        <v>45.707402100000003</v>
      </c>
      <c r="M259" s="4">
        <v>23.326907524485339</v>
      </c>
      <c r="N259" s="4">
        <v>2.4826893934114976E-3</v>
      </c>
      <c r="O259" s="1" t="str">
        <f>HYPERLINK(".\sm_car_240930_1602\sm_car_Axle3_240930_1602_258_CaAxle3_010TrK_MaWOT_ode23t_1.png","figure")</f>
        <v>figure</v>
      </c>
      <c r="P259" t="s">
        <v>15</v>
      </c>
    </row>
    <row r="260" spans="1:16" x14ac:dyDescent="0.25">
      <c r="A260">
        <v>259</v>
      </c>
      <c r="B260" t="s">
        <v>101</v>
      </c>
      <c r="C260" t="s">
        <v>100</v>
      </c>
      <c r="D260" t="s">
        <v>35</v>
      </c>
      <c r="E260" t="s">
        <v>49</v>
      </c>
      <c r="F260" t="s">
        <v>19</v>
      </c>
      <c r="G260" t="s">
        <v>96</v>
      </c>
      <c r="H260" t="s">
        <v>102</v>
      </c>
      <c r="I260" t="s">
        <v>22</v>
      </c>
      <c r="J260" t="s">
        <v>23</v>
      </c>
      <c r="K260">
        <v>403</v>
      </c>
      <c r="L260" s="4">
        <v>47.1074117</v>
      </c>
      <c r="M260" s="4">
        <v>23.441148765091548</v>
      </c>
      <c r="N260" s="4">
        <v>2.5318348974077698E-3</v>
      </c>
      <c r="O260" s="1" t="str">
        <f>HYPERLINK(".\sm_car_240930_1602\sm_car_Axle3_240930_1602_259_CaAxle3_010TrK_MaWOT_ode23t_1.png","figure")</f>
        <v>figure</v>
      </c>
      <c r="P260" t="s">
        <v>15</v>
      </c>
    </row>
    <row r="261" spans="1:16" x14ac:dyDescent="0.25">
      <c r="A261">
        <v>260</v>
      </c>
      <c r="B261" t="s">
        <v>116</v>
      </c>
      <c r="C261" t="s">
        <v>100</v>
      </c>
      <c r="D261" t="s">
        <v>35</v>
      </c>
      <c r="E261" t="s">
        <v>108</v>
      </c>
      <c r="F261" t="s">
        <v>19</v>
      </c>
      <c r="G261" t="s">
        <v>96</v>
      </c>
      <c r="H261" t="s">
        <v>102</v>
      </c>
      <c r="I261" t="s">
        <v>22</v>
      </c>
      <c r="J261" t="s">
        <v>23</v>
      </c>
      <c r="K261">
        <v>395</v>
      </c>
      <c r="L261" s="4">
        <v>3.6747735000000001</v>
      </c>
      <c r="M261" s="4">
        <v>26.920089687481319</v>
      </c>
      <c r="N261" s="4">
        <v>3.6214237351397116E-3</v>
      </c>
      <c r="O261" s="1" t="str">
        <f>HYPERLINK(".\sm_car_240930_1602\sm_car_Axle3_240930_1602_260_CaAxle3_019TrK_MaWOT_ode23t_1.png","figure")</f>
        <v>figure</v>
      </c>
      <c r="P261" t="s">
        <v>15</v>
      </c>
    </row>
    <row r="262" spans="1:16" x14ac:dyDescent="0.25">
      <c r="A262">
        <v>261</v>
      </c>
      <c r="B262" t="s">
        <v>116</v>
      </c>
      <c r="C262" t="s">
        <v>100</v>
      </c>
      <c r="D262" t="s">
        <v>35</v>
      </c>
      <c r="E262" t="s">
        <v>108</v>
      </c>
      <c r="F262" t="s">
        <v>19</v>
      </c>
      <c r="G262" t="s">
        <v>96</v>
      </c>
      <c r="H262" t="s">
        <v>102</v>
      </c>
      <c r="I262" t="s">
        <v>22</v>
      </c>
      <c r="J262" t="s">
        <v>23</v>
      </c>
      <c r="K262">
        <v>396</v>
      </c>
      <c r="L262" s="4">
        <v>3.7048779999999999</v>
      </c>
      <c r="M262" s="4">
        <v>26.903870778431472</v>
      </c>
      <c r="N262" s="4">
        <v>3.6113360628778207E-3</v>
      </c>
      <c r="O262" s="1" t="str">
        <f>HYPERLINK(".\sm_car_240930_1602\sm_car_Axle3_240930_1602_261_CaAxle3_019TrK_MaWOT_ode23t_1.png","figure")</f>
        <v>figure</v>
      </c>
      <c r="P262" t="s">
        <v>15</v>
      </c>
    </row>
    <row r="263" spans="1:16" x14ac:dyDescent="0.25">
      <c r="A263">
        <v>262</v>
      </c>
      <c r="B263" t="s">
        <v>103</v>
      </c>
      <c r="C263" t="s">
        <v>100</v>
      </c>
      <c r="D263" t="s">
        <v>35</v>
      </c>
      <c r="E263" t="s">
        <v>18</v>
      </c>
      <c r="F263" t="s">
        <v>19</v>
      </c>
      <c r="G263" t="s">
        <v>104</v>
      </c>
      <c r="H263" t="s">
        <v>102</v>
      </c>
      <c r="I263" t="s">
        <v>53</v>
      </c>
      <c r="J263" t="s">
        <v>23</v>
      </c>
      <c r="K263">
        <v>676</v>
      </c>
      <c r="L263" s="4">
        <v>26.696550899999998</v>
      </c>
      <c r="M263" s="4">
        <v>254.55190096841835</v>
      </c>
      <c r="N263" s="4">
        <v>-0.10195145477440093</v>
      </c>
      <c r="O263" s="1" t="str">
        <f>HYPERLINK(".\sm_car_240930_1602\sm_car_Axle3_240930_1602_262_CaAxle3_012TrK_MaDLC_ode23t_1.png","figure")</f>
        <v>figure</v>
      </c>
      <c r="P263" t="s">
        <v>15</v>
      </c>
    </row>
    <row r="264" spans="1:16" x14ac:dyDescent="0.25">
      <c r="A264">
        <v>263</v>
      </c>
      <c r="B264" t="s">
        <v>103</v>
      </c>
      <c r="C264" t="s">
        <v>100</v>
      </c>
      <c r="D264" t="s">
        <v>35</v>
      </c>
      <c r="E264" t="s">
        <v>18</v>
      </c>
      <c r="F264" t="s">
        <v>19</v>
      </c>
      <c r="G264" t="s">
        <v>104</v>
      </c>
      <c r="H264" t="s">
        <v>102</v>
      </c>
      <c r="I264" t="s">
        <v>53</v>
      </c>
      <c r="J264" t="s">
        <v>23</v>
      </c>
      <c r="K264">
        <v>754</v>
      </c>
      <c r="L264" s="4">
        <v>29.619218499999999</v>
      </c>
      <c r="M264" s="4">
        <v>254.04979557124472</v>
      </c>
      <c r="N264" s="4">
        <v>-9.808147291449032E-2</v>
      </c>
      <c r="O264" s="1" t="str">
        <f>HYPERLINK(".\sm_car_240930_1602\sm_car_Axle3_240930_1602_263_CaAxle3_012TrK_MaDLC_ode23t_1.png","figure")</f>
        <v>figure</v>
      </c>
      <c r="P264" t="s">
        <v>15</v>
      </c>
    </row>
    <row r="265" spans="1:16" x14ac:dyDescent="0.25">
      <c r="A265">
        <v>264</v>
      </c>
      <c r="B265" t="s">
        <v>103</v>
      </c>
      <c r="C265" t="s">
        <v>100</v>
      </c>
      <c r="D265" t="s">
        <v>35</v>
      </c>
      <c r="E265" t="s">
        <v>18</v>
      </c>
      <c r="F265" t="s">
        <v>19</v>
      </c>
      <c r="G265" t="s">
        <v>104</v>
      </c>
      <c r="H265" t="s">
        <v>102</v>
      </c>
      <c r="I265" t="s">
        <v>53</v>
      </c>
      <c r="J265" t="s">
        <v>23</v>
      </c>
      <c r="K265">
        <v>672</v>
      </c>
      <c r="L265" s="4">
        <v>28.0419363</v>
      </c>
      <c r="M265" s="4">
        <v>255.83077909844297</v>
      </c>
      <c r="N265" s="4">
        <v>-0.10453476514283278</v>
      </c>
      <c r="O265" s="1" t="str">
        <f>HYPERLINK(".\sm_car_240930_1602\sm_car_Axle3_240930_1602_264_CaAxle3_012TrK_MaDLC_ode23t_1.png","figure")</f>
        <v>figure</v>
      </c>
      <c r="P265" t="s">
        <v>15</v>
      </c>
    </row>
    <row r="266" spans="1:16" x14ac:dyDescent="0.25">
      <c r="A266">
        <v>265</v>
      </c>
      <c r="B266" t="s">
        <v>103</v>
      </c>
      <c r="C266" t="s">
        <v>100</v>
      </c>
      <c r="D266" t="s">
        <v>35</v>
      </c>
      <c r="E266" t="s">
        <v>18</v>
      </c>
      <c r="F266" t="s">
        <v>19</v>
      </c>
      <c r="G266" t="s">
        <v>104</v>
      </c>
      <c r="H266" t="s">
        <v>102</v>
      </c>
      <c r="I266" t="s">
        <v>53</v>
      </c>
      <c r="J266" t="s">
        <v>23</v>
      </c>
      <c r="K266">
        <v>922</v>
      </c>
      <c r="L266" s="4">
        <v>34.2549244</v>
      </c>
      <c r="M266" s="4">
        <v>253.20826861991611</v>
      </c>
      <c r="N266" s="4">
        <v>-8.8697000987246533E-2</v>
      </c>
      <c r="O266" s="1" t="str">
        <f>HYPERLINK(".\sm_car_240930_1602\sm_car_Axle3_240930_1602_265_CaAxle3_012TrK_MaDLC_ode23t_1.png","figure")</f>
        <v>figure</v>
      </c>
      <c r="P26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543CE-0D5C-402D-BA53-6C957BFF2203}">
  <dimension ref="A1:R286"/>
  <sheetViews>
    <sheetView tabSelected="1" workbookViewId="0">
      <selection sqref="A1:P1048576"/>
    </sheetView>
  </sheetViews>
  <sheetFormatPr defaultRowHeight="15" x14ac:dyDescent="0.25"/>
  <cols>
    <col min="1" max="1" width="4.42578125" bestFit="1" customWidth="1"/>
    <col min="2" max="2" width="10" bestFit="1" customWidth="1"/>
    <col min="3" max="3" width="14" bestFit="1" customWidth="1"/>
    <col min="4" max="4" width="12.42578125" bestFit="1" customWidth="1"/>
    <col min="5" max="5" width="11.85546875" bestFit="1" customWidth="1"/>
    <col min="6" max="6" width="11.42578125" bestFit="1" customWidth="1"/>
    <col min="7" max="7" width="16.85546875" bestFit="1" customWidth="1"/>
    <col min="8" max="8" width="8.5703125" bestFit="1" customWidth="1"/>
    <col min="9" max="9" width="27.140625" bestFit="1" customWidth="1"/>
    <col min="10" max="10" width="7.140625" bestFit="1" customWidth="1"/>
    <col min="11" max="11" width="7.28515625" bestFit="1" customWidth="1"/>
    <col min="12" max="12" width="6.5703125" bestFit="1" customWidth="1"/>
    <col min="13" max="13" width="7.5703125" bestFit="1" customWidth="1"/>
    <col min="14" max="14" width="8.28515625" bestFit="1" customWidth="1"/>
    <col min="15" max="15" width="6.5703125" bestFit="1" customWidth="1"/>
    <col min="16" max="16" width="4.85546875" bestFit="1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2" t="s">
        <v>133</v>
      </c>
    </row>
    <row r="2" spans="1:18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418</v>
      </c>
      <c r="L2" s="5">
        <v>7.7860202000000003</v>
      </c>
      <c r="M2" s="5">
        <v>231.28968771428612</v>
      </c>
      <c r="N2" s="5">
        <v>-2.563465955946146E-3</v>
      </c>
      <c r="O2" s="1" t="str">
        <f>HYPERLINK(".\sm_car_250420_1025\sm_car_250420_1025_001_Ca000TrN_MaWOT_ode23t.png","figure")</f>
        <v>figure</v>
      </c>
      <c r="P2" t="s">
        <v>15</v>
      </c>
      <c r="R2" s="2" t="s">
        <v>134</v>
      </c>
    </row>
    <row r="3" spans="1:18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23</v>
      </c>
      <c r="K3">
        <v>547</v>
      </c>
      <c r="L3" s="5">
        <v>9.8658786000000003</v>
      </c>
      <c r="M3" s="5">
        <v>71.237942903908746</v>
      </c>
      <c r="N3" s="5">
        <v>-0.54044252461917819</v>
      </c>
      <c r="O3" s="1" t="str">
        <f>HYPERLINK(".\sm_car_250420_1025\sm_car_250420_1025_002_Ca000TrN_MaLSS_ode23t.png","figure")</f>
        <v>figure</v>
      </c>
      <c r="P3" t="s">
        <v>15</v>
      </c>
      <c r="R3" s="2" t="s">
        <v>135</v>
      </c>
    </row>
    <row r="4" spans="1:18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23</v>
      </c>
      <c r="K4">
        <v>413</v>
      </c>
      <c r="L4" s="5">
        <v>7.8115521000000001</v>
      </c>
      <c r="M4" s="5">
        <v>230.40844579693407</v>
      </c>
      <c r="N4" s="5">
        <v>-1.1969769939589378E-2</v>
      </c>
      <c r="O4" s="1" t="str">
        <f>HYPERLINK(".\sm_car_250420_1025\sm_car_250420_1025_003_Ca001TrN_MaWOT_ode23t.png","figure")</f>
        <v>figure</v>
      </c>
      <c r="P4" t="s">
        <v>15</v>
      </c>
      <c r="R4" s="2" t="s">
        <v>136</v>
      </c>
    </row>
    <row r="5" spans="1:18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23</v>
      </c>
      <c r="K5">
        <v>515</v>
      </c>
      <c r="L5" s="5">
        <v>9.2724262999999993</v>
      </c>
      <c r="M5" s="5">
        <v>70.95874343387284</v>
      </c>
      <c r="N5" s="5">
        <v>-0.531044684836951</v>
      </c>
      <c r="O5" s="1" t="str">
        <f>HYPERLINK(".\sm_car_250420_1025\sm_car_250420_1025_004_Ca001TrN_MaLSS_ode23t.png","figure")</f>
        <v>figure</v>
      </c>
      <c r="P5" t="s">
        <v>15</v>
      </c>
      <c r="R5" t="s">
        <v>137</v>
      </c>
    </row>
    <row r="6" spans="1:18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23</v>
      </c>
      <c r="K6">
        <v>454</v>
      </c>
      <c r="L6" s="5">
        <v>14.338491100000001</v>
      </c>
      <c r="M6" s="5">
        <v>229.97313516678162</v>
      </c>
      <c r="N6" s="5">
        <v>4.7650061314058877E-2</v>
      </c>
      <c r="O6" s="1" t="str">
        <f>HYPERLINK(".\sm_car_250420_1025\sm_car_250420_1025_005_Ca002TrN_MaWOT_ode23t.png","figure")</f>
        <v>figure</v>
      </c>
      <c r="P6" t="s">
        <v>15</v>
      </c>
    </row>
    <row r="7" spans="1:18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23</v>
      </c>
      <c r="K7">
        <v>527</v>
      </c>
      <c r="L7" s="5">
        <v>12.6972662</v>
      </c>
      <c r="M7" s="5">
        <v>70.970433548311561</v>
      </c>
      <c r="N7" s="5">
        <v>-0.52980964615812665</v>
      </c>
      <c r="O7" s="1" t="str">
        <f>HYPERLINK(".\sm_car_250420_1025\sm_car_250420_1025_006_Ca002TrN_MaLSS_ode23t.png","figure")</f>
        <v>figure</v>
      </c>
      <c r="P7" t="s">
        <v>15</v>
      </c>
    </row>
    <row r="8" spans="1:18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23</v>
      </c>
      <c r="K8">
        <v>495</v>
      </c>
      <c r="L8" s="5">
        <v>14.7959961</v>
      </c>
      <c r="M8" s="5">
        <v>229.95182380873277</v>
      </c>
      <c r="N8" s="5">
        <v>5.2651867532533383E-2</v>
      </c>
      <c r="O8" s="1" t="str">
        <f>HYPERLINK(".\sm_car_250420_1025\sm_car_250420_1025_007_Ca003TrN_MaWOT_ode23t.png","figure")</f>
        <v>figure</v>
      </c>
      <c r="P8" t="s">
        <v>15</v>
      </c>
    </row>
    <row r="9" spans="1:18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23</v>
      </c>
      <c r="K9">
        <v>549</v>
      </c>
      <c r="L9" s="5">
        <v>13.349777100000001</v>
      </c>
      <c r="M9" s="5">
        <v>70.828997759051987</v>
      </c>
      <c r="N9" s="5">
        <v>-0.52597096909425922</v>
      </c>
      <c r="O9" s="1" t="str">
        <f>HYPERLINK(".\sm_car_250420_1025\sm_car_250420_1025_008_Ca003TrN_MaLSS_ode23t.png","figure")</f>
        <v>figure</v>
      </c>
      <c r="P9" t="s">
        <v>15</v>
      </c>
    </row>
    <row r="10" spans="1:18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23</v>
      </c>
      <c r="K10">
        <v>1100</v>
      </c>
      <c r="L10" s="5">
        <v>14.571850100000001</v>
      </c>
      <c r="M10" s="5">
        <v>231.31191062263304</v>
      </c>
      <c r="N10" s="5">
        <v>-2.8052912048785359E-4</v>
      </c>
      <c r="O10" s="1" t="str">
        <f>HYPERLINK(".\sm_car_250420_1025\sm_car_250420_1025_009_Ca004TrN_MaWOT_ode23t.png","figure")</f>
        <v>figure</v>
      </c>
      <c r="P10" t="s">
        <v>15</v>
      </c>
    </row>
    <row r="11" spans="1:18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23</v>
      </c>
      <c r="K11">
        <v>1201</v>
      </c>
      <c r="L11" s="5">
        <v>14.747181299999999</v>
      </c>
      <c r="M11" s="5">
        <v>71.250490981775371</v>
      </c>
      <c r="N11" s="5">
        <v>-0.54143604435229742</v>
      </c>
      <c r="O11" s="1" t="str">
        <f>HYPERLINK(".\sm_car_250420_1025\sm_car_250420_1025_010_Ca004TrN_MaLSS_ode23t.png","figure")</f>
        <v>figure</v>
      </c>
      <c r="P11" t="s">
        <v>15</v>
      </c>
    </row>
    <row r="12" spans="1:18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23</v>
      </c>
      <c r="K12">
        <v>1114</v>
      </c>
      <c r="L12" s="5">
        <v>14.682736800000001</v>
      </c>
      <c r="M12" s="5">
        <v>230.25430288662972</v>
      </c>
      <c r="N12" s="5">
        <v>-1.4213913488218795E-2</v>
      </c>
      <c r="O12" s="1" t="str">
        <f>HYPERLINK(".\sm_car_250420_1025\sm_car_250420_1025_011_Ca005TrN_MaWOT_ode23t.png","figure")</f>
        <v>figure</v>
      </c>
      <c r="P12" t="s">
        <v>15</v>
      </c>
    </row>
    <row r="13" spans="1:18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23</v>
      </c>
      <c r="K13">
        <v>1244</v>
      </c>
      <c r="L13" s="5">
        <v>16.800970299999999</v>
      </c>
      <c r="M13" s="5">
        <v>70.975394240063238</v>
      </c>
      <c r="N13" s="5">
        <v>-0.53801449076947838</v>
      </c>
      <c r="O13" s="1" t="str">
        <f>HYPERLINK(".\sm_car_250420_1025\sm_car_250420_1025_012_Ca005TrN_MaLSS_ode23t.png","figure")</f>
        <v>figure</v>
      </c>
      <c r="P13" t="s">
        <v>15</v>
      </c>
    </row>
    <row r="14" spans="1:18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23</v>
      </c>
      <c r="K14">
        <v>1224</v>
      </c>
      <c r="L14" s="5">
        <v>17.1176639</v>
      </c>
      <c r="M14" s="5">
        <v>230.39631211825088</v>
      </c>
      <c r="N14" s="5">
        <v>4.7920191299489871E-2</v>
      </c>
      <c r="O14" s="1" t="str">
        <f>HYPERLINK(".\sm_car_250420_1025\sm_car_250420_1025_013_Ca006TrN_MaWOT_ode23t.png","figure")</f>
        <v>figure</v>
      </c>
      <c r="P14" t="s">
        <v>15</v>
      </c>
    </row>
    <row r="15" spans="1:18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23</v>
      </c>
      <c r="K15">
        <v>1285</v>
      </c>
      <c r="L15" s="5">
        <v>16.333751199999998</v>
      </c>
      <c r="M15" s="5">
        <v>70.959822491815046</v>
      </c>
      <c r="N15" s="5">
        <v>-0.53286552068728754</v>
      </c>
      <c r="O15" s="1" t="str">
        <f>HYPERLINK(".\sm_car_250420_1025\sm_car_250420_1025_014_Ca006TrN_MaLSS_ode23t.png","figure")</f>
        <v>figure</v>
      </c>
      <c r="P15" t="s">
        <v>15</v>
      </c>
    </row>
    <row r="16" spans="1:18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23</v>
      </c>
      <c r="K16">
        <v>1217</v>
      </c>
      <c r="L16" s="5">
        <v>17.880766999999999</v>
      </c>
      <c r="M16" s="5">
        <v>229.9601140866873</v>
      </c>
      <c r="N16" s="5">
        <v>4.4701760130800468E-2</v>
      </c>
      <c r="O16" s="1" t="str">
        <f>HYPERLINK(".\sm_car_250420_1025\sm_car_250420_1025_015_Ca007TrN_MaWOT_ode23t.png","figure")</f>
        <v>figure</v>
      </c>
      <c r="P16" t="s">
        <v>15</v>
      </c>
    </row>
    <row r="17" spans="1:16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23</v>
      </c>
      <c r="K17">
        <v>1286</v>
      </c>
      <c r="L17" s="5">
        <v>17.0658089</v>
      </c>
      <c r="M17" s="5">
        <v>70.830178674790375</v>
      </c>
      <c r="N17" s="5">
        <v>-0.53018149799062131</v>
      </c>
      <c r="O17" s="1" t="str">
        <f>HYPERLINK(".\sm_car_250420_1025\sm_car_250420_1025_016_Ca007TrN_MaLSS_ode23t.png","figure")</f>
        <v>figure</v>
      </c>
      <c r="P17" t="s">
        <v>15</v>
      </c>
    </row>
    <row r="18" spans="1:16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>
        <v>402</v>
      </c>
      <c r="L18" s="5">
        <v>5.9398803999999998</v>
      </c>
      <c r="M18" s="5">
        <v>231.98689840208701</v>
      </c>
      <c r="N18" s="5">
        <v>-7.3136738923798905E-2</v>
      </c>
      <c r="O18" s="1" t="str">
        <f>HYPERLINK(".\sm_car_250420_1025\sm_car_250420_1025_017_Ca016TrN_MaWOT_ode23t.png","figure")</f>
        <v>figure</v>
      </c>
      <c r="P18" t="s">
        <v>15</v>
      </c>
    </row>
    <row r="19" spans="1:16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23</v>
      </c>
      <c r="K19">
        <v>483</v>
      </c>
      <c r="L19" s="5">
        <v>5.9656927</v>
      </c>
      <c r="M19" s="5">
        <v>71.51805983266874</v>
      </c>
      <c r="N19" s="5">
        <v>-2.1528515231318251E-2</v>
      </c>
      <c r="O19" s="1" t="str">
        <f>HYPERLINK(".\sm_car_250420_1025\sm_car_250420_1025_018_Ca016TrN_MaLSS_ode23t.png","figure")</f>
        <v>figure</v>
      </c>
      <c r="P19" t="s">
        <v>15</v>
      </c>
    </row>
    <row r="20" spans="1:16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>
        <v>406</v>
      </c>
      <c r="L20" s="5">
        <v>8.8414166000000005</v>
      </c>
      <c r="M20" s="5">
        <v>231.25326905813441</v>
      </c>
      <c r="N20" s="5">
        <v>8.3635084506851719E-3</v>
      </c>
      <c r="O20" s="1" t="str">
        <f>HYPERLINK(".\sm_car_250420_1025\sm_car_250420_1025_019_Ca032TrN_MaWOT_ode23t.png","figure")</f>
        <v>figure</v>
      </c>
      <c r="P20" t="s">
        <v>15</v>
      </c>
    </row>
    <row r="21" spans="1:16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23</v>
      </c>
      <c r="K21">
        <v>517</v>
      </c>
      <c r="L21" s="5">
        <v>8.8423671000000006</v>
      </c>
      <c r="M21" s="5">
        <v>71.247007153407992</v>
      </c>
      <c r="N21" s="5">
        <v>-0.52240584222172992</v>
      </c>
      <c r="O21" s="1" t="str">
        <f>HYPERLINK(".\sm_car_250420_1025\sm_car_250420_1025_020_Ca032TrN_MaLSS_ode23t.png","figure")</f>
        <v>figure</v>
      </c>
      <c r="P21" t="s">
        <v>15</v>
      </c>
    </row>
    <row r="22" spans="1:16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>
        <v>406</v>
      </c>
      <c r="L22" s="5">
        <v>8.5785371000000001</v>
      </c>
      <c r="M22" s="5">
        <v>231.30123841249895</v>
      </c>
      <c r="N22" s="5">
        <v>-1.7172197871371541E-2</v>
      </c>
      <c r="O22" s="1" t="str">
        <f>HYPERLINK(".\sm_car_250420_1025\sm_car_250420_1025_021_Ca048TrN_MaWOT_ode23t.png","figure")</f>
        <v>figure</v>
      </c>
      <c r="P22" t="s">
        <v>15</v>
      </c>
    </row>
    <row r="23" spans="1:16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23</v>
      </c>
      <c r="K23">
        <v>500</v>
      </c>
      <c r="L23" s="5">
        <v>8.7151109000000009</v>
      </c>
      <c r="M23" s="5">
        <v>71.243298165545454</v>
      </c>
      <c r="N23" s="5">
        <v>-0.5282741271754583</v>
      </c>
      <c r="O23" s="1" t="str">
        <f>HYPERLINK(".\sm_car_250420_1025\sm_car_250420_1025_022_Ca048TrN_MaLSS_ode23t.png","figure")</f>
        <v>figure</v>
      </c>
      <c r="P23" t="s">
        <v>15</v>
      </c>
    </row>
    <row r="24" spans="1:16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>
        <v>409</v>
      </c>
      <c r="L24" s="5">
        <v>9.0801098000000007</v>
      </c>
      <c r="M24" s="5">
        <v>231.38108764337665</v>
      </c>
      <c r="N24" s="5">
        <v>8.6452136268224816E-3</v>
      </c>
      <c r="O24" s="1" t="str">
        <f>HYPERLINK(".\sm_car_250420_1025\sm_car_250420_1025_023_Ca064TrN_MaWOT_ode23t.png","figure")</f>
        <v>figure</v>
      </c>
      <c r="P24" t="s">
        <v>15</v>
      </c>
    </row>
    <row r="25" spans="1:16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23</v>
      </c>
      <c r="K25">
        <v>522</v>
      </c>
      <c r="L25" s="5">
        <v>9.2376354999999997</v>
      </c>
      <c r="M25" s="5">
        <v>71.258017679323387</v>
      </c>
      <c r="N25" s="5">
        <v>-0.51722314335538788</v>
      </c>
      <c r="O25" s="1" t="str">
        <f>HYPERLINK(".\sm_car_250420_1025\sm_car_250420_1025_024_Ca064TrN_MaLSS_ode23t.png","figure")</f>
        <v>figure</v>
      </c>
      <c r="P25" t="s">
        <v>15</v>
      </c>
    </row>
    <row r="26" spans="1:16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>
        <v>403</v>
      </c>
      <c r="L26" s="5">
        <v>11.4420816</v>
      </c>
      <c r="M26" s="5">
        <v>231.23424901063359</v>
      </c>
      <c r="N26" s="5">
        <v>-1.6628099644420805E-2</v>
      </c>
      <c r="O26" s="1" t="str">
        <f>HYPERLINK(".\sm_car_250420_1025\sm_car_250420_1025_025_Ca080TrN_MaWOT_ode23t.png","figure")</f>
        <v>figure</v>
      </c>
      <c r="P26" t="s">
        <v>15</v>
      </c>
    </row>
    <row r="27" spans="1:16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23</v>
      </c>
      <c r="K27">
        <v>518</v>
      </c>
      <c r="L27" s="5">
        <v>9.8441875999999997</v>
      </c>
      <c r="M27" s="5">
        <v>71.243535079664767</v>
      </c>
      <c r="N27" s="5">
        <v>-0.5236901623688911</v>
      </c>
      <c r="O27" s="1" t="str">
        <f>HYPERLINK(".\sm_car_250420_1025\sm_car_250420_1025_026_Ca080TrN_MaLSS_ode23t.png","figure")</f>
        <v>figure</v>
      </c>
      <c r="P27" t="s">
        <v>15</v>
      </c>
    </row>
    <row r="28" spans="1:16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>
        <v>422</v>
      </c>
      <c r="L28" s="5">
        <v>7.8952606000000003</v>
      </c>
      <c r="M28" s="5">
        <v>233.03703241137862</v>
      </c>
      <c r="N28" s="5">
        <v>1.4824877654251532E-2</v>
      </c>
      <c r="O28" s="1" t="str">
        <f>HYPERLINK(".\sm_car_250420_1025\sm_car_250420_1025_027_Ca096TrN_MaWOT_ode23t.png","figure")</f>
        <v>figure</v>
      </c>
      <c r="P28" t="s">
        <v>15</v>
      </c>
    </row>
    <row r="29" spans="1:16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23</v>
      </c>
      <c r="K29">
        <v>512</v>
      </c>
      <c r="L29" s="5">
        <v>8.1432292000000004</v>
      </c>
      <c r="M29" s="5">
        <v>71.764828850197631</v>
      </c>
      <c r="N29" s="5">
        <v>-0.52648906794415851</v>
      </c>
      <c r="O29" s="1" t="str">
        <f>HYPERLINK(".\sm_car_250420_1025\sm_car_250420_1025_028_Ca096TrN_MaLSS_ode23t.png","figure")</f>
        <v>figure</v>
      </c>
      <c r="P29" t="s">
        <v>15</v>
      </c>
    </row>
    <row r="30" spans="1:16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>
        <v>371</v>
      </c>
      <c r="L30" s="5">
        <v>2.4862506999999998</v>
      </c>
      <c r="M30" s="5">
        <v>242.67152292699501</v>
      </c>
      <c r="N30" s="5">
        <v>0.2345591293344764</v>
      </c>
      <c r="O30" s="1" t="str">
        <f>HYPERLINK(".\sm_car_250420_1025\sm_car_250420_1025_029_Ca112TrN_MaWOT_ode23t.png","figure")</f>
        <v>figure</v>
      </c>
      <c r="P30" t="s">
        <v>15</v>
      </c>
    </row>
    <row r="31" spans="1:16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23</v>
      </c>
      <c r="K31">
        <v>480</v>
      </c>
      <c r="L31" s="5">
        <v>2.8039396999999999</v>
      </c>
      <c r="M31" s="5">
        <v>74.659633852677175</v>
      </c>
      <c r="N31" s="5">
        <v>-0.33798931083008427</v>
      </c>
      <c r="O31" s="1" t="str">
        <f>HYPERLINK(".\sm_car_250420_1025\sm_car_250420_1025_030_Ca112TrN_MaLSS_ode23t.png","figure")</f>
        <v>figure</v>
      </c>
      <c r="P31" t="s">
        <v>15</v>
      </c>
    </row>
    <row r="32" spans="1:16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23</v>
      </c>
      <c r="K32">
        <v>366</v>
      </c>
      <c r="L32" s="5">
        <v>3.0039007999999998</v>
      </c>
      <c r="M32" s="5">
        <v>241.49880149911601</v>
      </c>
      <c r="N32" s="5">
        <v>0.22933555890724622</v>
      </c>
      <c r="O32" s="1" t="str">
        <f>HYPERLINK(".\sm_car_250420_1025\sm_car_250420_1025_031_Ca113TrN_MaWOT_ode23t.png","figure")</f>
        <v>figure</v>
      </c>
      <c r="P32" t="s">
        <v>15</v>
      </c>
    </row>
    <row r="33" spans="1:16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23</v>
      </c>
      <c r="K33">
        <v>487</v>
      </c>
      <c r="L33" s="5">
        <v>3.4413893999999998</v>
      </c>
      <c r="M33" s="5">
        <v>74.346228062681817</v>
      </c>
      <c r="N33" s="5">
        <v>-0.33396938399784559</v>
      </c>
      <c r="O33" s="1" t="str">
        <f>HYPERLINK(".\sm_car_250420_1025\sm_car_250420_1025_032_Ca113TrN_MaLSS_ode23t.png","figure")</f>
        <v>figure</v>
      </c>
      <c r="P33" t="s">
        <v>15</v>
      </c>
    </row>
    <row r="34" spans="1:16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23</v>
      </c>
      <c r="K34">
        <v>382</v>
      </c>
      <c r="L34" s="5">
        <v>3.1716753999999998</v>
      </c>
      <c r="M34" s="5">
        <v>241.61378277209207</v>
      </c>
      <c r="N34" s="5">
        <v>0.23021245244501903</v>
      </c>
      <c r="O34" s="1" t="str">
        <f>HYPERLINK(".\sm_car_250420_1025\sm_car_250420_1025_033_Ca114TrN_MaWOT_ode23t.png","figure")</f>
        <v>figure</v>
      </c>
      <c r="P34" t="s">
        <v>15</v>
      </c>
    </row>
    <row r="35" spans="1:16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23</v>
      </c>
      <c r="K35">
        <v>482</v>
      </c>
      <c r="L35" s="5">
        <v>3.2676015</v>
      </c>
      <c r="M35" s="5">
        <v>74.351409358906011</v>
      </c>
      <c r="N35" s="5">
        <v>-0.33420060419010328</v>
      </c>
      <c r="O35" s="1" t="str">
        <f>HYPERLINK(".\sm_car_250420_1025\sm_car_250420_1025_034_Ca114TrN_MaLSS_ode23t.png","figure")</f>
        <v>figure</v>
      </c>
      <c r="P35" t="s">
        <v>15</v>
      </c>
    </row>
    <row r="36" spans="1:16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23</v>
      </c>
      <c r="K36">
        <v>394</v>
      </c>
      <c r="L36" s="5">
        <v>3.3309673000000002</v>
      </c>
      <c r="M36" s="5">
        <v>241.17294486789336</v>
      </c>
      <c r="N36" s="5">
        <v>0.22843004969485575</v>
      </c>
      <c r="O36" s="1" t="str">
        <f>HYPERLINK(".\sm_car_250420_1025\sm_car_250420_1025_035_Ca115TrN_MaWOT_ode23t.png","figure")</f>
        <v>figure</v>
      </c>
      <c r="P36" t="s">
        <v>15</v>
      </c>
    </row>
    <row r="37" spans="1:16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23</v>
      </c>
      <c r="K37">
        <v>505</v>
      </c>
      <c r="L37" s="5">
        <v>3.4852012000000001</v>
      </c>
      <c r="M37" s="5">
        <v>74.209226032839169</v>
      </c>
      <c r="N37" s="5">
        <v>-0.3316804496625117</v>
      </c>
      <c r="O37" s="1" t="str">
        <f>HYPERLINK(".\sm_car_250420_1025\sm_car_250420_1025_036_Ca115TrN_MaLSS_ode23t.png","figure")</f>
        <v>figure</v>
      </c>
      <c r="P37" t="s">
        <v>15</v>
      </c>
    </row>
    <row r="38" spans="1:16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23</v>
      </c>
      <c r="K38">
        <v>943</v>
      </c>
      <c r="L38" s="5">
        <v>4.6894350999999999</v>
      </c>
      <c r="M38" s="5">
        <v>242.63118630005806</v>
      </c>
      <c r="N38" s="5">
        <v>0.2327919371692862</v>
      </c>
      <c r="O38" s="1" t="str">
        <f>HYPERLINK(".\sm_car_250420_1025\sm_car_250420_1025_037_Ca116TrN_MaWOT_ode23t.png","figure")</f>
        <v>figure</v>
      </c>
      <c r="P38" t="s">
        <v>15</v>
      </c>
    </row>
    <row r="39" spans="1:16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23</v>
      </c>
      <c r="K39">
        <v>1060</v>
      </c>
      <c r="L39" s="5">
        <v>5.1699449</v>
      </c>
      <c r="M39" s="5">
        <v>74.660234080632137</v>
      </c>
      <c r="N39" s="5">
        <v>-0.34043153147504285</v>
      </c>
      <c r="O39" s="1" t="str">
        <f>HYPERLINK(".\sm_car_250420_1025\sm_car_250420_1025_038_Ca116TrN_MaLSS_ode23t.png","figure")</f>
        <v>figure</v>
      </c>
      <c r="P39" t="s">
        <v>15</v>
      </c>
    </row>
    <row r="40" spans="1:16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23</v>
      </c>
      <c r="K40">
        <v>951</v>
      </c>
      <c r="L40" s="5">
        <v>5.2379996000000002</v>
      </c>
      <c r="M40" s="5">
        <v>241.56097975248917</v>
      </c>
      <c r="N40" s="5">
        <v>0.22971380339965491</v>
      </c>
      <c r="O40" s="1" t="str">
        <f>HYPERLINK(".\sm_car_250420_1025\sm_car_250420_1025_039_Ca117TrN_MaWOT_ode23t.png","figure")</f>
        <v>figure</v>
      </c>
      <c r="P40" t="s">
        <v>15</v>
      </c>
    </row>
    <row r="41" spans="1:16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23</v>
      </c>
      <c r="K41">
        <v>1068</v>
      </c>
      <c r="L41" s="5">
        <v>5.4459840000000002</v>
      </c>
      <c r="M41" s="5">
        <v>74.350658147491714</v>
      </c>
      <c r="N41" s="5">
        <v>-0.33660139121906185</v>
      </c>
      <c r="O41" s="1" t="str">
        <f>HYPERLINK(".\sm_car_250420_1025\sm_car_250420_1025_040_Ca117TrN_MaLSS_ode23t.png","figure")</f>
        <v>figure</v>
      </c>
      <c r="P41" t="s">
        <v>15</v>
      </c>
    </row>
    <row r="42" spans="1:16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23</v>
      </c>
      <c r="K42">
        <v>941</v>
      </c>
      <c r="L42" s="5">
        <v>5.2542948000000003</v>
      </c>
      <c r="M42" s="5">
        <v>241.36830230630156</v>
      </c>
      <c r="N42" s="5">
        <v>0.23049915345602534</v>
      </c>
      <c r="O42" s="1" t="str">
        <f>HYPERLINK(".\sm_car_250420_1025\sm_car_250420_1025_041_Ca118TrN_MaWOT_ode23t.png","figure")</f>
        <v>figure</v>
      </c>
      <c r="P42" t="s">
        <v>15</v>
      </c>
    </row>
    <row r="43" spans="1:16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23</v>
      </c>
      <c r="K43">
        <v>1055</v>
      </c>
      <c r="L43" s="5">
        <v>6.0705092</v>
      </c>
      <c r="M43" s="5">
        <v>74.35119559538083</v>
      </c>
      <c r="N43" s="5">
        <v>-0.33387549857144455</v>
      </c>
      <c r="O43" s="1" t="str">
        <f>HYPERLINK(".\sm_car_250420_1025\sm_car_250420_1025_042_Ca118TrN_MaLSS_ode23t.png","figure")</f>
        <v>figure</v>
      </c>
      <c r="P43" t="s">
        <v>15</v>
      </c>
    </row>
    <row r="44" spans="1:16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23</v>
      </c>
      <c r="K44">
        <v>964</v>
      </c>
      <c r="L44" s="5">
        <v>5.3379367000000002</v>
      </c>
      <c r="M44" s="5">
        <v>241.11272735822928</v>
      </c>
      <c r="N44" s="5">
        <v>0.22980107093966623</v>
      </c>
      <c r="O44" s="1" t="str">
        <f>HYPERLINK(".\sm_car_250420_1025\sm_car_250420_1025_043_Ca119TrN_MaWOT_ode23t.png","figure")</f>
        <v>figure</v>
      </c>
      <c r="P44" t="s">
        <v>15</v>
      </c>
    </row>
    <row r="45" spans="1:16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23</v>
      </c>
      <c r="K45">
        <v>1081</v>
      </c>
      <c r="L45" s="5">
        <v>6.0173259999999997</v>
      </c>
      <c r="M45" s="5">
        <v>74.200880604598112</v>
      </c>
      <c r="N45" s="5">
        <v>-0.33242007804874413</v>
      </c>
      <c r="O45" s="1" t="str">
        <f>HYPERLINK(".\sm_car_250420_1025\sm_car_250420_1025_044_Ca119TrN_MaLSS_ode23t.png","figure")</f>
        <v>figure</v>
      </c>
      <c r="P45" t="s">
        <v>15</v>
      </c>
    </row>
    <row r="46" spans="1:16" x14ac:dyDescent="0.25">
      <c r="A46">
        <v>45</v>
      </c>
      <c r="B46">
        <v>128</v>
      </c>
      <c r="C46" t="s">
        <v>16</v>
      </c>
      <c r="D46" t="s">
        <v>17</v>
      </c>
      <c r="E46" t="s">
        <v>108</v>
      </c>
      <c r="F46" t="s">
        <v>19</v>
      </c>
      <c r="G46" t="s">
        <v>36</v>
      </c>
      <c r="H46" t="s">
        <v>21</v>
      </c>
      <c r="I46" t="s">
        <v>22</v>
      </c>
      <c r="J46" t="s">
        <v>23</v>
      </c>
      <c r="K46">
        <v>320</v>
      </c>
      <c r="L46" s="5">
        <v>6.0278277999999998</v>
      </c>
      <c r="M46" s="5">
        <v>99.789160110805469</v>
      </c>
      <c r="N46" s="5">
        <v>-1.8212040476163319E-2</v>
      </c>
      <c r="O46" s="1" t="str">
        <f>HYPERLINK(".\sm_car_250420_1025\sm_car_250420_1025_045_Ca128TrN_MaWOT_ode23t.png","figure")</f>
        <v>figure</v>
      </c>
      <c r="P46" t="s">
        <v>15</v>
      </c>
    </row>
    <row r="47" spans="1:16" x14ac:dyDescent="0.25">
      <c r="A47">
        <v>46</v>
      </c>
      <c r="B47">
        <v>128</v>
      </c>
      <c r="C47" t="s">
        <v>16</v>
      </c>
      <c r="D47" t="s">
        <v>17</v>
      </c>
      <c r="E47" t="s">
        <v>108</v>
      </c>
      <c r="F47" t="s">
        <v>19</v>
      </c>
      <c r="G47" t="s">
        <v>36</v>
      </c>
      <c r="H47" t="s">
        <v>21</v>
      </c>
      <c r="I47" t="s">
        <v>24</v>
      </c>
      <c r="J47" t="s">
        <v>23</v>
      </c>
      <c r="K47">
        <v>440</v>
      </c>
      <c r="L47" s="5">
        <v>7.2010883999999997</v>
      </c>
      <c r="M47" s="5">
        <v>36.975534441068582</v>
      </c>
      <c r="N47" s="5">
        <v>-0.13102676190440118</v>
      </c>
      <c r="O47" s="1" t="str">
        <f>HYPERLINK(".\sm_car_250420_1025\sm_car_250420_1025_046_Ca128TrN_MaLSS_ode23t.png","figure")</f>
        <v>figure</v>
      </c>
      <c r="P47" t="s">
        <v>15</v>
      </c>
    </row>
    <row r="48" spans="1:16" x14ac:dyDescent="0.25">
      <c r="A48">
        <v>47</v>
      </c>
      <c r="B48">
        <v>129</v>
      </c>
      <c r="C48" t="s">
        <v>16</v>
      </c>
      <c r="D48" t="s">
        <v>17</v>
      </c>
      <c r="E48" t="s">
        <v>108</v>
      </c>
      <c r="F48" t="s">
        <v>19</v>
      </c>
      <c r="G48" t="s">
        <v>37</v>
      </c>
      <c r="H48" t="s">
        <v>21</v>
      </c>
      <c r="I48" t="s">
        <v>22</v>
      </c>
      <c r="J48" t="s">
        <v>23</v>
      </c>
      <c r="K48">
        <v>337</v>
      </c>
      <c r="L48" s="5">
        <v>7.1934445</v>
      </c>
      <c r="M48" s="5">
        <v>229.34778020741618</v>
      </c>
      <c r="N48" s="5">
        <v>5.3873689768626908E-2</v>
      </c>
      <c r="O48" s="1" t="str">
        <f>HYPERLINK(".\sm_car_250420_1025\sm_car_250420_1025_047_Ca129TrN_MaWOT_ode23t.png","figure")</f>
        <v>figure</v>
      </c>
      <c r="P48" t="s">
        <v>15</v>
      </c>
    </row>
    <row r="49" spans="1:16" x14ac:dyDescent="0.25">
      <c r="A49">
        <v>48</v>
      </c>
      <c r="B49">
        <v>129</v>
      </c>
      <c r="C49" t="s">
        <v>16</v>
      </c>
      <c r="D49" t="s">
        <v>17</v>
      </c>
      <c r="E49" t="s">
        <v>108</v>
      </c>
      <c r="F49" t="s">
        <v>19</v>
      </c>
      <c r="G49" t="s">
        <v>37</v>
      </c>
      <c r="H49" t="s">
        <v>21</v>
      </c>
      <c r="I49" t="s">
        <v>24</v>
      </c>
      <c r="J49" t="s">
        <v>23</v>
      </c>
      <c r="K49">
        <v>474</v>
      </c>
      <c r="L49" s="5">
        <v>8.3474573000000003</v>
      </c>
      <c r="M49" s="5">
        <v>70.690274341930945</v>
      </c>
      <c r="N49" s="5">
        <v>-0.52665345813419995</v>
      </c>
      <c r="O49" s="1" t="str">
        <f>HYPERLINK(".\sm_car_250420_1025\sm_car_250420_1025_048_Ca129TrN_MaLSS_ode23t.png","figure")</f>
        <v>figure</v>
      </c>
      <c r="P49" t="s">
        <v>15</v>
      </c>
    </row>
    <row r="50" spans="1:16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23</v>
      </c>
      <c r="K50">
        <v>789</v>
      </c>
      <c r="L50" s="5">
        <v>22.9808831</v>
      </c>
      <c r="M50" s="5">
        <v>217.01723925603</v>
      </c>
      <c r="N50" s="5">
        <v>-1.5443566831291937</v>
      </c>
      <c r="O50" s="1" t="str">
        <f>HYPERLINK(".\sm_car_250420_1025\sm_car_250420_1025_049_Ca130TrN_MaWOT_ode23t.png","figure")</f>
        <v>figure</v>
      </c>
      <c r="P50" t="s">
        <v>15</v>
      </c>
    </row>
    <row r="51" spans="1:16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23</v>
      </c>
      <c r="K51">
        <v>770</v>
      </c>
      <c r="L51" s="5">
        <v>21.107030300000002</v>
      </c>
      <c r="M51" s="5">
        <v>68.779323938809824</v>
      </c>
      <c r="N51" s="5">
        <v>-0.5447820941435253</v>
      </c>
      <c r="O51" s="1" t="str">
        <f>HYPERLINK(".\sm_car_250420_1025\sm_car_250420_1025_050_Ca130TrN_MaLSS_ode23t.png","figure")</f>
        <v>figure</v>
      </c>
      <c r="P51" t="s">
        <v>15</v>
      </c>
    </row>
    <row r="52" spans="1:16" x14ac:dyDescent="0.25">
      <c r="A52">
        <v>51</v>
      </c>
      <c r="B52">
        <v>131</v>
      </c>
      <c r="C52" t="s">
        <v>16</v>
      </c>
      <c r="D52" t="s">
        <v>17</v>
      </c>
      <c r="E52" t="s">
        <v>108</v>
      </c>
      <c r="F52" t="s">
        <v>19</v>
      </c>
      <c r="G52" t="s">
        <v>39</v>
      </c>
      <c r="H52" t="s">
        <v>21</v>
      </c>
      <c r="I52" t="s">
        <v>22</v>
      </c>
      <c r="J52" t="s">
        <v>23</v>
      </c>
      <c r="K52">
        <v>348</v>
      </c>
      <c r="L52" s="5">
        <v>4.8480058000000001</v>
      </c>
      <c r="M52" s="5">
        <v>230.39463644465053</v>
      </c>
      <c r="N52" s="5">
        <v>-4.2623089888355399E-2</v>
      </c>
      <c r="O52" s="1" t="str">
        <f>HYPERLINK(".\sm_car_250420_1025\sm_car_250420_1025_051_Ca131TrN_MaWOT_ode23t.png","figure")</f>
        <v>figure</v>
      </c>
      <c r="P52" t="s">
        <v>15</v>
      </c>
    </row>
    <row r="53" spans="1:16" x14ac:dyDescent="0.25">
      <c r="A53">
        <v>52</v>
      </c>
      <c r="B53">
        <v>131</v>
      </c>
      <c r="C53" t="s">
        <v>16</v>
      </c>
      <c r="D53" t="s">
        <v>17</v>
      </c>
      <c r="E53" t="s">
        <v>108</v>
      </c>
      <c r="F53" t="s">
        <v>19</v>
      </c>
      <c r="G53" t="s">
        <v>39</v>
      </c>
      <c r="H53" t="s">
        <v>21</v>
      </c>
      <c r="I53" t="s">
        <v>24</v>
      </c>
      <c r="J53" t="s">
        <v>23</v>
      </c>
      <c r="K53">
        <v>490</v>
      </c>
      <c r="L53" s="5">
        <v>5.6115972999999997</v>
      </c>
      <c r="M53" s="5">
        <v>70.97090958290967</v>
      </c>
      <c r="N53" s="5">
        <v>-0.53853326245355337</v>
      </c>
      <c r="O53" s="1" t="str">
        <f>HYPERLINK(".\sm_car_250420_1025\sm_car_250420_1025_052_Ca131TrN_MaLSS_ode23t.png","figure")</f>
        <v>figure</v>
      </c>
      <c r="P53" t="s">
        <v>15</v>
      </c>
    </row>
    <row r="54" spans="1:16" x14ac:dyDescent="0.25">
      <c r="A54">
        <v>53</v>
      </c>
      <c r="B54">
        <v>132</v>
      </c>
      <c r="C54" t="s">
        <v>16</v>
      </c>
      <c r="D54" t="s">
        <v>17</v>
      </c>
      <c r="E54" t="s">
        <v>108</v>
      </c>
      <c r="F54" t="s">
        <v>19</v>
      </c>
      <c r="G54" t="s">
        <v>40</v>
      </c>
      <c r="H54" t="s">
        <v>21</v>
      </c>
      <c r="I54" t="s">
        <v>22</v>
      </c>
      <c r="J54" t="s">
        <v>23</v>
      </c>
      <c r="K54">
        <v>355</v>
      </c>
      <c r="L54" s="5">
        <v>4.9171996</v>
      </c>
      <c r="M54" s="5">
        <v>230.30661009161747</v>
      </c>
      <c r="N54" s="5">
        <v>-1.0913420637284694E-2</v>
      </c>
      <c r="O54" s="1" t="str">
        <f>HYPERLINK(".\sm_car_250420_1025\sm_car_250420_1025_053_Ca132TrN_MaWOT_ode23t.png","figure")</f>
        <v>figure</v>
      </c>
      <c r="P54" t="s">
        <v>15</v>
      </c>
    </row>
    <row r="55" spans="1:16" x14ac:dyDescent="0.25">
      <c r="A55">
        <v>54</v>
      </c>
      <c r="B55">
        <v>132</v>
      </c>
      <c r="C55" t="s">
        <v>16</v>
      </c>
      <c r="D55" t="s">
        <v>17</v>
      </c>
      <c r="E55" t="s">
        <v>108</v>
      </c>
      <c r="F55" t="s">
        <v>19</v>
      </c>
      <c r="G55" t="s">
        <v>40</v>
      </c>
      <c r="H55" t="s">
        <v>21</v>
      </c>
      <c r="I55" t="s">
        <v>24</v>
      </c>
      <c r="J55" t="s">
        <v>23</v>
      </c>
      <c r="K55">
        <v>504</v>
      </c>
      <c r="L55" s="5">
        <v>5.6493190999999996</v>
      </c>
      <c r="M55" s="5">
        <v>70.96314410630022</v>
      </c>
      <c r="N55" s="5">
        <v>-0.53452892631357551</v>
      </c>
      <c r="O55" s="1" t="str">
        <f>HYPERLINK(".\sm_car_250420_1025\sm_car_250420_1025_054_Ca132TrN_MaLSS_ode23t.png","figure")</f>
        <v>figure</v>
      </c>
      <c r="P55" t="s">
        <v>15</v>
      </c>
    </row>
    <row r="56" spans="1:16" x14ac:dyDescent="0.25">
      <c r="A56">
        <v>55</v>
      </c>
      <c r="B56">
        <v>133</v>
      </c>
      <c r="C56" t="s">
        <v>16</v>
      </c>
      <c r="D56" t="s">
        <v>17</v>
      </c>
      <c r="E56" t="s">
        <v>108</v>
      </c>
      <c r="F56" t="s">
        <v>19</v>
      </c>
      <c r="G56" t="s">
        <v>41</v>
      </c>
      <c r="H56" t="s">
        <v>21</v>
      </c>
      <c r="I56" t="s">
        <v>22</v>
      </c>
      <c r="J56" t="s">
        <v>23</v>
      </c>
      <c r="K56">
        <v>357</v>
      </c>
      <c r="L56" s="5">
        <v>4.7542944</v>
      </c>
      <c r="M56" s="5">
        <v>230.32252764086132</v>
      </c>
      <c r="N56" s="5">
        <v>-1.0615685118032578E-2</v>
      </c>
      <c r="O56" s="1" t="str">
        <f>HYPERLINK(".\sm_car_250420_1025\sm_car_250420_1025_055_Ca133TrN_MaWOT_ode23t.png","figure")</f>
        <v>figure</v>
      </c>
      <c r="P56" t="s">
        <v>15</v>
      </c>
    </row>
    <row r="57" spans="1:16" x14ac:dyDescent="0.25">
      <c r="A57">
        <v>56</v>
      </c>
      <c r="B57">
        <v>133</v>
      </c>
      <c r="C57" t="s">
        <v>16</v>
      </c>
      <c r="D57" t="s">
        <v>17</v>
      </c>
      <c r="E57" t="s">
        <v>108</v>
      </c>
      <c r="F57" t="s">
        <v>19</v>
      </c>
      <c r="G57" t="s">
        <v>41</v>
      </c>
      <c r="H57" t="s">
        <v>21</v>
      </c>
      <c r="I57" t="s">
        <v>24</v>
      </c>
      <c r="J57" t="s">
        <v>23</v>
      </c>
      <c r="K57">
        <v>492</v>
      </c>
      <c r="L57" s="5">
        <v>5.5319444999999998</v>
      </c>
      <c r="M57" s="5">
        <v>70.972557582129426</v>
      </c>
      <c r="N57" s="5">
        <v>-0.52851881543634627</v>
      </c>
      <c r="O57" s="1" t="str">
        <f>HYPERLINK(".\sm_car_250420_1025\sm_car_250420_1025_056_Ca133TrN_MaLSS_ode23t.png","figure")</f>
        <v>figure</v>
      </c>
      <c r="P57" t="s">
        <v>15</v>
      </c>
    </row>
    <row r="58" spans="1:16" x14ac:dyDescent="0.25">
      <c r="A58">
        <v>57</v>
      </c>
      <c r="B58">
        <v>134</v>
      </c>
      <c r="C58" t="s">
        <v>16</v>
      </c>
      <c r="D58" t="s">
        <v>17</v>
      </c>
      <c r="E58" t="s">
        <v>108</v>
      </c>
      <c r="F58" t="s">
        <v>19</v>
      </c>
      <c r="G58" t="s">
        <v>42</v>
      </c>
      <c r="H58" t="s">
        <v>21</v>
      </c>
      <c r="I58" t="s">
        <v>22</v>
      </c>
      <c r="J58" t="s">
        <v>23</v>
      </c>
      <c r="K58">
        <v>355</v>
      </c>
      <c r="L58" s="5">
        <v>4.7729239000000003</v>
      </c>
      <c r="M58" s="5">
        <v>230.30957093490588</v>
      </c>
      <c r="N58" s="5">
        <v>-1.1469688557195167E-2</v>
      </c>
      <c r="O58" s="1" t="str">
        <f>HYPERLINK(".\sm_car_250420_1025\sm_car_250420_1025_057_Ca134TrN_MaWOT_ode23t.png","figure")</f>
        <v>figure</v>
      </c>
      <c r="P58" t="s">
        <v>15</v>
      </c>
    </row>
    <row r="59" spans="1:16" x14ac:dyDescent="0.25">
      <c r="A59">
        <v>58</v>
      </c>
      <c r="B59">
        <v>134</v>
      </c>
      <c r="C59" t="s">
        <v>16</v>
      </c>
      <c r="D59" t="s">
        <v>17</v>
      </c>
      <c r="E59" t="s">
        <v>108</v>
      </c>
      <c r="F59" t="s">
        <v>19</v>
      </c>
      <c r="G59" t="s">
        <v>42</v>
      </c>
      <c r="H59" t="s">
        <v>21</v>
      </c>
      <c r="I59" t="s">
        <v>24</v>
      </c>
      <c r="J59" t="s">
        <v>23</v>
      </c>
      <c r="K59">
        <v>497</v>
      </c>
      <c r="L59" s="5">
        <v>5.6318279000000002</v>
      </c>
      <c r="M59" s="5">
        <v>70.977658083549983</v>
      </c>
      <c r="N59" s="5">
        <v>-0.53274736446204651</v>
      </c>
      <c r="O59" s="1" t="str">
        <f>HYPERLINK(".\sm_car_250420_1025\sm_car_250420_1025_058_Ca134TrN_MaLSS_ode23t.png","figure")</f>
        <v>figure</v>
      </c>
      <c r="P59" t="s">
        <v>15</v>
      </c>
    </row>
    <row r="60" spans="1:16" x14ac:dyDescent="0.25">
      <c r="A60">
        <v>59</v>
      </c>
      <c r="B60">
        <v>135</v>
      </c>
      <c r="C60" t="s">
        <v>16</v>
      </c>
      <c r="D60" t="s">
        <v>17</v>
      </c>
      <c r="E60" t="s">
        <v>108</v>
      </c>
      <c r="F60" t="s">
        <v>19</v>
      </c>
      <c r="G60" t="s">
        <v>43</v>
      </c>
      <c r="H60" t="s">
        <v>21</v>
      </c>
      <c r="I60" t="s">
        <v>22</v>
      </c>
      <c r="J60" t="s">
        <v>23</v>
      </c>
      <c r="K60">
        <v>338</v>
      </c>
      <c r="L60" s="5">
        <v>4.7418044000000004</v>
      </c>
      <c r="M60" s="5">
        <v>230.16904141237566</v>
      </c>
      <c r="N60" s="5">
        <v>-1.2301998916405569E-2</v>
      </c>
      <c r="O60" s="1" t="str">
        <f>HYPERLINK(".\sm_car_250420_1025\sm_car_250420_1025_059_Ca135TrN_MaWOT_ode23t.png","figure")</f>
        <v>figure</v>
      </c>
      <c r="P60" t="s">
        <v>15</v>
      </c>
    </row>
    <row r="61" spans="1:16" x14ac:dyDescent="0.25">
      <c r="A61">
        <v>60</v>
      </c>
      <c r="B61">
        <v>135</v>
      </c>
      <c r="C61" t="s">
        <v>16</v>
      </c>
      <c r="D61" t="s">
        <v>17</v>
      </c>
      <c r="E61" t="s">
        <v>108</v>
      </c>
      <c r="F61" t="s">
        <v>19</v>
      </c>
      <c r="G61" t="s">
        <v>43</v>
      </c>
      <c r="H61" t="s">
        <v>21</v>
      </c>
      <c r="I61" t="s">
        <v>24</v>
      </c>
      <c r="J61" t="s">
        <v>23</v>
      </c>
      <c r="K61">
        <v>487</v>
      </c>
      <c r="L61" s="5">
        <v>5.4692369999999997</v>
      </c>
      <c r="M61" s="5">
        <v>70.98224070799607</v>
      </c>
      <c r="N61" s="5">
        <v>-0.52437565435413447</v>
      </c>
      <c r="O61" s="1" t="str">
        <f>HYPERLINK(".\sm_car_250420_1025\sm_car_250420_1025_060_Ca135TrN_MaLSS_ode23t.png","figure")</f>
        <v>figure</v>
      </c>
      <c r="P61" t="s">
        <v>15</v>
      </c>
    </row>
    <row r="62" spans="1:16" x14ac:dyDescent="0.25">
      <c r="A62">
        <v>61</v>
      </c>
      <c r="B62">
        <v>136</v>
      </c>
      <c r="C62" t="s">
        <v>16</v>
      </c>
      <c r="D62" t="s">
        <v>17</v>
      </c>
      <c r="E62" t="s">
        <v>108</v>
      </c>
      <c r="F62" t="s">
        <v>19</v>
      </c>
      <c r="G62" t="s">
        <v>44</v>
      </c>
      <c r="H62" t="s">
        <v>21</v>
      </c>
      <c r="I62" t="s">
        <v>22</v>
      </c>
      <c r="J62" t="s">
        <v>23</v>
      </c>
      <c r="K62">
        <v>368</v>
      </c>
      <c r="L62" s="5">
        <v>5.4962736999999997</v>
      </c>
      <c r="M62" s="5">
        <v>230.40224434803559</v>
      </c>
      <c r="N62" s="5">
        <v>4.7815611311756587E-2</v>
      </c>
      <c r="O62" s="1" t="str">
        <f>HYPERLINK(".\sm_car_250420_1025\sm_car_250420_1025_061_Ca136TrN_MaWOT_ode23t.png","figure")</f>
        <v>figure</v>
      </c>
      <c r="P62" t="s">
        <v>15</v>
      </c>
    </row>
    <row r="63" spans="1:16" x14ac:dyDescent="0.25">
      <c r="A63">
        <v>62</v>
      </c>
      <c r="B63">
        <v>136</v>
      </c>
      <c r="C63" t="s">
        <v>16</v>
      </c>
      <c r="D63" t="s">
        <v>17</v>
      </c>
      <c r="E63" t="s">
        <v>108</v>
      </c>
      <c r="F63" t="s">
        <v>19</v>
      </c>
      <c r="G63" t="s">
        <v>44</v>
      </c>
      <c r="H63" t="s">
        <v>21</v>
      </c>
      <c r="I63" t="s">
        <v>24</v>
      </c>
      <c r="J63" t="s">
        <v>23</v>
      </c>
      <c r="K63">
        <v>490</v>
      </c>
      <c r="L63" s="5">
        <v>7.1145224999999996</v>
      </c>
      <c r="M63" s="5">
        <v>70.97892570085024</v>
      </c>
      <c r="N63" s="5">
        <v>-0.52399842079279224</v>
      </c>
      <c r="O63" s="1" t="str">
        <f>HYPERLINK(".\sm_car_250420_1025\sm_car_250420_1025_062_Ca136TrN_MaLSS_ode23t.png","figure")</f>
        <v>figure</v>
      </c>
      <c r="P63" t="s">
        <v>15</v>
      </c>
    </row>
    <row r="64" spans="1:16" x14ac:dyDescent="0.25">
      <c r="A64">
        <v>63</v>
      </c>
      <c r="B64">
        <v>137</v>
      </c>
      <c r="C64" t="s">
        <v>16</v>
      </c>
      <c r="D64" t="s">
        <v>17</v>
      </c>
      <c r="E64" t="s">
        <v>108</v>
      </c>
      <c r="F64" t="s">
        <v>19</v>
      </c>
      <c r="G64" t="s">
        <v>20</v>
      </c>
      <c r="H64" t="s">
        <v>21</v>
      </c>
      <c r="I64" t="s">
        <v>22</v>
      </c>
      <c r="J64" t="s">
        <v>23</v>
      </c>
      <c r="K64">
        <v>326</v>
      </c>
      <c r="L64" s="5">
        <v>4.1658613999999998</v>
      </c>
      <c r="M64" s="5">
        <v>231.11294037136085</v>
      </c>
      <c r="N64" s="5">
        <v>0.13940857758916703</v>
      </c>
      <c r="O64" s="1" t="str">
        <f>HYPERLINK(".\sm_car_250420_1025\sm_car_250420_1025_063_Ca137TrN_MaWOT_ode23t.png","figure")</f>
        <v>figure</v>
      </c>
      <c r="P64" t="s">
        <v>15</v>
      </c>
    </row>
    <row r="65" spans="1:16" x14ac:dyDescent="0.25">
      <c r="A65">
        <v>64</v>
      </c>
      <c r="B65">
        <v>137</v>
      </c>
      <c r="C65" t="s">
        <v>16</v>
      </c>
      <c r="D65" t="s">
        <v>17</v>
      </c>
      <c r="E65" t="s">
        <v>108</v>
      </c>
      <c r="F65" t="s">
        <v>19</v>
      </c>
      <c r="G65" t="s">
        <v>20</v>
      </c>
      <c r="H65" t="s">
        <v>21</v>
      </c>
      <c r="I65" t="s">
        <v>24</v>
      </c>
      <c r="J65" t="s">
        <v>23</v>
      </c>
      <c r="K65">
        <v>471</v>
      </c>
      <c r="L65" s="5">
        <v>4.4418331999999996</v>
      </c>
      <c r="M65" s="5">
        <v>71.241527592881056</v>
      </c>
      <c r="N65" s="5">
        <v>-0.51402981057498842</v>
      </c>
      <c r="O65" s="1" t="str">
        <f>HYPERLINK(".\sm_car_250420_1025\sm_car_250420_1025_064_Ca137TrN_MaLSS_ode23t.png","figure")</f>
        <v>figure</v>
      </c>
      <c r="P65" t="s">
        <v>15</v>
      </c>
    </row>
    <row r="66" spans="1:16" x14ac:dyDescent="0.25">
      <c r="A66">
        <v>65</v>
      </c>
      <c r="B66">
        <v>138</v>
      </c>
      <c r="C66" t="s">
        <v>16</v>
      </c>
      <c r="D66" t="s">
        <v>17</v>
      </c>
      <c r="E66" t="s">
        <v>108</v>
      </c>
      <c r="F66" t="s">
        <v>19</v>
      </c>
      <c r="G66" t="s">
        <v>20</v>
      </c>
      <c r="H66" t="s">
        <v>21</v>
      </c>
      <c r="I66" t="s">
        <v>22</v>
      </c>
      <c r="J66" t="s">
        <v>23</v>
      </c>
      <c r="K66">
        <v>333</v>
      </c>
      <c r="L66" s="5">
        <v>6.1982324000000002</v>
      </c>
      <c r="M66" s="5">
        <v>231.07775763903243</v>
      </c>
      <c r="N66" s="5">
        <v>0.14794822390931631</v>
      </c>
      <c r="O66" s="1" t="str">
        <f>HYPERLINK(".\sm_car_250420_1025\sm_car_250420_1025_065_Ca138TrN_MaWOT_ode23t.png","figure")</f>
        <v>figure</v>
      </c>
      <c r="P66" t="s">
        <v>15</v>
      </c>
    </row>
    <row r="67" spans="1:16" x14ac:dyDescent="0.25">
      <c r="A67">
        <v>66</v>
      </c>
      <c r="B67">
        <v>138</v>
      </c>
      <c r="C67" t="s">
        <v>16</v>
      </c>
      <c r="D67" t="s">
        <v>17</v>
      </c>
      <c r="E67" t="s">
        <v>108</v>
      </c>
      <c r="F67" t="s">
        <v>19</v>
      </c>
      <c r="G67" t="s">
        <v>20</v>
      </c>
      <c r="H67" t="s">
        <v>21</v>
      </c>
      <c r="I67" t="s">
        <v>24</v>
      </c>
      <c r="J67" t="s">
        <v>23</v>
      </c>
      <c r="K67">
        <v>488</v>
      </c>
      <c r="L67" s="5">
        <v>6.7841994999999997</v>
      </c>
      <c r="M67" s="5">
        <v>71.1290453474126</v>
      </c>
      <c r="N67" s="5">
        <v>-0.82592285000580246</v>
      </c>
      <c r="O67" s="1" t="str">
        <f>HYPERLINK(".\sm_car_250420_1025\sm_car_250420_1025_066_Ca138TrN_MaLSS_ode23t.png","figure")</f>
        <v>figure</v>
      </c>
      <c r="P67" t="s">
        <v>15</v>
      </c>
    </row>
    <row r="68" spans="1:16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23</v>
      </c>
      <c r="K68">
        <v>652</v>
      </c>
      <c r="L68" s="5">
        <v>26.013819699999999</v>
      </c>
      <c r="M68" s="5">
        <v>405.17673285531055</v>
      </c>
      <c r="N68" s="5">
        <v>1.703770974029847</v>
      </c>
      <c r="O68" s="1" t="str">
        <f>HYPERLINK(".\sm_car_250420_1025\sm_car_250420_1025_067_Ca139TrN_MaWOT_ode23t.png","figure")</f>
        <v>figure</v>
      </c>
      <c r="P68" t="s">
        <v>15</v>
      </c>
    </row>
    <row r="69" spans="1:16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23</v>
      </c>
      <c r="K69">
        <v>630</v>
      </c>
      <c r="L69" s="5">
        <v>16.450446899999999</v>
      </c>
      <c r="M69" s="5">
        <v>154.32893671386483</v>
      </c>
      <c r="N69" s="5">
        <v>-0.59193668233391317</v>
      </c>
      <c r="O69" s="1" t="str">
        <f>HYPERLINK(".\sm_car_250420_1025\sm_car_250420_1025_068_Ca139TrN_MaLSS_ode23t.png","figure")</f>
        <v>figure</v>
      </c>
      <c r="P69" t="s">
        <v>15</v>
      </c>
    </row>
    <row r="70" spans="1:16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23</v>
      </c>
      <c r="K70">
        <v>1968</v>
      </c>
      <c r="L70" s="5">
        <v>37.2128917</v>
      </c>
      <c r="M70" s="5">
        <v>405.33314811776114</v>
      </c>
      <c r="N70" s="5">
        <v>1.6311967345493767</v>
      </c>
      <c r="O70" s="1" t="str">
        <f>HYPERLINK(".\sm_car_250420_1025\sm_car_250420_1025_069_Ca141TrN_MaWOT_ode23t.png","figure")</f>
        <v>figure</v>
      </c>
      <c r="P70" t="s">
        <v>15</v>
      </c>
    </row>
    <row r="71" spans="1:16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23</v>
      </c>
      <c r="K71">
        <v>1888</v>
      </c>
      <c r="L71" s="5">
        <v>28.588864999999998</v>
      </c>
      <c r="M71" s="5">
        <v>154.41991106340353</v>
      </c>
      <c r="N71" s="5">
        <v>-0.58521860860142227</v>
      </c>
      <c r="O71" s="1" t="str">
        <f>HYPERLINK(".\sm_car_250420_1025\sm_car_250420_1025_070_Ca141TrN_MaLSS_ode23t.png","figure")</f>
        <v>figure</v>
      </c>
      <c r="P71" t="s">
        <v>15</v>
      </c>
    </row>
    <row r="72" spans="1:16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23</v>
      </c>
      <c r="K72">
        <v>369</v>
      </c>
      <c r="L72" s="5">
        <v>16.696894799999999</v>
      </c>
      <c r="M72" s="5">
        <v>95.827193832333506</v>
      </c>
      <c r="N72" s="5">
        <v>-3.1532286025069918E-2</v>
      </c>
      <c r="O72" s="1" t="str">
        <f>HYPERLINK(".\sm_car_250420_1025\sm_car_250420_1025_071_Ca143TrN_MaWOT_ode23t.png","figure")</f>
        <v>figure</v>
      </c>
      <c r="P72" t="s">
        <v>15</v>
      </c>
    </row>
    <row r="73" spans="1:16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23</v>
      </c>
      <c r="K73">
        <v>448</v>
      </c>
      <c r="L73" s="5">
        <v>16.9694568</v>
      </c>
      <c r="M73" s="5">
        <v>25.014095929733436</v>
      </c>
      <c r="N73" s="5">
        <v>-5.3007967416531736E-2</v>
      </c>
      <c r="O73" s="1" t="str">
        <f>HYPERLINK(".\sm_car_250420_1025\sm_car_250420_1025_072_Ca143TrN_MaLSS_ode23t.png","figure")</f>
        <v>figure</v>
      </c>
      <c r="P73" t="s">
        <v>15</v>
      </c>
    </row>
    <row r="74" spans="1:16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23</v>
      </c>
      <c r="K74">
        <v>369</v>
      </c>
      <c r="L74" s="5">
        <v>12.3440102</v>
      </c>
      <c r="M74" s="5">
        <v>114.02024840270542</v>
      </c>
      <c r="N74" s="5">
        <v>0.5270385382021554</v>
      </c>
      <c r="O74" s="1" t="str">
        <f>HYPERLINK(".\sm_car_250420_1025\sm_car_250420_1025_073_Ca144TrN_MaWOT_ode23t.png","figure")</f>
        <v>figure</v>
      </c>
      <c r="P74" t="s">
        <v>15</v>
      </c>
    </row>
    <row r="75" spans="1:16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23</v>
      </c>
      <c r="K75">
        <v>458</v>
      </c>
      <c r="L75" s="5">
        <v>12.1447272</v>
      </c>
      <c r="M75" s="5">
        <v>35.601026883516987</v>
      </c>
      <c r="N75" s="5">
        <v>-3.2124220862958748E-2</v>
      </c>
      <c r="O75" s="1" t="str">
        <f>HYPERLINK(".\sm_car_250420_1025\sm_car_250420_1025_074_Ca144TrN_MaLSS_ode23t.png","figure")</f>
        <v>figure</v>
      </c>
      <c r="P75" t="s">
        <v>15</v>
      </c>
    </row>
    <row r="76" spans="1:16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23</v>
      </c>
      <c r="K76">
        <v>2345</v>
      </c>
      <c r="L76" s="5">
        <v>25.814454000000001</v>
      </c>
      <c r="M76" s="5">
        <v>399.60678905619892</v>
      </c>
      <c r="N76" s="5">
        <v>-19.19894312844119</v>
      </c>
      <c r="O76" s="1" t="str">
        <f>HYPERLINK(".\sm_car_250420_1025\sm_car_250420_1025_075_Ca147TrN_MaWOT_ode23t.png","figure")</f>
        <v>figure</v>
      </c>
      <c r="P76" t="s">
        <v>15</v>
      </c>
    </row>
    <row r="77" spans="1:16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23</v>
      </c>
      <c r="K77">
        <v>1313</v>
      </c>
      <c r="L77" s="5">
        <v>18.1323413</v>
      </c>
      <c r="M77" s="5">
        <v>151.92097872851954</v>
      </c>
      <c r="N77" s="5">
        <v>-2.5071650934470058</v>
      </c>
      <c r="O77" s="1" t="str">
        <f>HYPERLINK(".\sm_car_250420_1025\sm_car_250420_1025_076_Ca147TrN_MaLSS_ode23t.png","figure")</f>
        <v>figure</v>
      </c>
      <c r="P77" t="s">
        <v>15</v>
      </c>
    </row>
    <row r="78" spans="1:16" x14ac:dyDescent="0.25">
      <c r="A78">
        <v>77</v>
      </c>
      <c r="B78">
        <v>215</v>
      </c>
      <c r="C78" t="s">
        <v>105</v>
      </c>
      <c r="D78" t="s">
        <v>122</v>
      </c>
      <c r="E78" t="s">
        <v>108</v>
      </c>
      <c r="F78" t="s">
        <v>123</v>
      </c>
      <c r="G78" t="s">
        <v>20</v>
      </c>
      <c r="H78" t="s">
        <v>21</v>
      </c>
      <c r="I78" t="s">
        <v>22</v>
      </c>
      <c r="J78" t="s">
        <v>23</v>
      </c>
      <c r="K78">
        <v>303</v>
      </c>
      <c r="L78" s="5">
        <v>8.5112576000000004</v>
      </c>
      <c r="M78" s="5">
        <v>229.67565344773718</v>
      </c>
      <c r="N78" s="5">
        <v>5.8690256882924464E-3</v>
      </c>
      <c r="O78" s="1" t="str">
        <f>HYPERLINK(".\sm_car_250420_1025\sm_car_250420_1025_077_Ca215TrN_MaWOT_ode23t.png","figure")</f>
        <v>figure</v>
      </c>
      <c r="P78" t="s">
        <v>15</v>
      </c>
    </row>
    <row r="79" spans="1:16" x14ac:dyDescent="0.25">
      <c r="A79">
        <v>78</v>
      </c>
      <c r="B79">
        <v>215</v>
      </c>
      <c r="C79" t="s">
        <v>105</v>
      </c>
      <c r="D79" t="s">
        <v>122</v>
      </c>
      <c r="E79" t="s">
        <v>108</v>
      </c>
      <c r="F79" t="s">
        <v>123</v>
      </c>
      <c r="G79" t="s">
        <v>20</v>
      </c>
      <c r="H79" t="s">
        <v>21</v>
      </c>
      <c r="I79" t="s">
        <v>24</v>
      </c>
      <c r="J79" t="s">
        <v>23</v>
      </c>
      <c r="K79">
        <v>483</v>
      </c>
      <c r="L79" s="5">
        <v>8.0892523000000001</v>
      </c>
      <c r="M79" s="5">
        <v>81.270612916016745</v>
      </c>
      <c r="N79" s="5">
        <v>-0.22180674092194</v>
      </c>
      <c r="O79" s="1" t="str">
        <f>HYPERLINK(".\sm_car_250420_1025\sm_car_250420_1025_078_Ca215TrN_MaLSS_ode23t.png","figure")</f>
        <v>figure</v>
      </c>
      <c r="P79" t="s">
        <v>15</v>
      </c>
    </row>
    <row r="80" spans="1:16" x14ac:dyDescent="0.25">
      <c r="A80">
        <v>79</v>
      </c>
      <c r="B80">
        <v>218</v>
      </c>
      <c r="C80" t="s">
        <v>16</v>
      </c>
      <c r="D80" t="s">
        <v>124</v>
      </c>
      <c r="E80" t="s">
        <v>108</v>
      </c>
      <c r="F80" t="s">
        <v>19</v>
      </c>
      <c r="G80" t="s">
        <v>26</v>
      </c>
      <c r="H80" t="s">
        <v>21</v>
      </c>
      <c r="I80" t="s">
        <v>22</v>
      </c>
      <c r="J80" t="s">
        <v>23</v>
      </c>
      <c r="K80">
        <v>371</v>
      </c>
      <c r="L80" s="5">
        <v>4.4634780000000003</v>
      </c>
      <c r="M80" s="5">
        <v>230.37363408972203</v>
      </c>
      <c r="N80" s="5">
        <v>0.168783222136868</v>
      </c>
      <c r="O80" s="1" t="str">
        <f>HYPERLINK(".\sm_car_250420_1025\sm_car_250420_1025_079_Ca218TrN_MaWOT_ode23t.png","figure")</f>
        <v>figure</v>
      </c>
      <c r="P80" t="s">
        <v>15</v>
      </c>
    </row>
    <row r="81" spans="1:16" x14ac:dyDescent="0.25">
      <c r="A81">
        <v>80</v>
      </c>
      <c r="B81">
        <v>218</v>
      </c>
      <c r="C81" t="s">
        <v>16</v>
      </c>
      <c r="D81" t="s">
        <v>124</v>
      </c>
      <c r="E81" t="s">
        <v>108</v>
      </c>
      <c r="F81" t="s">
        <v>19</v>
      </c>
      <c r="G81" t="s">
        <v>26</v>
      </c>
      <c r="H81" t="s">
        <v>21</v>
      </c>
      <c r="I81" t="s">
        <v>24</v>
      </c>
      <c r="J81" t="s">
        <v>23</v>
      </c>
      <c r="K81">
        <v>497</v>
      </c>
      <c r="L81" s="5">
        <v>4.7198403000000004</v>
      </c>
      <c r="M81" s="5">
        <v>70.958317342389037</v>
      </c>
      <c r="N81" s="5">
        <v>-0.53497827403169951</v>
      </c>
      <c r="O81" s="1" t="str">
        <f>HYPERLINK(".\sm_car_250420_1025\sm_car_250420_1025_080_Ca218TrN_MaLSS_ode23t.png","figure")</f>
        <v>figure</v>
      </c>
      <c r="P81" t="s">
        <v>15</v>
      </c>
    </row>
    <row r="82" spans="1:16" x14ac:dyDescent="0.25">
      <c r="A82">
        <v>81</v>
      </c>
      <c r="B82">
        <v>219</v>
      </c>
      <c r="C82" t="s">
        <v>16</v>
      </c>
      <c r="D82" t="s">
        <v>125</v>
      </c>
      <c r="E82" t="s">
        <v>108</v>
      </c>
      <c r="F82" t="s">
        <v>19</v>
      </c>
      <c r="G82" t="s">
        <v>26</v>
      </c>
      <c r="H82" t="s">
        <v>21</v>
      </c>
      <c r="I82" t="s">
        <v>22</v>
      </c>
      <c r="J82" t="s">
        <v>23</v>
      </c>
      <c r="K82">
        <v>398</v>
      </c>
      <c r="L82" s="5">
        <v>6.8404521999999996</v>
      </c>
      <c r="M82" s="5">
        <v>229.78684780406309</v>
      </c>
      <c r="N82" s="5">
        <v>0.17072779435473825</v>
      </c>
      <c r="O82" s="1" t="str">
        <f>HYPERLINK(".\sm_car_250420_1025\sm_car_250420_1025_081_Ca219TrN_MaWOT_ode23t.png","figure")</f>
        <v>figure</v>
      </c>
      <c r="P82" t="s">
        <v>15</v>
      </c>
    </row>
    <row r="83" spans="1:16" x14ac:dyDescent="0.25">
      <c r="A83">
        <v>82</v>
      </c>
      <c r="B83">
        <v>219</v>
      </c>
      <c r="C83" t="s">
        <v>16</v>
      </c>
      <c r="D83" t="s">
        <v>125</v>
      </c>
      <c r="E83" t="s">
        <v>108</v>
      </c>
      <c r="F83" t="s">
        <v>19</v>
      </c>
      <c r="G83" t="s">
        <v>26</v>
      </c>
      <c r="H83" t="s">
        <v>21</v>
      </c>
      <c r="I83" t="s">
        <v>24</v>
      </c>
      <c r="J83" t="s">
        <v>23</v>
      </c>
      <c r="K83">
        <v>515</v>
      </c>
      <c r="L83" s="5">
        <v>7.6808807000000003</v>
      </c>
      <c r="M83" s="5">
        <v>70.790510652578575</v>
      </c>
      <c r="N83" s="5">
        <v>-0.55780549535747836</v>
      </c>
      <c r="O83" s="1" t="str">
        <f>HYPERLINK(".\sm_car_250420_1025\sm_car_250420_1025_082_Ca219TrN_MaLSS_ode23t.png","figure")</f>
        <v>figure</v>
      </c>
      <c r="P83" t="s">
        <v>15</v>
      </c>
    </row>
    <row r="84" spans="1:16" x14ac:dyDescent="0.25">
      <c r="A84">
        <v>83</v>
      </c>
      <c r="B84">
        <v>220</v>
      </c>
      <c r="C84" t="s">
        <v>16</v>
      </c>
      <c r="D84" t="s">
        <v>125</v>
      </c>
      <c r="E84" t="s">
        <v>108</v>
      </c>
      <c r="F84" t="s">
        <v>126</v>
      </c>
      <c r="G84" t="s">
        <v>26</v>
      </c>
      <c r="H84" t="s">
        <v>21</v>
      </c>
      <c r="I84" t="s">
        <v>22</v>
      </c>
      <c r="J84" t="s">
        <v>23</v>
      </c>
      <c r="K84">
        <v>932</v>
      </c>
      <c r="L84" s="5">
        <v>31.843230500000001</v>
      </c>
      <c r="M84" s="5">
        <v>223.93206086961766</v>
      </c>
      <c r="N84" s="5">
        <v>-1.1975672021962402</v>
      </c>
      <c r="O84" s="1" t="str">
        <f>HYPERLINK(".\sm_car_250420_1025\sm_car_250420_1025_083_Ca220TrN_MaWOT_ode23t.png","figure")</f>
        <v>figure</v>
      </c>
      <c r="P84" t="s">
        <v>15</v>
      </c>
    </row>
    <row r="85" spans="1:16" x14ac:dyDescent="0.25">
      <c r="A85">
        <v>84</v>
      </c>
      <c r="B85">
        <v>220</v>
      </c>
      <c r="C85" t="s">
        <v>16</v>
      </c>
      <c r="D85" t="s">
        <v>125</v>
      </c>
      <c r="E85" t="s">
        <v>108</v>
      </c>
      <c r="F85" t="s">
        <v>126</v>
      </c>
      <c r="G85" t="s">
        <v>26</v>
      </c>
      <c r="H85" t="s">
        <v>21</v>
      </c>
      <c r="I85" t="s">
        <v>24</v>
      </c>
      <c r="J85" t="s">
        <v>23</v>
      </c>
      <c r="K85">
        <v>1102</v>
      </c>
      <c r="L85" s="5">
        <v>36.685040499999999</v>
      </c>
      <c r="M85" s="5">
        <v>69.478401785564415</v>
      </c>
      <c r="N85" s="5">
        <v>-1.5021860200288892</v>
      </c>
      <c r="O85" s="1" t="str">
        <f>HYPERLINK(".\sm_car_250420_1025\sm_car_250420_1025_084_Ca220TrN_MaLSS_ode23t.png","figure")</f>
        <v>figure</v>
      </c>
      <c r="P85" t="s">
        <v>15</v>
      </c>
    </row>
    <row r="86" spans="1:16" x14ac:dyDescent="0.25">
      <c r="A86">
        <v>85</v>
      </c>
      <c r="B86">
        <v>223</v>
      </c>
      <c r="C86" t="s">
        <v>105</v>
      </c>
      <c r="D86" t="s">
        <v>127</v>
      </c>
      <c r="E86" t="s">
        <v>108</v>
      </c>
      <c r="F86" t="s">
        <v>19</v>
      </c>
      <c r="G86" t="s">
        <v>20</v>
      </c>
      <c r="H86" t="s">
        <v>21</v>
      </c>
      <c r="I86" t="s">
        <v>22</v>
      </c>
      <c r="J86" t="s">
        <v>23</v>
      </c>
      <c r="K86">
        <v>462</v>
      </c>
      <c r="L86" s="5">
        <v>7.1676719000000002</v>
      </c>
      <c r="M86" s="5">
        <v>293.18839477948228</v>
      </c>
      <c r="N86" s="5">
        <v>4.1835822907406566E-5</v>
      </c>
      <c r="O86" s="1" t="str">
        <f>HYPERLINK(".\sm_car_250420_1025\sm_car_250420_1025_085_Ca223TrN_MaWOT_ode23t.png","figure")</f>
        <v>figure</v>
      </c>
      <c r="P86" t="s">
        <v>15</v>
      </c>
    </row>
    <row r="87" spans="1:16" x14ac:dyDescent="0.25">
      <c r="A87">
        <v>86</v>
      </c>
      <c r="B87">
        <v>223</v>
      </c>
      <c r="C87" t="s">
        <v>105</v>
      </c>
      <c r="D87" t="s">
        <v>127</v>
      </c>
      <c r="E87" t="s">
        <v>108</v>
      </c>
      <c r="F87" t="s">
        <v>19</v>
      </c>
      <c r="G87" t="s">
        <v>20</v>
      </c>
      <c r="H87" t="s">
        <v>21</v>
      </c>
      <c r="I87" t="s">
        <v>24</v>
      </c>
      <c r="J87" t="s">
        <v>23</v>
      </c>
      <c r="K87">
        <v>626</v>
      </c>
      <c r="L87" s="5">
        <v>6.8921187000000002</v>
      </c>
      <c r="M87" s="5">
        <v>103.53743312990515</v>
      </c>
      <c r="N87" s="5">
        <v>-0.15322174215791176</v>
      </c>
      <c r="O87" s="1" t="str">
        <f>HYPERLINK(".\sm_car_250420_1025\sm_car_250420_1025_086_Ca223TrN_MaLSS_ode23t.png","figure")</f>
        <v>figure</v>
      </c>
      <c r="P87" t="s">
        <v>15</v>
      </c>
    </row>
    <row r="88" spans="1:16" x14ac:dyDescent="0.25">
      <c r="A88">
        <v>87</v>
      </c>
      <c r="B88">
        <v>227</v>
      </c>
      <c r="C88" t="s">
        <v>45</v>
      </c>
      <c r="D88" t="s">
        <v>128</v>
      </c>
      <c r="E88" t="s">
        <v>108</v>
      </c>
      <c r="F88" t="s">
        <v>19</v>
      </c>
      <c r="G88" t="s">
        <v>26</v>
      </c>
      <c r="H88" t="s">
        <v>21</v>
      </c>
      <c r="I88" t="s">
        <v>22</v>
      </c>
      <c r="J88" t="s">
        <v>23</v>
      </c>
      <c r="K88">
        <v>638</v>
      </c>
      <c r="L88" s="5">
        <v>18.098130000000001</v>
      </c>
      <c r="M88" s="5">
        <v>409.19611922724994</v>
      </c>
      <c r="N88" s="5">
        <v>1.513882728938047</v>
      </c>
      <c r="O88" s="1" t="str">
        <f>HYPERLINK(".\sm_car_250420_1025\sm_car_250420_1025_087_Ca227TrN_MaWOT_ode23t.png","figure")</f>
        <v>figure</v>
      </c>
      <c r="P88" t="s">
        <v>15</v>
      </c>
    </row>
    <row r="89" spans="1:16" x14ac:dyDescent="0.25">
      <c r="A89">
        <v>88</v>
      </c>
      <c r="B89">
        <v>227</v>
      </c>
      <c r="C89" t="s">
        <v>45</v>
      </c>
      <c r="D89" t="s">
        <v>128</v>
      </c>
      <c r="E89" t="s">
        <v>108</v>
      </c>
      <c r="F89" t="s">
        <v>19</v>
      </c>
      <c r="G89" t="s">
        <v>26</v>
      </c>
      <c r="H89" t="s">
        <v>21</v>
      </c>
      <c r="I89" t="s">
        <v>24</v>
      </c>
      <c r="J89" t="s">
        <v>23</v>
      </c>
      <c r="K89">
        <v>637</v>
      </c>
      <c r="L89" s="5">
        <v>12.474448000000001</v>
      </c>
      <c r="M89" s="5">
        <v>156.25859955697643</v>
      </c>
      <c r="N89" s="5">
        <v>-0.38216513664958845</v>
      </c>
      <c r="O89" s="1" t="str">
        <f>HYPERLINK(".\sm_car_250420_1025\sm_car_250420_1025_088_Ca227TrN_MaLSS_ode23t.png","figure")</f>
        <v>figure</v>
      </c>
      <c r="P89" t="s">
        <v>15</v>
      </c>
    </row>
    <row r="90" spans="1:16" x14ac:dyDescent="0.25">
      <c r="A90">
        <v>89</v>
      </c>
      <c r="B90">
        <v>8</v>
      </c>
      <c r="C90" t="s">
        <v>16</v>
      </c>
      <c r="D90" t="s">
        <v>17</v>
      </c>
      <c r="E90" t="s">
        <v>49</v>
      </c>
      <c r="F90" t="s">
        <v>19</v>
      </c>
      <c r="G90" t="s">
        <v>20</v>
      </c>
      <c r="H90" t="s">
        <v>21</v>
      </c>
      <c r="I90" t="s">
        <v>22</v>
      </c>
      <c r="J90" t="s">
        <v>23</v>
      </c>
      <c r="K90">
        <v>385</v>
      </c>
      <c r="L90" s="5">
        <v>9.9932991999999992</v>
      </c>
      <c r="M90" s="5">
        <v>231.36014522580828</v>
      </c>
      <c r="N90" s="5">
        <v>-4.6585454407044461E-3</v>
      </c>
      <c r="O90" s="1" t="str">
        <f>HYPERLINK(".\sm_car_250420_1025\sm_car_250420_1025_089_Ca008TrN_MaWOT_ode23t_1.png","figure")</f>
        <v>figure</v>
      </c>
      <c r="P90" t="s">
        <v>15</v>
      </c>
    </row>
    <row r="91" spans="1:16" x14ac:dyDescent="0.25">
      <c r="A91">
        <v>90</v>
      </c>
      <c r="B91">
        <v>8</v>
      </c>
      <c r="C91" t="s">
        <v>16</v>
      </c>
      <c r="D91" t="s">
        <v>17</v>
      </c>
      <c r="E91" t="s">
        <v>49</v>
      </c>
      <c r="F91" t="s">
        <v>19</v>
      </c>
      <c r="G91" t="s">
        <v>20</v>
      </c>
      <c r="H91" t="s">
        <v>21</v>
      </c>
      <c r="I91" t="s">
        <v>24</v>
      </c>
      <c r="J91" t="s">
        <v>23</v>
      </c>
      <c r="K91">
        <v>554</v>
      </c>
      <c r="L91" s="5">
        <v>12.0991573</v>
      </c>
      <c r="M91" s="5">
        <v>71.257630312092289</v>
      </c>
      <c r="N91" s="5">
        <v>-0.53955683577826374</v>
      </c>
      <c r="O91" s="1" t="str">
        <f>HYPERLINK(".\sm_car_250420_1025\sm_car_250420_1025_090_Ca008TrN_MaLSS_ode23t_1.png","figure")</f>
        <v>figure</v>
      </c>
      <c r="P91" t="s">
        <v>15</v>
      </c>
    </row>
    <row r="92" spans="1:16" x14ac:dyDescent="0.25">
      <c r="A92">
        <v>91</v>
      </c>
      <c r="B92">
        <v>9</v>
      </c>
      <c r="C92" t="s">
        <v>16</v>
      </c>
      <c r="D92" t="s">
        <v>17</v>
      </c>
      <c r="E92" t="s">
        <v>49</v>
      </c>
      <c r="F92" t="s">
        <v>19</v>
      </c>
      <c r="G92" t="s">
        <v>25</v>
      </c>
      <c r="H92" t="s">
        <v>21</v>
      </c>
      <c r="I92" t="s">
        <v>22</v>
      </c>
      <c r="J92" t="s">
        <v>23</v>
      </c>
      <c r="K92">
        <v>388</v>
      </c>
      <c r="L92" s="5">
        <v>11.9807957</v>
      </c>
      <c r="M92" s="5">
        <v>230.30971061082559</v>
      </c>
      <c r="N92" s="5">
        <v>-1.2553232379660937E-2</v>
      </c>
      <c r="O92" s="1" t="str">
        <f>HYPERLINK(".\sm_car_250420_1025\sm_car_250420_1025_091_Ca009TrN_MaWOT_ode23t_1.png","figure")</f>
        <v>figure</v>
      </c>
      <c r="P92" t="s">
        <v>15</v>
      </c>
    </row>
    <row r="93" spans="1:16" x14ac:dyDescent="0.25">
      <c r="A93">
        <v>92</v>
      </c>
      <c r="B93">
        <v>9</v>
      </c>
      <c r="C93" t="s">
        <v>16</v>
      </c>
      <c r="D93" t="s">
        <v>17</v>
      </c>
      <c r="E93" t="s">
        <v>49</v>
      </c>
      <c r="F93" t="s">
        <v>19</v>
      </c>
      <c r="G93" t="s">
        <v>25</v>
      </c>
      <c r="H93" t="s">
        <v>21</v>
      </c>
      <c r="I93" t="s">
        <v>24</v>
      </c>
      <c r="J93" t="s">
        <v>23</v>
      </c>
      <c r="K93">
        <v>543</v>
      </c>
      <c r="L93" s="5">
        <v>14.1101361</v>
      </c>
      <c r="M93" s="5">
        <v>70.966084060230145</v>
      </c>
      <c r="N93" s="5">
        <v>-0.52885054501179662</v>
      </c>
      <c r="O93" s="1" t="str">
        <f>HYPERLINK(".\sm_car_250420_1025\sm_car_250420_1025_092_Ca009TrN_MaLSS_ode23t_1.png","figure")</f>
        <v>figure</v>
      </c>
      <c r="P93" t="s">
        <v>15</v>
      </c>
    </row>
    <row r="94" spans="1:16" x14ac:dyDescent="0.25">
      <c r="A94">
        <v>93</v>
      </c>
      <c r="B94">
        <v>10</v>
      </c>
      <c r="C94" t="s">
        <v>16</v>
      </c>
      <c r="D94" t="s">
        <v>17</v>
      </c>
      <c r="E94" t="s">
        <v>49</v>
      </c>
      <c r="F94" t="s">
        <v>19</v>
      </c>
      <c r="G94" t="s">
        <v>26</v>
      </c>
      <c r="H94" t="s">
        <v>21</v>
      </c>
      <c r="I94" t="s">
        <v>22</v>
      </c>
      <c r="J94" t="s">
        <v>23</v>
      </c>
      <c r="K94">
        <v>410</v>
      </c>
      <c r="L94" s="5">
        <v>12.948800500000001</v>
      </c>
      <c r="M94" s="5">
        <v>230.34504148695527</v>
      </c>
      <c r="N94" s="5">
        <v>5.4543273935265951E-2</v>
      </c>
      <c r="O94" s="1" t="str">
        <f>HYPERLINK(".\sm_car_250420_1025\sm_car_250420_1025_093_Ca010TrN_MaWOT_ode23t_1.png","figure")</f>
        <v>figure</v>
      </c>
      <c r="P94" t="s">
        <v>15</v>
      </c>
    </row>
    <row r="95" spans="1:16" x14ac:dyDescent="0.25">
      <c r="A95">
        <v>94</v>
      </c>
      <c r="B95">
        <v>10</v>
      </c>
      <c r="C95" t="s">
        <v>16</v>
      </c>
      <c r="D95" t="s">
        <v>17</v>
      </c>
      <c r="E95" t="s">
        <v>49</v>
      </c>
      <c r="F95" t="s">
        <v>19</v>
      </c>
      <c r="G95" t="s">
        <v>26</v>
      </c>
      <c r="H95" t="s">
        <v>21</v>
      </c>
      <c r="I95" t="s">
        <v>24</v>
      </c>
      <c r="J95" t="s">
        <v>23</v>
      </c>
      <c r="K95">
        <v>571</v>
      </c>
      <c r="L95" s="5">
        <v>16.1677733</v>
      </c>
      <c r="M95" s="5">
        <v>70.977226394761857</v>
      </c>
      <c r="N95" s="5">
        <v>-0.52962862632757857</v>
      </c>
      <c r="O95" s="1" t="str">
        <f>HYPERLINK(".\sm_car_250420_1025\sm_car_250420_1025_094_Ca010TrN_MaLSS_ode23t_1.png","figure")</f>
        <v>figure</v>
      </c>
      <c r="P95" t="s">
        <v>15</v>
      </c>
    </row>
    <row r="96" spans="1:16" x14ac:dyDescent="0.25">
      <c r="A96">
        <v>95</v>
      </c>
      <c r="B96">
        <v>11</v>
      </c>
      <c r="C96" t="s">
        <v>16</v>
      </c>
      <c r="D96" t="s">
        <v>17</v>
      </c>
      <c r="E96" t="s">
        <v>49</v>
      </c>
      <c r="F96" t="s">
        <v>19</v>
      </c>
      <c r="G96" t="s">
        <v>27</v>
      </c>
      <c r="H96" t="s">
        <v>21</v>
      </c>
      <c r="I96" t="s">
        <v>22</v>
      </c>
      <c r="J96" t="s">
        <v>23</v>
      </c>
      <c r="K96">
        <v>441</v>
      </c>
      <c r="L96" s="5">
        <v>14.604972999999999</v>
      </c>
      <c r="M96" s="5">
        <v>229.71892798574399</v>
      </c>
      <c r="N96" s="5">
        <v>5.2869593515399674E-2</v>
      </c>
      <c r="O96" s="1" t="str">
        <f>HYPERLINK(".\sm_car_250420_1025\sm_car_250420_1025_095_Ca011TrN_MaWOT_ode23t_1.png","figure")</f>
        <v>figure</v>
      </c>
      <c r="P96" t="s">
        <v>15</v>
      </c>
    </row>
    <row r="97" spans="1:16" x14ac:dyDescent="0.25">
      <c r="A97">
        <v>96</v>
      </c>
      <c r="B97">
        <v>11</v>
      </c>
      <c r="C97" t="s">
        <v>16</v>
      </c>
      <c r="D97" t="s">
        <v>17</v>
      </c>
      <c r="E97" t="s">
        <v>49</v>
      </c>
      <c r="F97" t="s">
        <v>19</v>
      </c>
      <c r="G97" t="s">
        <v>27</v>
      </c>
      <c r="H97" t="s">
        <v>21</v>
      </c>
      <c r="I97" t="s">
        <v>24</v>
      </c>
      <c r="J97" t="s">
        <v>23</v>
      </c>
      <c r="K97">
        <v>589</v>
      </c>
      <c r="L97" s="5">
        <v>17.062556300000001</v>
      </c>
      <c r="M97" s="5">
        <v>70.838788208294076</v>
      </c>
      <c r="N97" s="5">
        <v>-0.52019098657853113</v>
      </c>
      <c r="O97" s="1" t="str">
        <f>HYPERLINK(".\sm_car_250420_1025\sm_car_250420_1025_096_Ca011TrN_MaLSS_ode23t_1.png","figure")</f>
        <v>figure</v>
      </c>
      <c r="P97" t="s">
        <v>15</v>
      </c>
    </row>
    <row r="98" spans="1:16" x14ac:dyDescent="0.25">
      <c r="A98">
        <v>97</v>
      </c>
      <c r="B98">
        <v>12</v>
      </c>
      <c r="C98" t="s">
        <v>16</v>
      </c>
      <c r="D98" t="s">
        <v>17</v>
      </c>
      <c r="E98" t="s">
        <v>49</v>
      </c>
      <c r="F98" t="s">
        <v>28</v>
      </c>
      <c r="G98" t="s">
        <v>20</v>
      </c>
      <c r="H98" t="s">
        <v>21</v>
      </c>
      <c r="I98" t="s">
        <v>22</v>
      </c>
      <c r="J98" t="s">
        <v>23</v>
      </c>
      <c r="K98">
        <v>824</v>
      </c>
      <c r="L98" s="5">
        <v>10.3235791</v>
      </c>
      <c r="M98" s="5">
        <v>231.22240514178077</v>
      </c>
      <c r="N98" s="5">
        <v>-3.5716894704121995E-3</v>
      </c>
      <c r="O98" s="1" t="str">
        <f>HYPERLINK(".\sm_car_250420_1025\sm_car_250420_1025_097_Ca012TrN_MaWOT_ode23t_1.png","figure")</f>
        <v>figure</v>
      </c>
      <c r="P98" t="s">
        <v>15</v>
      </c>
    </row>
    <row r="99" spans="1:16" x14ac:dyDescent="0.25">
      <c r="A99">
        <v>98</v>
      </c>
      <c r="B99">
        <v>12</v>
      </c>
      <c r="C99" t="s">
        <v>16</v>
      </c>
      <c r="D99" t="s">
        <v>17</v>
      </c>
      <c r="E99" t="s">
        <v>49</v>
      </c>
      <c r="F99" t="s">
        <v>28</v>
      </c>
      <c r="G99" t="s">
        <v>20</v>
      </c>
      <c r="H99" t="s">
        <v>21</v>
      </c>
      <c r="I99" t="s">
        <v>24</v>
      </c>
      <c r="J99" t="s">
        <v>23</v>
      </c>
      <c r="K99">
        <v>993</v>
      </c>
      <c r="L99" s="5">
        <v>13.316139400000001</v>
      </c>
      <c r="M99" s="5">
        <v>71.26062741495241</v>
      </c>
      <c r="N99" s="5">
        <v>-0.54435600621597535</v>
      </c>
      <c r="O99" s="1" t="str">
        <f>HYPERLINK(".\sm_car_250420_1025\sm_car_250420_1025_098_Ca012TrN_MaLSS_ode23t_1.png","figure")</f>
        <v>figure</v>
      </c>
      <c r="P99" t="s">
        <v>15</v>
      </c>
    </row>
    <row r="100" spans="1:16" x14ac:dyDescent="0.25">
      <c r="A100">
        <v>99</v>
      </c>
      <c r="B100">
        <v>13</v>
      </c>
      <c r="C100" t="s">
        <v>16</v>
      </c>
      <c r="D100" t="s">
        <v>17</v>
      </c>
      <c r="E100" t="s">
        <v>49</v>
      </c>
      <c r="F100" t="s">
        <v>28</v>
      </c>
      <c r="G100" t="s">
        <v>25</v>
      </c>
      <c r="H100" t="s">
        <v>21</v>
      </c>
      <c r="I100" t="s">
        <v>22</v>
      </c>
      <c r="J100" t="s">
        <v>23</v>
      </c>
      <c r="K100">
        <v>866</v>
      </c>
      <c r="L100" s="5">
        <v>12.937618499999999</v>
      </c>
      <c r="M100" s="5">
        <v>230.36629005769404</v>
      </c>
      <c r="N100" s="5">
        <v>-1.2150457331580005E-2</v>
      </c>
      <c r="O100" s="1" t="str">
        <f>HYPERLINK(".\sm_car_250420_1025\sm_car_250420_1025_099_Ca013TrN_MaWOT_ode23t_1.png","figure")</f>
        <v>figure</v>
      </c>
      <c r="P100" t="s">
        <v>15</v>
      </c>
    </row>
    <row r="101" spans="1:16" x14ac:dyDescent="0.25">
      <c r="A101">
        <v>100</v>
      </c>
      <c r="B101">
        <v>13</v>
      </c>
      <c r="C101" t="s">
        <v>16</v>
      </c>
      <c r="D101" t="s">
        <v>17</v>
      </c>
      <c r="E101" t="s">
        <v>49</v>
      </c>
      <c r="F101" t="s">
        <v>28</v>
      </c>
      <c r="G101" t="s">
        <v>25</v>
      </c>
      <c r="H101" t="s">
        <v>21</v>
      </c>
      <c r="I101" t="s">
        <v>24</v>
      </c>
      <c r="J101" t="s">
        <v>23</v>
      </c>
      <c r="K101">
        <v>992</v>
      </c>
      <c r="L101" s="5">
        <v>14.4620848</v>
      </c>
      <c r="M101" s="5">
        <v>70.959905015401816</v>
      </c>
      <c r="N101" s="5">
        <v>-0.54030964035830409</v>
      </c>
      <c r="O101" s="1" t="str">
        <f>HYPERLINK(".\sm_car_250420_1025\sm_car_250420_1025_100_Ca013TrN_MaLSS_ode23t_1.png","figure")</f>
        <v>figure</v>
      </c>
      <c r="P101" t="s">
        <v>15</v>
      </c>
    </row>
    <row r="102" spans="1:16" x14ac:dyDescent="0.25">
      <c r="A102">
        <v>101</v>
      </c>
      <c r="B102">
        <v>14</v>
      </c>
      <c r="C102" t="s">
        <v>16</v>
      </c>
      <c r="D102" t="s">
        <v>17</v>
      </c>
      <c r="E102" t="s">
        <v>49</v>
      </c>
      <c r="F102" t="s">
        <v>28</v>
      </c>
      <c r="G102" t="s">
        <v>26</v>
      </c>
      <c r="H102" t="s">
        <v>21</v>
      </c>
      <c r="I102" t="s">
        <v>22</v>
      </c>
      <c r="J102" t="s">
        <v>23</v>
      </c>
      <c r="K102">
        <v>902</v>
      </c>
      <c r="L102" s="5">
        <v>12.5615925</v>
      </c>
      <c r="M102" s="5">
        <v>230.31255519749675</v>
      </c>
      <c r="N102" s="5">
        <v>5.3669622424782328E-2</v>
      </c>
      <c r="O102" s="1" t="str">
        <f>HYPERLINK(".\sm_car_250420_1025\sm_car_250420_1025_101_Ca014TrN_MaWOT_ode23t_1.png","figure")</f>
        <v>figure</v>
      </c>
      <c r="P102" t="s">
        <v>15</v>
      </c>
    </row>
    <row r="103" spans="1:16" x14ac:dyDescent="0.25">
      <c r="A103">
        <v>102</v>
      </c>
      <c r="B103">
        <v>14</v>
      </c>
      <c r="C103" t="s">
        <v>16</v>
      </c>
      <c r="D103" t="s">
        <v>17</v>
      </c>
      <c r="E103" t="s">
        <v>49</v>
      </c>
      <c r="F103" t="s">
        <v>28</v>
      </c>
      <c r="G103" t="s">
        <v>26</v>
      </c>
      <c r="H103" t="s">
        <v>21</v>
      </c>
      <c r="I103" t="s">
        <v>24</v>
      </c>
      <c r="J103" t="s">
        <v>23</v>
      </c>
      <c r="K103">
        <v>1012</v>
      </c>
      <c r="L103" s="5">
        <v>15.0453069</v>
      </c>
      <c r="M103" s="5">
        <v>70.969970248925961</v>
      </c>
      <c r="N103" s="5">
        <v>-0.53560184895308482</v>
      </c>
      <c r="O103" s="1" t="str">
        <f>HYPERLINK(".\sm_car_250420_1025\sm_car_250420_1025_102_Ca014TrN_MaLSS_ode23t_1.png","figure")</f>
        <v>figure</v>
      </c>
      <c r="P103" t="s">
        <v>15</v>
      </c>
    </row>
    <row r="104" spans="1:16" x14ac:dyDescent="0.25">
      <c r="A104">
        <v>103</v>
      </c>
      <c r="B104">
        <v>15</v>
      </c>
      <c r="C104" t="s">
        <v>16</v>
      </c>
      <c r="D104" t="s">
        <v>17</v>
      </c>
      <c r="E104" t="s">
        <v>49</v>
      </c>
      <c r="F104" t="s">
        <v>28</v>
      </c>
      <c r="G104" t="s">
        <v>27</v>
      </c>
      <c r="H104" t="s">
        <v>21</v>
      </c>
      <c r="I104" t="s">
        <v>22</v>
      </c>
      <c r="J104" t="s">
        <v>23</v>
      </c>
      <c r="K104">
        <v>895</v>
      </c>
      <c r="L104" s="5">
        <v>14.786304100000001</v>
      </c>
      <c r="M104" s="5">
        <v>229.75208219703748</v>
      </c>
      <c r="N104" s="5">
        <v>5.2300463329629385E-2</v>
      </c>
      <c r="O104" s="1" t="str">
        <f>HYPERLINK(".\sm_car_250420_1025\sm_car_250420_1025_103_Ca015TrN_MaWOT_ode23t_1.png","figure")</f>
        <v>figure</v>
      </c>
      <c r="P104" t="s">
        <v>15</v>
      </c>
    </row>
    <row r="105" spans="1:16" x14ac:dyDescent="0.25">
      <c r="A105">
        <v>104</v>
      </c>
      <c r="B105">
        <v>15</v>
      </c>
      <c r="C105" t="s">
        <v>16</v>
      </c>
      <c r="D105" t="s">
        <v>17</v>
      </c>
      <c r="E105" t="s">
        <v>49</v>
      </c>
      <c r="F105" t="s">
        <v>28</v>
      </c>
      <c r="G105" t="s">
        <v>27</v>
      </c>
      <c r="H105" t="s">
        <v>21</v>
      </c>
      <c r="I105" t="s">
        <v>24</v>
      </c>
      <c r="J105" t="s">
        <v>23</v>
      </c>
      <c r="K105">
        <v>1046</v>
      </c>
      <c r="L105" s="5">
        <v>17.538975300000001</v>
      </c>
      <c r="M105" s="5">
        <v>70.833827338134753</v>
      </c>
      <c r="N105" s="5">
        <v>-0.53019485491657925</v>
      </c>
      <c r="O105" s="1" t="str">
        <f>HYPERLINK(".\sm_car_250420_1025\sm_car_250420_1025_104_Ca015TrN_MaLSS_ode23t_1.png","figure")</f>
        <v>figure</v>
      </c>
      <c r="P105" t="s">
        <v>15</v>
      </c>
    </row>
    <row r="106" spans="1:16" x14ac:dyDescent="0.25">
      <c r="A106">
        <v>105</v>
      </c>
      <c r="B106">
        <v>120</v>
      </c>
      <c r="C106" t="s">
        <v>16</v>
      </c>
      <c r="D106" t="s">
        <v>35</v>
      </c>
      <c r="E106" t="s">
        <v>49</v>
      </c>
      <c r="F106" t="s">
        <v>19</v>
      </c>
      <c r="G106" t="s">
        <v>20</v>
      </c>
      <c r="H106" t="s">
        <v>21</v>
      </c>
      <c r="I106" t="s">
        <v>22</v>
      </c>
      <c r="J106" t="s">
        <v>23</v>
      </c>
      <c r="K106">
        <v>397</v>
      </c>
      <c r="L106" s="5">
        <v>3.271541</v>
      </c>
      <c r="M106" s="5">
        <v>242.58916330408013</v>
      </c>
      <c r="N106" s="5">
        <v>0.23206014586347745</v>
      </c>
      <c r="O106" s="1" t="str">
        <f>HYPERLINK(".\sm_car_250420_1025\sm_car_250420_1025_105_Ca120TrN_MaWOT_ode23t_1.png","figure")</f>
        <v>figure</v>
      </c>
      <c r="P106" t="s">
        <v>15</v>
      </c>
    </row>
    <row r="107" spans="1:16" x14ac:dyDescent="0.25">
      <c r="A107">
        <v>106</v>
      </c>
      <c r="B107">
        <v>120</v>
      </c>
      <c r="C107" t="s">
        <v>16</v>
      </c>
      <c r="D107" t="s">
        <v>35</v>
      </c>
      <c r="E107" t="s">
        <v>49</v>
      </c>
      <c r="F107" t="s">
        <v>19</v>
      </c>
      <c r="G107" t="s">
        <v>20</v>
      </c>
      <c r="H107" t="s">
        <v>21</v>
      </c>
      <c r="I107" t="s">
        <v>24</v>
      </c>
      <c r="J107" t="s">
        <v>23</v>
      </c>
      <c r="K107">
        <v>529</v>
      </c>
      <c r="L107" s="5">
        <v>3.6821261999999999</v>
      </c>
      <c r="M107" s="5">
        <v>74.667522578058751</v>
      </c>
      <c r="N107" s="5">
        <v>-0.33829686602551789</v>
      </c>
      <c r="O107" s="1" t="str">
        <f>HYPERLINK(".\sm_car_250420_1025\sm_car_250420_1025_106_Ca120TrN_MaLSS_ode23t_1.png","figure")</f>
        <v>figure</v>
      </c>
      <c r="P107" t="s">
        <v>15</v>
      </c>
    </row>
    <row r="108" spans="1:16" x14ac:dyDescent="0.25">
      <c r="A108">
        <v>107</v>
      </c>
      <c r="B108">
        <v>121</v>
      </c>
      <c r="C108" t="s">
        <v>16</v>
      </c>
      <c r="D108" t="s">
        <v>35</v>
      </c>
      <c r="E108" t="s">
        <v>49</v>
      </c>
      <c r="F108" t="s">
        <v>19</v>
      </c>
      <c r="G108" t="s">
        <v>25</v>
      </c>
      <c r="H108" t="s">
        <v>21</v>
      </c>
      <c r="I108" t="s">
        <v>22</v>
      </c>
      <c r="J108" t="s">
        <v>23</v>
      </c>
      <c r="K108">
        <v>387</v>
      </c>
      <c r="L108" s="5">
        <v>3.6757841999999998</v>
      </c>
      <c r="M108" s="5">
        <v>241.53722643581142</v>
      </c>
      <c r="N108" s="5">
        <v>0.22866020255073893</v>
      </c>
      <c r="O108" s="1" t="str">
        <f>HYPERLINK(".\sm_car_250420_1025\sm_car_250420_1025_107_Ca121TrN_MaWOT_ode23t_1.png","figure")</f>
        <v>figure</v>
      </c>
      <c r="P108" t="s">
        <v>15</v>
      </c>
    </row>
    <row r="109" spans="1:16" x14ac:dyDescent="0.25">
      <c r="A109">
        <v>108</v>
      </c>
      <c r="B109">
        <v>121</v>
      </c>
      <c r="C109" t="s">
        <v>16</v>
      </c>
      <c r="D109" t="s">
        <v>35</v>
      </c>
      <c r="E109" t="s">
        <v>49</v>
      </c>
      <c r="F109" t="s">
        <v>19</v>
      </c>
      <c r="G109" t="s">
        <v>25</v>
      </c>
      <c r="H109" t="s">
        <v>21</v>
      </c>
      <c r="I109" t="s">
        <v>24</v>
      </c>
      <c r="J109" t="s">
        <v>23</v>
      </c>
      <c r="K109">
        <v>532</v>
      </c>
      <c r="L109" s="5">
        <v>4.3611605000000004</v>
      </c>
      <c r="M109" s="5">
        <v>74.355769905943291</v>
      </c>
      <c r="N109" s="5">
        <v>-0.33469939118367853</v>
      </c>
      <c r="O109" s="1" t="str">
        <f>HYPERLINK(".\sm_car_250420_1025\sm_car_250420_1025_108_Ca121TrN_MaLSS_ode23t_1.png","figure")</f>
        <v>figure</v>
      </c>
      <c r="P109" t="s">
        <v>15</v>
      </c>
    </row>
    <row r="110" spans="1:16" x14ac:dyDescent="0.25">
      <c r="A110">
        <v>109</v>
      </c>
      <c r="B110">
        <v>122</v>
      </c>
      <c r="C110" t="s">
        <v>16</v>
      </c>
      <c r="D110" t="s">
        <v>35</v>
      </c>
      <c r="E110" t="s">
        <v>49</v>
      </c>
      <c r="F110" t="s">
        <v>19</v>
      </c>
      <c r="G110" t="s">
        <v>26</v>
      </c>
      <c r="H110" t="s">
        <v>21</v>
      </c>
      <c r="I110" t="s">
        <v>22</v>
      </c>
      <c r="J110" t="s">
        <v>23</v>
      </c>
      <c r="K110">
        <v>405</v>
      </c>
      <c r="L110" s="5">
        <v>4.1659223000000001</v>
      </c>
      <c r="M110" s="5">
        <v>241.76376885622159</v>
      </c>
      <c r="N110" s="5">
        <v>0.22876873955799948</v>
      </c>
      <c r="O110" s="1" t="str">
        <f>HYPERLINK(".\sm_car_250420_1025\sm_car_250420_1025_109_Ca122TrN_MaWOT_ode23t_1.png","figure")</f>
        <v>figure</v>
      </c>
      <c r="P110" t="s">
        <v>15</v>
      </c>
    </row>
    <row r="111" spans="1:16" x14ac:dyDescent="0.25">
      <c r="A111">
        <v>110</v>
      </c>
      <c r="B111">
        <v>122</v>
      </c>
      <c r="C111" t="s">
        <v>16</v>
      </c>
      <c r="D111" t="s">
        <v>35</v>
      </c>
      <c r="E111" t="s">
        <v>49</v>
      </c>
      <c r="F111" t="s">
        <v>19</v>
      </c>
      <c r="G111" t="s">
        <v>26</v>
      </c>
      <c r="H111" t="s">
        <v>21</v>
      </c>
      <c r="I111" t="s">
        <v>24</v>
      </c>
      <c r="J111" t="s">
        <v>23</v>
      </c>
      <c r="K111">
        <v>530</v>
      </c>
      <c r="L111" s="5">
        <v>4.6502125999999997</v>
      </c>
      <c r="M111" s="5">
        <v>74.378736888615563</v>
      </c>
      <c r="N111" s="5">
        <v>-0.33216359084440894</v>
      </c>
      <c r="O111" s="1" t="str">
        <f>HYPERLINK(".\sm_car_250420_1025\sm_car_250420_1025_110_Ca122TrN_MaLSS_ode23t_1.png","figure")</f>
        <v>figure</v>
      </c>
      <c r="P111" t="s">
        <v>15</v>
      </c>
    </row>
    <row r="112" spans="1:16" x14ac:dyDescent="0.25">
      <c r="A112">
        <v>111</v>
      </c>
      <c r="B112">
        <v>123</v>
      </c>
      <c r="C112" t="s">
        <v>16</v>
      </c>
      <c r="D112" t="s">
        <v>35</v>
      </c>
      <c r="E112" t="s">
        <v>49</v>
      </c>
      <c r="F112" t="s">
        <v>19</v>
      </c>
      <c r="G112" t="s">
        <v>27</v>
      </c>
      <c r="H112" t="s">
        <v>21</v>
      </c>
      <c r="I112" t="s">
        <v>22</v>
      </c>
      <c r="J112" t="s">
        <v>23</v>
      </c>
      <c r="K112">
        <v>431</v>
      </c>
      <c r="L112" s="5">
        <v>4.2638613000000003</v>
      </c>
      <c r="M112" s="5">
        <v>241.04405694458345</v>
      </c>
      <c r="N112" s="5">
        <v>0.22465404738422975</v>
      </c>
      <c r="O112" s="1" t="str">
        <f>HYPERLINK(".\sm_car_250420_1025\sm_car_250420_1025_111_Ca123TrN_MaWOT_ode23t_1.png","figure")</f>
        <v>figure</v>
      </c>
      <c r="P112" t="s">
        <v>15</v>
      </c>
    </row>
    <row r="113" spans="1:16" x14ac:dyDescent="0.25">
      <c r="A113">
        <v>112</v>
      </c>
      <c r="B113">
        <v>123</v>
      </c>
      <c r="C113" t="s">
        <v>16</v>
      </c>
      <c r="D113" t="s">
        <v>35</v>
      </c>
      <c r="E113" t="s">
        <v>49</v>
      </c>
      <c r="F113" t="s">
        <v>19</v>
      </c>
      <c r="G113" t="s">
        <v>27</v>
      </c>
      <c r="H113" t="s">
        <v>21</v>
      </c>
      <c r="I113" t="s">
        <v>24</v>
      </c>
      <c r="J113" t="s">
        <v>23</v>
      </c>
      <c r="K113">
        <v>534</v>
      </c>
      <c r="L113" s="5">
        <v>5.0336721000000004</v>
      </c>
      <c r="M113" s="5">
        <v>74.214808064949352</v>
      </c>
      <c r="N113" s="5">
        <v>-0.33051331142590662</v>
      </c>
      <c r="O113" s="1" t="str">
        <f>HYPERLINK(".\sm_car_250420_1025\sm_car_250420_1025_112_Ca123TrN_MaLSS_ode23t_1.png","figure")</f>
        <v>figure</v>
      </c>
      <c r="P113" t="s">
        <v>15</v>
      </c>
    </row>
    <row r="114" spans="1:16" x14ac:dyDescent="0.25">
      <c r="A114">
        <v>113</v>
      </c>
      <c r="B114">
        <v>124</v>
      </c>
      <c r="C114" t="s">
        <v>16</v>
      </c>
      <c r="D114" t="s">
        <v>35</v>
      </c>
      <c r="E114" t="s">
        <v>49</v>
      </c>
      <c r="F114" t="s">
        <v>28</v>
      </c>
      <c r="G114" t="s">
        <v>20</v>
      </c>
      <c r="H114" t="s">
        <v>21</v>
      </c>
      <c r="I114" t="s">
        <v>22</v>
      </c>
      <c r="J114" t="s">
        <v>23</v>
      </c>
      <c r="K114">
        <v>1016</v>
      </c>
      <c r="L114" s="5">
        <v>4.1366879000000001</v>
      </c>
      <c r="M114" s="5">
        <v>242.55761999146026</v>
      </c>
      <c r="N114" s="5">
        <v>0.23285190627792315</v>
      </c>
      <c r="O114" s="1" t="str">
        <f>HYPERLINK(".\sm_car_250420_1025\sm_car_250420_1025_113_Ca124TrN_MaWOT_ode23t_1.png","figure")</f>
        <v>figure</v>
      </c>
      <c r="P114" t="s">
        <v>15</v>
      </c>
    </row>
    <row r="115" spans="1:16" x14ac:dyDescent="0.25">
      <c r="A115">
        <v>114</v>
      </c>
      <c r="B115">
        <v>124</v>
      </c>
      <c r="C115" t="s">
        <v>16</v>
      </c>
      <c r="D115" t="s">
        <v>35</v>
      </c>
      <c r="E115" t="s">
        <v>49</v>
      </c>
      <c r="F115" t="s">
        <v>28</v>
      </c>
      <c r="G115" t="s">
        <v>20</v>
      </c>
      <c r="H115" t="s">
        <v>21</v>
      </c>
      <c r="I115" t="s">
        <v>24</v>
      </c>
      <c r="J115" t="s">
        <v>23</v>
      </c>
      <c r="K115">
        <v>1125</v>
      </c>
      <c r="L115" s="5">
        <v>4.8190321000000003</v>
      </c>
      <c r="M115" s="5">
        <v>74.660884556819781</v>
      </c>
      <c r="N115" s="5">
        <v>-0.3413585153688285</v>
      </c>
      <c r="O115" s="1" t="str">
        <f>HYPERLINK(".\sm_car_250420_1025\sm_car_250420_1025_114_Ca124TrN_MaLSS_ode23t_1.png","figure")</f>
        <v>figure</v>
      </c>
      <c r="P115" t="s">
        <v>15</v>
      </c>
    </row>
    <row r="116" spans="1:16" x14ac:dyDescent="0.25">
      <c r="A116">
        <v>115</v>
      </c>
      <c r="B116">
        <v>125</v>
      </c>
      <c r="C116" t="s">
        <v>16</v>
      </c>
      <c r="D116" t="s">
        <v>35</v>
      </c>
      <c r="E116" t="s">
        <v>49</v>
      </c>
      <c r="F116" t="s">
        <v>28</v>
      </c>
      <c r="G116" t="s">
        <v>25</v>
      </c>
      <c r="H116" t="s">
        <v>21</v>
      </c>
      <c r="I116" t="s">
        <v>22</v>
      </c>
      <c r="J116" t="s">
        <v>23</v>
      </c>
      <c r="K116">
        <v>1027</v>
      </c>
      <c r="L116" s="5">
        <v>5.0679755999999996</v>
      </c>
      <c r="M116" s="5">
        <v>241.53786644176284</v>
      </c>
      <c r="N116" s="5">
        <v>0.22947290276390778</v>
      </c>
      <c r="O116" s="1" t="str">
        <f>HYPERLINK(".\sm_car_250420_1025\sm_car_250420_1025_115_Ca125TrN_MaWOT_ode23t_1.png","figure")</f>
        <v>figure</v>
      </c>
      <c r="P116" t="s">
        <v>15</v>
      </c>
    </row>
    <row r="117" spans="1:16" x14ac:dyDescent="0.25">
      <c r="A117">
        <v>116</v>
      </c>
      <c r="B117">
        <v>125</v>
      </c>
      <c r="C117" t="s">
        <v>16</v>
      </c>
      <c r="D117" t="s">
        <v>35</v>
      </c>
      <c r="E117" t="s">
        <v>49</v>
      </c>
      <c r="F117" t="s">
        <v>28</v>
      </c>
      <c r="G117" t="s">
        <v>25</v>
      </c>
      <c r="H117" t="s">
        <v>21</v>
      </c>
      <c r="I117" t="s">
        <v>24</v>
      </c>
      <c r="J117" t="s">
        <v>23</v>
      </c>
      <c r="K117">
        <v>1141</v>
      </c>
      <c r="L117" s="5">
        <v>5.5213590000000003</v>
      </c>
      <c r="M117" s="5">
        <v>74.343355082946488</v>
      </c>
      <c r="N117" s="5">
        <v>-0.33694502066485432</v>
      </c>
      <c r="O117" s="1" t="str">
        <f>HYPERLINK(".\sm_car_250420_1025\sm_car_250420_1025_116_Ca125TrN_MaLSS_ode23t_1.png","figure")</f>
        <v>figure</v>
      </c>
      <c r="P117" t="s">
        <v>15</v>
      </c>
    </row>
    <row r="118" spans="1:16" x14ac:dyDescent="0.25">
      <c r="A118">
        <v>117</v>
      </c>
      <c r="B118">
        <v>126</v>
      </c>
      <c r="C118" t="s">
        <v>16</v>
      </c>
      <c r="D118" t="s">
        <v>35</v>
      </c>
      <c r="E118" t="s">
        <v>49</v>
      </c>
      <c r="F118" t="s">
        <v>28</v>
      </c>
      <c r="G118" t="s">
        <v>26</v>
      </c>
      <c r="H118" t="s">
        <v>21</v>
      </c>
      <c r="I118" t="s">
        <v>22</v>
      </c>
      <c r="J118" t="s">
        <v>23</v>
      </c>
      <c r="K118">
        <v>1018</v>
      </c>
      <c r="L118" s="5">
        <v>5.0931562000000001</v>
      </c>
      <c r="M118" s="5">
        <v>241.64204533132889</v>
      </c>
      <c r="N118" s="5">
        <v>0.22965892686082337</v>
      </c>
      <c r="O118" s="1" t="str">
        <f>HYPERLINK(".\sm_car_250420_1025\sm_car_250420_1025_117_Ca126TrN_MaWOT_ode23t_1.png","figure")</f>
        <v>figure</v>
      </c>
      <c r="P118" t="s">
        <v>15</v>
      </c>
    </row>
    <row r="119" spans="1:16" x14ac:dyDescent="0.25">
      <c r="A119">
        <v>118</v>
      </c>
      <c r="B119">
        <v>126</v>
      </c>
      <c r="C119" t="s">
        <v>16</v>
      </c>
      <c r="D119" t="s">
        <v>35</v>
      </c>
      <c r="E119" t="s">
        <v>49</v>
      </c>
      <c r="F119" t="s">
        <v>28</v>
      </c>
      <c r="G119" t="s">
        <v>26</v>
      </c>
      <c r="H119" t="s">
        <v>21</v>
      </c>
      <c r="I119" t="s">
        <v>24</v>
      </c>
      <c r="J119" t="s">
        <v>23</v>
      </c>
      <c r="K119">
        <v>1151</v>
      </c>
      <c r="L119" s="5">
        <v>5.9570901000000003</v>
      </c>
      <c r="M119" s="5">
        <v>74.347326671342458</v>
      </c>
      <c r="N119" s="5">
        <v>-0.33732578239034305</v>
      </c>
      <c r="O119" s="1" t="str">
        <f>HYPERLINK(".\sm_car_250420_1025\sm_car_250420_1025_118_Ca126TrN_MaLSS_ode23t_1.png","figure")</f>
        <v>figure</v>
      </c>
      <c r="P119" t="s">
        <v>15</v>
      </c>
    </row>
    <row r="120" spans="1:16" x14ac:dyDescent="0.25">
      <c r="A120">
        <v>119</v>
      </c>
      <c r="B120">
        <v>127</v>
      </c>
      <c r="C120" t="s">
        <v>16</v>
      </c>
      <c r="D120" t="s">
        <v>35</v>
      </c>
      <c r="E120" t="s">
        <v>49</v>
      </c>
      <c r="F120" t="s">
        <v>28</v>
      </c>
      <c r="G120" t="s">
        <v>27</v>
      </c>
      <c r="H120" t="s">
        <v>21</v>
      </c>
      <c r="I120" t="s">
        <v>22</v>
      </c>
      <c r="J120" t="s">
        <v>23</v>
      </c>
      <c r="K120">
        <v>1035</v>
      </c>
      <c r="L120" s="5">
        <v>5.3847018000000002</v>
      </c>
      <c r="M120" s="5">
        <v>240.98541858051379</v>
      </c>
      <c r="N120" s="5">
        <v>0.22848460953038752</v>
      </c>
      <c r="O120" s="1" t="str">
        <f>HYPERLINK(".\sm_car_250420_1025\sm_car_250420_1025_119_Ca127TrN_MaWOT_ode23t_1.png","figure")</f>
        <v>figure</v>
      </c>
      <c r="P120" t="s">
        <v>15</v>
      </c>
    </row>
    <row r="121" spans="1:16" x14ac:dyDescent="0.25">
      <c r="A121">
        <v>120</v>
      </c>
      <c r="B121">
        <v>127</v>
      </c>
      <c r="C121" t="s">
        <v>16</v>
      </c>
      <c r="D121" t="s">
        <v>35</v>
      </c>
      <c r="E121" t="s">
        <v>49</v>
      </c>
      <c r="F121" t="s">
        <v>28</v>
      </c>
      <c r="G121" t="s">
        <v>27</v>
      </c>
      <c r="H121" t="s">
        <v>21</v>
      </c>
      <c r="I121" t="s">
        <v>24</v>
      </c>
      <c r="J121" t="s">
        <v>23</v>
      </c>
      <c r="K121">
        <v>1180</v>
      </c>
      <c r="L121" s="5">
        <v>6.4388037000000002</v>
      </c>
      <c r="M121" s="5">
        <v>74.198264424383652</v>
      </c>
      <c r="N121" s="5">
        <v>-0.33249740088861457</v>
      </c>
      <c r="O121" s="1" t="str">
        <f>HYPERLINK(".\sm_car_250420_1025\sm_car_250420_1025_120_Ca127TrN_MaLSS_ode23t_1.png","figure")</f>
        <v>figure</v>
      </c>
      <c r="P121" t="s">
        <v>15</v>
      </c>
    </row>
    <row r="122" spans="1:16" x14ac:dyDescent="0.25">
      <c r="A122">
        <v>121</v>
      </c>
      <c r="B122">
        <v>140</v>
      </c>
      <c r="C122" t="s">
        <v>45</v>
      </c>
      <c r="D122" t="s">
        <v>17</v>
      </c>
      <c r="E122" t="s">
        <v>49</v>
      </c>
      <c r="F122" t="s">
        <v>19</v>
      </c>
      <c r="G122" t="s">
        <v>26</v>
      </c>
      <c r="H122" t="s">
        <v>21</v>
      </c>
      <c r="I122" t="s">
        <v>22</v>
      </c>
      <c r="J122" t="s">
        <v>23</v>
      </c>
      <c r="K122">
        <v>652</v>
      </c>
      <c r="L122" s="5">
        <v>35.183473300000003</v>
      </c>
      <c r="M122" s="5">
        <v>404.98207691027557</v>
      </c>
      <c r="N122" s="5">
        <v>1.57423282629372</v>
      </c>
      <c r="O122" s="1" t="str">
        <f>HYPERLINK(".\sm_car_250420_1025\sm_car_250420_1025_121_Ca140TrN_MaWOT_ode23t_1.png","figure")</f>
        <v>figure</v>
      </c>
      <c r="P122" t="s">
        <v>15</v>
      </c>
    </row>
    <row r="123" spans="1:16" x14ac:dyDescent="0.25">
      <c r="A123">
        <v>122</v>
      </c>
      <c r="B123">
        <v>140</v>
      </c>
      <c r="C123" t="s">
        <v>45</v>
      </c>
      <c r="D123" t="s">
        <v>17</v>
      </c>
      <c r="E123" t="s">
        <v>49</v>
      </c>
      <c r="F123" t="s">
        <v>19</v>
      </c>
      <c r="G123" t="s">
        <v>26</v>
      </c>
      <c r="H123" t="s">
        <v>21</v>
      </c>
      <c r="I123" t="s">
        <v>24</v>
      </c>
      <c r="J123" t="s">
        <v>23</v>
      </c>
      <c r="K123">
        <v>666</v>
      </c>
      <c r="L123" s="5">
        <v>24.6272749</v>
      </c>
      <c r="M123" s="5">
        <v>154.34110918614161</v>
      </c>
      <c r="N123" s="5">
        <v>-0.58524601941825416</v>
      </c>
      <c r="O123" s="1" t="str">
        <f>HYPERLINK(".\sm_car_250420_1025\sm_car_250420_1025_122_Ca140TrN_MaLSS_ode23t_1.png","figure")</f>
        <v>figure</v>
      </c>
      <c r="P123" t="s">
        <v>15</v>
      </c>
    </row>
    <row r="124" spans="1:16" x14ac:dyDescent="0.25">
      <c r="A124">
        <v>123</v>
      </c>
      <c r="B124">
        <v>142</v>
      </c>
      <c r="C124" t="s">
        <v>45</v>
      </c>
      <c r="D124" t="s">
        <v>17</v>
      </c>
      <c r="E124" t="s">
        <v>49</v>
      </c>
      <c r="F124" t="s">
        <v>28</v>
      </c>
      <c r="G124" t="s">
        <v>26</v>
      </c>
      <c r="H124" t="s">
        <v>21</v>
      </c>
      <c r="I124" t="s">
        <v>22</v>
      </c>
      <c r="J124" t="s">
        <v>23</v>
      </c>
      <c r="K124">
        <v>1209</v>
      </c>
      <c r="L124" s="5">
        <v>32.785372500000001</v>
      </c>
      <c r="M124" s="5">
        <v>405.36896979615597</v>
      </c>
      <c r="N124" s="5">
        <v>1.9490757593719401</v>
      </c>
      <c r="O124" s="1" t="str">
        <f>HYPERLINK(".\sm_car_250420_1025\sm_car_250420_1025_123_Ca142TrN_MaWOT_ode23t_1.png","figure")</f>
        <v>figure</v>
      </c>
      <c r="P124" t="s">
        <v>15</v>
      </c>
    </row>
    <row r="125" spans="1:16" x14ac:dyDescent="0.25">
      <c r="A125">
        <v>124</v>
      </c>
      <c r="B125">
        <v>142</v>
      </c>
      <c r="C125" t="s">
        <v>45</v>
      </c>
      <c r="D125" t="s">
        <v>17</v>
      </c>
      <c r="E125" t="s">
        <v>49</v>
      </c>
      <c r="F125" t="s">
        <v>28</v>
      </c>
      <c r="G125" t="s">
        <v>26</v>
      </c>
      <c r="H125" t="s">
        <v>21</v>
      </c>
      <c r="I125" t="s">
        <v>24</v>
      </c>
      <c r="J125" t="s">
        <v>23</v>
      </c>
      <c r="K125">
        <v>1219</v>
      </c>
      <c r="L125" s="5">
        <v>23.0947286</v>
      </c>
      <c r="M125" s="5">
        <v>154.47920551965132</v>
      </c>
      <c r="N125" s="5">
        <v>-0.59534360393797747</v>
      </c>
      <c r="O125" s="1" t="str">
        <f>HYPERLINK(".\sm_car_250420_1025\sm_car_250420_1025_124_Ca142TrN_MaLSS_ode23t_1.png","figure")</f>
        <v>figure</v>
      </c>
      <c r="P125" t="s">
        <v>15</v>
      </c>
    </row>
    <row r="126" spans="1:16" x14ac:dyDescent="0.25">
      <c r="A126">
        <v>125</v>
      </c>
      <c r="B126">
        <v>145</v>
      </c>
      <c r="C126" t="s">
        <v>46</v>
      </c>
      <c r="D126" t="s">
        <v>17</v>
      </c>
      <c r="E126" t="s">
        <v>50</v>
      </c>
      <c r="F126" t="s">
        <v>19</v>
      </c>
      <c r="G126" t="s">
        <v>26</v>
      </c>
      <c r="H126" t="s">
        <v>21</v>
      </c>
      <c r="I126" t="s">
        <v>22</v>
      </c>
      <c r="J126" t="s">
        <v>23</v>
      </c>
      <c r="K126">
        <v>346</v>
      </c>
      <c r="L126" s="5">
        <v>14.601972399999999</v>
      </c>
      <c r="M126" s="5">
        <v>95.812798672143927</v>
      </c>
      <c r="N126" s="5">
        <v>-3.2975556347949249E-2</v>
      </c>
      <c r="O126" s="1" t="str">
        <f>HYPERLINK(".\sm_car_250420_1025\sm_car_250420_1025_125_Ca145TrN_MaWOT_ode23t_1.png","figure")</f>
        <v>figure</v>
      </c>
      <c r="P126" t="s">
        <v>15</v>
      </c>
    </row>
    <row r="127" spans="1:16" x14ac:dyDescent="0.25">
      <c r="A127">
        <v>126</v>
      </c>
      <c r="B127">
        <v>145</v>
      </c>
      <c r="C127" t="s">
        <v>46</v>
      </c>
      <c r="D127" t="s">
        <v>17</v>
      </c>
      <c r="E127" t="s">
        <v>50</v>
      </c>
      <c r="F127" t="s">
        <v>19</v>
      </c>
      <c r="G127" t="s">
        <v>26</v>
      </c>
      <c r="H127" t="s">
        <v>21</v>
      </c>
      <c r="I127" t="s">
        <v>24</v>
      </c>
      <c r="J127" t="s">
        <v>23</v>
      </c>
      <c r="K127">
        <v>443</v>
      </c>
      <c r="L127" s="5">
        <v>16.864424100000001</v>
      </c>
      <c r="M127" s="5">
        <v>25.008517165107769</v>
      </c>
      <c r="N127" s="5">
        <v>-4.9940089661139414E-2</v>
      </c>
      <c r="O127" s="1" t="str">
        <f>HYPERLINK(".\sm_car_250420_1025\sm_car_250420_1025_126_Ca145TrN_MaLSS_ode23t_1.png","figure")</f>
        <v>figure</v>
      </c>
      <c r="P127" t="s">
        <v>15</v>
      </c>
    </row>
    <row r="128" spans="1:16" x14ac:dyDescent="0.25">
      <c r="A128">
        <v>127</v>
      </c>
      <c r="B128">
        <v>146</v>
      </c>
      <c r="C128" t="s">
        <v>46</v>
      </c>
      <c r="D128" t="s">
        <v>17</v>
      </c>
      <c r="E128" t="s">
        <v>49</v>
      </c>
      <c r="F128" t="s">
        <v>19</v>
      </c>
      <c r="G128" t="s">
        <v>26</v>
      </c>
      <c r="H128" t="s">
        <v>21</v>
      </c>
      <c r="I128" t="s">
        <v>22</v>
      </c>
      <c r="J128" t="s">
        <v>23</v>
      </c>
      <c r="K128">
        <v>339</v>
      </c>
      <c r="L128" s="5">
        <v>10.015766599999999</v>
      </c>
      <c r="M128" s="5">
        <v>113.95430148365037</v>
      </c>
      <c r="N128" s="5">
        <v>0.53156095853241825</v>
      </c>
      <c r="O128" s="1" t="str">
        <f>HYPERLINK(".\sm_car_250420_1025\sm_car_250420_1025_127_Ca146TrN_MaWOT_ode23t_1.png","figure")</f>
        <v>figure</v>
      </c>
      <c r="P128" t="s">
        <v>15</v>
      </c>
    </row>
    <row r="129" spans="1:16" x14ac:dyDescent="0.25">
      <c r="A129">
        <v>128</v>
      </c>
      <c r="B129">
        <v>146</v>
      </c>
      <c r="C129" t="s">
        <v>46</v>
      </c>
      <c r="D129" t="s">
        <v>17</v>
      </c>
      <c r="E129" t="s">
        <v>49</v>
      </c>
      <c r="F129" t="s">
        <v>19</v>
      </c>
      <c r="G129" t="s">
        <v>26</v>
      </c>
      <c r="H129" t="s">
        <v>21</v>
      </c>
      <c r="I129" t="s">
        <v>24</v>
      </c>
      <c r="J129" t="s">
        <v>23</v>
      </c>
      <c r="K129">
        <v>456</v>
      </c>
      <c r="L129" s="5">
        <v>11.794169500000001</v>
      </c>
      <c r="M129" s="5">
        <v>35.602382594812767</v>
      </c>
      <c r="N129" s="5">
        <v>-2.8854162026860378E-2</v>
      </c>
      <c r="O129" s="1" t="str">
        <f>HYPERLINK(".\sm_car_250420_1025\sm_car_250420_1025_128_Ca146TrN_MaLSS_ode23t_1.png","figure")</f>
        <v>figure</v>
      </c>
      <c r="P129" t="s">
        <v>15</v>
      </c>
    </row>
    <row r="130" spans="1:16" x14ac:dyDescent="0.25">
      <c r="A130">
        <v>129</v>
      </c>
      <c r="B130">
        <v>146</v>
      </c>
      <c r="C130" t="s">
        <v>46</v>
      </c>
      <c r="D130" t="s">
        <v>17</v>
      </c>
      <c r="E130" t="s">
        <v>49</v>
      </c>
      <c r="F130" t="s">
        <v>19</v>
      </c>
      <c r="G130" t="s">
        <v>26</v>
      </c>
      <c r="H130" t="s">
        <v>21</v>
      </c>
      <c r="I130" t="s">
        <v>22</v>
      </c>
      <c r="J130" t="s">
        <v>23</v>
      </c>
      <c r="K130">
        <v>339</v>
      </c>
      <c r="L130" s="5">
        <v>10.0584767</v>
      </c>
      <c r="M130" s="5">
        <v>113.95430148365037</v>
      </c>
      <c r="N130" s="5">
        <v>0.53156095853241825</v>
      </c>
      <c r="O130" s="1" t="str">
        <f>HYPERLINK(".\sm_car_250420_1025\sm_car_250420_1025_129_Ca146TrN_MaWOT_ode23t_1.png","figure")</f>
        <v>figure</v>
      </c>
      <c r="P130" t="s">
        <v>15</v>
      </c>
    </row>
    <row r="131" spans="1:16" x14ac:dyDescent="0.25">
      <c r="A131">
        <v>130</v>
      </c>
      <c r="B131">
        <v>146</v>
      </c>
      <c r="C131" t="s">
        <v>46</v>
      </c>
      <c r="D131" t="s">
        <v>17</v>
      </c>
      <c r="E131" t="s">
        <v>49</v>
      </c>
      <c r="F131" t="s">
        <v>19</v>
      </c>
      <c r="G131" t="s">
        <v>26</v>
      </c>
      <c r="H131" t="s">
        <v>21</v>
      </c>
      <c r="I131" t="s">
        <v>24</v>
      </c>
      <c r="J131" t="s">
        <v>23</v>
      </c>
      <c r="K131">
        <v>456</v>
      </c>
      <c r="L131" s="5">
        <v>11.770617400000001</v>
      </c>
      <c r="M131" s="5">
        <v>35.602382594812767</v>
      </c>
      <c r="N131" s="5">
        <v>-2.8854162026860378E-2</v>
      </c>
      <c r="O131" s="1" t="str">
        <f>HYPERLINK(".\sm_car_250420_1025\sm_car_250420_1025_130_Ca146TrN_MaLSS_ode23t_1.png","figure")</f>
        <v>figure</v>
      </c>
      <c r="P131" t="s">
        <v>15</v>
      </c>
    </row>
    <row r="132" spans="1:16" x14ac:dyDescent="0.25">
      <c r="A132">
        <v>131</v>
      </c>
      <c r="B132">
        <v>161</v>
      </c>
      <c r="C132" t="s">
        <v>45</v>
      </c>
      <c r="D132" t="s">
        <v>51</v>
      </c>
      <c r="E132" t="s">
        <v>49</v>
      </c>
      <c r="F132" t="s">
        <v>19</v>
      </c>
      <c r="G132" t="s">
        <v>26</v>
      </c>
      <c r="H132" t="s">
        <v>21</v>
      </c>
      <c r="I132" t="s">
        <v>22</v>
      </c>
      <c r="J132" t="s">
        <v>23</v>
      </c>
      <c r="K132">
        <v>568</v>
      </c>
      <c r="L132" s="5">
        <v>28.248932199999999</v>
      </c>
      <c r="M132" s="5">
        <v>179.78394723820637</v>
      </c>
      <c r="N132" s="5">
        <v>0.31888637353734073</v>
      </c>
      <c r="O132" s="1" t="str">
        <f>HYPERLINK(".\sm_car_250420_1025\sm_car_250420_1025_131_Ca161TrN_MaWOT_ode23t_1.png","figure")</f>
        <v>figure</v>
      </c>
      <c r="P132" t="s">
        <v>15</v>
      </c>
    </row>
    <row r="133" spans="1:16" x14ac:dyDescent="0.25">
      <c r="A133">
        <v>132</v>
      </c>
      <c r="B133">
        <v>161</v>
      </c>
      <c r="C133" t="s">
        <v>45</v>
      </c>
      <c r="D133" t="s">
        <v>51</v>
      </c>
      <c r="E133" t="s">
        <v>49</v>
      </c>
      <c r="F133" t="s">
        <v>19</v>
      </c>
      <c r="G133" t="s">
        <v>26</v>
      </c>
      <c r="H133" t="s">
        <v>21</v>
      </c>
      <c r="I133" t="s">
        <v>24</v>
      </c>
      <c r="J133" t="s">
        <v>23</v>
      </c>
      <c r="K133">
        <v>687</v>
      </c>
      <c r="L133" s="5">
        <v>30.194472999999999</v>
      </c>
      <c r="M133" s="5">
        <v>154.15916341223837</v>
      </c>
      <c r="N133" s="5">
        <v>-0.58786417711485173</v>
      </c>
      <c r="O133" s="1" t="str">
        <f>HYPERLINK(".\sm_car_250420_1025\sm_car_250420_1025_132_Ca161TrN_MaLSS_ode23t_1.png","figure")</f>
        <v>figure</v>
      </c>
      <c r="P133" t="s">
        <v>15</v>
      </c>
    </row>
    <row r="134" spans="1:16" x14ac:dyDescent="0.25">
      <c r="A134">
        <v>133</v>
      </c>
      <c r="B134">
        <v>163</v>
      </c>
      <c r="C134" t="s">
        <v>45</v>
      </c>
      <c r="D134" t="s">
        <v>52</v>
      </c>
      <c r="E134" t="s">
        <v>49</v>
      </c>
      <c r="F134" t="s">
        <v>19</v>
      </c>
      <c r="G134" t="s">
        <v>26</v>
      </c>
      <c r="H134" t="s">
        <v>21</v>
      </c>
      <c r="I134" t="s">
        <v>22</v>
      </c>
      <c r="J134" t="s">
        <v>23</v>
      </c>
      <c r="K134">
        <v>636</v>
      </c>
      <c r="L134" s="5">
        <v>31.273174999999998</v>
      </c>
      <c r="M134" s="5">
        <v>277.44767046671632</v>
      </c>
      <c r="N134" s="5">
        <v>0.67382779520534175</v>
      </c>
      <c r="O134" s="1" t="str">
        <f>HYPERLINK(".\sm_car_250420_1025\sm_car_250420_1025_133_Ca163TrN_MaWOT_ode23t_1.png","figure")</f>
        <v>figure</v>
      </c>
      <c r="P134" t="s">
        <v>15</v>
      </c>
    </row>
    <row r="135" spans="1:16" x14ac:dyDescent="0.25">
      <c r="A135">
        <v>134</v>
      </c>
      <c r="B135">
        <v>163</v>
      </c>
      <c r="C135" t="s">
        <v>45</v>
      </c>
      <c r="D135" t="s">
        <v>52</v>
      </c>
      <c r="E135" t="s">
        <v>49</v>
      </c>
      <c r="F135" t="s">
        <v>19</v>
      </c>
      <c r="G135" t="s">
        <v>26</v>
      </c>
      <c r="H135" t="s">
        <v>21</v>
      </c>
      <c r="I135" t="s">
        <v>24</v>
      </c>
      <c r="J135" t="s">
        <v>23</v>
      </c>
      <c r="K135">
        <v>797</v>
      </c>
      <c r="L135" s="5">
        <v>35.746602000000003</v>
      </c>
      <c r="M135" s="5">
        <v>256.38571960090906</v>
      </c>
      <c r="N135" s="5">
        <v>-0.85325825844028769</v>
      </c>
      <c r="O135" s="1" t="str">
        <f>HYPERLINK(".\sm_car_250420_1025\sm_car_250420_1025_134_Ca163TrN_MaLSS_ode23t_1.png","figure")</f>
        <v>figure</v>
      </c>
      <c r="P135" t="s">
        <v>15</v>
      </c>
    </row>
    <row r="136" spans="1:16" x14ac:dyDescent="0.25">
      <c r="A136">
        <v>135</v>
      </c>
      <c r="B136">
        <v>184</v>
      </c>
      <c r="C136" t="s">
        <v>105</v>
      </c>
      <c r="D136" t="s">
        <v>122</v>
      </c>
      <c r="E136" t="s">
        <v>49</v>
      </c>
      <c r="F136" t="s">
        <v>19</v>
      </c>
      <c r="G136" t="s">
        <v>20</v>
      </c>
      <c r="H136" t="s">
        <v>21</v>
      </c>
      <c r="I136" t="s">
        <v>22</v>
      </c>
      <c r="J136" t="s">
        <v>23</v>
      </c>
      <c r="K136">
        <v>307</v>
      </c>
      <c r="L136" s="5">
        <v>15.021360400000001</v>
      </c>
      <c r="M136" s="5">
        <v>294.6403108086966</v>
      </c>
      <c r="N136" s="5">
        <v>4.6831622565048054E-4</v>
      </c>
      <c r="O136" s="1" t="str">
        <f>HYPERLINK(".\sm_car_250420_1025\sm_car_250420_1025_135_Ca184TrN_MaWOT_ode23t_1.png","figure")</f>
        <v>figure</v>
      </c>
      <c r="P136" t="s">
        <v>15</v>
      </c>
    </row>
    <row r="137" spans="1:16" x14ac:dyDescent="0.25">
      <c r="A137">
        <v>136</v>
      </c>
      <c r="B137">
        <v>184</v>
      </c>
      <c r="C137" t="s">
        <v>105</v>
      </c>
      <c r="D137" t="s">
        <v>122</v>
      </c>
      <c r="E137" t="s">
        <v>49</v>
      </c>
      <c r="F137" t="s">
        <v>19</v>
      </c>
      <c r="G137" t="s">
        <v>20</v>
      </c>
      <c r="H137" t="s">
        <v>21</v>
      </c>
      <c r="I137" t="s">
        <v>24</v>
      </c>
      <c r="J137" t="s">
        <v>23</v>
      </c>
      <c r="K137">
        <v>454</v>
      </c>
      <c r="L137" s="5">
        <v>11.091163399999999</v>
      </c>
      <c r="M137" s="5">
        <v>103.56403332240326</v>
      </c>
      <c r="N137" s="5">
        <v>-0.20214125833461605</v>
      </c>
      <c r="O137" s="1" t="str">
        <f>HYPERLINK(".\sm_car_250420_1025\sm_car_250420_1025_136_Ca184TrN_MaLSS_ode23t_1.png","figure")</f>
        <v>figure</v>
      </c>
      <c r="P137" t="s">
        <v>15</v>
      </c>
    </row>
    <row r="138" spans="1:16" x14ac:dyDescent="0.25">
      <c r="A138">
        <v>137</v>
      </c>
      <c r="B138">
        <v>217</v>
      </c>
      <c r="C138" t="s">
        <v>45</v>
      </c>
      <c r="D138" t="s">
        <v>17</v>
      </c>
      <c r="E138" t="s">
        <v>108</v>
      </c>
      <c r="F138" t="s">
        <v>126</v>
      </c>
      <c r="G138" t="s">
        <v>26</v>
      </c>
      <c r="H138" t="s">
        <v>21</v>
      </c>
      <c r="I138" t="s">
        <v>22</v>
      </c>
      <c r="J138" t="s">
        <v>23</v>
      </c>
      <c r="K138">
        <v>729</v>
      </c>
      <c r="L138" s="5">
        <v>32.174104900000003</v>
      </c>
      <c r="M138" s="5">
        <v>278.65102395934332</v>
      </c>
      <c r="N138" s="5">
        <v>0.7212623783557176</v>
      </c>
      <c r="O138" s="1" t="str">
        <f>HYPERLINK(".\sm_car_250420_1025\sm_car_250420_1025_137_Ca217TrN_MaWOT_ode23t_1.png","figure")</f>
        <v>figure</v>
      </c>
      <c r="P138" t="s">
        <v>15</v>
      </c>
    </row>
    <row r="139" spans="1:16" x14ac:dyDescent="0.25">
      <c r="A139">
        <v>138</v>
      </c>
      <c r="B139">
        <v>217</v>
      </c>
      <c r="C139" t="s">
        <v>45</v>
      </c>
      <c r="D139" t="s">
        <v>17</v>
      </c>
      <c r="E139" t="s">
        <v>108</v>
      </c>
      <c r="F139" t="s">
        <v>126</v>
      </c>
      <c r="G139" t="s">
        <v>26</v>
      </c>
      <c r="H139" t="s">
        <v>21</v>
      </c>
      <c r="I139" t="s">
        <v>24</v>
      </c>
      <c r="J139" t="s">
        <v>23</v>
      </c>
      <c r="K139">
        <v>858</v>
      </c>
      <c r="L139" s="5">
        <v>37.007077199999998</v>
      </c>
      <c r="M139" s="5">
        <v>110.09496761073052</v>
      </c>
      <c r="N139" s="5">
        <v>-0.35802991933206485</v>
      </c>
      <c r="O139" s="1" t="str">
        <f>HYPERLINK(".\sm_car_250420_1025\sm_car_250420_1025_138_Ca217TrN_MaLSS_ode23t_1.png","figure")</f>
        <v>figure</v>
      </c>
      <c r="P139" t="s">
        <v>15</v>
      </c>
    </row>
    <row r="140" spans="1:16" x14ac:dyDescent="0.25">
      <c r="A140">
        <v>139</v>
      </c>
      <c r="B140">
        <v>12</v>
      </c>
      <c r="C140" t="s">
        <v>16</v>
      </c>
      <c r="D140" t="s">
        <v>17</v>
      </c>
      <c r="E140" t="s">
        <v>49</v>
      </c>
      <c r="F140" t="s">
        <v>28</v>
      </c>
      <c r="G140" t="s">
        <v>20</v>
      </c>
      <c r="H140" t="s">
        <v>21</v>
      </c>
      <c r="I140" t="s">
        <v>53</v>
      </c>
      <c r="J140" t="s">
        <v>23</v>
      </c>
      <c r="K140">
        <v>781</v>
      </c>
      <c r="L140" s="5">
        <v>10.6114505</v>
      </c>
      <c r="M140" s="5">
        <v>254.56750625480788</v>
      </c>
      <c r="N140" s="5">
        <v>3.4294410522406338E-3</v>
      </c>
      <c r="O140" s="1" t="str">
        <f>HYPERLINK(".\sm_car_250420_1025\sm_car_250420_1025_139_Ca012TrN_MaDLC_ode23t_1.png","figure")</f>
        <v>figure</v>
      </c>
      <c r="P140" t="s">
        <v>15</v>
      </c>
    </row>
    <row r="141" spans="1:16" x14ac:dyDescent="0.25">
      <c r="A141">
        <v>140</v>
      </c>
      <c r="B141">
        <v>12</v>
      </c>
      <c r="C141" t="s">
        <v>16</v>
      </c>
      <c r="D141" t="s">
        <v>17</v>
      </c>
      <c r="E141" t="s">
        <v>49</v>
      </c>
      <c r="F141" t="s">
        <v>28</v>
      </c>
      <c r="G141" t="s">
        <v>20</v>
      </c>
      <c r="H141" t="s">
        <v>21</v>
      </c>
      <c r="I141" t="s">
        <v>54</v>
      </c>
      <c r="J141" t="s">
        <v>23</v>
      </c>
      <c r="K141">
        <v>928</v>
      </c>
      <c r="L141" s="5">
        <v>14.5500946</v>
      </c>
      <c r="M141" s="5">
        <v>74.817404563693756</v>
      </c>
      <c r="N141" s="5">
        <v>0.7206687418692469</v>
      </c>
      <c r="O141" s="1" t="str">
        <f>HYPERLINK(".\sm_car_250420_1025\sm_car_250420_1025_140_Ca012TrN_MaIPA_ode23t_1.png","figure")</f>
        <v>figure</v>
      </c>
      <c r="P141" t="s">
        <v>15</v>
      </c>
    </row>
    <row r="142" spans="1:16" x14ac:dyDescent="0.25">
      <c r="A142">
        <v>141</v>
      </c>
      <c r="B142">
        <v>142</v>
      </c>
      <c r="C142" t="s">
        <v>45</v>
      </c>
      <c r="D142" t="s">
        <v>17</v>
      </c>
      <c r="E142" t="s">
        <v>49</v>
      </c>
      <c r="F142" t="s">
        <v>28</v>
      </c>
      <c r="G142" t="s">
        <v>26</v>
      </c>
      <c r="H142" t="s">
        <v>21</v>
      </c>
      <c r="I142" t="s">
        <v>53</v>
      </c>
      <c r="J142" t="s">
        <v>23</v>
      </c>
      <c r="K142">
        <v>773</v>
      </c>
      <c r="L142" s="5">
        <v>13.9716214</v>
      </c>
      <c r="M142" s="5">
        <v>253.33317019222841</v>
      </c>
      <c r="N142" s="5">
        <v>-5.864115136957615E-3</v>
      </c>
      <c r="O142" s="1" t="str">
        <f>HYPERLINK(".\sm_car_250420_1025\sm_car_250420_1025_141_Ca142TrN_MaDLC_ode23t_1.png","figure")</f>
        <v>figure</v>
      </c>
      <c r="P142" t="s">
        <v>15</v>
      </c>
    </row>
    <row r="143" spans="1:16" x14ac:dyDescent="0.25">
      <c r="A143">
        <v>142</v>
      </c>
      <c r="B143">
        <v>142</v>
      </c>
      <c r="C143" t="s">
        <v>45</v>
      </c>
      <c r="D143" t="s">
        <v>17</v>
      </c>
      <c r="E143" t="s">
        <v>49</v>
      </c>
      <c r="F143" t="s">
        <v>28</v>
      </c>
      <c r="G143" t="s">
        <v>26</v>
      </c>
      <c r="H143" t="s">
        <v>21</v>
      </c>
      <c r="I143" t="s">
        <v>54</v>
      </c>
      <c r="J143" t="s">
        <v>23</v>
      </c>
      <c r="K143">
        <v>1836</v>
      </c>
      <c r="L143" s="5">
        <v>59.1838184</v>
      </c>
      <c r="M143" s="5">
        <v>83.412222856718358</v>
      </c>
      <c r="N143" s="5">
        <v>0.75431349064056574</v>
      </c>
      <c r="O143" s="1" t="str">
        <f>HYPERLINK(".\sm_car_250420_1025\sm_car_250420_1025_142_Ca142TrN_MaIPA_ode23t_1.png","figure")</f>
        <v>figure</v>
      </c>
      <c r="P143" t="s">
        <v>15</v>
      </c>
    </row>
    <row r="144" spans="1:16" x14ac:dyDescent="0.25">
      <c r="A144">
        <v>143</v>
      </c>
      <c r="B144">
        <v>145</v>
      </c>
      <c r="C144" t="s">
        <v>46</v>
      </c>
      <c r="D144" t="s">
        <v>17</v>
      </c>
      <c r="E144" t="s">
        <v>50</v>
      </c>
      <c r="F144" t="s">
        <v>19</v>
      </c>
      <c r="G144" t="s">
        <v>26</v>
      </c>
      <c r="H144" t="s">
        <v>21</v>
      </c>
      <c r="I144" t="s">
        <v>53</v>
      </c>
      <c r="J144" t="s">
        <v>23</v>
      </c>
      <c r="K144">
        <v>484</v>
      </c>
      <c r="L144" s="5">
        <v>17.176876199999999</v>
      </c>
      <c r="M144" s="5">
        <v>254.36567298214237</v>
      </c>
      <c r="N144" s="5">
        <v>4.4870120780060141E-2</v>
      </c>
      <c r="O144" s="1" t="str">
        <f>HYPERLINK(".\sm_car_250420_1025\sm_car_250420_1025_143_Ca145TrN_MaDLC_ode23t_1.png","figure")</f>
        <v>figure</v>
      </c>
      <c r="P144" t="s">
        <v>15</v>
      </c>
    </row>
    <row r="145" spans="1:16" x14ac:dyDescent="0.25">
      <c r="A145">
        <v>144</v>
      </c>
      <c r="B145">
        <v>145</v>
      </c>
      <c r="C145" t="s">
        <v>46</v>
      </c>
      <c r="D145" t="s">
        <v>17</v>
      </c>
      <c r="E145" t="s">
        <v>50</v>
      </c>
      <c r="F145" t="s">
        <v>19</v>
      </c>
      <c r="G145" t="s">
        <v>26</v>
      </c>
      <c r="H145" t="s">
        <v>21</v>
      </c>
      <c r="I145" t="s">
        <v>54</v>
      </c>
      <c r="J145" t="s">
        <v>23</v>
      </c>
      <c r="K145">
        <v>322</v>
      </c>
      <c r="L145" s="5">
        <v>12.260017100000001</v>
      </c>
      <c r="M145" s="5">
        <v>28.089693833724873</v>
      </c>
      <c r="N145" s="5">
        <v>1.5872007141144489E-2</v>
      </c>
      <c r="O145" s="1" t="str">
        <f>HYPERLINK(".\sm_car_250420_1025\sm_car_250420_1025_144_Ca145TrN_MaIPA_ode23t_1.png","figure")</f>
        <v>figure</v>
      </c>
      <c r="P145" t="s">
        <v>15</v>
      </c>
    </row>
    <row r="146" spans="1:16" x14ac:dyDescent="0.25">
      <c r="A146">
        <v>145</v>
      </c>
      <c r="B146">
        <v>184</v>
      </c>
      <c r="C146" t="s">
        <v>105</v>
      </c>
      <c r="D146" t="s">
        <v>122</v>
      </c>
      <c r="E146" t="s">
        <v>49</v>
      </c>
      <c r="F146" t="s">
        <v>19</v>
      </c>
      <c r="G146" t="s">
        <v>20</v>
      </c>
      <c r="H146" t="s">
        <v>21</v>
      </c>
      <c r="I146" t="s">
        <v>53</v>
      </c>
      <c r="J146" t="s">
        <v>23</v>
      </c>
      <c r="K146">
        <v>418</v>
      </c>
      <c r="L146" s="5">
        <v>11.186008599999999</v>
      </c>
      <c r="M146" s="5">
        <v>255.9470516918056</v>
      </c>
      <c r="N146" s="5">
        <v>1.0614562833051622E-2</v>
      </c>
      <c r="O146" s="1" t="str">
        <f>HYPERLINK(".\sm_car_250420_1025\sm_car_250420_1025_145_Ca184TrN_MaDLC_ode23t_1.png","figure")</f>
        <v>figure</v>
      </c>
      <c r="P146" t="s">
        <v>15</v>
      </c>
    </row>
    <row r="147" spans="1:16" x14ac:dyDescent="0.25">
      <c r="A147">
        <v>146</v>
      </c>
      <c r="B147">
        <v>184</v>
      </c>
      <c r="C147" t="s">
        <v>105</v>
      </c>
      <c r="D147" t="s">
        <v>122</v>
      </c>
      <c r="E147" t="s">
        <v>49</v>
      </c>
      <c r="F147" t="s">
        <v>19</v>
      </c>
      <c r="G147" t="s">
        <v>20</v>
      </c>
      <c r="H147" t="s">
        <v>21</v>
      </c>
      <c r="I147" t="s">
        <v>54</v>
      </c>
      <c r="J147" t="s">
        <v>23</v>
      </c>
      <c r="K147">
        <v>325</v>
      </c>
      <c r="L147" s="5">
        <v>12.3096104</v>
      </c>
      <c r="M147" s="5">
        <v>55.270287071232808</v>
      </c>
      <c r="N147" s="5">
        <v>5.7442743409240361E-3</v>
      </c>
      <c r="O147" s="1" t="str">
        <f>HYPERLINK(".\sm_car_250420_1025\sm_car_250420_1025_146_Ca184TrN_MaIPA_ode23t_1.png","figure")</f>
        <v>figure</v>
      </c>
      <c r="P147" t="s">
        <v>15</v>
      </c>
    </row>
    <row r="148" spans="1:16" x14ac:dyDescent="0.25">
      <c r="A148">
        <v>147</v>
      </c>
      <c r="B148">
        <v>204</v>
      </c>
      <c r="C148" t="s">
        <v>105</v>
      </c>
      <c r="D148" t="s">
        <v>107</v>
      </c>
      <c r="E148" t="s">
        <v>18</v>
      </c>
      <c r="F148" t="s">
        <v>19</v>
      </c>
      <c r="G148" t="s">
        <v>20</v>
      </c>
      <c r="H148" t="s">
        <v>21</v>
      </c>
      <c r="I148" t="s">
        <v>53</v>
      </c>
      <c r="J148" t="s">
        <v>23</v>
      </c>
      <c r="K148">
        <v>1976</v>
      </c>
      <c r="L148" s="5">
        <v>24.753722100000001</v>
      </c>
      <c r="M148" s="5">
        <v>254.88709811545499</v>
      </c>
      <c r="N148" s="5">
        <v>1.5461211806736763E-2</v>
      </c>
      <c r="O148" s="1" t="str">
        <f>HYPERLINK(".\sm_car_250420_1025\sm_car_250420_1025_147_Ca204TrN_MaDLC_ode23t_1.png","figure")</f>
        <v>figure</v>
      </c>
      <c r="P148" t="s">
        <v>15</v>
      </c>
    </row>
    <row r="149" spans="1:16" x14ac:dyDescent="0.25">
      <c r="A149">
        <v>148</v>
      </c>
      <c r="B149">
        <v>204</v>
      </c>
      <c r="C149" t="s">
        <v>105</v>
      </c>
      <c r="D149" t="s">
        <v>107</v>
      </c>
      <c r="E149" t="s">
        <v>18</v>
      </c>
      <c r="F149" t="s">
        <v>19</v>
      </c>
      <c r="G149" t="s">
        <v>20</v>
      </c>
      <c r="H149" t="s">
        <v>21</v>
      </c>
      <c r="I149" t="s">
        <v>54</v>
      </c>
      <c r="J149" t="s">
        <v>23</v>
      </c>
      <c r="K149">
        <v>711</v>
      </c>
      <c r="L149" s="5">
        <v>13.332323300000001</v>
      </c>
      <c r="M149" s="5">
        <v>26.038508160556599</v>
      </c>
      <c r="N149" s="5">
        <v>9.6606026210460678E-3</v>
      </c>
      <c r="O149" s="1" t="str">
        <f>HYPERLINK(".\sm_car_250420_1025\sm_car_250420_1025_148_Ca204TrN_MaIPA_ode23t_1.png","figure")</f>
        <v>figure</v>
      </c>
      <c r="P149" t="s">
        <v>15</v>
      </c>
    </row>
    <row r="150" spans="1:16" x14ac:dyDescent="0.25">
      <c r="A150">
        <v>149</v>
      </c>
      <c r="B150">
        <v>12</v>
      </c>
      <c r="C150" t="s">
        <v>16</v>
      </c>
      <c r="D150" t="s">
        <v>17</v>
      </c>
      <c r="E150" t="s">
        <v>49</v>
      </c>
      <c r="F150" t="s">
        <v>28</v>
      </c>
      <c r="G150" t="s">
        <v>20</v>
      </c>
      <c r="H150" t="s">
        <v>21</v>
      </c>
      <c r="I150" t="s">
        <v>55</v>
      </c>
      <c r="J150" t="s">
        <v>23</v>
      </c>
      <c r="K150">
        <v>2714</v>
      </c>
      <c r="L150" s="5">
        <v>29.064034400000001</v>
      </c>
      <c r="M150" s="5">
        <v>-1.9238262207013593E-2</v>
      </c>
      <c r="N150" s="5">
        <v>-0.62235470946174165</v>
      </c>
      <c r="O150" s="1" t="str">
        <f>HYPERLINK(".\sm_car_250420_1025\sm_car_250420_1025_149_Ca012TrN_MaMPK_ode23t_1.png","figure")</f>
        <v>figure</v>
      </c>
      <c r="P150" t="s">
        <v>15</v>
      </c>
    </row>
    <row r="151" spans="1:16" x14ac:dyDescent="0.25">
      <c r="A151">
        <v>150</v>
      </c>
      <c r="B151">
        <v>12</v>
      </c>
      <c r="C151" t="s">
        <v>16</v>
      </c>
      <c r="D151" t="s">
        <v>17</v>
      </c>
      <c r="E151" t="s">
        <v>49</v>
      </c>
      <c r="F151" t="s">
        <v>28</v>
      </c>
      <c r="G151" t="s">
        <v>20</v>
      </c>
      <c r="H151" t="s">
        <v>21</v>
      </c>
      <c r="I151" t="s">
        <v>56</v>
      </c>
      <c r="J151" t="s">
        <v>23</v>
      </c>
      <c r="K151">
        <v>3119</v>
      </c>
      <c r="L151" s="5">
        <v>31.828188099999998</v>
      </c>
      <c r="M151" s="5">
        <v>0.78832369206545039</v>
      </c>
      <c r="N151" s="5">
        <v>-0.32237082463594768</v>
      </c>
      <c r="O151" s="1" t="str">
        <f>HYPERLINK(".\sm_car_250420_1025\sm_car_250420_1025_150_Ca012TrN_MaMPC_ode23t_1.png","figure")</f>
        <v>figure</v>
      </c>
      <c r="P151" t="s">
        <v>15</v>
      </c>
    </row>
    <row r="152" spans="1:16" x14ac:dyDescent="0.25">
      <c r="A152">
        <v>151</v>
      </c>
      <c r="B152">
        <v>142</v>
      </c>
      <c r="C152" t="s">
        <v>45</v>
      </c>
      <c r="D152" t="s">
        <v>17</v>
      </c>
      <c r="E152" t="s">
        <v>49</v>
      </c>
      <c r="F152" t="s">
        <v>28</v>
      </c>
      <c r="G152" t="s">
        <v>26</v>
      </c>
      <c r="H152" t="s">
        <v>21</v>
      </c>
      <c r="I152" t="s">
        <v>55</v>
      </c>
      <c r="J152" t="s">
        <v>23</v>
      </c>
      <c r="K152">
        <v>2581</v>
      </c>
      <c r="L152" s="5">
        <v>65.116508300000007</v>
      </c>
      <c r="M152" s="5">
        <v>-1.5450639707315264E-2</v>
      </c>
      <c r="N152" s="5">
        <v>-0.54576952654326627</v>
      </c>
      <c r="O152" s="1" t="str">
        <f>HYPERLINK(".\sm_car_250420_1025\sm_car_250420_1025_151_Ca142TrN_MaMPK_ode23t_1.png","figure")</f>
        <v>figure</v>
      </c>
      <c r="P152" t="s">
        <v>15</v>
      </c>
    </row>
    <row r="153" spans="1:16" x14ac:dyDescent="0.25">
      <c r="A153">
        <v>152</v>
      </c>
      <c r="B153">
        <v>142</v>
      </c>
      <c r="C153" t="s">
        <v>45</v>
      </c>
      <c r="D153" t="s">
        <v>17</v>
      </c>
      <c r="E153" t="s">
        <v>49</v>
      </c>
      <c r="F153" t="s">
        <v>28</v>
      </c>
      <c r="G153" t="s">
        <v>26</v>
      </c>
      <c r="H153" t="s">
        <v>21</v>
      </c>
      <c r="I153" t="s">
        <v>56</v>
      </c>
      <c r="J153" t="s">
        <v>23</v>
      </c>
      <c r="K153">
        <v>3188</v>
      </c>
      <c r="L153" s="5">
        <v>83.303941899999998</v>
      </c>
      <c r="M153" s="5">
        <v>0.78015990856382977</v>
      </c>
      <c r="N153" s="5">
        <v>-0.36562536727153194</v>
      </c>
      <c r="O153" s="1" t="str">
        <f>HYPERLINK(".\sm_car_250420_1025\sm_car_250420_1025_152_Ca142TrN_MaMPC_ode23t_1.png","figure")</f>
        <v>figure</v>
      </c>
      <c r="P153" t="s">
        <v>15</v>
      </c>
    </row>
    <row r="154" spans="1:16" x14ac:dyDescent="0.25">
      <c r="A154">
        <v>153</v>
      </c>
      <c r="B154">
        <v>116</v>
      </c>
      <c r="C154" t="s">
        <v>16</v>
      </c>
      <c r="D154" t="s">
        <v>35</v>
      </c>
      <c r="E154" t="s">
        <v>18</v>
      </c>
      <c r="F154" t="s">
        <v>28</v>
      </c>
      <c r="G154" t="s">
        <v>20</v>
      </c>
      <c r="H154" t="s">
        <v>21</v>
      </c>
      <c r="I154" t="s">
        <v>55</v>
      </c>
      <c r="J154" t="s">
        <v>23</v>
      </c>
      <c r="K154">
        <v>2862</v>
      </c>
      <c r="L154" s="5">
        <v>13.984033</v>
      </c>
      <c r="M154" s="5">
        <v>-1.9233151328698947E-2</v>
      </c>
      <c r="N154" s="5">
        <v>-0.5247696607155794</v>
      </c>
      <c r="O154" s="1" t="str">
        <f>HYPERLINK(".\sm_car_250420_1025\sm_car_250420_1025_153_Ca116TrN_MaMPK_ode23t_1.png","figure")</f>
        <v>figure</v>
      </c>
      <c r="P154" t="s">
        <v>15</v>
      </c>
    </row>
    <row r="155" spans="1:16" x14ac:dyDescent="0.25">
      <c r="A155">
        <v>154</v>
      </c>
      <c r="B155">
        <v>116</v>
      </c>
      <c r="C155" t="s">
        <v>16</v>
      </c>
      <c r="D155" t="s">
        <v>35</v>
      </c>
      <c r="E155" t="s">
        <v>18</v>
      </c>
      <c r="F155" t="s">
        <v>28</v>
      </c>
      <c r="G155" t="s">
        <v>20</v>
      </c>
      <c r="H155" t="s">
        <v>21</v>
      </c>
      <c r="I155" t="s">
        <v>56</v>
      </c>
      <c r="J155" t="s">
        <v>23</v>
      </c>
      <c r="K155">
        <v>3374</v>
      </c>
      <c r="L155" s="5">
        <v>16.120157899999999</v>
      </c>
      <c r="M155" s="5">
        <v>0.78828236358753756</v>
      </c>
      <c r="N155" s="5">
        <v>-0.35487188465350239</v>
      </c>
      <c r="O155" s="1" t="str">
        <f>HYPERLINK(".\sm_car_250420_1025\sm_car_250420_1025_154_Ca116TrN_MaMPC_ode23t_1.png","figure")</f>
        <v>figure</v>
      </c>
      <c r="P155" t="s">
        <v>15</v>
      </c>
    </row>
    <row r="156" spans="1:16" x14ac:dyDescent="0.25">
      <c r="A156">
        <v>155</v>
      </c>
      <c r="B156">
        <v>143</v>
      </c>
      <c r="C156" t="s">
        <v>46</v>
      </c>
      <c r="D156" t="s">
        <v>17</v>
      </c>
      <c r="E156" t="s">
        <v>47</v>
      </c>
      <c r="F156" t="s">
        <v>19</v>
      </c>
      <c r="G156" t="s">
        <v>26</v>
      </c>
      <c r="H156" t="s">
        <v>21</v>
      </c>
      <c r="I156" t="s">
        <v>55</v>
      </c>
      <c r="J156" t="s">
        <v>23</v>
      </c>
      <c r="K156">
        <v>2726</v>
      </c>
      <c r="L156" s="5">
        <v>56.045492799999998</v>
      </c>
      <c r="M156" s="5">
        <v>-1.3518090882872327E-2</v>
      </c>
      <c r="N156" s="5">
        <v>-0.38963869129615308</v>
      </c>
      <c r="O156" s="1" t="str">
        <f>HYPERLINK(".\sm_car_250420_1025\sm_car_250420_1025_155_Ca143TrN_MaMPK_ode23t_1.png","figure")</f>
        <v>figure</v>
      </c>
      <c r="P156" t="s">
        <v>15</v>
      </c>
    </row>
    <row r="157" spans="1:16" x14ac:dyDescent="0.25">
      <c r="A157">
        <v>156</v>
      </c>
      <c r="B157">
        <v>143</v>
      </c>
      <c r="C157" t="s">
        <v>46</v>
      </c>
      <c r="D157" t="s">
        <v>17</v>
      </c>
      <c r="E157" t="s">
        <v>47</v>
      </c>
      <c r="F157" t="s">
        <v>19</v>
      </c>
      <c r="G157" t="s">
        <v>26</v>
      </c>
      <c r="H157" t="s">
        <v>21</v>
      </c>
      <c r="I157" t="s">
        <v>56</v>
      </c>
      <c r="J157" t="s">
        <v>23</v>
      </c>
      <c r="K157">
        <v>2890</v>
      </c>
      <c r="L157" s="5">
        <v>71.430281899999997</v>
      </c>
      <c r="M157" s="5">
        <v>0.78904553211244988</v>
      </c>
      <c r="N157" s="5">
        <v>-0.25845480084750405</v>
      </c>
      <c r="O157" s="1" t="str">
        <f>HYPERLINK(".\sm_car_250420_1025\sm_car_250420_1025_156_Ca143TrN_MaMPC_ode23t_1.png","figure")</f>
        <v>figure</v>
      </c>
      <c r="P157" t="s">
        <v>15</v>
      </c>
    </row>
    <row r="158" spans="1:16" x14ac:dyDescent="0.25">
      <c r="A158">
        <v>157</v>
      </c>
      <c r="B158">
        <v>166</v>
      </c>
      <c r="C158" t="s">
        <v>45</v>
      </c>
      <c r="D158" t="s">
        <v>57</v>
      </c>
      <c r="E158" t="s">
        <v>18</v>
      </c>
      <c r="F158" t="s">
        <v>19</v>
      </c>
      <c r="G158" t="s">
        <v>26</v>
      </c>
      <c r="H158" t="s">
        <v>21</v>
      </c>
      <c r="I158" t="s">
        <v>55</v>
      </c>
      <c r="J158" t="s">
        <v>23</v>
      </c>
      <c r="K158">
        <v>3158</v>
      </c>
      <c r="L158" s="5">
        <v>43.6348293</v>
      </c>
      <c r="M158" s="5">
        <v>-1.5637276026422203E-2</v>
      </c>
      <c r="N158" s="5">
        <v>-0.55564979851918495</v>
      </c>
      <c r="O158" s="1" t="str">
        <f>HYPERLINK(".\sm_car_250420_1025\sm_car_250420_1025_157_Ca166TrN_MaMPK_ode23t_1.png","figure")</f>
        <v>figure</v>
      </c>
      <c r="P158" t="s">
        <v>15</v>
      </c>
    </row>
    <row r="159" spans="1:16" x14ac:dyDescent="0.25">
      <c r="A159">
        <v>158</v>
      </c>
      <c r="B159">
        <v>166</v>
      </c>
      <c r="C159" t="s">
        <v>45</v>
      </c>
      <c r="D159" t="s">
        <v>57</v>
      </c>
      <c r="E159" t="s">
        <v>18</v>
      </c>
      <c r="F159" t="s">
        <v>19</v>
      </c>
      <c r="G159" t="s">
        <v>26</v>
      </c>
      <c r="H159" t="s">
        <v>21</v>
      </c>
      <c r="I159" t="s">
        <v>56</v>
      </c>
      <c r="J159" t="s">
        <v>23</v>
      </c>
      <c r="K159">
        <v>3605</v>
      </c>
      <c r="L159" s="5">
        <v>48.882110500000003</v>
      </c>
      <c r="M159" s="5">
        <v>0.78902951106267238</v>
      </c>
      <c r="N159" s="5">
        <v>-0.35628191999459757</v>
      </c>
      <c r="O159" s="1" t="str">
        <f>HYPERLINK(".\sm_car_250420_1025\sm_car_250420_1025_158_Ca166TrN_MaMPC_ode23t_1.png","figure")</f>
        <v>figure</v>
      </c>
      <c r="P159" t="s">
        <v>15</v>
      </c>
    </row>
    <row r="160" spans="1:16" x14ac:dyDescent="0.25">
      <c r="A160">
        <v>159</v>
      </c>
      <c r="B160">
        <v>169</v>
      </c>
      <c r="C160" t="s">
        <v>45</v>
      </c>
      <c r="D160" t="s">
        <v>58</v>
      </c>
      <c r="E160" t="s">
        <v>49</v>
      </c>
      <c r="F160" t="s">
        <v>19</v>
      </c>
      <c r="G160" t="s">
        <v>26</v>
      </c>
      <c r="H160" t="s">
        <v>21</v>
      </c>
      <c r="I160" t="s">
        <v>55</v>
      </c>
      <c r="J160" t="s">
        <v>23</v>
      </c>
      <c r="K160">
        <v>3135</v>
      </c>
      <c r="L160" s="5">
        <v>39.100943299999997</v>
      </c>
      <c r="M160" s="5">
        <v>-1.758138039362013E-2</v>
      </c>
      <c r="N160" s="5">
        <v>-0.55649257451039558</v>
      </c>
      <c r="O160" s="1" t="str">
        <f>HYPERLINK(".\sm_car_250420_1025\sm_car_250420_1025_159_Ca169TrN_MaMPK_ode23t_1.png","figure")</f>
        <v>figure</v>
      </c>
      <c r="P160" t="s">
        <v>15</v>
      </c>
    </row>
    <row r="161" spans="1:16" x14ac:dyDescent="0.25">
      <c r="A161">
        <v>160</v>
      </c>
      <c r="B161">
        <v>169</v>
      </c>
      <c r="C161" t="s">
        <v>45</v>
      </c>
      <c r="D161" t="s">
        <v>58</v>
      </c>
      <c r="E161" t="s">
        <v>49</v>
      </c>
      <c r="F161" t="s">
        <v>19</v>
      </c>
      <c r="G161" t="s">
        <v>26</v>
      </c>
      <c r="H161" t="s">
        <v>21</v>
      </c>
      <c r="I161" t="s">
        <v>56</v>
      </c>
      <c r="J161" t="s">
        <v>23</v>
      </c>
      <c r="K161">
        <v>3378</v>
      </c>
      <c r="L161" s="5">
        <v>41.322456199999998</v>
      </c>
      <c r="M161" s="5">
        <v>0.78827771100243282</v>
      </c>
      <c r="N161" s="5">
        <v>-0.35562904640950516</v>
      </c>
      <c r="O161" s="1" t="str">
        <f>HYPERLINK(".\sm_car_250420_1025\sm_car_250420_1025_160_Ca169TrN_MaMPC_ode23t_1.png","figure")</f>
        <v>figure</v>
      </c>
      <c r="P161" t="s">
        <v>15</v>
      </c>
    </row>
    <row r="162" spans="1:16" x14ac:dyDescent="0.25">
      <c r="A162">
        <v>161</v>
      </c>
      <c r="B162">
        <v>184</v>
      </c>
      <c r="C162" t="s">
        <v>105</v>
      </c>
      <c r="D162" t="s">
        <v>122</v>
      </c>
      <c r="E162" t="s">
        <v>49</v>
      </c>
      <c r="F162" t="s">
        <v>19</v>
      </c>
      <c r="G162" t="s">
        <v>20</v>
      </c>
      <c r="H162" t="s">
        <v>21</v>
      </c>
      <c r="I162" t="s">
        <v>55</v>
      </c>
      <c r="J162" t="s">
        <v>23</v>
      </c>
      <c r="K162">
        <v>2104</v>
      </c>
      <c r="L162" s="5">
        <v>52.855013999999997</v>
      </c>
      <c r="M162" s="5">
        <v>-2.19330147958786E-2</v>
      </c>
      <c r="N162" s="5">
        <v>-0.69659093095538094</v>
      </c>
      <c r="O162" s="1" t="str">
        <f>HYPERLINK(".\sm_car_250420_1025\sm_car_250420_1025_161_Ca184TrN_MaMPK_ode23t_1.png","figure")</f>
        <v>figure</v>
      </c>
      <c r="P162" t="s">
        <v>15</v>
      </c>
    </row>
    <row r="163" spans="1:16" x14ac:dyDescent="0.25">
      <c r="A163">
        <v>162</v>
      </c>
      <c r="B163">
        <v>184</v>
      </c>
      <c r="C163" t="s">
        <v>105</v>
      </c>
      <c r="D163" t="s">
        <v>122</v>
      </c>
      <c r="E163" t="s">
        <v>49</v>
      </c>
      <c r="F163" t="s">
        <v>19</v>
      </c>
      <c r="G163" t="s">
        <v>20</v>
      </c>
      <c r="H163" t="s">
        <v>21</v>
      </c>
      <c r="I163" t="s">
        <v>56</v>
      </c>
      <c r="J163" t="s">
        <v>23</v>
      </c>
      <c r="K163">
        <v>2197</v>
      </c>
      <c r="L163" s="5">
        <v>53.765112299999998</v>
      </c>
      <c r="M163" s="5">
        <v>0.78740355662704964</v>
      </c>
      <c r="N163" s="5">
        <v>-0.32949284273264767</v>
      </c>
      <c r="O163" s="1" t="str">
        <f>HYPERLINK(".\sm_car_250420_1025\sm_car_250420_1025_162_Ca184TrN_MaMPC_ode23t_1.png","figure")</f>
        <v>figure</v>
      </c>
      <c r="P163" t="s">
        <v>15</v>
      </c>
    </row>
    <row r="164" spans="1:16" x14ac:dyDescent="0.25">
      <c r="A164">
        <v>163</v>
      </c>
      <c r="B164">
        <v>195</v>
      </c>
      <c r="C164" t="s">
        <v>45</v>
      </c>
      <c r="D164" t="s">
        <v>58</v>
      </c>
      <c r="E164" t="s">
        <v>108</v>
      </c>
      <c r="F164" t="s">
        <v>19</v>
      </c>
      <c r="G164" t="s">
        <v>26</v>
      </c>
      <c r="H164" t="s">
        <v>21</v>
      </c>
      <c r="I164" t="s">
        <v>55</v>
      </c>
      <c r="J164" t="s">
        <v>23</v>
      </c>
      <c r="K164">
        <v>3165</v>
      </c>
      <c r="L164" s="5">
        <v>35.036754999999999</v>
      </c>
      <c r="M164" s="5">
        <v>-1.8565380367962223E-2</v>
      </c>
      <c r="N164" s="5">
        <v>-0.55646605777336444</v>
      </c>
      <c r="O164" s="1" t="str">
        <f>HYPERLINK(".\sm_car_250420_1025\sm_car_250420_1025_163_Ca195TrN_MaMPK_ode23t_1.png","figure")</f>
        <v>figure</v>
      </c>
      <c r="P164" t="s">
        <v>15</v>
      </c>
    </row>
    <row r="165" spans="1:16" x14ac:dyDescent="0.25">
      <c r="A165">
        <v>164</v>
      </c>
      <c r="B165">
        <v>195</v>
      </c>
      <c r="C165" t="s">
        <v>45</v>
      </c>
      <c r="D165" t="s">
        <v>58</v>
      </c>
      <c r="E165" t="s">
        <v>108</v>
      </c>
      <c r="F165" t="s">
        <v>19</v>
      </c>
      <c r="G165" t="s">
        <v>26</v>
      </c>
      <c r="H165" t="s">
        <v>21</v>
      </c>
      <c r="I165" t="s">
        <v>56</v>
      </c>
      <c r="J165" t="s">
        <v>23</v>
      </c>
      <c r="K165">
        <v>3347</v>
      </c>
      <c r="L165" s="5">
        <v>33.573698100000001</v>
      </c>
      <c r="M165" s="5">
        <v>0.78458437074608867</v>
      </c>
      <c r="N165" s="5">
        <v>-0.35558883772358146</v>
      </c>
      <c r="O165" s="1" t="str">
        <f>HYPERLINK(".\sm_car_250420_1025\sm_car_250420_1025_164_Ca195TrN_MaMPC_ode23t_1.png","figure")</f>
        <v>figure</v>
      </c>
      <c r="P165" t="s">
        <v>15</v>
      </c>
    </row>
    <row r="166" spans="1:16" x14ac:dyDescent="0.25">
      <c r="A166">
        <v>165</v>
      </c>
      <c r="B166">
        <v>198</v>
      </c>
      <c r="C166" t="s">
        <v>105</v>
      </c>
      <c r="D166" t="s">
        <v>122</v>
      </c>
      <c r="E166" t="s">
        <v>108</v>
      </c>
      <c r="F166" t="s">
        <v>19</v>
      </c>
      <c r="G166" t="s">
        <v>20</v>
      </c>
      <c r="H166" t="s">
        <v>21</v>
      </c>
      <c r="I166" t="s">
        <v>55</v>
      </c>
      <c r="J166" t="s">
        <v>23</v>
      </c>
      <c r="K166">
        <v>2142</v>
      </c>
      <c r="L166" s="5">
        <v>30.134497100000001</v>
      </c>
      <c r="M166" s="5">
        <v>-2.2061368787879884E-2</v>
      </c>
      <c r="N166" s="5">
        <v>-0.69678244685846669</v>
      </c>
      <c r="O166" s="1" t="str">
        <f>HYPERLINK(".\sm_car_250420_1025\sm_car_250420_1025_165_Ca198TrN_MaMPK_ode23t_1.png","figure")</f>
        <v>figure</v>
      </c>
      <c r="P166" t="s">
        <v>15</v>
      </c>
    </row>
    <row r="167" spans="1:16" x14ac:dyDescent="0.25">
      <c r="A167">
        <v>166</v>
      </c>
      <c r="B167">
        <v>198</v>
      </c>
      <c r="C167" t="s">
        <v>105</v>
      </c>
      <c r="D167" t="s">
        <v>122</v>
      </c>
      <c r="E167" t="s">
        <v>108</v>
      </c>
      <c r="F167" t="s">
        <v>19</v>
      </c>
      <c r="G167" t="s">
        <v>20</v>
      </c>
      <c r="H167" t="s">
        <v>21</v>
      </c>
      <c r="I167" t="s">
        <v>56</v>
      </c>
      <c r="J167" t="s">
        <v>23</v>
      </c>
      <c r="K167">
        <v>2176</v>
      </c>
      <c r="L167" s="5">
        <v>31.502297599999999</v>
      </c>
      <c r="M167" s="5">
        <v>0.77489474364980815</v>
      </c>
      <c r="N167" s="5">
        <v>-0.32956447053770044</v>
      </c>
      <c r="O167" s="1" t="str">
        <f>HYPERLINK(".\sm_car_250420_1025\sm_car_250420_1025_166_Ca198TrN_MaMPC_ode23t_1.png","figure")</f>
        <v>figure</v>
      </c>
      <c r="P167" t="s">
        <v>15</v>
      </c>
    </row>
    <row r="168" spans="1:16" x14ac:dyDescent="0.25">
      <c r="A168">
        <v>167</v>
      </c>
      <c r="B168">
        <v>151</v>
      </c>
      <c r="C168" t="s">
        <v>16</v>
      </c>
      <c r="D168" t="s">
        <v>17</v>
      </c>
      <c r="E168" t="s">
        <v>18</v>
      </c>
      <c r="F168" t="s">
        <v>19</v>
      </c>
      <c r="G168" t="s">
        <v>59</v>
      </c>
      <c r="H168" t="s">
        <v>21</v>
      </c>
      <c r="I168" t="s">
        <v>24</v>
      </c>
      <c r="J168" t="s">
        <v>23</v>
      </c>
      <c r="K168">
        <v>509</v>
      </c>
      <c r="L168" s="5">
        <v>12.266551</v>
      </c>
      <c r="M168" s="5">
        <v>72.555150268301418</v>
      </c>
      <c r="N168" s="5">
        <v>-0.80515551603785585</v>
      </c>
      <c r="O168" s="1" t="str">
        <f>HYPERLINK(".\sm_car_250420_1025\sm_car_250420_1025_167_Ca151TrN_MaLSS_ode23t_1.png","figure")</f>
        <v>figure</v>
      </c>
      <c r="P168" t="s">
        <v>15</v>
      </c>
    </row>
    <row r="169" spans="1:16" x14ac:dyDescent="0.25">
      <c r="A169">
        <v>168</v>
      </c>
      <c r="B169">
        <v>152</v>
      </c>
      <c r="C169" t="s">
        <v>16</v>
      </c>
      <c r="D169" t="s">
        <v>17</v>
      </c>
      <c r="E169" t="s">
        <v>18</v>
      </c>
      <c r="F169" t="s">
        <v>19</v>
      </c>
      <c r="G169" t="s">
        <v>60</v>
      </c>
      <c r="H169" t="s">
        <v>21</v>
      </c>
      <c r="I169" t="s">
        <v>24</v>
      </c>
      <c r="J169" t="s">
        <v>23</v>
      </c>
      <c r="K169">
        <v>532</v>
      </c>
      <c r="L169" s="5">
        <v>13.061937</v>
      </c>
      <c r="M169" s="5">
        <v>70.955794629524078</v>
      </c>
      <c r="N169" s="5">
        <v>-0.53251184123833906</v>
      </c>
      <c r="O169" s="1" t="str">
        <f>HYPERLINK(".\sm_car_250420_1025\sm_car_250420_1025_168_Ca152TrN_MaLSS_ode23t_1.png","figure")</f>
        <v>figure</v>
      </c>
      <c r="P169" t="s">
        <v>15</v>
      </c>
    </row>
    <row r="170" spans="1:16" x14ac:dyDescent="0.25">
      <c r="A170">
        <v>169</v>
      </c>
      <c r="B170">
        <v>153</v>
      </c>
      <c r="C170" t="s">
        <v>16</v>
      </c>
      <c r="D170" t="s">
        <v>17</v>
      </c>
      <c r="E170" t="s">
        <v>18</v>
      </c>
      <c r="F170" t="s">
        <v>19</v>
      </c>
      <c r="G170" t="s">
        <v>61</v>
      </c>
      <c r="H170" t="s">
        <v>21</v>
      </c>
      <c r="I170" t="s">
        <v>24</v>
      </c>
      <c r="J170" t="s">
        <v>23</v>
      </c>
      <c r="K170">
        <v>550</v>
      </c>
      <c r="L170" s="5">
        <v>13.6668868</v>
      </c>
      <c r="M170" s="5">
        <v>70.798227545046942</v>
      </c>
      <c r="N170" s="5">
        <v>-0.86999899829177796</v>
      </c>
      <c r="O170" s="1" t="str">
        <f>HYPERLINK(".\sm_car_250420_1025\sm_car_250420_1025_169_Ca153TrN_MaLSS_ode23t_1.png","figure")</f>
        <v>figure</v>
      </c>
      <c r="P170" t="s">
        <v>15</v>
      </c>
    </row>
    <row r="171" spans="1:16" x14ac:dyDescent="0.25">
      <c r="A171">
        <v>170</v>
      </c>
      <c r="B171">
        <v>154</v>
      </c>
      <c r="C171" t="s">
        <v>16</v>
      </c>
      <c r="D171" t="s">
        <v>17</v>
      </c>
      <c r="E171" t="s">
        <v>18</v>
      </c>
      <c r="F171" t="s">
        <v>19</v>
      </c>
      <c r="G171" t="s">
        <v>109</v>
      </c>
      <c r="H171" t="s">
        <v>21</v>
      </c>
      <c r="I171" t="s">
        <v>24</v>
      </c>
      <c r="J171" t="s">
        <v>23</v>
      </c>
      <c r="K171">
        <v>490</v>
      </c>
      <c r="L171" s="5">
        <v>16.212414500000001</v>
      </c>
      <c r="M171" s="5">
        <v>70.990544076637192</v>
      </c>
      <c r="N171" s="5">
        <v>-0.35496737841862291</v>
      </c>
      <c r="O171" s="1" t="str">
        <f>HYPERLINK(".\sm_car_250420_1025\sm_car_250420_1025_170_Ca154TrN_MaLSS_ode23t_1.png","figure")</f>
        <v>figure</v>
      </c>
      <c r="P171" t="s">
        <v>15</v>
      </c>
    </row>
    <row r="172" spans="1:16" x14ac:dyDescent="0.25">
      <c r="A172">
        <v>171</v>
      </c>
      <c r="B172">
        <v>155</v>
      </c>
      <c r="C172" t="s">
        <v>16</v>
      </c>
      <c r="D172" t="s">
        <v>17</v>
      </c>
      <c r="E172" t="s">
        <v>18</v>
      </c>
      <c r="F172" t="s">
        <v>19</v>
      </c>
      <c r="G172" t="s">
        <v>62</v>
      </c>
      <c r="H172" t="s">
        <v>21</v>
      </c>
      <c r="I172" t="s">
        <v>24</v>
      </c>
      <c r="J172" t="s">
        <v>23</v>
      </c>
      <c r="K172">
        <v>556</v>
      </c>
      <c r="L172" s="5">
        <v>19.479198700000001</v>
      </c>
      <c r="M172" s="5">
        <v>70.837282126447874</v>
      </c>
      <c r="N172" s="5">
        <v>-0.84670149950090556</v>
      </c>
      <c r="O172" s="1" t="str">
        <f>HYPERLINK(".\sm_car_250420_1025\sm_car_250420_1025_171_Ca155TrN_MaLSS_ode23t_1.png","figure")</f>
        <v>figure</v>
      </c>
      <c r="P172" t="s">
        <v>15</v>
      </c>
    </row>
    <row r="173" spans="1:16" x14ac:dyDescent="0.25">
      <c r="A173">
        <v>172</v>
      </c>
      <c r="B173">
        <v>4</v>
      </c>
      <c r="C173" t="s">
        <v>16</v>
      </c>
      <c r="D173" t="s">
        <v>17</v>
      </c>
      <c r="E173" t="s">
        <v>18</v>
      </c>
      <c r="F173" t="s">
        <v>28</v>
      </c>
      <c r="G173" t="s">
        <v>20</v>
      </c>
      <c r="H173" t="s">
        <v>21</v>
      </c>
      <c r="I173" t="s">
        <v>22</v>
      </c>
      <c r="J173" t="s">
        <v>63</v>
      </c>
      <c r="K173">
        <v>3247</v>
      </c>
      <c r="L173" s="5">
        <v>8.7194020000000005</v>
      </c>
      <c r="M173" s="5">
        <v>231.38923252163076</v>
      </c>
      <c r="N173" s="5">
        <v>2.2944610708496901E-3</v>
      </c>
      <c r="O173" s="1" t="str">
        <f>HYPERLINK(".\sm_car_250420_1025\sm_car_250420_1025_172_Ca004TrN_MaWOT_ode3_1.png","figure")</f>
        <v>figure</v>
      </c>
      <c r="P173" t="s">
        <v>15</v>
      </c>
    </row>
    <row r="174" spans="1:16" x14ac:dyDescent="0.25">
      <c r="A174">
        <v>173</v>
      </c>
      <c r="B174">
        <v>4</v>
      </c>
      <c r="C174" t="s">
        <v>16</v>
      </c>
      <c r="D174" t="s">
        <v>17</v>
      </c>
      <c r="E174" t="s">
        <v>18</v>
      </c>
      <c r="F174" t="s">
        <v>28</v>
      </c>
      <c r="G174" t="s">
        <v>20</v>
      </c>
      <c r="H174" t="s">
        <v>21</v>
      </c>
      <c r="I174" t="s">
        <v>24</v>
      </c>
      <c r="J174" t="s">
        <v>63</v>
      </c>
      <c r="K174">
        <v>2564</v>
      </c>
      <c r="L174" s="5">
        <v>7.4092397999999999</v>
      </c>
      <c r="M174" s="5">
        <v>71.253969951402098</v>
      </c>
      <c r="N174" s="5">
        <v>-0.54014322697826567</v>
      </c>
      <c r="O174" s="1" t="str">
        <f>HYPERLINK(".\sm_car_250420_1025\sm_car_250420_1025_173_Ca004TrN_MaLSS_ode3_1.png","figure")</f>
        <v>figure</v>
      </c>
      <c r="P174" t="s">
        <v>15</v>
      </c>
    </row>
    <row r="175" spans="1:16" x14ac:dyDescent="0.25">
      <c r="A175">
        <v>174</v>
      </c>
      <c r="B175">
        <v>4</v>
      </c>
      <c r="C175" t="s">
        <v>16</v>
      </c>
      <c r="D175" t="s">
        <v>17</v>
      </c>
      <c r="E175" t="s">
        <v>18</v>
      </c>
      <c r="F175" t="s">
        <v>28</v>
      </c>
      <c r="G175" t="s">
        <v>20</v>
      </c>
      <c r="H175" t="s">
        <v>21</v>
      </c>
      <c r="I175" t="s">
        <v>64</v>
      </c>
      <c r="J175" t="s">
        <v>63</v>
      </c>
      <c r="K175">
        <v>2562</v>
      </c>
      <c r="L175" s="5">
        <v>7.2373015000000001</v>
      </c>
      <c r="M175" s="5">
        <v>63.785889456714656</v>
      </c>
      <c r="N175" s="5">
        <v>-25.043861215377692</v>
      </c>
      <c r="O175" s="1" t="str">
        <f>HYPERLINK(".\sm_car_250420_1025\sm_car_250420_1025_174_Ca004TrN_MaTUR_ode3_1.png","figure")</f>
        <v>figure</v>
      </c>
      <c r="P175" t="s">
        <v>15</v>
      </c>
    </row>
    <row r="176" spans="1:16" x14ac:dyDescent="0.25">
      <c r="A176">
        <v>175</v>
      </c>
      <c r="B176">
        <v>116</v>
      </c>
      <c r="C176" t="s">
        <v>16</v>
      </c>
      <c r="D176" t="s">
        <v>35</v>
      </c>
      <c r="E176" t="s">
        <v>18</v>
      </c>
      <c r="F176" t="s">
        <v>28</v>
      </c>
      <c r="G176" t="s">
        <v>20</v>
      </c>
      <c r="H176" t="s">
        <v>21</v>
      </c>
      <c r="I176" t="s">
        <v>22</v>
      </c>
      <c r="J176" t="s">
        <v>63</v>
      </c>
      <c r="K176">
        <v>3244</v>
      </c>
      <c r="L176" s="5">
        <v>3.5678190999999999</v>
      </c>
      <c r="M176" s="5">
        <v>242.70379428436041</v>
      </c>
      <c r="N176" s="5">
        <v>0.23327324309701689</v>
      </c>
      <c r="O176" s="1" t="str">
        <f>HYPERLINK(".\sm_car_250420_1025\sm_car_250420_1025_175_Ca116TrN_MaWOT_ode3_1.png","figure")</f>
        <v>figure</v>
      </c>
      <c r="P176" t="s">
        <v>15</v>
      </c>
    </row>
    <row r="177" spans="1:16" x14ac:dyDescent="0.25">
      <c r="A177">
        <v>176</v>
      </c>
      <c r="B177">
        <v>116</v>
      </c>
      <c r="C177" t="s">
        <v>16</v>
      </c>
      <c r="D177" t="s">
        <v>35</v>
      </c>
      <c r="E177" t="s">
        <v>18</v>
      </c>
      <c r="F177" t="s">
        <v>28</v>
      </c>
      <c r="G177" t="s">
        <v>20</v>
      </c>
      <c r="H177" t="s">
        <v>21</v>
      </c>
      <c r="I177" t="s">
        <v>24</v>
      </c>
      <c r="J177" t="s">
        <v>63</v>
      </c>
      <c r="K177">
        <v>2564</v>
      </c>
      <c r="L177" s="5">
        <v>3.0055510999999999</v>
      </c>
      <c r="M177" s="5">
        <v>74.659491982450774</v>
      </c>
      <c r="N177" s="5">
        <v>-0.34093758006291858</v>
      </c>
      <c r="O177" s="1" t="str">
        <f>HYPERLINK(".\sm_car_250420_1025\sm_car_250420_1025_176_Ca116TrN_MaLSS_ode3_1.png","figure")</f>
        <v>figure</v>
      </c>
      <c r="P177" t="s">
        <v>15</v>
      </c>
    </row>
    <row r="178" spans="1:16" x14ac:dyDescent="0.25">
      <c r="A178">
        <v>177</v>
      </c>
      <c r="B178">
        <v>116</v>
      </c>
      <c r="C178" t="s">
        <v>16</v>
      </c>
      <c r="D178" t="s">
        <v>35</v>
      </c>
      <c r="E178" t="s">
        <v>18</v>
      </c>
      <c r="F178" t="s">
        <v>28</v>
      </c>
      <c r="G178" t="s">
        <v>20</v>
      </c>
      <c r="H178" t="s">
        <v>21</v>
      </c>
      <c r="I178" t="s">
        <v>64</v>
      </c>
      <c r="J178" t="s">
        <v>63</v>
      </c>
      <c r="K178">
        <v>2563</v>
      </c>
      <c r="L178" s="5">
        <v>3.0438592999999998</v>
      </c>
      <c r="M178" s="5">
        <v>71.32397117118802</v>
      </c>
      <c r="N178" s="5">
        <v>-17.591551103430934</v>
      </c>
      <c r="O178" s="1" t="str">
        <f>HYPERLINK(".\sm_car_250420_1025\sm_car_250420_1025_177_Ca116TrN_MaTUR_ode3_1.png","figure")</f>
        <v>figure</v>
      </c>
      <c r="P178" t="s">
        <v>15</v>
      </c>
    </row>
    <row r="179" spans="1:16" x14ac:dyDescent="0.25">
      <c r="A179">
        <v>178</v>
      </c>
      <c r="B179">
        <v>124</v>
      </c>
      <c r="C179" t="s">
        <v>16</v>
      </c>
      <c r="D179" t="s">
        <v>35</v>
      </c>
      <c r="E179" t="s">
        <v>49</v>
      </c>
      <c r="F179" t="s">
        <v>28</v>
      </c>
      <c r="G179" t="s">
        <v>20</v>
      </c>
      <c r="H179" t="s">
        <v>21</v>
      </c>
      <c r="I179" t="s">
        <v>22</v>
      </c>
      <c r="J179" t="s">
        <v>63</v>
      </c>
      <c r="K179">
        <v>3244</v>
      </c>
      <c r="L179" s="5">
        <v>2.1201591999999998</v>
      </c>
      <c r="M179" s="5">
        <v>242.88013068819623</v>
      </c>
      <c r="N179" s="5">
        <v>0.23307974035338433</v>
      </c>
      <c r="O179" s="1" t="str">
        <f>HYPERLINK(".\sm_car_250420_1025\sm_car_250420_1025_178_Ca124TrN_MaWOT_ode3_1.png","figure")</f>
        <v>figure</v>
      </c>
      <c r="P179" t="s">
        <v>15</v>
      </c>
    </row>
    <row r="180" spans="1:16" x14ac:dyDescent="0.25">
      <c r="A180">
        <v>179</v>
      </c>
      <c r="B180">
        <v>124</v>
      </c>
      <c r="C180" t="s">
        <v>16</v>
      </c>
      <c r="D180" t="s">
        <v>35</v>
      </c>
      <c r="E180" t="s">
        <v>49</v>
      </c>
      <c r="F180" t="s">
        <v>28</v>
      </c>
      <c r="G180" t="s">
        <v>20</v>
      </c>
      <c r="H180" t="s">
        <v>21</v>
      </c>
      <c r="I180" t="s">
        <v>24</v>
      </c>
      <c r="J180" t="s">
        <v>63</v>
      </c>
      <c r="K180">
        <v>2565</v>
      </c>
      <c r="L180" s="5">
        <v>1.8293309</v>
      </c>
      <c r="M180" s="5">
        <v>74.798394612599097</v>
      </c>
      <c r="N180" s="5">
        <v>-0.34251622055333664</v>
      </c>
      <c r="O180" s="1" t="str">
        <f>HYPERLINK(".\sm_car_250420_1025\sm_car_250420_1025_179_Ca124TrN_MaLSS_ode3_1.png","figure")</f>
        <v>figure</v>
      </c>
      <c r="P180" t="s">
        <v>15</v>
      </c>
    </row>
    <row r="181" spans="1:16" x14ac:dyDescent="0.25">
      <c r="A181">
        <v>180</v>
      </c>
      <c r="B181">
        <v>124</v>
      </c>
      <c r="C181" t="s">
        <v>16</v>
      </c>
      <c r="D181" t="s">
        <v>35</v>
      </c>
      <c r="E181" t="s">
        <v>49</v>
      </c>
      <c r="F181" t="s">
        <v>28</v>
      </c>
      <c r="G181" t="s">
        <v>20</v>
      </c>
      <c r="H181" t="s">
        <v>21</v>
      </c>
      <c r="I181" t="s">
        <v>64</v>
      </c>
      <c r="J181" t="s">
        <v>63</v>
      </c>
      <c r="K181">
        <v>2564</v>
      </c>
      <c r="L181" s="5">
        <v>1.7570783000000001</v>
      </c>
      <c r="M181" s="5">
        <v>71.449352968456878</v>
      </c>
      <c r="N181" s="5">
        <v>-17.63759605520924</v>
      </c>
      <c r="O181" s="1" t="str">
        <f>HYPERLINK(".\sm_car_250420_1025\sm_car_250420_1025_180_Ca124TrN_MaTUR_ode3_1.png","figure")</f>
        <v>figure</v>
      </c>
      <c r="P181" t="s">
        <v>15</v>
      </c>
    </row>
    <row r="182" spans="1:16" x14ac:dyDescent="0.25">
      <c r="A182">
        <v>181</v>
      </c>
      <c r="B182">
        <v>141</v>
      </c>
      <c r="C182" t="s">
        <v>45</v>
      </c>
      <c r="D182" t="s">
        <v>17</v>
      </c>
      <c r="E182" t="s">
        <v>18</v>
      </c>
      <c r="F182" t="s">
        <v>28</v>
      </c>
      <c r="G182" t="s">
        <v>26</v>
      </c>
      <c r="H182" t="s">
        <v>21</v>
      </c>
      <c r="I182" t="s">
        <v>22</v>
      </c>
      <c r="J182" t="s">
        <v>63</v>
      </c>
      <c r="K182">
        <v>3837</v>
      </c>
      <c r="L182" s="5">
        <v>12.769193400000001</v>
      </c>
      <c r="M182" s="5">
        <v>405.30632134100546</v>
      </c>
      <c r="N182" s="5">
        <v>1.5698091305946216</v>
      </c>
      <c r="O182" s="1" t="str">
        <f>HYPERLINK(".\sm_car_250420_1025\sm_car_250420_1025_181_Ca141TrN_MaWOT_ode3_1.png","figure")</f>
        <v>figure</v>
      </c>
      <c r="P182" t="s">
        <v>15</v>
      </c>
    </row>
    <row r="183" spans="1:16" x14ac:dyDescent="0.25">
      <c r="A183">
        <v>182</v>
      </c>
      <c r="B183">
        <v>141</v>
      </c>
      <c r="C183" t="s">
        <v>45</v>
      </c>
      <c r="D183" t="s">
        <v>17</v>
      </c>
      <c r="E183" t="s">
        <v>18</v>
      </c>
      <c r="F183" t="s">
        <v>28</v>
      </c>
      <c r="G183" t="s">
        <v>26</v>
      </c>
      <c r="H183" t="s">
        <v>21</v>
      </c>
      <c r="I183" t="s">
        <v>24</v>
      </c>
      <c r="J183" t="s">
        <v>63</v>
      </c>
      <c r="K183">
        <v>3192</v>
      </c>
      <c r="L183" s="5">
        <v>10.454443700000001</v>
      </c>
      <c r="M183" s="5">
        <v>154.47541568034066</v>
      </c>
      <c r="N183" s="5">
        <v>-0.5837101190115932</v>
      </c>
      <c r="O183" s="1" t="str">
        <f>HYPERLINK(".\sm_car_250420_1025\sm_car_250420_1025_182_Ca141TrN_MaLSS_ode3_1.png","figure")</f>
        <v>figure</v>
      </c>
      <c r="P183" t="s">
        <v>15</v>
      </c>
    </row>
    <row r="184" spans="1:16" x14ac:dyDescent="0.25">
      <c r="A184">
        <v>183</v>
      </c>
      <c r="B184">
        <v>141</v>
      </c>
      <c r="C184" t="s">
        <v>45</v>
      </c>
      <c r="D184" t="s">
        <v>17</v>
      </c>
      <c r="E184" t="s">
        <v>18</v>
      </c>
      <c r="F184" t="s">
        <v>28</v>
      </c>
      <c r="G184" t="s">
        <v>26</v>
      </c>
      <c r="H184" t="s">
        <v>21</v>
      </c>
      <c r="I184" t="s">
        <v>64</v>
      </c>
      <c r="J184" t="s">
        <v>63</v>
      </c>
      <c r="K184">
        <v>3160</v>
      </c>
      <c r="L184" s="5">
        <v>10.4025564</v>
      </c>
      <c r="M184" s="5">
        <v>98.346090981501419</v>
      </c>
      <c r="N184" s="5">
        <v>-87.528834297815479</v>
      </c>
      <c r="O184" s="1" t="str">
        <f>HYPERLINK(".\sm_car_250420_1025\sm_car_250420_1025_183_Ca141TrN_MaTUR_ode3_1.png","figure")</f>
        <v>figure</v>
      </c>
      <c r="P184" t="s">
        <v>15</v>
      </c>
    </row>
    <row r="185" spans="1:16" x14ac:dyDescent="0.25">
      <c r="A185">
        <v>184</v>
      </c>
      <c r="B185">
        <v>145</v>
      </c>
      <c r="C185" t="s">
        <v>46</v>
      </c>
      <c r="D185" t="s">
        <v>17</v>
      </c>
      <c r="E185" t="s">
        <v>50</v>
      </c>
      <c r="F185" t="s">
        <v>19</v>
      </c>
      <c r="G185" t="s">
        <v>26</v>
      </c>
      <c r="H185" t="s">
        <v>21</v>
      </c>
      <c r="I185" t="s">
        <v>22</v>
      </c>
      <c r="J185" t="s">
        <v>63</v>
      </c>
      <c r="K185">
        <v>2853</v>
      </c>
      <c r="L185" s="5">
        <v>7.8715695999999999</v>
      </c>
      <c r="M185" s="5">
        <v>96.209777371576479</v>
      </c>
      <c r="N185" s="5">
        <v>-6.268717987411708E-2</v>
      </c>
      <c r="O185" s="1" t="str">
        <f>HYPERLINK(".\sm_car_250420_1025\sm_car_250420_1025_184_Ca145TrN_MaWOT_ode3_1.png","figure")</f>
        <v>figure</v>
      </c>
      <c r="P185" t="s">
        <v>15</v>
      </c>
    </row>
    <row r="186" spans="1:16" x14ac:dyDescent="0.25">
      <c r="A186">
        <v>185</v>
      </c>
      <c r="B186">
        <v>145</v>
      </c>
      <c r="C186" t="s">
        <v>46</v>
      </c>
      <c r="D186" t="s">
        <v>17</v>
      </c>
      <c r="E186" t="s">
        <v>50</v>
      </c>
      <c r="F186" t="s">
        <v>19</v>
      </c>
      <c r="G186" t="s">
        <v>26</v>
      </c>
      <c r="H186" t="s">
        <v>21</v>
      </c>
      <c r="I186" t="s">
        <v>24</v>
      </c>
      <c r="J186" t="s">
        <v>63</v>
      </c>
      <c r="K186">
        <v>2381</v>
      </c>
      <c r="L186" s="5">
        <v>6.7132518000000001</v>
      </c>
      <c r="M186" s="5">
        <v>25.347056822807058</v>
      </c>
      <c r="N186" s="5">
        <v>-5.5468035674094057E-2</v>
      </c>
      <c r="O186" s="1" t="str">
        <f>HYPERLINK(".\sm_car_250420_1025\sm_car_250420_1025_185_Ca145TrN_MaLSS_ode3_1.png","figure")</f>
        <v>figure</v>
      </c>
      <c r="P186" t="s">
        <v>15</v>
      </c>
    </row>
    <row r="187" spans="1:16" x14ac:dyDescent="0.25">
      <c r="A187">
        <v>186</v>
      </c>
      <c r="B187">
        <v>145</v>
      </c>
      <c r="C187" t="s">
        <v>46</v>
      </c>
      <c r="D187" t="s">
        <v>17</v>
      </c>
      <c r="E187" t="s">
        <v>50</v>
      </c>
      <c r="F187" t="s">
        <v>19</v>
      </c>
      <c r="G187" t="s">
        <v>26</v>
      </c>
      <c r="H187" t="s">
        <v>21</v>
      </c>
      <c r="I187" t="s">
        <v>64</v>
      </c>
      <c r="J187" t="s">
        <v>63</v>
      </c>
      <c r="K187">
        <v>2381</v>
      </c>
      <c r="L187" s="5">
        <v>6.6379989999999998</v>
      </c>
      <c r="M187" s="5">
        <v>25.18709553334434</v>
      </c>
      <c r="N187" s="5">
        <v>-2.6264793968017099</v>
      </c>
      <c r="O187" s="1" t="str">
        <f>HYPERLINK(".\sm_car_250420_1025\sm_car_250420_1025_186_Ca145TrN_MaTUR_ode3_1.png","figure")</f>
        <v>figure</v>
      </c>
      <c r="P187" t="s">
        <v>15</v>
      </c>
    </row>
    <row r="188" spans="1:16" x14ac:dyDescent="0.25">
      <c r="A188">
        <v>187</v>
      </c>
      <c r="B188">
        <v>199</v>
      </c>
      <c r="C188" t="s">
        <v>46</v>
      </c>
      <c r="D188" t="s">
        <v>17</v>
      </c>
      <c r="E188" t="s">
        <v>110</v>
      </c>
      <c r="F188" t="s">
        <v>19</v>
      </c>
      <c r="G188" t="s">
        <v>26</v>
      </c>
      <c r="H188" t="s">
        <v>21</v>
      </c>
      <c r="I188" t="s">
        <v>22</v>
      </c>
      <c r="J188" t="s">
        <v>63</v>
      </c>
      <c r="K188">
        <v>2855</v>
      </c>
      <c r="L188" s="5">
        <v>8.8864598000000008</v>
      </c>
      <c r="M188" s="5">
        <v>96.878381386336329</v>
      </c>
      <c r="N188" s="5">
        <v>0.14646621937649884</v>
      </c>
      <c r="O188" s="1" t="str">
        <f>HYPERLINK(".\sm_car_250420_1025\sm_car_250420_1025_187_Ca199TrN_MaWOT_ode3_1.png","figure")</f>
        <v>figure</v>
      </c>
      <c r="P188" t="s">
        <v>15</v>
      </c>
    </row>
    <row r="189" spans="1:16" x14ac:dyDescent="0.25">
      <c r="A189">
        <v>188</v>
      </c>
      <c r="B189">
        <v>199</v>
      </c>
      <c r="C189" t="s">
        <v>46</v>
      </c>
      <c r="D189" t="s">
        <v>17</v>
      </c>
      <c r="E189" t="s">
        <v>110</v>
      </c>
      <c r="F189" t="s">
        <v>19</v>
      </c>
      <c r="G189" t="s">
        <v>26</v>
      </c>
      <c r="H189" t="s">
        <v>21</v>
      </c>
      <c r="I189" t="s">
        <v>24</v>
      </c>
      <c r="J189" t="s">
        <v>63</v>
      </c>
      <c r="K189">
        <v>2380</v>
      </c>
      <c r="L189" s="5">
        <v>7.3812860000000002</v>
      </c>
      <c r="M189" s="5">
        <v>25.961292515468749</v>
      </c>
      <c r="N189" s="5">
        <v>-2.8540310149333017E-2</v>
      </c>
      <c r="O189" s="1" t="str">
        <f>HYPERLINK(".\sm_car_250420_1025\sm_car_250420_1025_188_Ca199TrN_MaLSS_ode3_1.png","figure")</f>
        <v>figure</v>
      </c>
      <c r="P189" t="s">
        <v>15</v>
      </c>
    </row>
    <row r="190" spans="1:16" x14ac:dyDescent="0.25">
      <c r="A190">
        <v>189</v>
      </c>
      <c r="B190">
        <v>199</v>
      </c>
      <c r="C190" t="s">
        <v>46</v>
      </c>
      <c r="D190" t="s">
        <v>17</v>
      </c>
      <c r="E190" t="s">
        <v>110</v>
      </c>
      <c r="F190" t="s">
        <v>19</v>
      </c>
      <c r="G190" t="s">
        <v>26</v>
      </c>
      <c r="H190" t="s">
        <v>21</v>
      </c>
      <c r="I190" t="s">
        <v>64</v>
      </c>
      <c r="J190" t="s">
        <v>63</v>
      </c>
      <c r="K190">
        <v>2383</v>
      </c>
      <c r="L190" s="5">
        <v>7.3048485000000003</v>
      </c>
      <c r="M190" s="5">
        <v>25.754329299585113</v>
      </c>
      <c r="N190" s="5">
        <v>-2.678209467543446</v>
      </c>
      <c r="O190" s="1" t="str">
        <f>HYPERLINK(".\sm_car_250420_1025\sm_car_250420_1025_189_Ca199TrN_MaTUR_ode3_1.png","figure")</f>
        <v>figure</v>
      </c>
      <c r="P190" t="s">
        <v>15</v>
      </c>
    </row>
    <row r="191" spans="1:16" x14ac:dyDescent="0.25">
      <c r="A191">
        <v>190</v>
      </c>
      <c r="B191">
        <v>139</v>
      </c>
      <c r="C191" t="s">
        <v>45</v>
      </c>
      <c r="D191" t="s">
        <v>17</v>
      </c>
      <c r="E191" t="s">
        <v>18</v>
      </c>
      <c r="F191" t="s">
        <v>19</v>
      </c>
      <c r="G191" t="s">
        <v>26</v>
      </c>
      <c r="H191" t="s">
        <v>21</v>
      </c>
      <c r="I191" t="s">
        <v>53</v>
      </c>
      <c r="J191" t="s">
        <v>23</v>
      </c>
      <c r="K191">
        <v>570</v>
      </c>
      <c r="L191" s="5">
        <v>10.1631327</v>
      </c>
      <c r="M191" s="5">
        <v>254.02681630838936</v>
      </c>
      <c r="N191" s="5">
        <v>-6.3170631713935776E-3</v>
      </c>
      <c r="O191" s="1" t="str">
        <f>HYPERLINK(".\sm_car_250420_1025\sm_car_250420_1025_190_Ca139TrN_MaDLC_ode23t_1.png","figure")</f>
        <v>figure</v>
      </c>
      <c r="P191" t="s">
        <v>15</v>
      </c>
    </row>
    <row r="192" spans="1:16" x14ac:dyDescent="0.25">
      <c r="A192">
        <v>191</v>
      </c>
      <c r="B192">
        <v>139</v>
      </c>
      <c r="C192" t="s">
        <v>45</v>
      </c>
      <c r="D192" t="s">
        <v>17</v>
      </c>
      <c r="E192" t="s">
        <v>18</v>
      </c>
      <c r="F192" t="s">
        <v>19</v>
      </c>
      <c r="G192" t="s">
        <v>26</v>
      </c>
      <c r="H192" t="s">
        <v>65</v>
      </c>
      <c r="I192" t="s">
        <v>53</v>
      </c>
      <c r="J192" t="s">
        <v>23</v>
      </c>
      <c r="K192">
        <v>893</v>
      </c>
      <c r="L192" s="5">
        <v>28.533007000000001</v>
      </c>
      <c r="M192" s="5">
        <v>253.20314745651984</v>
      </c>
      <c r="N192" s="5">
        <v>0.18465682905191727</v>
      </c>
      <c r="O192" s="1" t="str">
        <f>HYPERLINK(".\sm_car_250420_1025\sm_car_250420_1025_191_Ca139TrE_MaDLC_ode23t_1.png","figure")</f>
        <v>figure</v>
      </c>
      <c r="P192" t="s">
        <v>15</v>
      </c>
    </row>
    <row r="193" spans="1:16" x14ac:dyDescent="0.25">
      <c r="A193">
        <v>192</v>
      </c>
      <c r="B193">
        <v>139</v>
      </c>
      <c r="C193" t="s">
        <v>45</v>
      </c>
      <c r="D193" t="s">
        <v>17</v>
      </c>
      <c r="E193" t="s">
        <v>18</v>
      </c>
      <c r="F193" t="s">
        <v>19</v>
      </c>
      <c r="G193" t="s">
        <v>26</v>
      </c>
      <c r="H193" t="s">
        <v>66</v>
      </c>
      <c r="I193" t="s">
        <v>53</v>
      </c>
      <c r="J193" t="s">
        <v>23</v>
      </c>
      <c r="K193">
        <v>949</v>
      </c>
      <c r="L193" s="5">
        <v>30.6451426</v>
      </c>
      <c r="M193" s="5">
        <v>254.26555088485128</v>
      </c>
      <c r="N193" s="5">
        <v>-6.4740339763256216E-3</v>
      </c>
      <c r="O193" s="1" t="str">
        <f>HYPERLINK(".\sm_car_250420_1025\sm_car_250420_1025_192_Ca139TrT_MaDLC_ode23t_1.png","figure")</f>
        <v>figure</v>
      </c>
      <c r="P193" t="s">
        <v>15</v>
      </c>
    </row>
    <row r="194" spans="1:16" x14ac:dyDescent="0.25">
      <c r="A194">
        <v>193</v>
      </c>
      <c r="B194">
        <v>139</v>
      </c>
      <c r="C194" t="s">
        <v>45</v>
      </c>
      <c r="D194" t="s">
        <v>17</v>
      </c>
      <c r="E194" t="s">
        <v>18</v>
      </c>
      <c r="F194" t="s">
        <v>19</v>
      </c>
      <c r="G194" t="s">
        <v>26</v>
      </c>
      <c r="H194" t="s">
        <v>65</v>
      </c>
      <c r="I194" t="s">
        <v>53</v>
      </c>
      <c r="J194" t="s">
        <v>23</v>
      </c>
      <c r="K194">
        <v>795</v>
      </c>
      <c r="L194" s="5">
        <v>19.8869501</v>
      </c>
      <c r="M194" s="5">
        <v>253.88826160644334</v>
      </c>
      <c r="N194" s="5">
        <v>1.2560847453123358E-2</v>
      </c>
      <c r="O194" s="1" t="str">
        <f>HYPERLINK(".\sm_car_250420_1025\sm_car_250420_1025_193_Ca139TrE_MaDLC_ode23t_1.png","figure")</f>
        <v>figure</v>
      </c>
      <c r="P194" t="s">
        <v>15</v>
      </c>
    </row>
    <row r="195" spans="1:16" x14ac:dyDescent="0.25">
      <c r="A195">
        <v>194</v>
      </c>
      <c r="B195">
        <v>2</v>
      </c>
      <c r="C195" t="s">
        <v>16</v>
      </c>
      <c r="D195" t="s">
        <v>17</v>
      </c>
      <c r="E195" t="s">
        <v>18</v>
      </c>
      <c r="F195" t="s">
        <v>19</v>
      </c>
      <c r="G195" t="s">
        <v>26</v>
      </c>
      <c r="H195" t="s">
        <v>21</v>
      </c>
      <c r="I195" t="s">
        <v>53</v>
      </c>
      <c r="J195" t="s">
        <v>23</v>
      </c>
      <c r="K195">
        <v>633</v>
      </c>
      <c r="L195" s="5">
        <v>9.6125828000000002</v>
      </c>
      <c r="M195" s="5">
        <v>253.87935314211086</v>
      </c>
      <c r="N195" s="5">
        <v>3.3567594318437699E-3</v>
      </c>
      <c r="O195" s="1" t="str">
        <f>HYPERLINK(".\sm_car_250420_1025\sm_car_250420_1025_194_Ca002TrN_MaDLC_ode23t_1.png","figure")</f>
        <v>figure</v>
      </c>
      <c r="P195" t="s">
        <v>15</v>
      </c>
    </row>
    <row r="196" spans="1:16" x14ac:dyDescent="0.25">
      <c r="A196">
        <v>195</v>
      </c>
      <c r="B196">
        <v>2</v>
      </c>
      <c r="C196" t="s">
        <v>16</v>
      </c>
      <c r="D196" t="s">
        <v>17</v>
      </c>
      <c r="E196" t="s">
        <v>18</v>
      </c>
      <c r="F196" t="s">
        <v>19</v>
      </c>
      <c r="G196" t="s">
        <v>26</v>
      </c>
      <c r="H196" t="s">
        <v>65</v>
      </c>
      <c r="I196" t="s">
        <v>53</v>
      </c>
      <c r="J196" t="s">
        <v>23</v>
      </c>
      <c r="K196">
        <v>798</v>
      </c>
      <c r="L196" s="5">
        <v>22.080151099999998</v>
      </c>
      <c r="M196" s="5">
        <v>253.84021189323431</v>
      </c>
      <c r="N196" s="5">
        <v>3.3888423087500286E-3</v>
      </c>
      <c r="O196" s="1" t="str">
        <f>HYPERLINK(".\sm_car_250420_1025\sm_car_250420_1025_195_Ca002TrE_MaDLC_ode23t_1.png","figure")</f>
        <v>figure</v>
      </c>
      <c r="P196" t="s">
        <v>15</v>
      </c>
    </row>
    <row r="197" spans="1:16" x14ac:dyDescent="0.25">
      <c r="A197">
        <v>196</v>
      </c>
      <c r="B197">
        <v>2</v>
      </c>
      <c r="C197" t="s">
        <v>16</v>
      </c>
      <c r="D197" t="s">
        <v>17</v>
      </c>
      <c r="E197" t="s">
        <v>18</v>
      </c>
      <c r="F197" t="s">
        <v>19</v>
      </c>
      <c r="G197" t="s">
        <v>26</v>
      </c>
      <c r="H197" t="s">
        <v>66</v>
      </c>
      <c r="I197" t="s">
        <v>53</v>
      </c>
      <c r="J197" t="s">
        <v>23</v>
      </c>
      <c r="K197">
        <v>940</v>
      </c>
      <c r="L197" s="5">
        <v>26.8630788</v>
      </c>
      <c r="M197" s="5">
        <v>253.57686246054612</v>
      </c>
      <c r="N197" s="5">
        <v>3.5313264202505579E-3</v>
      </c>
      <c r="O197" s="1" t="str">
        <f>HYPERLINK(".\sm_car_250420_1025\sm_car_250420_1025_196_Ca002TrT_MaDLC_ode23t_1.png","figure")</f>
        <v>figure</v>
      </c>
      <c r="P197" t="s">
        <v>15</v>
      </c>
    </row>
    <row r="198" spans="1:16" x14ac:dyDescent="0.25">
      <c r="A198">
        <v>197</v>
      </c>
      <c r="B198">
        <v>2</v>
      </c>
      <c r="C198" t="s">
        <v>16</v>
      </c>
      <c r="D198" t="s">
        <v>17</v>
      </c>
      <c r="E198" t="s">
        <v>18</v>
      </c>
      <c r="F198" t="s">
        <v>19</v>
      </c>
      <c r="G198" t="s">
        <v>26</v>
      </c>
      <c r="H198" t="s">
        <v>65</v>
      </c>
      <c r="I198" t="s">
        <v>53</v>
      </c>
      <c r="J198" t="s">
        <v>23</v>
      </c>
      <c r="K198">
        <v>793</v>
      </c>
      <c r="L198" s="5">
        <v>15.7982256</v>
      </c>
      <c r="M198" s="5">
        <v>253.30559591592407</v>
      </c>
      <c r="N198" s="5">
        <v>3.6683170468716497E-3</v>
      </c>
      <c r="O198" s="1" t="str">
        <f>HYPERLINK(".\sm_car_250420_1025\sm_car_250420_1025_197_Ca002TrE_MaDLC_ode23t_1.png","figure")</f>
        <v>figure</v>
      </c>
      <c r="P198" t="s">
        <v>15</v>
      </c>
    </row>
    <row r="199" spans="1:16" x14ac:dyDescent="0.25">
      <c r="A199">
        <v>198</v>
      </c>
      <c r="B199">
        <v>145</v>
      </c>
      <c r="C199" t="s">
        <v>46</v>
      </c>
      <c r="D199" t="s">
        <v>17</v>
      </c>
      <c r="E199" t="s">
        <v>50</v>
      </c>
      <c r="F199" t="s">
        <v>19</v>
      </c>
      <c r="G199" t="s">
        <v>26</v>
      </c>
      <c r="H199" t="s">
        <v>21</v>
      </c>
      <c r="I199" t="s">
        <v>53</v>
      </c>
      <c r="J199" t="s">
        <v>23</v>
      </c>
      <c r="K199">
        <v>484</v>
      </c>
      <c r="L199" s="5">
        <v>17.514154000000001</v>
      </c>
      <c r="M199" s="5">
        <v>254.36567298214237</v>
      </c>
      <c r="N199" s="5">
        <v>4.4870120780060141E-2</v>
      </c>
      <c r="O199" s="1" t="str">
        <f>HYPERLINK(".\sm_car_250420_1025\sm_car_250420_1025_198_Ca145TrN_MaDLC_ode23t_1.png","figure")</f>
        <v>figure</v>
      </c>
      <c r="P199" t="s">
        <v>15</v>
      </c>
    </row>
    <row r="200" spans="1:16" x14ac:dyDescent="0.25">
      <c r="A200">
        <v>199</v>
      </c>
      <c r="B200">
        <v>145</v>
      </c>
      <c r="C200" t="s">
        <v>46</v>
      </c>
      <c r="D200" t="s">
        <v>17</v>
      </c>
      <c r="E200" t="s">
        <v>50</v>
      </c>
      <c r="F200" t="s">
        <v>19</v>
      </c>
      <c r="G200" t="s">
        <v>26</v>
      </c>
      <c r="H200" t="s">
        <v>65</v>
      </c>
      <c r="I200" t="s">
        <v>53</v>
      </c>
      <c r="J200" t="s">
        <v>23</v>
      </c>
      <c r="K200">
        <v>558</v>
      </c>
      <c r="L200" s="5">
        <v>33.2622651</v>
      </c>
      <c r="M200" s="5">
        <v>254.12677566809754</v>
      </c>
      <c r="N200" s="5">
        <v>4.6271065025759839E-2</v>
      </c>
      <c r="O200" s="1" t="str">
        <f>HYPERLINK(".\sm_car_250420_1025\sm_car_250420_1025_199_Ca145TrE_MaDLC_ode23t_1.png","figure")</f>
        <v>figure</v>
      </c>
      <c r="P200" t="s">
        <v>15</v>
      </c>
    </row>
    <row r="201" spans="1:16" x14ac:dyDescent="0.25">
      <c r="A201">
        <v>200</v>
      </c>
      <c r="B201">
        <v>145</v>
      </c>
      <c r="C201" t="s">
        <v>46</v>
      </c>
      <c r="D201" t="s">
        <v>17</v>
      </c>
      <c r="E201" t="s">
        <v>50</v>
      </c>
      <c r="F201" t="s">
        <v>19</v>
      </c>
      <c r="G201" t="s">
        <v>26</v>
      </c>
      <c r="H201" t="s">
        <v>66</v>
      </c>
      <c r="I201" t="s">
        <v>53</v>
      </c>
      <c r="J201" t="s">
        <v>23</v>
      </c>
      <c r="K201">
        <v>641</v>
      </c>
      <c r="L201" s="5">
        <v>38.665044999999999</v>
      </c>
      <c r="M201" s="5">
        <v>253.44105045004454</v>
      </c>
      <c r="N201" s="5">
        <v>4.8506732274613107E-2</v>
      </c>
      <c r="O201" s="1" t="str">
        <f>HYPERLINK(".\sm_car_250420_1025\sm_car_250420_1025_200_Ca145TrT_MaDLC_ode23t_1.png","figure")</f>
        <v>figure</v>
      </c>
      <c r="P201" t="s">
        <v>15</v>
      </c>
    </row>
    <row r="202" spans="1:16" x14ac:dyDescent="0.25">
      <c r="A202">
        <v>201</v>
      </c>
      <c r="B202">
        <v>145</v>
      </c>
      <c r="C202" t="s">
        <v>46</v>
      </c>
      <c r="D202" t="s">
        <v>17</v>
      </c>
      <c r="E202" t="s">
        <v>50</v>
      </c>
      <c r="F202" t="s">
        <v>19</v>
      </c>
      <c r="G202" t="s">
        <v>26</v>
      </c>
      <c r="H202" t="s">
        <v>65</v>
      </c>
      <c r="I202" t="s">
        <v>53</v>
      </c>
      <c r="J202" t="s">
        <v>23</v>
      </c>
      <c r="K202">
        <v>557</v>
      </c>
      <c r="L202" s="5">
        <v>27.6566318</v>
      </c>
      <c r="M202" s="5">
        <v>254.12613130846518</v>
      </c>
      <c r="N202" s="5">
        <v>4.6239312500530261E-2</v>
      </c>
      <c r="O202" s="1" t="str">
        <f>HYPERLINK(".\sm_car_250420_1025\sm_car_250420_1025_201_Ca145TrE_MaDLC_ode23t_1.png","figure")</f>
        <v>figure</v>
      </c>
      <c r="P202" t="s">
        <v>15</v>
      </c>
    </row>
    <row r="203" spans="1:16" x14ac:dyDescent="0.25">
      <c r="A203">
        <v>202</v>
      </c>
      <c r="B203">
        <v>199</v>
      </c>
      <c r="C203" t="s">
        <v>46</v>
      </c>
      <c r="D203" t="s">
        <v>17</v>
      </c>
      <c r="E203" t="s">
        <v>110</v>
      </c>
      <c r="F203" t="s">
        <v>19</v>
      </c>
      <c r="G203" t="s">
        <v>26</v>
      </c>
      <c r="H203" t="s">
        <v>21</v>
      </c>
      <c r="I203" t="s">
        <v>53</v>
      </c>
      <c r="J203" t="s">
        <v>23</v>
      </c>
      <c r="K203">
        <v>482</v>
      </c>
      <c r="L203" s="5">
        <v>7.2825347000000002</v>
      </c>
      <c r="M203" s="5">
        <v>255.34531690421773</v>
      </c>
      <c r="N203" s="5">
        <v>4.1066499157075498E-2</v>
      </c>
      <c r="O203" s="1" t="str">
        <f>HYPERLINK(".\sm_car_250420_1025\sm_car_250420_1025_202_Ca199TrN_MaDLC_ode23t_1.png","figure")</f>
        <v>figure</v>
      </c>
      <c r="P203" t="s">
        <v>15</v>
      </c>
    </row>
    <row r="204" spans="1:16" x14ac:dyDescent="0.25">
      <c r="A204">
        <v>203</v>
      </c>
      <c r="B204">
        <v>199</v>
      </c>
      <c r="C204" t="s">
        <v>46</v>
      </c>
      <c r="D204" t="s">
        <v>17</v>
      </c>
      <c r="E204" t="s">
        <v>110</v>
      </c>
      <c r="F204" t="s">
        <v>19</v>
      </c>
      <c r="G204" t="s">
        <v>26</v>
      </c>
      <c r="H204" t="s">
        <v>65</v>
      </c>
      <c r="I204" t="s">
        <v>53</v>
      </c>
      <c r="J204" t="s">
        <v>23</v>
      </c>
      <c r="K204">
        <v>558</v>
      </c>
      <c r="L204" s="5">
        <v>18.131584100000001</v>
      </c>
      <c r="M204" s="5">
        <v>253.80901497807969</v>
      </c>
      <c r="N204" s="5">
        <v>4.7422452858336683E-2</v>
      </c>
      <c r="O204" s="1" t="str">
        <f>HYPERLINK(".\sm_car_250420_1025\sm_car_250420_1025_203_Ca199TrE_MaDLC_ode23t_1.png","figure")</f>
        <v>figure</v>
      </c>
      <c r="P204" t="s">
        <v>15</v>
      </c>
    </row>
    <row r="205" spans="1:16" x14ac:dyDescent="0.25">
      <c r="A205">
        <v>204</v>
      </c>
      <c r="B205">
        <v>199</v>
      </c>
      <c r="C205" t="s">
        <v>46</v>
      </c>
      <c r="D205" t="s">
        <v>17</v>
      </c>
      <c r="E205" t="s">
        <v>110</v>
      </c>
      <c r="F205" t="s">
        <v>19</v>
      </c>
      <c r="G205" t="s">
        <v>26</v>
      </c>
      <c r="H205" t="s">
        <v>66</v>
      </c>
      <c r="I205" t="s">
        <v>53</v>
      </c>
      <c r="J205" t="s">
        <v>23</v>
      </c>
      <c r="K205">
        <v>586</v>
      </c>
      <c r="L205" s="5">
        <v>15.329753699999999</v>
      </c>
      <c r="M205" s="5">
        <v>254.23607098553805</v>
      </c>
      <c r="N205" s="5">
        <v>4.5500531299637714E-2</v>
      </c>
      <c r="O205" s="1" t="str">
        <f>HYPERLINK(".\sm_car_250420_1025\sm_car_250420_1025_204_Ca199TrT_MaDLC_ode23t_1.png","figure")</f>
        <v>figure</v>
      </c>
      <c r="P205" t="s">
        <v>15</v>
      </c>
    </row>
    <row r="206" spans="1:16" x14ac:dyDescent="0.25">
      <c r="A206">
        <v>205</v>
      </c>
      <c r="B206">
        <v>199</v>
      </c>
      <c r="C206" t="s">
        <v>46</v>
      </c>
      <c r="D206" t="s">
        <v>17</v>
      </c>
      <c r="E206" t="s">
        <v>110</v>
      </c>
      <c r="F206" t="s">
        <v>19</v>
      </c>
      <c r="G206" t="s">
        <v>26</v>
      </c>
      <c r="H206" t="s">
        <v>65</v>
      </c>
      <c r="I206" t="s">
        <v>53</v>
      </c>
      <c r="J206" t="s">
        <v>23</v>
      </c>
      <c r="K206">
        <v>560</v>
      </c>
      <c r="L206" s="5">
        <v>12.6990455</v>
      </c>
      <c r="M206" s="5">
        <v>253.61037260378026</v>
      </c>
      <c r="N206" s="5">
        <v>4.8182840444419561E-2</v>
      </c>
      <c r="O206" s="1" t="str">
        <f>HYPERLINK(".\sm_car_250420_1025\sm_car_250420_1025_205_Ca199TrE_MaDLC_ode23t_1.png","figure")</f>
        <v>figure</v>
      </c>
      <c r="P206" t="s">
        <v>15</v>
      </c>
    </row>
    <row r="207" spans="1:16" x14ac:dyDescent="0.25">
      <c r="A207">
        <v>206</v>
      </c>
      <c r="B207">
        <v>189</v>
      </c>
      <c r="C207" t="s">
        <v>45</v>
      </c>
      <c r="D207" t="s">
        <v>17</v>
      </c>
      <c r="E207" t="s">
        <v>108</v>
      </c>
      <c r="F207" t="s">
        <v>19</v>
      </c>
      <c r="G207" t="s">
        <v>26</v>
      </c>
      <c r="H207" t="s">
        <v>65</v>
      </c>
      <c r="I207" t="s">
        <v>67</v>
      </c>
      <c r="J207" t="s">
        <v>23</v>
      </c>
      <c r="K207">
        <v>446</v>
      </c>
      <c r="L207" s="5">
        <v>11.4200053</v>
      </c>
      <c r="M207" s="5">
        <v>259.59900536132801</v>
      </c>
      <c r="N207" s="5">
        <v>5.0012582757608612</v>
      </c>
      <c r="O207" s="1" t="str">
        <f>HYPERLINK(".\sm_car_250420_1025\sm_car_250420_1025_206_Ca189TrE_MaTRD_ode23t_1.png","figure")</f>
        <v>figure</v>
      </c>
      <c r="P207" t="s">
        <v>15</v>
      </c>
    </row>
    <row r="208" spans="1:16" x14ac:dyDescent="0.25">
      <c r="A208">
        <v>207</v>
      </c>
      <c r="B208">
        <v>189</v>
      </c>
      <c r="C208" t="s">
        <v>45</v>
      </c>
      <c r="D208" t="s">
        <v>17</v>
      </c>
      <c r="E208" t="s">
        <v>108</v>
      </c>
      <c r="F208" t="s">
        <v>19</v>
      </c>
      <c r="G208" t="s">
        <v>26</v>
      </c>
      <c r="H208" t="s">
        <v>65</v>
      </c>
      <c r="I208" t="s">
        <v>67</v>
      </c>
      <c r="J208" t="s">
        <v>23</v>
      </c>
      <c r="K208">
        <v>633</v>
      </c>
      <c r="L208" s="5">
        <v>14.940885400000001</v>
      </c>
      <c r="M208" s="5">
        <v>259.57191752042019</v>
      </c>
      <c r="N208" s="5">
        <v>4.9160527779091465</v>
      </c>
      <c r="O208" s="1" t="str">
        <f>HYPERLINK(".\sm_car_250420_1025\sm_car_250420_1025_207_Ca189TrU_MaTRD_ode23t_1.png","figure")</f>
        <v>figure</v>
      </c>
      <c r="P208" t="s">
        <v>15</v>
      </c>
    </row>
    <row r="209" spans="1:16" x14ac:dyDescent="0.25">
      <c r="A209">
        <v>208</v>
      </c>
      <c r="B209">
        <v>149</v>
      </c>
      <c r="C209" t="s">
        <v>46</v>
      </c>
      <c r="D209" t="s">
        <v>17</v>
      </c>
      <c r="E209" t="s">
        <v>68</v>
      </c>
      <c r="F209" t="s">
        <v>19</v>
      </c>
      <c r="G209" t="s">
        <v>26</v>
      </c>
      <c r="H209" t="s">
        <v>21</v>
      </c>
      <c r="I209" t="s">
        <v>69</v>
      </c>
      <c r="J209" t="s">
        <v>23</v>
      </c>
      <c r="K209">
        <v>671</v>
      </c>
      <c r="L209" s="5">
        <v>9.8358328000000004</v>
      </c>
      <c r="M209" s="5">
        <v>-5.7629588848793212E-3</v>
      </c>
      <c r="N209" s="5">
        <v>-2.6047941423631982E-4</v>
      </c>
      <c r="O209" s="1" t="str">
        <f>HYPERLINK(".\sm_car_250420_1025\sm_car_250420_1025_208_Ca149TrN_MaPST_ode23t_1.png","figure")</f>
        <v>figure</v>
      </c>
      <c r="P209" t="s">
        <v>15</v>
      </c>
    </row>
    <row r="210" spans="1:16" x14ac:dyDescent="0.25">
      <c r="A210">
        <v>209</v>
      </c>
      <c r="B210">
        <v>139</v>
      </c>
      <c r="C210" t="s">
        <v>45</v>
      </c>
      <c r="D210" t="s">
        <v>17</v>
      </c>
      <c r="E210" t="s">
        <v>18</v>
      </c>
      <c r="F210" t="s">
        <v>19</v>
      </c>
      <c r="G210" t="s">
        <v>26</v>
      </c>
      <c r="H210" t="s">
        <v>21</v>
      </c>
      <c r="I210" t="s">
        <v>70</v>
      </c>
      <c r="J210" t="s">
        <v>23</v>
      </c>
      <c r="K210">
        <v>1608</v>
      </c>
      <c r="L210" s="5">
        <v>39.392919599999999</v>
      </c>
      <c r="M210" s="5">
        <v>36.360247732059285</v>
      </c>
      <c r="N210" s="5">
        <v>0.35198133807128668</v>
      </c>
      <c r="O210" s="1" t="str">
        <f>HYPERLINK(".\sm_car_250420_1025\sm_car_250420_1025_209_Ca139TrN_MaSKD_ode23t_1.png","figure")</f>
        <v>figure</v>
      </c>
      <c r="P210" t="s">
        <v>15</v>
      </c>
    </row>
    <row r="211" spans="1:16" x14ac:dyDescent="0.25">
      <c r="A211">
        <v>210</v>
      </c>
      <c r="B211">
        <v>139</v>
      </c>
      <c r="C211" t="s">
        <v>45</v>
      </c>
      <c r="D211" t="s">
        <v>17</v>
      </c>
      <c r="E211" t="s">
        <v>18</v>
      </c>
      <c r="F211" t="s">
        <v>19</v>
      </c>
      <c r="G211" t="s">
        <v>26</v>
      </c>
      <c r="H211" t="s">
        <v>21</v>
      </c>
      <c r="I211" t="s">
        <v>71</v>
      </c>
      <c r="J211" t="s">
        <v>23</v>
      </c>
      <c r="K211">
        <v>1096</v>
      </c>
      <c r="L211" s="5">
        <v>36.162973000000001</v>
      </c>
      <c r="M211" s="5">
        <v>3.4891871902008269</v>
      </c>
      <c r="N211" s="5">
        <v>27.081043629716969</v>
      </c>
      <c r="O211" s="1" t="str">
        <f>HYPERLINK(".\sm_car_250420_1025\sm_car_250420_1025_210_Ca139TrN_MaRAD_ode23t_1.png","figure")</f>
        <v>figure</v>
      </c>
      <c r="P211" t="s">
        <v>15</v>
      </c>
    </row>
    <row r="212" spans="1:16" x14ac:dyDescent="0.25">
      <c r="A212">
        <v>211</v>
      </c>
      <c r="B212">
        <v>184</v>
      </c>
      <c r="C212" t="s">
        <v>105</v>
      </c>
      <c r="D212" t="s">
        <v>122</v>
      </c>
      <c r="E212" t="s">
        <v>49</v>
      </c>
      <c r="F212" t="s">
        <v>19</v>
      </c>
      <c r="G212" t="s">
        <v>20</v>
      </c>
      <c r="H212" t="s">
        <v>21</v>
      </c>
      <c r="I212" t="s">
        <v>70</v>
      </c>
      <c r="J212" t="s">
        <v>23</v>
      </c>
      <c r="K212">
        <v>1319</v>
      </c>
      <c r="L212" s="5">
        <v>50.876672900000003</v>
      </c>
      <c r="M212" s="5">
        <v>36.655689715511102</v>
      </c>
      <c r="N212" s="5">
        <v>0.23968106904104836</v>
      </c>
      <c r="O212" s="1" t="str">
        <f>HYPERLINK(".\sm_car_250420_1025\sm_car_250420_1025_211_Ca184TrN_MaSKD_ode23t_1.png","figure")</f>
        <v>figure</v>
      </c>
      <c r="P212" t="s">
        <v>15</v>
      </c>
    </row>
    <row r="213" spans="1:16" x14ac:dyDescent="0.25">
      <c r="A213">
        <v>212</v>
      </c>
      <c r="B213">
        <v>184</v>
      </c>
      <c r="C213" t="s">
        <v>105</v>
      </c>
      <c r="D213" t="s">
        <v>122</v>
      </c>
      <c r="E213" t="s">
        <v>49</v>
      </c>
      <c r="F213" t="s">
        <v>19</v>
      </c>
      <c r="G213" t="s">
        <v>20</v>
      </c>
      <c r="H213" t="s">
        <v>21</v>
      </c>
      <c r="I213" t="s">
        <v>71</v>
      </c>
      <c r="J213" t="s">
        <v>23</v>
      </c>
      <c r="K213">
        <v>624</v>
      </c>
      <c r="L213" s="5">
        <v>22.064414599999999</v>
      </c>
      <c r="M213" s="5">
        <v>13.885005523078346</v>
      </c>
      <c r="N213" s="5">
        <v>23.763905668735653</v>
      </c>
      <c r="O213" s="1" t="str">
        <f>HYPERLINK(".\sm_car_250420_1025\sm_car_250420_1025_212_Ca184TrN_MaRAD_ode23t_1.png","figure")</f>
        <v>figure</v>
      </c>
      <c r="P213" t="s">
        <v>15</v>
      </c>
    </row>
    <row r="214" spans="1:16" x14ac:dyDescent="0.25">
      <c r="A214">
        <v>213</v>
      </c>
      <c r="B214">
        <v>198</v>
      </c>
      <c r="C214" t="s">
        <v>105</v>
      </c>
      <c r="D214" t="s">
        <v>122</v>
      </c>
      <c r="E214" t="s">
        <v>108</v>
      </c>
      <c r="F214" t="s">
        <v>19</v>
      </c>
      <c r="G214" t="s">
        <v>20</v>
      </c>
      <c r="H214" t="s">
        <v>21</v>
      </c>
      <c r="I214" t="s">
        <v>70</v>
      </c>
      <c r="J214" t="s">
        <v>23</v>
      </c>
      <c r="K214">
        <v>1418</v>
      </c>
      <c r="L214" s="5">
        <v>30.827190000000002</v>
      </c>
      <c r="M214" s="5">
        <v>36.364658590442126</v>
      </c>
      <c r="N214" s="5">
        <v>0.25115361661252816</v>
      </c>
      <c r="O214" s="1" t="str">
        <f>HYPERLINK(".\sm_car_250420_1025\sm_car_250420_1025_213_Ca198TrN_MaSKD_ode23t_1.png","figure")</f>
        <v>figure</v>
      </c>
      <c r="P214" t="s">
        <v>15</v>
      </c>
    </row>
    <row r="215" spans="1:16" x14ac:dyDescent="0.25">
      <c r="A215">
        <v>214</v>
      </c>
      <c r="B215">
        <v>198</v>
      </c>
      <c r="C215" t="s">
        <v>105</v>
      </c>
      <c r="D215" t="s">
        <v>122</v>
      </c>
      <c r="E215" t="s">
        <v>108</v>
      </c>
      <c r="F215" t="s">
        <v>19</v>
      </c>
      <c r="G215" t="s">
        <v>20</v>
      </c>
      <c r="H215" t="s">
        <v>21</v>
      </c>
      <c r="I215" t="s">
        <v>71</v>
      </c>
      <c r="J215" t="s">
        <v>23</v>
      </c>
      <c r="K215">
        <v>656</v>
      </c>
      <c r="L215" s="5">
        <v>13.351601799999999</v>
      </c>
      <c r="M215" s="5">
        <v>13.859150730737531</v>
      </c>
      <c r="N215" s="5">
        <v>23.712147125406943</v>
      </c>
      <c r="O215" s="1" t="str">
        <f>HYPERLINK(".\sm_car_250420_1025\sm_car_250420_1025_214_Ca198TrN_MaRAD_ode23t_1.png","figure")</f>
        <v>figure</v>
      </c>
      <c r="P215" t="s">
        <v>15</v>
      </c>
    </row>
    <row r="216" spans="1:16" x14ac:dyDescent="0.25">
      <c r="A216">
        <v>215</v>
      </c>
      <c r="B216">
        <v>189</v>
      </c>
      <c r="C216" t="s">
        <v>45</v>
      </c>
      <c r="D216" t="s">
        <v>17</v>
      </c>
      <c r="E216" t="s">
        <v>108</v>
      </c>
      <c r="F216" t="s">
        <v>19</v>
      </c>
      <c r="G216" t="s">
        <v>26</v>
      </c>
      <c r="H216" t="s">
        <v>21</v>
      </c>
      <c r="I216" t="s">
        <v>129</v>
      </c>
      <c r="J216" t="s">
        <v>23</v>
      </c>
      <c r="K216">
        <v>741</v>
      </c>
      <c r="L216" s="5">
        <v>11.55203</v>
      </c>
      <c r="M216" s="5">
        <v>120.1026496646229</v>
      </c>
      <c r="N216" s="5">
        <v>-15.848235854825608</v>
      </c>
      <c r="O216" s="1" t="str">
        <f>HYPERLINK(".\sm_car_250420_1025\sm_car_250420_1025_215_Ca189TrN_MaFSH_ode23t_1.png","figure")</f>
        <v>figure</v>
      </c>
      <c r="P216" t="s">
        <v>15</v>
      </c>
    </row>
    <row r="217" spans="1:16" x14ac:dyDescent="0.25">
      <c r="A217">
        <v>216</v>
      </c>
      <c r="B217">
        <v>189</v>
      </c>
      <c r="C217" t="s">
        <v>45</v>
      </c>
      <c r="D217" t="s">
        <v>17</v>
      </c>
      <c r="E217" t="s">
        <v>108</v>
      </c>
      <c r="F217" t="s">
        <v>19</v>
      </c>
      <c r="G217" t="s">
        <v>26</v>
      </c>
      <c r="H217" t="s">
        <v>21</v>
      </c>
      <c r="I217" t="s">
        <v>130</v>
      </c>
      <c r="J217" t="s">
        <v>23</v>
      </c>
      <c r="K217">
        <v>524</v>
      </c>
      <c r="L217" s="5">
        <v>7.5966823999999997</v>
      </c>
      <c r="M217" s="5">
        <v>117.00456441115223</v>
      </c>
      <c r="N217" s="5">
        <v>-9.4440606020405049</v>
      </c>
      <c r="O217" s="1" t="str">
        <f>HYPERLINK(".\sm_car_250420_1025\sm_car_250420_1025_216_Ca189TrN_MaSWD_ode23t_1.png","figure")</f>
        <v>figure</v>
      </c>
      <c r="P217" t="s">
        <v>15</v>
      </c>
    </row>
    <row r="218" spans="1:16" x14ac:dyDescent="0.25">
      <c r="A218">
        <v>217</v>
      </c>
      <c r="B218">
        <v>189</v>
      </c>
      <c r="C218" t="s">
        <v>45</v>
      </c>
      <c r="D218" t="s">
        <v>17</v>
      </c>
      <c r="E218" t="s">
        <v>108</v>
      </c>
      <c r="F218" t="s">
        <v>19</v>
      </c>
      <c r="G218" t="s">
        <v>26</v>
      </c>
      <c r="H218" t="s">
        <v>21</v>
      </c>
      <c r="I218" t="s">
        <v>131</v>
      </c>
      <c r="J218" t="s">
        <v>23</v>
      </c>
      <c r="K218">
        <v>533</v>
      </c>
      <c r="L218" s="5">
        <v>8.4651218000000004</v>
      </c>
      <c r="M218" s="5">
        <v>100.62861407925371</v>
      </c>
      <c r="N218" s="5">
        <v>18.072653153274871</v>
      </c>
      <c r="O218" s="1" t="str">
        <f>HYPERLINK(".\sm_car_250420_1025\sm_car_250420_1025_217_Ca189TrN_MaRST_ode23t_1.png","figure")</f>
        <v>figure</v>
      </c>
      <c r="P218" t="s">
        <v>15</v>
      </c>
    </row>
    <row r="219" spans="1:16" x14ac:dyDescent="0.25">
      <c r="A219">
        <v>218</v>
      </c>
      <c r="B219">
        <v>189</v>
      </c>
      <c r="C219" t="s">
        <v>45</v>
      </c>
      <c r="D219" t="s">
        <v>17</v>
      </c>
      <c r="E219" t="s">
        <v>108</v>
      </c>
      <c r="F219" t="s">
        <v>19</v>
      </c>
      <c r="G219" t="s">
        <v>26</v>
      </c>
      <c r="H219" t="s">
        <v>21</v>
      </c>
      <c r="I219" t="s">
        <v>132</v>
      </c>
      <c r="J219" t="s">
        <v>23</v>
      </c>
      <c r="K219">
        <v>613</v>
      </c>
      <c r="L219" s="5">
        <v>16.908589500000001</v>
      </c>
      <c r="M219" s="5">
        <v>230.88485064231523</v>
      </c>
      <c r="N219" s="5">
        <v>6.3433892012588741E-2</v>
      </c>
      <c r="O219" s="1" t="str">
        <f>HYPERLINK(".\sm_car_250420_1025\sm_car_250420_1025_218_Ca189TrN_MaSLA_ode23t_1.png","figure")</f>
        <v>figure</v>
      </c>
      <c r="P219" t="s">
        <v>15</v>
      </c>
    </row>
    <row r="220" spans="1:16" x14ac:dyDescent="0.25">
      <c r="A220">
        <v>219</v>
      </c>
      <c r="B220">
        <v>218</v>
      </c>
      <c r="C220" t="s">
        <v>16</v>
      </c>
      <c r="D220" t="s">
        <v>124</v>
      </c>
      <c r="E220" t="s">
        <v>108</v>
      </c>
      <c r="F220" t="s">
        <v>19</v>
      </c>
      <c r="G220" t="s">
        <v>26</v>
      </c>
      <c r="H220" t="s">
        <v>21</v>
      </c>
      <c r="I220" t="s">
        <v>129</v>
      </c>
      <c r="J220" t="s">
        <v>23</v>
      </c>
      <c r="K220">
        <v>679</v>
      </c>
      <c r="L220" s="5">
        <v>6.4681939000000002</v>
      </c>
      <c r="M220" s="5">
        <v>90.63902614531132</v>
      </c>
      <c r="N220" s="5">
        <v>-21.969070234123119</v>
      </c>
      <c r="O220" s="1" t="str">
        <f>HYPERLINK(".\sm_car_250420_1025\sm_car_250420_1025_219_Ca218TrN_MaFSH_ode23t_1.png","figure")</f>
        <v>figure</v>
      </c>
      <c r="P220" t="s">
        <v>15</v>
      </c>
    </row>
    <row r="221" spans="1:16" x14ac:dyDescent="0.25">
      <c r="A221">
        <v>220</v>
      </c>
      <c r="B221">
        <v>218</v>
      </c>
      <c r="C221" t="s">
        <v>16</v>
      </c>
      <c r="D221" t="s">
        <v>124</v>
      </c>
      <c r="E221" t="s">
        <v>108</v>
      </c>
      <c r="F221" t="s">
        <v>19</v>
      </c>
      <c r="G221" t="s">
        <v>26</v>
      </c>
      <c r="H221" t="s">
        <v>21</v>
      </c>
      <c r="I221" t="s">
        <v>130</v>
      </c>
      <c r="J221" t="s">
        <v>23</v>
      </c>
      <c r="K221">
        <v>548</v>
      </c>
      <c r="L221" s="5">
        <v>5.0541638000000004</v>
      </c>
      <c r="M221" s="5">
        <v>125.3086607723659</v>
      </c>
      <c r="N221" s="5">
        <v>-8.5976686788829699</v>
      </c>
      <c r="O221" s="1" t="str">
        <f>HYPERLINK(".\sm_car_250420_1025\sm_car_250420_1025_220_Ca218TrN_MaSWD_ode23t_1.png","figure")</f>
        <v>figure</v>
      </c>
      <c r="P221" t="s">
        <v>15</v>
      </c>
    </row>
    <row r="222" spans="1:16" x14ac:dyDescent="0.25">
      <c r="A222">
        <v>221</v>
      </c>
      <c r="B222">
        <v>218</v>
      </c>
      <c r="C222" t="s">
        <v>16</v>
      </c>
      <c r="D222" t="s">
        <v>124</v>
      </c>
      <c r="E222" t="s">
        <v>108</v>
      </c>
      <c r="F222" t="s">
        <v>19</v>
      </c>
      <c r="G222" t="s">
        <v>26</v>
      </c>
      <c r="H222" t="s">
        <v>21</v>
      </c>
      <c r="I222" t="s">
        <v>131</v>
      </c>
      <c r="J222" t="s">
        <v>23</v>
      </c>
      <c r="K222">
        <v>469</v>
      </c>
      <c r="L222" s="5">
        <v>5.2140602999999999</v>
      </c>
      <c r="M222" s="5">
        <v>90.663697211703266</v>
      </c>
      <c r="N222" s="5">
        <v>28.882214099637761</v>
      </c>
      <c r="O222" s="1" t="str">
        <f>HYPERLINK(".\sm_car_250420_1025\sm_car_250420_1025_221_Ca218TrN_MaRST_ode23t_1.png","figure")</f>
        <v>figure</v>
      </c>
      <c r="P222" t="s">
        <v>15</v>
      </c>
    </row>
    <row r="223" spans="1:16" x14ac:dyDescent="0.25">
      <c r="A223">
        <v>222</v>
      </c>
      <c r="B223">
        <v>218</v>
      </c>
      <c r="C223" t="s">
        <v>16</v>
      </c>
      <c r="D223" t="s">
        <v>124</v>
      </c>
      <c r="E223" t="s">
        <v>108</v>
      </c>
      <c r="F223" t="s">
        <v>19</v>
      </c>
      <c r="G223" t="s">
        <v>26</v>
      </c>
      <c r="H223" t="s">
        <v>21</v>
      </c>
      <c r="I223" t="s">
        <v>132</v>
      </c>
      <c r="J223" t="s">
        <v>23</v>
      </c>
      <c r="K223">
        <v>563</v>
      </c>
      <c r="L223" s="5">
        <v>9.7163064000000006</v>
      </c>
      <c r="M223" s="5">
        <v>230.18045019994926</v>
      </c>
      <c r="N223" s="5">
        <v>6.6621100553605539E-2</v>
      </c>
      <c r="O223" s="1" t="str">
        <f>HYPERLINK(".\sm_car_250420_1025\sm_car_250420_1025_222_Ca218TrN_MaSLA_ode23t_1.png","figure")</f>
        <v>figure</v>
      </c>
      <c r="P223" t="s">
        <v>15</v>
      </c>
    </row>
    <row r="224" spans="1:16" x14ac:dyDescent="0.25">
      <c r="A224">
        <v>223</v>
      </c>
      <c r="B224">
        <v>156</v>
      </c>
      <c r="C224" t="s">
        <v>45</v>
      </c>
      <c r="D224" t="s">
        <v>17</v>
      </c>
      <c r="E224" t="s">
        <v>18</v>
      </c>
      <c r="F224" t="s">
        <v>19</v>
      </c>
      <c r="G224" t="s">
        <v>38</v>
      </c>
      <c r="H224" t="s">
        <v>21</v>
      </c>
      <c r="I224" t="s">
        <v>54</v>
      </c>
      <c r="J224" t="s">
        <v>23</v>
      </c>
      <c r="K224">
        <v>26033</v>
      </c>
      <c r="L224" s="5">
        <v>396.69982329999999</v>
      </c>
      <c r="M224" s="5">
        <v>19.57403462117864</v>
      </c>
      <c r="N224" s="5">
        <v>3.005964630821651</v>
      </c>
      <c r="O224" s="1" t="str">
        <f>HYPERLINK(".\sm_car_250420_1025\sm_car_250420_1025_223_Ca156TrN_MaIPA_ode23t.png","figure")</f>
        <v>figure</v>
      </c>
      <c r="P224" t="s">
        <v>15</v>
      </c>
    </row>
    <row r="225" spans="1:16" x14ac:dyDescent="0.25">
      <c r="A225">
        <v>224</v>
      </c>
      <c r="B225">
        <v>130</v>
      </c>
      <c r="C225" t="s">
        <v>16</v>
      </c>
      <c r="D225" t="s">
        <v>17</v>
      </c>
      <c r="E225" t="s">
        <v>18</v>
      </c>
      <c r="F225" t="s">
        <v>19</v>
      </c>
      <c r="G225" t="s">
        <v>38</v>
      </c>
      <c r="H225" t="s">
        <v>21</v>
      </c>
      <c r="I225" t="s">
        <v>54</v>
      </c>
      <c r="J225" t="s">
        <v>23</v>
      </c>
      <c r="K225">
        <v>18001</v>
      </c>
      <c r="L225" s="5">
        <v>267.39596999999998</v>
      </c>
      <c r="M225" s="5">
        <v>16.366108129368456</v>
      </c>
      <c r="N225" s="5">
        <v>0.56596435700021008</v>
      </c>
      <c r="O225" s="1" t="str">
        <f>HYPERLINK(".\sm_car_250420_1025\sm_car_250420_1025_224_Ca130TrN_MaIPA_ode23t.png","figure")</f>
        <v>figure</v>
      </c>
      <c r="P225" t="s">
        <v>15</v>
      </c>
    </row>
    <row r="226" spans="1:16" x14ac:dyDescent="0.25">
      <c r="A226">
        <v>225</v>
      </c>
      <c r="B226">
        <v>171</v>
      </c>
      <c r="C226" t="s">
        <v>45</v>
      </c>
      <c r="D226" t="s">
        <v>17</v>
      </c>
      <c r="E226" t="s">
        <v>72</v>
      </c>
      <c r="F226" t="s">
        <v>19</v>
      </c>
      <c r="G226" t="s">
        <v>26</v>
      </c>
      <c r="H226" t="s">
        <v>21</v>
      </c>
      <c r="I226" t="s">
        <v>73</v>
      </c>
      <c r="J226" t="s">
        <v>23</v>
      </c>
      <c r="K226">
        <v>1373</v>
      </c>
      <c r="L226" s="5">
        <v>21.693435999999998</v>
      </c>
      <c r="M226" s="5">
        <v>338.76305291796803</v>
      </c>
      <c r="N226" s="5">
        <v>0.69468631385406465</v>
      </c>
      <c r="O226" s="1" t="str">
        <f>HYPERLINK(".\sm_car_250420_1025\sm_car_250420_1025_225_Ca171TrN_MaRDP_ode23t_1.png","figure")</f>
        <v>figure</v>
      </c>
      <c r="P226" t="s">
        <v>15</v>
      </c>
    </row>
    <row r="227" spans="1:16" x14ac:dyDescent="0.25">
      <c r="A227">
        <v>226</v>
      </c>
      <c r="B227">
        <v>172</v>
      </c>
      <c r="C227" t="s">
        <v>46</v>
      </c>
      <c r="D227" t="s">
        <v>17</v>
      </c>
      <c r="E227" t="s">
        <v>72</v>
      </c>
      <c r="F227" t="s">
        <v>19</v>
      </c>
      <c r="G227" t="s">
        <v>26</v>
      </c>
      <c r="H227" t="s">
        <v>21</v>
      </c>
      <c r="I227" t="s">
        <v>73</v>
      </c>
      <c r="J227" t="s">
        <v>23</v>
      </c>
      <c r="K227">
        <v>1253</v>
      </c>
      <c r="L227" s="5">
        <v>12.333588300000001</v>
      </c>
      <c r="M227" s="5">
        <v>138.32948103726122</v>
      </c>
      <c r="N227" s="5">
        <v>3.7171172153256569E-2</v>
      </c>
      <c r="O227" s="1" t="str">
        <f>HYPERLINK(".\sm_car_250420_1025\sm_car_250420_1025_226_Ca172TrN_MaRDP_ode23t_1.png","figure")</f>
        <v>figure</v>
      </c>
      <c r="P227" t="s">
        <v>15</v>
      </c>
    </row>
    <row r="228" spans="1:16" x14ac:dyDescent="0.25">
      <c r="A228">
        <v>227</v>
      </c>
      <c r="B228">
        <v>139</v>
      </c>
      <c r="C228" t="s">
        <v>45</v>
      </c>
      <c r="D228" t="s">
        <v>17</v>
      </c>
      <c r="E228" t="s">
        <v>18</v>
      </c>
      <c r="F228" t="s">
        <v>19</v>
      </c>
      <c r="G228" t="s">
        <v>26</v>
      </c>
      <c r="H228" t="s">
        <v>21</v>
      </c>
      <c r="I228" t="s">
        <v>74</v>
      </c>
      <c r="J228" t="s">
        <v>23</v>
      </c>
      <c r="K228">
        <v>1466</v>
      </c>
      <c r="L228" s="5">
        <v>18.204514100000001</v>
      </c>
      <c r="M228" s="5">
        <v>364.56022990948583</v>
      </c>
      <c r="N228" s="5">
        <v>0.80392544725116299</v>
      </c>
      <c r="O228" s="1" t="str">
        <f>HYPERLINK(".\sm_car_250420_1025\sm_car_250420_1025_227_Ca139TrN_MaZPL_ode23t_1.png","figure")</f>
        <v>figure</v>
      </c>
      <c r="P228" t="s">
        <v>15</v>
      </c>
    </row>
    <row r="229" spans="1:16" x14ac:dyDescent="0.25">
      <c r="A229">
        <v>228</v>
      </c>
      <c r="B229">
        <v>165</v>
      </c>
      <c r="C229" t="s">
        <v>45</v>
      </c>
      <c r="D229" t="s">
        <v>35</v>
      </c>
      <c r="E229" t="s">
        <v>49</v>
      </c>
      <c r="F229" t="s">
        <v>19</v>
      </c>
      <c r="G229" t="s">
        <v>26</v>
      </c>
      <c r="H229" t="s">
        <v>21</v>
      </c>
      <c r="I229" t="s">
        <v>74</v>
      </c>
      <c r="J229" t="s">
        <v>23</v>
      </c>
      <c r="K229">
        <v>2097</v>
      </c>
      <c r="L229" s="5">
        <v>10.046400200000001</v>
      </c>
      <c r="M229" s="5">
        <v>397.67062233406364</v>
      </c>
      <c r="N229" s="5">
        <v>0.3347888389790637</v>
      </c>
      <c r="O229" s="1" t="str">
        <f>HYPERLINK(".\sm_car_250420_1025\sm_car_250420_1025_228_Ca165TrN_MaZPL_ode23t_1.png","figure")</f>
        <v>figure</v>
      </c>
      <c r="P229" t="s">
        <v>15</v>
      </c>
    </row>
    <row r="230" spans="1:16" x14ac:dyDescent="0.25">
      <c r="A230">
        <v>229</v>
      </c>
      <c r="B230">
        <v>171</v>
      </c>
      <c r="C230" t="s">
        <v>45</v>
      </c>
      <c r="D230" t="s">
        <v>17</v>
      </c>
      <c r="E230" t="s">
        <v>72</v>
      </c>
      <c r="F230" t="s">
        <v>19</v>
      </c>
      <c r="G230" t="s">
        <v>26</v>
      </c>
      <c r="H230" t="s">
        <v>21</v>
      </c>
      <c r="I230" t="s">
        <v>74</v>
      </c>
      <c r="J230" t="s">
        <v>23</v>
      </c>
      <c r="K230">
        <v>1487</v>
      </c>
      <c r="L230" s="5">
        <v>22.822529299999999</v>
      </c>
      <c r="M230" s="5">
        <v>364.31475525922161</v>
      </c>
      <c r="N230" s="5">
        <v>0.78110494294187738</v>
      </c>
      <c r="O230" s="1" t="str">
        <f>HYPERLINK(".\sm_car_250420_1025\sm_car_250420_1025_229_Ca171TrN_MaZPL_ode23t_1.png","figure")</f>
        <v>figure</v>
      </c>
      <c r="P230" t="s">
        <v>15</v>
      </c>
    </row>
    <row r="231" spans="1:16" x14ac:dyDescent="0.25">
      <c r="A231">
        <v>230</v>
      </c>
      <c r="B231">
        <v>165</v>
      </c>
      <c r="C231" t="s">
        <v>45</v>
      </c>
      <c r="D231" t="s">
        <v>35</v>
      </c>
      <c r="E231" t="s">
        <v>49</v>
      </c>
      <c r="F231" t="s">
        <v>19</v>
      </c>
      <c r="G231" t="s">
        <v>26</v>
      </c>
      <c r="H231" t="s">
        <v>21</v>
      </c>
      <c r="I231" t="s">
        <v>75</v>
      </c>
      <c r="J231" t="s">
        <v>23</v>
      </c>
      <c r="K231">
        <v>503</v>
      </c>
      <c r="L231" s="5">
        <v>4.5939268000000002</v>
      </c>
      <c r="M231" s="5">
        <v>378.33357728512516</v>
      </c>
      <c r="N231" s="5">
        <v>0.32224736517305352</v>
      </c>
      <c r="O231" s="1" t="str">
        <f>HYPERLINK(".\sm_car_250420_1025\sm_car_250420_1025_230_Ca165TrN_MaCPL_ode23t_1.png","figure")</f>
        <v>figure</v>
      </c>
      <c r="P231" t="s">
        <v>15</v>
      </c>
    </row>
    <row r="232" spans="1:16" x14ac:dyDescent="0.25">
      <c r="A232">
        <v>231</v>
      </c>
      <c r="B232">
        <v>170</v>
      </c>
      <c r="C232" t="s">
        <v>45</v>
      </c>
      <c r="D232" t="s">
        <v>35</v>
      </c>
      <c r="E232" t="s">
        <v>49</v>
      </c>
      <c r="F232" t="s">
        <v>19</v>
      </c>
      <c r="G232" t="s">
        <v>20</v>
      </c>
      <c r="H232" t="s">
        <v>21</v>
      </c>
      <c r="I232" t="s">
        <v>75</v>
      </c>
      <c r="J232" t="s">
        <v>23</v>
      </c>
      <c r="K232">
        <v>465</v>
      </c>
      <c r="L232" s="5">
        <v>3.2108322999999999</v>
      </c>
      <c r="M232" s="5">
        <v>380.91793190860193</v>
      </c>
      <c r="N232" s="5">
        <v>0.32782964600872139</v>
      </c>
      <c r="O232" s="1" t="str">
        <f>HYPERLINK(".\sm_car_250420_1025\sm_car_250420_1025_231_Ca170TrN_MaCPL_ode23t_1.png","figure")</f>
        <v>figure</v>
      </c>
      <c r="P232" t="s">
        <v>15</v>
      </c>
    </row>
    <row r="233" spans="1:16" x14ac:dyDescent="0.25">
      <c r="A233">
        <v>232</v>
      </c>
      <c r="B233">
        <v>171</v>
      </c>
      <c r="C233" t="s">
        <v>45</v>
      </c>
      <c r="D233" t="s">
        <v>17</v>
      </c>
      <c r="E233" t="s">
        <v>72</v>
      </c>
      <c r="F233" t="s">
        <v>19</v>
      </c>
      <c r="G233" t="s">
        <v>26</v>
      </c>
      <c r="H233" t="s">
        <v>21</v>
      </c>
      <c r="I233" t="s">
        <v>76</v>
      </c>
      <c r="J233" t="s">
        <v>23</v>
      </c>
      <c r="K233">
        <v>2480</v>
      </c>
      <c r="L233" s="5">
        <v>40.694048000000002</v>
      </c>
      <c r="M233" s="5">
        <v>152.36882209406588</v>
      </c>
      <c r="N233" s="5">
        <v>1.9103051047322001E-3</v>
      </c>
      <c r="O233" s="1" t="str">
        <f>HYPERLINK(".\sm_car_250420_1025\sm_car_250420_1025_232_Ca171TrN_MaRDR_ode23t_1.png","figure")</f>
        <v>figure</v>
      </c>
      <c r="P233" t="s">
        <v>15</v>
      </c>
    </row>
    <row r="234" spans="1:16" x14ac:dyDescent="0.25">
      <c r="A234">
        <v>233</v>
      </c>
      <c r="B234">
        <v>172</v>
      </c>
      <c r="C234" t="s">
        <v>46</v>
      </c>
      <c r="D234" t="s">
        <v>17</v>
      </c>
      <c r="E234" t="s">
        <v>72</v>
      </c>
      <c r="F234" t="s">
        <v>19</v>
      </c>
      <c r="G234" t="s">
        <v>26</v>
      </c>
      <c r="H234" t="s">
        <v>21</v>
      </c>
      <c r="I234" t="s">
        <v>76</v>
      </c>
      <c r="J234" t="s">
        <v>23</v>
      </c>
      <c r="K234">
        <v>2898</v>
      </c>
      <c r="L234" s="5">
        <v>26.3487425</v>
      </c>
      <c r="M234" s="5">
        <v>146.50269784816393</v>
      </c>
      <c r="N234" s="5">
        <v>-4.8597210120249366E-3</v>
      </c>
      <c r="O234" s="1" t="str">
        <f>HYPERLINK(".\sm_car_250420_1025\sm_car_250420_1025_233_Ca172TrN_MaRDR_ode23t_1.png","figure")</f>
        <v>figure</v>
      </c>
      <c r="P234" t="s">
        <v>15</v>
      </c>
    </row>
    <row r="235" spans="1:16" x14ac:dyDescent="0.25">
      <c r="A235">
        <v>234</v>
      </c>
      <c r="B235">
        <v>139</v>
      </c>
      <c r="C235" t="s">
        <v>45</v>
      </c>
      <c r="D235" t="s">
        <v>17</v>
      </c>
      <c r="E235" t="s">
        <v>18</v>
      </c>
      <c r="F235" t="s">
        <v>19</v>
      </c>
      <c r="G235" t="s">
        <v>26</v>
      </c>
      <c r="H235" t="s">
        <v>21</v>
      </c>
      <c r="I235" t="s">
        <v>77</v>
      </c>
      <c r="J235" t="s">
        <v>23</v>
      </c>
      <c r="K235">
        <v>2987</v>
      </c>
      <c r="L235" s="5">
        <v>33.4687822</v>
      </c>
      <c r="M235" s="5">
        <v>176.47439228409092</v>
      </c>
      <c r="N235" s="5">
        <v>8.4400302275857016E-4</v>
      </c>
      <c r="O235" s="1" t="str">
        <f>HYPERLINK(".\sm_car_250420_1025\sm_car_250420_1025_234_Ca139TrN_MaZRR_ode23t_1.png","figure")</f>
        <v>figure</v>
      </c>
      <c r="P235" t="s">
        <v>15</v>
      </c>
    </row>
    <row r="236" spans="1:16" x14ac:dyDescent="0.25">
      <c r="A236">
        <v>235</v>
      </c>
      <c r="B236">
        <v>165</v>
      </c>
      <c r="C236" t="s">
        <v>45</v>
      </c>
      <c r="D236" t="s">
        <v>35</v>
      </c>
      <c r="E236" t="s">
        <v>49</v>
      </c>
      <c r="F236" t="s">
        <v>19</v>
      </c>
      <c r="G236" t="s">
        <v>26</v>
      </c>
      <c r="H236" t="s">
        <v>21</v>
      </c>
      <c r="I236" t="s">
        <v>77</v>
      </c>
      <c r="J236" t="s">
        <v>23</v>
      </c>
      <c r="K236">
        <v>3549</v>
      </c>
      <c r="L236" s="5">
        <v>19.796071999999999</v>
      </c>
      <c r="M236" s="5">
        <v>176.81461602278821</v>
      </c>
      <c r="N236" s="5">
        <v>8.1583026282898676E-5</v>
      </c>
      <c r="O236" s="1" t="str">
        <f>HYPERLINK(".\sm_car_250420_1025\sm_car_250420_1025_235_Ca165TrN_MaZRR_ode23t_1.png","figure")</f>
        <v>figure</v>
      </c>
      <c r="P236" t="s">
        <v>15</v>
      </c>
    </row>
    <row r="237" spans="1:16" x14ac:dyDescent="0.25">
      <c r="A237">
        <v>236</v>
      </c>
      <c r="B237">
        <v>171</v>
      </c>
      <c r="C237" t="s">
        <v>45</v>
      </c>
      <c r="D237" t="s">
        <v>17</v>
      </c>
      <c r="E237" t="s">
        <v>72</v>
      </c>
      <c r="F237" t="s">
        <v>19</v>
      </c>
      <c r="G237" t="s">
        <v>26</v>
      </c>
      <c r="H237" t="s">
        <v>21</v>
      </c>
      <c r="I237" t="s">
        <v>77</v>
      </c>
      <c r="J237" t="s">
        <v>23</v>
      </c>
      <c r="K237">
        <v>3036</v>
      </c>
      <c r="L237" s="5">
        <v>49.3423905</v>
      </c>
      <c r="M237" s="5">
        <v>176.48538970802537</v>
      </c>
      <c r="N237" s="5">
        <v>8.339155369463954E-4</v>
      </c>
      <c r="O237" s="1" t="str">
        <f>HYPERLINK(".\sm_car_250420_1025\sm_car_250420_1025_236_Ca171TrN_MaZRR_ode23t_1.png","figure")</f>
        <v>figure</v>
      </c>
      <c r="P237" t="s">
        <v>15</v>
      </c>
    </row>
    <row r="238" spans="1:16" x14ac:dyDescent="0.25">
      <c r="A238">
        <v>237</v>
      </c>
      <c r="B238">
        <v>170</v>
      </c>
      <c r="C238" t="s">
        <v>45</v>
      </c>
      <c r="D238" t="s">
        <v>35</v>
      </c>
      <c r="E238" t="s">
        <v>49</v>
      </c>
      <c r="F238" t="s">
        <v>19</v>
      </c>
      <c r="G238" t="s">
        <v>20</v>
      </c>
      <c r="H238" t="s">
        <v>21</v>
      </c>
      <c r="I238" t="s">
        <v>78</v>
      </c>
      <c r="J238" t="s">
        <v>23</v>
      </c>
      <c r="K238">
        <v>5056</v>
      </c>
      <c r="L238" s="5">
        <v>17.429766699999998</v>
      </c>
      <c r="M238" s="5">
        <v>-5.9999047862402586</v>
      </c>
      <c r="N238" s="5">
        <v>2.8915557959139208E-3</v>
      </c>
      <c r="O238" s="1" t="str">
        <f>HYPERLINK(".\sm_car_250420_1025\sm_car_250420_1025_237_Ca170TrN_MaCMP_ode23t_1.png","figure")</f>
        <v>figure</v>
      </c>
      <c r="P238" t="s">
        <v>15</v>
      </c>
    </row>
    <row r="239" spans="1:16" x14ac:dyDescent="0.25">
      <c r="A239">
        <v>238</v>
      </c>
      <c r="B239">
        <v>170</v>
      </c>
      <c r="C239" t="s">
        <v>45</v>
      </c>
      <c r="D239" t="s">
        <v>35</v>
      </c>
      <c r="E239" t="s">
        <v>49</v>
      </c>
      <c r="F239" t="s">
        <v>19</v>
      </c>
      <c r="G239" t="s">
        <v>20</v>
      </c>
      <c r="H239" t="s">
        <v>21</v>
      </c>
      <c r="I239" t="s">
        <v>79</v>
      </c>
      <c r="J239" t="s">
        <v>23</v>
      </c>
      <c r="K239">
        <v>1825</v>
      </c>
      <c r="L239" s="5">
        <v>11.6025572</v>
      </c>
      <c r="M239" s="5">
        <v>-5.9987021061299801</v>
      </c>
      <c r="N239" s="5">
        <v>2.9104213920266553E-3</v>
      </c>
      <c r="O239" s="1" t="str">
        <f>HYPERLINK(".\sm_car_250420_1025\sm_car_250420_1025_238_Ca170TrN_MaCMF_ode23t_1.png","figure")</f>
        <v>figure</v>
      </c>
      <c r="P239" t="s">
        <v>15</v>
      </c>
    </row>
    <row r="240" spans="1:16" x14ac:dyDescent="0.25">
      <c r="A240">
        <v>239</v>
      </c>
      <c r="B240">
        <v>170</v>
      </c>
      <c r="C240" t="s">
        <v>45</v>
      </c>
      <c r="D240" t="s">
        <v>35</v>
      </c>
      <c r="E240" t="s">
        <v>49</v>
      </c>
      <c r="F240" t="s">
        <v>19</v>
      </c>
      <c r="G240" t="s">
        <v>20</v>
      </c>
      <c r="H240" t="s">
        <v>21</v>
      </c>
      <c r="I240" t="s">
        <v>80</v>
      </c>
      <c r="J240" t="s">
        <v>23</v>
      </c>
      <c r="K240">
        <v>4601</v>
      </c>
      <c r="L240" s="5">
        <v>33.259255099999997</v>
      </c>
      <c r="M240" s="5">
        <v>-329.50537220075034</v>
      </c>
      <c r="N240" s="5">
        <v>6.0515507235937536</v>
      </c>
      <c r="O240" s="1" t="str">
        <f>HYPERLINK(".\sm_car_250420_1025\sm_car_250420_1025_239_Ca170TrN_MaMPO_ode23t_1.png","figure")</f>
        <v>figure</v>
      </c>
      <c r="P240" t="s">
        <v>15</v>
      </c>
    </row>
    <row r="241" spans="1:16" x14ac:dyDescent="0.25">
      <c r="A241">
        <v>240</v>
      </c>
      <c r="B241">
        <v>170</v>
      </c>
      <c r="C241" t="s">
        <v>45</v>
      </c>
      <c r="D241" t="s">
        <v>35</v>
      </c>
      <c r="E241" t="s">
        <v>49</v>
      </c>
      <c r="F241" t="s">
        <v>19</v>
      </c>
      <c r="G241" t="s">
        <v>20</v>
      </c>
      <c r="H241" t="s">
        <v>21</v>
      </c>
      <c r="I241" t="s">
        <v>81</v>
      </c>
      <c r="J241" t="s">
        <v>23</v>
      </c>
      <c r="K241">
        <v>1168</v>
      </c>
      <c r="L241" s="5">
        <v>9.2305559000000006</v>
      </c>
      <c r="M241" s="5">
        <v>-13.902758808386046</v>
      </c>
      <c r="N241" s="5">
        <v>0.20455139597206085</v>
      </c>
      <c r="O241" s="1" t="str">
        <f>HYPERLINK(".\sm_car_250420_1025\sm_car_250420_1025_240_Ca170TrN_MaMCI_ode23t_1.png","figure")</f>
        <v>figure</v>
      </c>
      <c r="P241" t="s">
        <v>15</v>
      </c>
    </row>
    <row r="242" spans="1:16" x14ac:dyDescent="0.25">
      <c r="A242">
        <v>241</v>
      </c>
      <c r="B242">
        <v>170</v>
      </c>
      <c r="C242" t="s">
        <v>45</v>
      </c>
      <c r="D242" t="s">
        <v>35</v>
      </c>
      <c r="E242" t="s">
        <v>49</v>
      </c>
      <c r="F242" t="s">
        <v>19</v>
      </c>
      <c r="G242" t="s">
        <v>20</v>
      </c>
      <c r="H242" t="s">
        <v>21</v>
      </c>
      <c r="I242" t="s">
        <v>111</v>
      </c>
      <c r="J242" t="s">
        <v>23</v>
      </c>
      <c r="K242">
        <v>6005</v>
      </c>
      <c r="L242" s="5">
        <v>17.5758239</v>
      </c>
      <c r="M242" s="5">
        <v>-5.999163881246969</v>
      </c>
      <c r="N242" s="5">
        <v>-4.4634403513760783E-3</v>
      </c>
      <c r="O242" s="1" t="str">
        <f>HYPERLINK(".\sm_car_250420_1025\sm_car_250420_1025_241_Ca170TrN_MaCHO_ode23t_1.png","figure")</f>
        <v>figure</v>
      </c>
      <c r="P242" t="s">
        <v>15</v>
      </c>
    </row>
    <row r="243" spans="1:16" x14ac:dyDescent="0.25">
      <c r="A243">
        <v>242</v>
      </c>
      <c r="B243">
        <v>170</v>
      </c>
      <c r="C243" t="s">
        <v>45</v>
      </c>
      <c r="D243" t="s">
        <v>35</v>
      </c>
      <c r="E243" t="s">
        <v>49</v>
      </c>
      <c r="F243" t="s">
        <v>19</v>
      </c>
      <c r="G243" t="s">
        <v>20</v>
      </c>
      <c r="H243" t="s">
        <v>21</v>
      </c>
      <c r="I243" t="s">
        <v>112</v>
      </c>
      <c r="J243" t="s">
        <v>23</v>
      </c>
      <c r="K243">
        <v>3479</v>
      </c>
      <c r="L243" s="5">
        <v>16.963888399999998</v>
      </c>
      <c r="M243" s="5">
        <v>-5.9993287276948584</v>
      </c>
      <c r="N243" s="5">
        <v>-4.4911861498597222E-3</v>
      </c>
      <c r="O243" s="1" t="str">
        <f>HYPERLINK(".\sm_car_250420_1025\sm_car_250420_1025_242_Ca170TrN_MaCHF_ode23t_1.png","figure")</f>
        <v>figure</v>
      </c>
      <c r="P243" t="s">
        <v>15</v>
      </c>
    </row>
    <row r="244" spans="1:16" x14ac:dyDescent="0.25">
      <c r="A244">
        <v>243</v>
      </c>
      <c r="B244">
        <v>170</v>
      </c>
      <c r="C244" t="s">
        <v>45</v>
      </c>
      <c r="D244" t="s">
        <v>35</v>
      </c>
      <c r="E244" t="s">
        <v>49</v>
      </c>
      <c r="F244" t="s">
        <v>19</v>
      </c>
      <c r="G244" t="s">
        <v>20</v>
      </c>
      <c r="H244" t="s">
        <v>21</v>
      </c>
      <c r="I244" t="s">
        <v>82</v>
      </c>
      <c r="J244" t="s">
        <v>23</v>
      </c>
      <c r="K244">
        <v>7105</v>
      </c>
      <c r="L244" s="5">
        <v>28.567520500000001</v>
      </c>
      <c r="M244" s="5">
        <v>-751.82160053758969</v>
      </c>
      <c r="N244" s="5">
        <v>628.25553766181201</v>
      </c>
      <c r="O244" s="1" t="str">
        <f>HYPERLINK(".\sm_car_250420_1025\sm_car_250420_1025_243_Ca170TrN_MaCKY_ode23t_1.png","figure")</f>
        <v>figure</v>
      </c>
      <c r="P244" t="s">
        <v>15</v>
      </c>
    </row>
    <row r="245" spans="1:16" x14ac:dyDescent="0.25">
      <c r="A245">
        <v>244</v>
      </c>
      <c r="B245">
        <v>170</v>
      </c>
      <c r="C245" t="s">
        <v>45</v>
      </c>
      <c r="D245" t="s">
        <v>35</v>
      </c>
      <c r="E245" t="s">
        <v>49</v>
      </c>
      <c r="F245" t="s">
        <v>19</v>
      </c>
      <c r="G245" t="s">
        <v>20</v>
      </c>
      <c r="H245" t="s">
        <v>21</v>
      </c>
      <c r="I245" t="s">
        <v>83</v>
      </c>
      <c r="J245" t="s">
        <v>23</v>
      </c>
      <c r="K245">
        <v>2142</v>
      </c>
      <c r="L245" s="5">
        <v>14.5631375</v>
      </c>
      <c r="M245" s="5">
        <v>-758.45432131838015</v>
      </c>
      <c r="N245" s="5">
        <v>632.56310422790386</v>
      </c>
      <c r="O245" s="1" t="str">
        <f>HYPERLINK(".\sm_car_250420_1025\sm_car_250420_1025_244_Ca170TrN_MaCKF_ode23t_1.png","figure")</f>
        <v>figure</v>
      </c>
      <c r="P245" t="s">
        <v>15</v>
      </c>
    </row>
    <row r="246" spans="1:16" x14ac:dyDescent="0.25">
      <c r="A246">
        <v>245</v>
      </c>
      <c r="B246">
        <v>170</v>
      </c>
      <c r="C246" t="s">
        <v>45</v>
      </c>
      <c r="D246" t="s">
        <v>35</v>
      </c>
      <c r="E246" t="s">
        <v>49</v>
      </c>
      <c r="F246" t="s">
        <v>19</v>
      </c>
      <c r="G246" t="s">
        <v>20</v>
      </c>
      <c r="H246" t="s">
        <v>21</v>
      </c>
      <c r="I246" t="s">
        <v>84</v>
      </c>
      <c r="J246" t="s">
        <v>23</v>
      </c>
      <c r="K246">
        <v>2808</v>
      </c>
      <c r="L246" s="5">
        <v>15.549159299999999</v>
      </c>
      <c r="M246" s="5">
        <v>177.30628748886639</v>
      </c>
      <c r="N246" s="5">
        <v>288.17398326035072</v>
      </c>
      <c r="O246" s="1" t="str">
        <f>HYPERLINK(".\sm_car_250420_1025\sm_car_250420_1025_245_Ca170TrN_MaCNN_ode23t_1.png","figure")</f>
        <v>figure</v>
      </c>
      <c r="P246" t="s">
        <v>15</v>
      </c>
    </row>
    <row r="247" spans="1:16" x14ac:dyDescent="0.25">
      <c r="A247">
        <v>246</v>
      </c>
      <c r="B247">
        <v>170</v>
      </c>
      <c r="C247" t="s">
        <v>45</v>
      </c>
      <c r="D247" t="s">
        <v>35</v>
      </c>
      <c r="E247" t="s">
        <v>49</v>
      </c>
      <c r="F247" t="s">
        <v>19</v>
      </c>
      <c r="G247" t="s">
        <v>20</v>
      </c>
      <c r="H247" t="s">
        <v>21</v>
      </c>
      <c r="I247" t="s">
        <v>85</v>
      </c>
      <c r="J247" t="s">
        <v>23</v>
      </c>
      <c r="K247">
        <v>4420</v>
      </c>
      <c r="L247" s="5">
        <v>66.251695299999994</v>
      </c>
      <c r="M247" s="5">
        <v>2995.8477516635094</v>
      </c>
      <c r="N247" s="5">
        <v>-3063.931753109875</v>
      </c>
      <c r="O247" s="1" t="str">
        <f>HYPERLINK(".\sm_car_250420_1025\sm_car_250420_1025_246_Ca170TrN_MaCNF_ode23t_1.png","figure")</f>
        <v>figure</v>
      </c>
      <c r="P247" t="s">
        <v>15</v>
      </c>
    </row>
    <row r="248" spans="1:16" x14ac:dyDescent="0.25">
      <c r="A248">
        <v>247</v>
      </c>
      <c r="B248">
        <v>170</v>
      </c>
      <c r="C248" t="s">
        <v>45</v>
      </c>
      <c r="D248" t="s">
        <v>35</v>
      </c>
      <c r="E248" t="s">
        <v>49</v>
      </c>
      <c r="F248" t="s">
        <v>19</v>
      </c>
      <c r="G248" t="s">
        <v>20</v>
      </c>
      <c r="H248" t="s">
        <v>21</v>
      </c>
      <c r="I248" t="s">
        <v>86</v>
      </c>
      <c r="J248" t="s">
        <v>23</v>
      </c>
      <c r="K248">
        <v>2932</v>
      </c>
      <c r="L248" s="5">
        <v>13.0065966</v>
      </c>
      <c r="M248" s="5">
        <v>522.30427590883221</v>
      </c>
      <c r="N248" s="5">
        <v>-164.27298823928922</v>
      </c>
      <c r="O248" s="1" t="str">
        <f>HYPERLINK(".\sm_car_250420_1025\sm_car_250420_1025_247_Ca170TrN_MaCSZ_ode23t_1.png","figure")</f>
        <v>figure</v>
      </c>
      <c r="P248" t="s">
        <v>15</v>
      </c>
    </row>
    <row r="249" spans="1:16" x14ac:dyDescent="0.25">
      <c r="A249">
        <v>248</v>
      </c>
      <c r="B249">
        <v>170</v>
      </c>
      <c r="C249" t="s">
        <v>45</v>
      </c>
      <c r="D249" t="s">
        <v>35</v>
      </c>
      <c r="E249" t="s">
        <v>49</v>
      </c>
      <c r="F249" t="s">
        <v>19</v>
      </c>
      <c r="G249" t="s">
        <v>20</v>
      </c>
      <c r="H249" t="s">
        <v>21</v>
      </c>
      <c r="I249" t="s">
        <v>87</v>
      </c>
      <c r="J249" t="s">
        <v>23</v>
      </c>
      <c r="K249">
        <v>5691</v>
      </c>
      <c r="L249" s="5">
        <v>74.875897399999999</v>
      </c>
      <c r="M249" s="5">
        <v>-8.9382433846797475</v>
      </c>
      <c r="N249" s="5">
        <v>9.7312948238080042E-3</v>
      </c>
      <c r="O249" s="1" t="str">
        <f>HYPERLINK(".\sm_car_250420_1025\sm_car_250420_1025_248_Ca170TrN_MaCSF_ode23t_1.png","figure")</f>
        <v>figure</v>
      </c>
      <c r="P249" t="s">
        <v>15</v>
      </c>
    </row>
    <row r="250" spans="1:16" x14ac:dyDescent="0.25">
      <c r="A250">
        <v>249</v>
      </c>
      <c r="B250">
        <v>170</v>
      </c>
      <c r="C250" t="s">
        <v>45</v>
      </c>
      <c r="D250" t="s">
        <v>35</v>
      </c>
      <c r="E250" t="s">
        <v>49</v>
      </c>
      <c r="F250" t="s">
        <v>19</v>
      </c>
      <c r="G250" t="s">
        <v>20</v>
      </c>
      <c r="H250" t="s">
        <v>21</v>
      </c>
      <c r="I250" t="s">
        <v>88</v>
      </c>
      <c r="J250" t="s">
        <v>23</v>
      </c>
      <c r="K250">
        <v>2175</v>
      </c>
      <c r="L250" s="5">
        <v>15.5412303</v>
      </c>
      <c r="M250" s="5">
        <v>208.95294113124072</v>
      </c>
      <c r="N250" s="5">
        <v>379.20733100999166</v>
      </c>
      <c r="O250" s="1" t="str">
        <f>HYPERLINK(".\sm_car_250420_1025\sm_car_250420_1025_249_Ca170TrN_MaCPU_ode23t_1.png","figure")</f>
        <v>figure</v>
      </c>
      <c r="P250" t="s">
        <v>15</v>
      </c>
    </row>
    <row r="251" spans="1:16" x14ac:dyDescent="0.25">
      <c r="A251">
        <v>250</v>
      </c>
      <c r="B251">
        <v>170</v>
      </c>
      <c r="C251" t="s">
        <v>45</v>
      </c>
      <c r="D251" t="s">
        <v>35</v>
      </c>
      <c r="E251" t="s">
        <v>49</v>
      </c>
      <c r="F251" t="s">
        <v>19</v>
      </c>
      <c r="G251" t="s">
        <v>20</v>
      </c>
      <c r="H251" t="s">
        <v>21</v>
      </c>
      <c r="I251" t="s">
        <v>89</v>
      </c>
      <c r="J251" t="s">
        <v>23</v>
      </c>
      <c r="K251">
        <v>2586</v>
      </c>
      <c r="L251" s="5">
        <v>16.5210902</v>
      </c>
      <c r="M251" s="5">
        <v>183.04734148397051</v>
      </c>
      <c r="N251" s="5">
        <v>-170.21955715822151</v>
      </c>
      <c r="O251" s="1" t="str">
        <f>HYPERLINK(".\sm_car_250420_1025\sm_car_250420_1025_250_Ca170TrN_MaCPD_ode23t_1.png","figure")</f>
        <v>figure</v>
      </c>
      <c r="P251" t="s">
        <v>15</v>
      </c>
    </row>
    <row r="252" spans="1:16" x14ac:dyDescent="0.25">
      <c r="A252">
        <v>251</v>
      </c>
      <c r="B252">
        <v>202</v>
      </c>
      <c r="C252" t="s">
        <v>45</v>
      </c>
      <c r="D252" t="s">
        <v>35</v>
      </c>
      <c r="E252" t="s">
        <v>108</v>
      </c>
      <c r="F252" t="s">
        <v>19</v>
      </c>
      <c r="G252" t="s">
        <v>20</v>
      </c>
      <c r="H252" t="s">
        <v>21</v>
      </c>
      <c r="I252" t="s">
        <v>79</v>
      </c>
      <c r="J252" t="s">
        <v>23</v>
      </c>
      <c r="K252">
        <v>1831</v>
      </c>
      <c r="L252" s="5">
        <v>4.1836921</v>
      </c>
      <c r="M252" s="5">
        <v>-5.9989265300601984</v>
      </c>
      <c r="N252" s="5">
        <v>2.8288104373760006E-3</v>
      </c>
      <c r="O252" s="1" t="str">
        <f>HYPERLINK(".\sm_car_250420_1025\sm_car_250420_1025_251_Ca202TrN_MaCMF_ode23t_1.png","figure")</f>
        <v>figure</v>
      </c>
      <c r="P252" t="s">
        <v>15</v>
      </c>
    </row>
    <row r="253" spans="1:16" x14ac:dyDescent="0.25">
      <c r="A253">
        <v>252</v>
      </c>
      <c r="B253">
        <v>202</v>
      </c>
      <c r="C253" t="s">
        <v>45</v>
      </c>
      <c r="D253" t="s">
        <v>35</v>
      </c>
      <c r="E253" t="s">
        <v>108</v>
      </c>
      <c r="F253" t="s">
        <v>19</v>
      </c>
      <c r="G253" t="s">
        <v>20</v>
      </c>
      <c r="H253" t="s">
        <v>21</v>
      </c>
      <c r="I253" t="s">
        <v>80</v>
      </c>
      <c r="J253" t="s">
        <v>23</v>
      </c>
      <c r="K253">
        <v>4505</v>
      </c>
      <c r="L253" s="5">
        <v>21.764309999999998</v>
      </c>
      <c r="M253" s="5">
        <v>-329.5078212671076</v>
      </c>
      <c r="N253" s="5">
        <v>6.057504377758729</v>
      </c>
      <c r="O253" s="1" t="str">
        <f>HYPERLINK(".\sm_car_250420_1025\sm_car_250420_1025_252_Ca202TrN_MaMPO_ode23t_1.png","figure")</f>
        <v>figure</v>
      </c>
      <c r="P253" t="s">
        <v>15</v>
      </c>
    </row>
    <row r="254" spans="1:16" x14ac:dyDescent="0.25">
      <c r="A254">
        <v>253</v>
      </c>
      <c r="B254">
        <v>202</v>
      </c>
      <c r="C254" t="s">
        <v>45</v>
      </c>
      <c r="D254" t="s">
        <v>35</v>
      </c>
      <c r="E254" t="s">
        <v>108</v>
      </c>
      <c r="F254" t="s">
        <v>19</v>
      </c>
      <c r="G254" t="s">
        <v>20</v>
      </c>
      <c r="H254" t="s">
        <v>21</v>
      </c>
      <c r="I254" t="s">
        <v>81</v>
      </c>
      <c r="J254" t="s">
        <v>23</v>
      </c>
      <c r="K254">
        <v>1193</v>
      </c>
      <c r="L254" s="5">
        <v>5.8571564</v>
      </c>
      <c r="M254" s="5">
        <v>-13.89809640396814</v>
      </c>
      <c r="N254" s="5">
        <v>0.20730579332405341</v>
      </c>
      <c r="O254" s="1" t="str">
        <f>HYPERLINK(".\sm_car_250420_1025\sm_car_250420_1025_253_Ca202TrN_MaMCI_ode23t_1.png","figure")</f>
        <v>figure</v>
      </c>
      <c r="P254" t="s">
        <v>15</v>
      </c>
    </row>
    <row r="255" spans="1:16" x14ac:dyDescent="0.25">
      <c r="A255">
        <v>254</v>
      </c>
      <c r="B255">
        <v>202</v>
      </c>
      <c r="C255" t="s">
        <v>45</v>
      </c>
      <c r="D255" t="s">
        <v>35</v>
      </c>
      <c r="E255" t="s">
        <v>108</v>
      </c>
      <c r="F255" t="s">
        <v>19</v>
      </c>
      <c r="G255" t="s">
        <v>20</v>
      </c>
      <c r="H255" t="s">
        <v>21</v>
      </c>
      <c r="I255" t="s">
        <v>83</v>
      </c>
      <c r="J255" t="s">
        <v>23</v>
      </c>
      <c r="K255">
        <v>3633</v>
      </c>
      <c r="L255" s="5">
        <v>9.1071059999999999</v>
      </c>
      <c r="M255" s="5">
        <v>-5.9975861128505139</v>
      </c>
      <c r="N255" s="5">
        <v>-7.1874662090085639E-3</v>
      </c>
      <c r="O255" s="1" t="str">
        <f>HYPERLINK(".\sm_car_250420_1025\sm_car_250420_1025_254_Ca202TrN_MaCKF_ode23t_1.png","figure")</f>
        <v>figure</v>
      </c>
      <c r="P255" t="s">
        <v>15</v>
      </c>
    </row>
    <row r="256" spans="1:16" x14ac:dyDescent="0.25">
      <c r="A256">
        <v>255</v>
      </c>
      <c r="B256">
        <v>202</v>
      </c>
      <c r="C256" t="s">
        <v>45</v>
      </c>
      <c r="D256" t="s">
        <v>35</v>
      </c>
      <c r="E256" t="s">
        <v>108</v>
      </c>
      <c r="F256" t="s">
        <v>19</v>
      </c>
      <c r="G256" t="s">
        <v>20</v>
      </c>
      <c r="H256" t="s">
        <v>21</v>
      </c>
      <c r="I256" t="s">
        <v>85</v>
      </c>
      <c r="J256" t="s">
        <v>23</v>
      </c>
      <c r="K256">
        <v>10295</v>
      </c>
      <c r="L256" s="5">
        <v>103.23577</v>
      </c>
      <c r="M256" s="5">
        <v>-8.9989822073632126</v>
      </c>
      <c r="N256" s="5">
        <v>4.7303891516918613E-2</v>
      </c>
      <c r="O256" s="1" t="str">
        <f>HYPERLINK(".\sm_car_250420_1025\sm_car_250420_1025_255_Ca202TrN_MaCNF_ode23t_1.png","figure")</f>
        <v>figure</v>
      </c>
      <c r="P256" t="s">
        <v>15</v>
      </c>
    </row>
    <row r="257" spans="1:16" x14ac:dyDescent="0.25">
      <c r="A257">
        <v>256</v>
      </c>
      <c r="B257">
        <v>202</v>
      </c>
      <c r="C257" t="s">
        <v>45</v>
      </c>
      <c r="D257" t="s">
        <v>35</v>
      </c>
      <c r="E257" t="s">
        <v>108</v>
      </c>
      <c r="F257" t="s">
        <v>19</v>
      </c>
      <c r="G257" t="s">
        <v>20</v>
      </c>
      <c r="H257" t="s">
        <v>21</v>
      </c>
      <c r="I257" t="s">
        <v>87</v>
      </c>
      <c r="J257" t="s">
        <v>23</v>
      </c>
      <c r="K257">
        <v>5695</v>
      </c>
      <c r="L257" s="5">
        <v>43.6688221</v>
      </c>
      <c r="M257" s="5">
        <v>-8.8871582625680556</v>
      </c>
      <c r="N257" s="5">
        <v>9.2839723874413929E-3</v>
      </c>
      <c r="O257" s="1" t="str">
        <f>HYPERLINK(".\sm_car_250420_1025\sm_car_250420_1025_256_Ca202TrN_MaCSF_ode23t_1.png","figure")</f>
        <v>figure</v>
      </c>
      <c r="P257" t="s">
        <v>15</v>
      </c>
    </row>
    <row r="258" spans="1:16" x14ac:dyDescent="0.25">
      <c r="A258">
        <v>257</v>
      </c>
      <c r="B258">
        <v>202</v>
      </c>
      <c r="C258" t="s">
        <v>45</v>
      </c>
      <c r="D258" t="s">
        <v>35</v>
      </c>
      <c r="E258" t="s">
        <v>108</v>
      </c>
      <c r="F258" t="s">
        <v>19</v>
      </c>
      <c r="G258" t="s">
        <v>20</v>
      </c>
      <c r="H258" t="s">
        <v>21</v>
      </c>
      <c r="I258" t="s">
        <v>78</v>
      </c>
      <c r="J258" t="s">
        <v>23</v>
      </c>
      <c r="K258">
        <v>5420</v>
      </c>
      <c r="L258" s="5">
        <v>17.9784471</v>
      </c>
      <c r="M258" s="5">
        <v>-5.999249619989877</v>
      </c>
      <c r="N258" s="5">
        <v>2.9233893043588669E-3</v>
      </c>
      <c r="O258" s="1" t="str">
        <f>HYPERLINK(".\sm_car_250420_1025\sm_car_250420_1025_257_Ca202TrN_MaCMP_ode23t_1.png","figure")</f>
        <v>figure</v>
      </c>
      <c r="P258" t="s">
        <v>15</v>
      </c>
    </row>
    <row r="259" spans="1:16" x14ac:dyDescent="0.25">
      <c r="A259">
        <v>258</v>
      </c>
      <c r="B259">
        <v>202</v>
      </c>
      <c r="C259" t="s">
        <v>45</v>
      </c>
      <c r="D259" t="s">
        <v>35</v>
      </c>
      <c r="E259" t="s">
        <v>108</v>
      </c>
      <c r="F259" t="s">
        <v>19</v>
      </c>
      <c r="G259" t="s">
        <v>20</v>
      </c>
      <c r="H259" t="s">
        <v>21</v>
      </c>
      <c r="I259" t="s">
        <v>82</v>
      </c>
      <c r="J259" t="s">
        <v>23</v>
      </c>
      <c r="K259">
        <v>15017</v>
      </c>
      <c r="L259" s="5">
        <v>50.3294718</v>
      </c>
      <c r="M259" s="5">
        <v>-5.9989950711687747</v>
      </c>
      <c r="N259" s="5">
        <v>-8.900536518421466E-3</v>
      </c>
      <c r="O259" s="1" t="str">
        <f>HYPERLINK(".\sm_car_250420_1025\sm_car_250420_1025_258_Ca202TrN_MaCKY_ode23t_1.png","figure")</f>
        <v>figure</v>
      </c>
      <c r="P259" t="s">
        <v>15</v>
      </c>
    </row>
    <row r="260" spans="1:16" x14ac:dyDescent="0.25">
      <c r="A260">
        <v>259</v>
      </c>
      <c r="B260">
        <v>202</v>
      </c>
      <c r="C260" t="s">
        <v>45</v>
      </c>
      <c r="D260" t="s">
        <v>35</v>
      </c>
      <c r="E260" t="s">
        <v>108</v>
      </c>
      <c r="F260" t="s">
        <v>19</v>
      </c>
      <c r="G260" t="s">
        <v>20</v>
      </c>
      <c r="H260" t="s">
        <v>21</v>
      </c>
      <c r="I260" t="s">
        <v>75</v>
      </c>
      <c r="J260" t="s">
        <v>23</v>
      </c>
      <c r="K260">
        <v>457</v>
      </c>
      <c r="L260" s="5">
        <v>2.7077346000000002</v>
      </c>
      <c r="M260" s="5">
        <v>381.37085002295544</v>
      </c>
      <c r="N260" s="5">
        <v>0.32874686412208876</v>
      </c>
      <c r="O260" s="1" t="str">
        <f>HYPERLINK(".\sm_car_250420_1025\sm_car_250420_1025_259_Ca202TrN_MaCPL_ode23t_1.png","figure")</f>
        <v>figure</v>
      </c>
      <c r="P260" t="s">
        <v>15</v>
      </c>
    </row>
    <row r="261" spans="1:16" x14ac:dyDescent="0.25">
      <c r="A261">
        <v>260</v>
      </c>
      <c r="B261">
        <v>140</v>
      </c>
      <c r="C261" t="s">
        <v>45</v>
      </c>
      <c r="D261" t="s">
        <v>17</v>
      </c>
      <c r="E261" t="s">
        <v>49</v>
      </c>
      <c r="F261" t="s">
        <v>19</v>
      </c>
      <c r="G261" t="s">
        <v>26</v>
      </c>
      <c r="H261" t="s">
        <v>21</v>
      </c>
      <c r="I261" t="s">
        <v>113</v>
      </c>
      <c r="J261" t="s">
        <v>23</v>
      </c>
      <c r="K261">
        <v>2722</v>
      </c>
      <c r="L261" s="5">
        <v>39.849941200000004</v>
      </c>
      <c r="M261" s="5">
        <v>176.28305193396682</v>
      </c>
      <c r="N261" s="5">
        <v>7.0357739181143664E-4</v>
      </c>
      <c r="O261" s="1" t="str">
        <f>HYPERLINK(".\sm_car_250420_1025\sm_car_250420_1025_260_Ca140TrN_MaCRR_ode23t_1.png","figure")</f>
        <v>figure</v>
      </c>
      <c r="P261" t="s">
        <v>15</v>
      </c>
    </row>
    <row r="262" spans="1:16" x14ac:dyDescent="0.25">
      <c r="A262">
        <v>261</v>
      </c>
      <c r="B262">
        <v>189</v>
      </c>
      <c r="C262" t="s">
        <v>45</v>
      </c>
      <c r="D262" t="s">
        <v>17</v>
      </c>
      <c r="E262" t="s">
        <v>108</v>
      </c>
      <c r="F262" t="s">
        <v>19</v>
      </c>
      <c r="G262" t="s">
        <v>26</v>
      </c>
      <c r="H262" t="s">
        <v>21</v>
      </c>
      <c r="I262" t="s">
        <v>113</v>
      </c>
      <c r="J262" t="s">
        <v>23</v>
      </c>
      <c r="K262">
        <v>3337</v>
      </c>
      <c r="L262" s="5">
        <v>38.532670000000003</v>
      </c>
      <c r="M262" s="5">
        <v>176.3420689656208</v>
      </c>
      <c r="N262" s="5">
        <v>7.448283898810503E-4</v>
      </c>
      <c r="O262" s="1" t="str">
        <f>HYPERLINK(".\sm_car_250420_1025\sm_car_250420_1025_261_Ca189TrN_MaCRR_ode23t_1.png","figure")</f>
        <v>figure</v>
      </c>
      <c r="P262" t="s">
        <v>15</v>
      </c>
    </row>
    <row r="263" spans="1:16" x14ac:dyDescent="0.25">
      <c r="A263">
        <v>262</v>
      </c>
      <c r="B263">
        <v>173</v>
      </c>
      <c r="C263" t="s">
        <v>45</v>
      </c>
      <c r="D263" t="s">
        <v>35</v>
      </c>
      <c r="E263" t="s">
        <v>49</v>
      </c>
      <c r="F263" t="s">
        <v>19</v>
      </c>
      <c r="G263" t="s">
        <v>90</v>
      </c>
      <c r="H263" t="s">
        <v>21</v>
      </c>
      <c r="I263" t="s">
        <v>91</v>
      </c>
      <c r="J263" t="s">
        <v>92</v>
      </c>
      <c r="K263">
        <v>1795</v>
      </c>
      <c r="L263" s="5">
        <v>87.3696877</v>
      </c>
      <c r="M263" s="5">
        <v>51.299855761477602</v>
      </c>
      <c r="N263" s="5">
        <v>9.0086231762996367E-3</v>
      </c>
      <c r="O263" s="1" t="str">
        <f>HYPERLINK(".\sm_car_250420_1025\sm_car_250420_1025_262_Ca173TrN_MaDCA_daessc_1.png","figure")</f>
        <v>figure</v>
      </c>
      <c r="P263" t="s">
        <v>15</v>
      </c>
    </row>
    <row r="264" spans="1:16" x14ac:dyDescent="0.25">
      <c r="A264">
        <v>263</v>
      </c>
      <c r="B264">
        <v>173</v>
      </c>
      <c r="C264" t="s">
        <v>45</v>
      </c>
      <c r="D264" t="s">
        <v>35</v>
      </c>
      <c r="E264" t="s">
        <v>49</v>
      </c>
      <c r="F264" t="s">
        <v>19</v>
      </c>
      <c r="G264" t="s">
        <v>90</v>
      </c>
      <c r="H264" t="s">
        <v>21</v>
      </c>
      <c r="I264" t="s">
        <v>93</v>
      </c>
      <c r="J264" t="s">
        <v>92</v>
      </c>
      <c r="K264">
        <v>4327</v>
      </c>
      <c r="L264" s="5">
        <v>133.41295650000001</v>
      </c>
      <c r="M264" s="5">
        <v>980.46861080004282</v>
      </c>
      <c r="N264" s="5">
        <v>0.72242198701184213</v>
      </c>
      <c r="O264" s="1" t="str">
        <f>HYPERLINK(".\sm_car_250420_1025\sm_car_250420_1025_263_Ca173TrN_MaDC1_daessc_1.png","figure")</f>
        <v>figure</v>
      </c>
      <c r="P264" t="s">
        <v>15</v>
      </c>
    </row>
    <row r="265" spans="1:16" x14ac:dyDescent="0.25">
      <c r="A265">
        <v>264</v>
      </c>
      <c r="B265">
        <v>165</v>
      </c>
      <c r="C265" t="s">
        <v>45</v>
      </c>
      <c r="D265" t="s">
        <v>35</v>
      </c>
      <c r="E265" t="s">
        <v>49</v>
      </c>
      <c r="F265" t="s">
        <v>19</v>
      </c>
      <c r="G265" t="s">
        <v>26</v>
      </c>
      <c r="H265" t="s">
        <v>21</v>
      </c>
      <c r="I265" t="s">
        <v>91</v>
      </c>
      <c r="J265" t="s">
        <v>23</v>
      </c>
      <c r="K265">
        <v>323</v>
      </c>
      <c r="L265" s="5">
        <v>3.8206861999999999</v>
      </c>
      <c r="M265" s="5">
        <v>53.50936951055516</v>
      </c>
      <c r="N265" s="5">
        <v>9.8729391343351392E-3</v>
      </c>
      <c r="O265" s="1" t="str">
        <f>HYPERLINK(".\sm_car_250420_1025\sm_car_250420_1025_264_Ca165TrN_MaDCA_ode23t_1.png","figure")</f>
        <v>figure</v>
      </c>
      <c r="P265" t="s">
        <v>15</v>
      </c>
    </row>
    <row r="266" spans="1:16" x14ac:dyDescent="0.25">
      <c r="A266">
        <v>265</v>
      </c>
      <c r="B266">
        <v>165</v>
      </c>
      <c r="C266" t="s">
        <v>45</v>
      </c>
      <c r="D266" t="s">
        <v>35</v>
      </c>
      <c r="E266" t="s">
        <v>49</v>
      </c>
      <c r="F266" t="s">
        <v>19</v>
      </c>
      <c r="G266" t="s">
        <v>26</v>
      </c>
      <c r="H266" t="s">
        <v>21</v>
      </c>
      <c r="I266" t="s">
        <v>93</v>
      </c>
      <c r="J266" t="s">
        <v>23</v>
      </c>
      <c r="K266">
        <v>1192</v>
      </c>
      <c r="L266" s="5">
        <v>7.4705792000000004</v>
      </c>
      <c r="M266" s="5">
        <v>992.65470573559651</v>
      </c>
      <c r="N266" s="5">
        <v>0.77622132563821078</v>
      </c>
      <c r="O266" s="1" t="str">
        <f>HYPERLINK(".\sm_car_250420_1025\sm_car_250420_1025_265_Ca165TrN_MaDC1_ode23t_1.png","figure")</f>
        <v>figure</v>
      </c>
      <c r="P266" t="s">
        <v>15</v>
      </c>
    </row>
    <row r="267" spans="1:16" x14ac:dyDescent="0.25">
      <c r="A267">
        <v>266</v>
      </c>
      <c r="B267">
        <v>196</v>
      </c>
      <c r="C267" t="s">
        <v>45</v>
      </c>
      <c r="D267" t="s">
        <v>35</v>
      </c>
      <c r="E267" t="s">
        <v>108</v>
      </c>
      <c r="F267" t="s">
        <v>19</v>
      </c>
      <c r="G267" t="s">
        <v>90</v>
      </c>
      <c r="H267" t="s">
        <v>21</v>
      </c>
      <c r="I267" t="s">
        <v>93</v>
      </c>
      <c r="J267" t="s">
        <v>92</v>
      </c>
      <c r="K267">
        <v>4056</v>
      </c>
      <c r="L267" s="5">
        <v>56.3087041</v>
      </c>
      <c r="M267" s="5">
        <v>980.46761281619581</v>
      </c>
      <c r="N267" s="5">
        <v>0.72247604954876898</v>
      </c>
      <c r="O267" s="1" t="str">
        <f>HYPERLINK(".\sm_car_250420_1025\sm_car_250420_1025_266_Ca196TrN_MaDC1_daessc_1.png","figure")</f>
        <v>figure</v>
      </c>
      <c r="P267" t="s">
        <v>15</v>
      </c>
    </row>
    <row r="268" spans="1:16" x14ac:dyDescent="0.25">
      <c r="A268">
        <v>267</v>
      </c>
      <c r="B268">
        <v>179</v>
      </c>
      <c r="C268" t="s">
        <v>45</v>
      </c>
      <c r="D268" t="s">
        <v>57</v>
      </c>
      <c r="E268" t="s">
        <v>18</v>
      </c>
      <c r="F268" t="s">
        <v>19</v>
      </c>
      <c r="G268" t="s">
        <v>26</v>
      </c>
      <c r="H268" t="s">
        <v>21</v>
      </c>
      <c r="I268" t="s">
        <v>22</v>
      </c>
      <c r="J268" t="s">
        <v>23</v>
      </c>
      <c r="K268">
        <v>476</v>
      </c>
      <c r="L268" s="5">
        <v>4.8289378999999997</v>
      </c>
      <c r="M268" s="5">
        <v>147.847814519792</v>
      </c>
      <c r="N268" s="5">
        <v>9.4970570835759396E-2</v>
      </c>
      <c r="O268" s="1" t="str">
        <f>HYPERLINK(".\sm_car_250420_1025\sm_car_250420_1025_267_Ca179TrN_MaWOT_ode23t_1.png","figure")</f>
        <v>figure</v>
      </c>
      <c r="P268" t="s">
        <v>15</v>
      </c>
    </row>
    <row r="269" spans="1:16" x14ac:dyDescent="0.25">
      <c r="A269">
        <v>268</v>
      </c>
      <c r="B269">
        <v>180</v>
      </c>
      <c r="C269" t="s">
        <v>45</v>
      </c>
      <c r="D269" t="s">
        <v>57</v>
      </c>
      <c r="E269" t="s">
        <v>49</v>
      </c>
      <c r="F269" t="s">
        <v>19</v>
      </c>
      <c r="G269" t="s">
        <v>26</v>
      </c>
      <c r="H269" t="s">
        <v>21</v>
      </c>
      <c r="I269" t="s">
        <v>22</v>
      </c>
      <c r="J269" t="s">
        <v>23</v>
      </c>
      <c r="K269">
        <v>517</v>
      </c>
      <c r="L269" s="5">
        <v>6.7508252999999998</v>
      </c>
      <c r="M269" s="5">
        <v>147.83258383484295</v>
      </c>
      <c r="N269" s="5">
        <v>9.4506195716247993E-2</v>
      </c>
      <c r="O269" s="1" t="str">
        <f>HYPERLINK(".\sm_car_250420_1025\sm_car_250420_1025_268_Ca180TrN_MaWOT_ode23t_1.png","figure")</f>
        <v>figure</v>
      </c>
      <c r="P269" t="s">
        <v>15</v>
      </c>
    </row>
    <row r="270" spans="1:16" x14ac:dyDescent="0.25">
      <c r="A270">
        <v>269</v>
      </c>
      <c r="B270">
        <v>197</v>
      </c>
      <c r="C270" t="s">
        <v>45</v>
      </c>
      <c r="D270" t="s">
        <v>57</v>
      </c>
      <c r="E270" t="s">
        <v>108</v>
      </c>
      <c r="F270" t="s">
        <v>19</v>
      </c>
      <c r="G270" t="s">
        <v>26</v>
      </c>
      <c r="H270" t="s">
        <v>21</v>
      </c>
      <c r="I270" t="s">
        <v>22</v>
      </c>
      <c r="J270" t="s">
        <v>23</v>
      </c>
      <c r="K270">
        <v>464</v>
      </c>
      <c r="L270" s="5">
        <v>2.0850053000000002</v>
      </c>
      <c r="M270" s="5">
        <v>147.85960189034523</v>
      </c>
      <c r="N270" s="5">
        <v>9.4521037717994569E-2</v>
      </c>
      <c r="O270" s="1" t="str">
        <f>HYPERLINK(".\sm_car_250420_1025\sm_car_250420_1025_269_Ca197TrN_MaWOT_ode23t_1.png","figure")</f>
        <v>figure</v>
      </c>
      <c r="P270" t="s">
        <v>15</v>
      </c>
    </row>
    <row r="271" spans="1:16" x14ac:dyDescent="0.25">
      <c r="A271">
        <v>270</v>
      </c>
      <c r="B271">
        <v>182</v>
      </c>
      <c r="C271" t="s">
        <v>45</v>
      </c>
      <c r="D271" t="s">
        <v>17</v>
      </c>
      <c r="E271" t="s">
        <v>49</v>
      </c>
      <c r="F271" t="s">
        <v>19</v>
      </c>
      <c r="G271" t="s">
        <v>26</v>
      </c>
      <c r="H271" t="s">
        <v>21</v>
      </c>
      <c r="I271" t="s">
        <v>64</v>
      </c>
      <c r="J271" t="s">
        <v>23</v>
      </c>
      <c r="K271">
        <v>420</v>
      </c>
      <c r="L271" s="5">
        <v>13.236703199999999</v>
      </c>
      <c r="M271" s="5">
        <v>62.247343367174878</v>
      </c>
      <c r="N271" s="5">
        <v>-24.541954766763507</v>
      </c>
      <c r="O271" s="1" t="str">
        <f>HYPERLINK(".\sm_car_250420_1025\sm_car_250420_1025_270_Ca182TrN_MaTUR_ode23t_1.png","figure")</f>
        <v>figure</v>
      </c>
      <c r="P271" t="s">
        <v>15</v>
      </c>
    </row>
    <row r="272" spans="1:16" x14ac:dyDescent="0.25">
      <c r="A272">
        <v>271</v>
      </c>
      <c r="B272">
        <v>203</v>
      </c>
      <c r="C272" t="s">
        <v>45</v>
      </c>
      <c r="D272" t="s">
        <v>17</v>
      </c>
      <c r="E272" t="s">
        <v>108</v>
      </c>
      <c r="F272" t="s">
        <v>19</v>
      </c>
      <c r="G272" t="s">
        <v>26</v>
      </c>
      <c r="H272" t="s">
        <v>21</v>
      </c>
      <c r="I272" t="s">
        <v>64</v>
      </c>
      <c r="J272" t="s">
        <v>23</v>
      </c>
      <c r="K272">
        <v>362</v>
      </c>
      <c r="L272" s="5">
        <v>4.5304447000000003</v>
      </c>
      <c r="M272" s="5">
        <v>62.262500244230537</v>
      </c>
      <c r="N272" s="5">
        <v>-24.564044523671043</v>
      </c>
      <c r="O272" s="1" t="str">
        <f>HYPERLINK(".\sm_car_250420_1025\sm_car_250420_1025_271_Ca203TrN_MaTUR_ode23t_1.png","figure")</f>
        <v>figure</v>
      </c>
      <c r="P272" t="s">
        <v>15</v>
      </c>
    </row>
    <row r="273" spans="1:16" x14ac:dyDescent="0.25">
      <c r="A273">
        <v>272</v>
      </c>
      <c r="B273">
        <v>185</v>
      </c>
      <c r="C273" t="s">
        <v>45</v>
      </c>
      <c r="D273" t="s">
        <v>17</v>
      </c>
      <c r="E273" t="s">
        <v>18</v>
      </c>
      <c r="F273" t="s">
        <v>19</v>
      </c>
      <c r="G273" t="s">
        <v>26</v>
      </c>
      <c r="H273" t="s">
        <v>21</v>
      </c>
      <c r="I273" t="s">
        <v>64</v>
      </c>
      <c r="J273" t="s">
        <v>23</v>
      </c>
      <c r="K273">
        <v>543</v>
      </c>
      <c r="L273" s="5">
        <v>23.462713300000001</v>
      </c>
      <c r="M273" s="5">
        <v>112.67774272454095</v>
      </c>
      <c r="N273" s="5">
        <v>-79.262922969023407</v>
      </c>
      <c r="O273" s="1" t="str">
        <f>HYPERLINK(".\sm_car_250420_1025\sm_car_250420_1025_272_Ca185TrN_MaTUR_ode23t_1.png","figure")</f>
        <v>figure</v>
      </c>
      <c r="P273" t="s">
        <v>15</v>
      </c>
    </row>
    <row r="274" spans="1:16" x14ac:dyDescent="0.25">
      <c r="A274">
        <v>273</v>
      </c>
      <c r="B274">
        <v>188</v>
      </c>
      <c r="C274" t="s">
        <v>45</v>
      </c>
      <c r="D274" t="s">
        <v>114</v>
      </c>
      <c r="E274" t="s">
        <v>49</v>
      </c>
      <c r="F274" t="s">
        <v>19</v>
      </c>
      <c r="G274" t="s">
        <v>26</v>
      </c>
      <c r="H274" t="s">
        <v>21</v>
      </c>
      <c r="I274" t="s">
        <v>64</v>
      </c>
      <c r="J274" t="s">
        <v>23</v>
      </c>
      <c r="K274">
        <v>568</v>
      </c>
      <c r="L274" s="5">
        <v>8.2198782999999995</v>
      </c>
      <c r="M274" s="5">
        <v>140.64319542068208</v>
      </c>
      <c r="N274" s="5">
        <v>-71.771403465351312</v>
      </c>
      <c r="O274" s="1" t="str">
        <f>HYPERLINK(".\sm_car_250420_1025\sm_car_250420_1025_273_Ca188TrN_MaTUR_ode23t_1.png","figure")</f>
        <v>figure</v>
      </c>
      <c r="P274" t="s">
        <v>15</v>
      </c>
    </row>
    <row r="275" spans="1:16" x14ac:dyDescent="0.25">
      <c r="A275">
        <v>274</v>
      </c>
      <c r="B275" t="s">
        <v>94</v>
      </c>
      <c r="C275" t="s">
        <v>95</v>
      </c>
      <c r="D275" t="s">
        <v>35</v>
      </c>
      <c r="E275" t="s">
        <v>18</v>
      </c>
      <c r="F275" t="s">
        <v>19</v>
      </c>
      <c r="G275" t="s">
        <v>96</v>
      </c>
      <c r="H275" t="s">
        <v>21</v>
      </c>
      <c r="I275" t="s">
        <v>22</v>
      </c>
      <c r="J275" t="s">
        <v>23</v>
      </c>
      <c r="K275">
        <v>453</v>
      </c>
      <c r="L275" s="5">
        <v>17.3594495</v>
      </c>
      <c r="M275" s="5">
        <v>79.191403342521781</v>
      </c>
      <c r="N275" s="5">
        <v>-0.33364204715638829</v>
      </c>
      <c r="O275" s="1" t="str">
        <f>HYPERLINK(".\sm_car_250420_1025\sm_car_Axle3_250420_1025_274_CaAxle3_000TrN_MaWOT_ode23t_1.png","figure")</f>
        <v>figure</v>
      </c>
      <c r="P275" t="s">
        <v>15</v>
      </c>
    </row>
    <row r="276" spans="1:16" x14ac:dyDescent="0.25">
      <c r="A276">
        <v>275</v>
      </c>
      <c r="B276" t="s">
        <v>99</v>
      </c>
      <c r="C276" t="s">
        <v>100</v>
      </c>
      <c r="D276" t="s">
        <v>35</v>
      </c>
      <c r="E276" t="s">
        <v>18</v>
      </c>
      <c r="F276" t="s">
        <v>19</v>
      </c>
      <c r="G276" t="s">
        <v>96</v>
      </c>
      <c r="H276" t="s">
        <v>21</v>
      </c>
      <c r="I276" t="s">
        <v>22</v>
      </c>
      <c r="J276" t="s">
        <v>23</v>
      </c>
      <c r="K276">
        <v>490</v>
      </c>
      <c r="L276" s="5">
        <v>14.2212779</v>
      </c>
      <c r="M276" s="5">
        <v>69.13329697133797</v>
      </c>
      <c r="N276" s="5">
        <v>8.3863063097864898E-2</v>
      </c>
      <c r="O276" s="1" t="str">
        <f>HYPERLINK(".\sm_car_250420_1025\sm_car_Axle3_250420_1025_275_CaAxle3_008TrN_MaWOT_ode23t_1.png","figure")</f>
        <v>figure</v>
      </c>
      <c r="P276" t="s">
        <v>15</v>
      </c>
    </row>
    <row r="277" spans="1:16" x14ac:dyDescent="0.25">
      <c r="A277">
        <v>276</v>
      </c>
      <c r="B277" t="s">
        <v>97</v>
      </c>
      <c r="C277" t="s">
        <v>95</v>
      </c>
      <c r="D277" t="s">
        <v>35</v>
      </c>
      <c r="E277" t="s">
        <v>49</v>
      </c>
      <c r="F277" t="s">
        <v>19</v>
      </c>
      <c r="G277" t="s">
        <v>98</v>
      </c>
      <c r="H277" t="s">
        <v>21</v>
      </c>
      <c r="I277" t="s">
        <v>22</v>
      </c>
      <c r="J277" t="s">
        <v>23</v>
      </c>
      <c r="K277">
        <v>426</v>
      </c>
      <c r="L277" s="5">
        <v>14.3890575</v>
      </c>
      <c r="M277" s="5">
        <v>79.26753082601013</v>
      </c>
      <c r="N277" s="5">
        <v>-0.31346583892466412</v>
      </c>
      <c r="O277" s="1" t="str">
        <f>HYPERLINK(".\sm_car_250420_1025\sm_car_Axle3_250420_1025_276_CaAxle3_003TrN_MaWOT_ode23t_1.png","figure")</f>
        <v>figure</v>
      </c>
      <c r="P277" t="s">
        <v>15</v>
      </c>
    </row>
    <row r="278" spans="1:16" x14ac:dyDescent="0.25">
      <c r="A278">
        <v>277</v>
      </c>
      <c r="B278" t="s">
        <v>115</v>
      </c>
      <c r="C278" t="s">
        <v>95</v>
      </c>
      <c r="D278" t="s">
        <v>35</v>
      </c>
      <c r="E278" t="s">
        <v>108</v>
      </c>
      <c r="F278" t="s">
        <v>19</v>
      </c>
      <c r="G278" t="s">
        <v>98</v>
      </c>
      <c r="H278" t="s">
        <v>21</v>
      </c>
      <c r="I278" t="s">
        <v>22</v>
      </c>
      <c r="J278" t="s">
        <v>23</v>
      </c>
      <c r="K278">
        <v>438</v>
      </c>
      <c r="L278" s="5">
        <v>2.3915179000000002</v>
      </c>
      <c r="M278" s="5">
        <v>80.149536181477046</v>
      </c>
      <c r="N278" s="5">
        <v>-0.31965340500242301</v>
      </c>
      <c r="O278" s="1" t="str">
        <f>HYPERLINK(".\sm_car_250420_1025\sm_car_Axle3_250420_1025_277_CaAxle3_017TrN_MaWOT_ode23t_1.png","figure")</f>
        <v>figure</v>
      </c>
      <c r="P278" t="s">
        <v>15</v>
      </c>
    </row>
    <row r="279" spans="1:16" x14ac:dyDescent="0.25">
      <c r="A279">
        <v>278</v>
      </c>
      <c r="B279" t="s">
        <v>101</v>
      </c>
      <c r="C279" t="s">
        <v>100</v>
      </c>
      <c r="D279" t="s">
        <v>35</v>
      </c>
      <c r="E279" t="s">
        <v>49</v>
      </c>
      <c r="F279" t="s">
        <v>19</v>
      </c>
      <c r="G279" t="s">
        <v>96</v>
      </c>
      <c r="H279" t="s">
        <v>102</v>
      </c>
      <c r="I279" t="s">
        <v>22</v>
      </c>
      <c r="J279" t="s">
        <v>23</v>
      </c>
      <c r="K279">
        <v>380</v>
      </c>
      <c r="L279" s="5">
        <v>32.278157700000001</v>
      </c>
      <c r="M279" s="5">
        <v>23.326795589711995</v>
      </c>
      <c r="N279" s="5">
        <v>2.4821401835728729E-3</v>
      </c>
      <c r="O279" s="1" t="str">
        <f>HYPERLINK(".\sm_car_250420_1025\sm_car_Axle3_250420_1025_278_CaAxle3_010TrK_MaWOT_ode23t_1.png","figure")</f>
        <v>figure</v>
      </c>
      <c r="P279" t="s">
        <v>15</v>
      </c>
    </row>
    <row r="280" spans="1:16" x14ac:dyDescent="0.25">
      <c r="A280">
        <v>279</v>
      </c>
      <c r="B280" t="s">
        <v>101</v>
      </c>
      <c r="C280" t="s">
        <v>100</v>
      </c>
      <c r="D280" t="s">
        <v>35</v>
      </c>
      <c r="E280" t="s">
        <v>49</v>
      </c>
      <c r="F280" t="s">
        <v>19</v>
      </c>
      <c r="G280" t="s">
        <v>96</v>
      </c>
      <c r="H280" t="s">
        <v>102</v>
      </c>
      <c r="I280" t="s">
        <v>22</v>
      </c>
      <c r="J280" t="s">
        <v>23</v>
      </c>
      <c r="K280">
        <v>402</v>
      </c>
      <c r="L280" s="5">
        <v>34.2066199</v>
      </c>
      <c r="M280" s="5">
        <v>23.441148459771718</v>
      </c>
      <c r="N280" s="5">
        <v>2.5318340812336311E-3</v>
      </c>
      <c r="O280" s="1" t="str">
        <f>HYPERLINK(".\sm_car_250420_1025\sm_car_Axle3_250420_1025_279_CaAxle3_010TrK_MaWOT_ode23t_1.png","figure")</f>
        <v>figure</v>
      </c>
      <c r="P280" t="s">
        <v>15</v>
      </c>
    </row>
    <row r="281" spans="1:16" x14ac:dyDescent="0.25">
      <c r="A281">
        <v>280</v>
      </c>
      <c r="B281" t="s">
        <v>116</v>
      </c>
      <c r="C281" t="s">
        <v>100</v>
      </c>
      <c r="D281" t="s">
        <v>35</v>
      </c>
      <c r="E281" t="s">
        <v>108</v>
      </c>
      <c r="F281" t="s">
        <v>19</v>
      </c>
      <c r="G281" t="s">
        <v>96</v>
      </c>
      <c r="H281" t="s">
        <v>102</v>
      </c>
      <c r="I281" t="s">
        <v>22</v>
      </c>
      <c r="J281" t="s">
        <v>23</v>
      </c>
      <c r="K281">
        <v>395</v>
      </c>
      <c r="L281" s="5">
        <v>2.6804465</v>
      </c>
      <c r="M281" s="5">
        <v>26.915043021668794</v>
      </c>
      <c r="N281" s="5">
        <v>3.6189184600081623E-3</v>
      </c>
      <c r="O281" s="1" t="str">
        <f>HYPERLINK(".\sm_car_250420_1025\sm_car_Axle3_250420_1025_280_CaAxle3_019TrK_MaWOT_ode23t_1.png","figure")</f>
        <v>figure</v>
      </c>
      <c r="P281" t="s">
        <v>15</v>
      </c>
    </row>
    <row r="282" spans="1:16" x14ac:dyDescent="0.25">
      <c r="A282">
        <v>281</v>
      </c>
      <c r="B282" t="s">
        <v>116</v>
      </c>
      <c r="C282" t="s">
        <v>100</v>
      </c>
      <c r="D282" t="s">
        <v>35</v>
      </c>
      <c r="E282" t="s">
        <v>108</v>
      </c>
      <c r="F282" t="s">
        <v>19</v>
      </c>
      <c r="G282" t="s">
        <v>96</v>
      </c>
      <c r="H282" t="s">
        <v>102</v>
      </c>
      <c r="I282" t="s">
        <v>22</v>
      </c>
      <c r="J282" t="s">
        <v>23</v>
      </c>
      <c r="K282">
        <v>396</v>
      </c>
      <c r="L282" s="5">
        <v>2.6545584999999998</v>
      </c>
      <c r="M282" s="5">
        <v>26.904154781457223</v>
      </c>
      <c r="N282" s="5">
        <v>3.6114672267954853E-3</v>
      </c>
      <c r="O282" s="1" t="str">
        <f>HYPERLINK(".\sm_car_250420_1025\sm_car_Axle3_250420_1025_281_CaAxle3_019TrK_MaWOT_ode23t_1.png","figure")</f>
        <v>figure</v>
      </c>
      <c r="P282" t="s">
        <v>15</v>
      </c>
    </row>
    <row r="283" spans="1:16" x14ac:dyDescent="0.25">
      <c r="A283">
        <v>282</v>
      </c>
      <c r="B283" t="s">
        <v>103</v>
      </c>
      <c r="C283" t="s">
        <v>100</v>
      </c>
      <c r="D283" t="s">
        <v>35</v>
      </c>
      <c r="E283" t="s">
        <v>18</v>
      </c>
      <c r="F283" t="s">
        <v>19</v>
      </c>
      <c r="G283" t="s">
        <v>104</v>
      </c>
      <c r="H283" t="s">
        <v>102</v>
      </c>
      <c r="I283" t="s">
        <v>53</v>
      </c>
      <c r="J283" t="s">
        <v>23</v>
      </c>
      <c r="K283">
        <v>666</v>
      </c>
      <c r="L283" s="5">
        <v>18.339823599999999</v>
      </c>
      <c r="M283" s="5">
        <v>253.2218158597824</v>
      </c>
      <c r="N283" s="5">
        <v>-9.6781468083663391E-2</v>
      </c>
      <c r="O283" s="1" t="str">
        <f>HYPERLINK(".\sm_car_250420_1025\sm_car_Axle3_250420_1025_282_CaAxle3_012TrK_MaDLC_ode23t_1.png","figure")</f>
        <v>figure</v>
      </c>
      <c r="P283" t="s">
        <v>15</v>
      </c>
    </row>
    <row r="284" spans="1:16" x14ac:dyDescent="0.25">
      <c r="A284">
        <v>283</v>
      </c>
      <c r="B284" t="s">
        <v>103</v>
      </c>
      <c r="C284" t="s">
        <v>100</v>
      </c>
      <c r="D284" t="s">
        <v>35</v>
      </c>
      <c r="E284" t="s">
        <v>18</v>
      </c>
      <c r="F284" t="s">
        <v>19</v>
      </c>
      <c r="G284" t="s">
        <v>104</v>
      </c>
      <c r="H284" t="s">
        <v>102</v>
      </c>
      <c r="I284" t="s">
        <v>53</v>
      </c>
      <c r="J284" t="s">
        <v>23</v>
      </c>
      <c r="K284">
        <v>755</v>
      </c>
      <c r="L284" s="5">
        <v>20.838874300000001</v>
      </c>
      <c r="M284" s="5">
        <v>253.19582329099524</v>
      </c>
      <c r="N284" s="5">
        <v>-9.558603264745269E-2</v>
      </c>
      <c r="O284" s="1" t="str">
        <f>HYPERLINK(".\sm_car_250420_1025\sm_car_Axle3_250420_1025_283_CaAxle3_012TrK_MaDLC_ode23t_1.png","figure")</f>
        <v>figure</v>
      </c>
      <c r="P284" t="s">
        <v>15</v>
      </c>
    </row>
    <row r="285" spans="1:16" x14ac:dyDescent="0.25">
      <c r="A285">
        <v>284</v>
      </c>
      <c r="B285" t="s">
        <v>103</v>
      </c>
      <c r="C285" t="s">
        <v>100</v>
      </c>
      <c r="D285" t="s">
        <v>35</v>
      </c>
      <c r="E285" t="s">
        <v>18</v>
      </c>
      <c r="F285" t="s">
        <v>19</v>
      </c>
      <c r="G285" t="s">
        <v>104</v>
      </c>
      <c r="H285" t="s">
        <v>102</v>
      </c>
      <c r="I285" t="s">
        <v>53</v>
      </c>
      <c r="J285" t="s">
        <v>23</v>
      </c>
      <c r="K285">
        <v>672</v>
      </c>
      <c r="L285" s="5">
        <v>18.985316600000001</v>
      </c>
      <c r="M285" s="5">
        <v>255.20939936574672</v>
      </c>
      <c r="N285" s="5">
        <v>-0.10317200155646589</v>
      </c>
      <c r="O285" s="1" t="str">
        <f>HYPERLINK(".\sm_car_250420_1025\sm_car_Axle3_250420_1025_284_CaAxle3_012TrK_MaDLC_ode23t_1.png","figure")</f>
        <v>figure</v>
      </c>
      <c r="P285" t="s">
        <v>15</v>
      </c>
    </row>
    <row r="286" spans="1:16" x14ac:dyDescent="0.25">
      <c r="A286">
        <v>285</v>
      </c>
      <c r="B286" t="s">
        <v>103</v>
      </c>
      <c r="C286" t="s">
        <v>100</v>
      </c>
      <c r="D286" t="s">
        <v>35</v>
      </c>
      <c r="E286" t="s">
        <v>18</v>
      </c>
      <c r="F286" t="s">
        <v>19</v>
      </c>
      <c r="G286" t="s">
        <v>104</v>
      </c>
      <c r="H286" t="s">
        <v>102</v>
      </c>
      <c r="I286" t="s">
        <v>53</v>
      </c>
      <c r="J286" t="s">
        <v>23</v>
      </c>
      <c r="K286">
        <v>944</v>
      </c>
      <c r="L286" s="5">
        <v>22.5368368</v>
      </c>
      <c r="M286" s="5">
        <v>253.19024712687548</v>
      </c>
      <c r="N286" s="5">
        <v>-8.8653056268422681E-2</v>
      </c>
      <c r="O286" s="1" t="str">
        <f>HYPERLINK(".\sm_car_250420_1025\sm_car_Axle3_250420_1025_285_CaAxle3_012TrK_MaDLC_ode23t_1.png","figure")</f>
        <v>figure</v>
      </c>
      <c r="P286" t="s">
        <v>15</v>
      </c>
    </row>
  </sheetData>
  <autoFilter ref="A1:P286" xr:uid="{514543CE-0D5C-402D-BA53-6C957BFF220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2022b_240930_1602</vt:lpstr>
      <vt:lpstr>2022b_250420_1025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2020-05-28T11:17:57Z</dcterms:created>
  <dcterms:modified xsi:type="dcterms:W3CDTF">2025-04-20T11:19:31Z</dcterms:modified>
</cp:coreProperties>
</file>